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430" sheetId="1" r:id="rId1"/>
  </sheets>
  <calcPr calcId="145621"/>
</workbook>
</file>

<file path=xl/calcChain.xml><?xml version="1.0" encoding="utf-8"?>
<calcChain xmlns="http://schemas.openxmlformats.org/spreadsheetml/2006/main">
  <c r="D3295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H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H198" i="1"/>
  <c r="I198" i="1"/>
  <c r="A199" i="1"/>
  <c r="H199" i="1"/>
  <c r="I199" i="1"/>
  <c r="A200" i="1"/>
  <c r="H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H205" i="1"/>
  <c r="I205" i="1"/>
  <c r="A206" i="1"/>
  <c r="H206" i="1"/>
  <c r="I206" i="1"/>
  <c r="A207" i="1"/>
  <c r="H207" i="1"/>
  <c r="I207" i="1"/>
  <c r="A208" i="1"/>
  <c r="H208" i="1"/>
  <c r="I208" i="1"/>
  <c r="A209" i="1"/>
  <c r="H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H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H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A303" i="1"/>
  <c r="F303" i="1"/>
  <c r="G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H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H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H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H586" i="1"/>
  <c r="I586" i="1"/>
  <c r="A587" i="1"/>
  <c r="H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H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H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H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H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H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H826" i="1"/>
  <c r="I826" i="1"/>
  <c r="A827" i="1"/>
  <c r="F827" i="1"/>
  <c r="G827" i="1"/>
  <c r="I827" i="1"/>
  <c r="A828" i="1"/>
  <c r="F828" i="1"/>
  <c r="G828" i="1"/>
  <c r="I828" i="1"/>
  <c r="A829" i="1"/>
  <c r="H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H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H918" i="1"/>
  <c r="I918" i="1"/>
  <c r="A919" i="1"/>
  <c r="H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H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H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H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H980" i="1"/>
  <c r="I980" i="1"/>
  <c r="A981" i="1"/>
  <c r="H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H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H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H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H1139" i="1"/>
  <c r="I1139" i="1"/>
  <c r="A1140" i="1"/>
  <c r="H1140" i="1"/>
  <c r="I1140" i="1"/>
  <c r="A1141" i="1"/>
  <c r="H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H1147" i="1"/>
  <c r="I1147" i="1"/>
  <c r="A1148" i="1"/>
  <c r="H1148" i="1"/>
  <c r="I1148" i="1"/>
  <c r="A1149" i="1"/>
  <c r="H1149" i="1"/>
  <c r="I1149" i="1"/>
  <c r="A1150" i="1"/>
  <c r="H1150" i="1"/>
  <c r="I1150" i="1"/>
  <c r="A1151" i="1"/>
  <c r="H1151" i="1"/>
  <c r="I1151" i="1"/>
  <c r="A1152" i="1"/>
  <c r="H1152" i="1"/>
  <c r="I1152" i="1"/>
  <c r="A1153" i="1"/>
  <c r="H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H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H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H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H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H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H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H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A1602" i="1"/>
  <c r="F1602" i="1"/>
  <c r="G1602" i="1"/>
  <c r="A1603" i="1"/>
  <c r="F1603" i="1"/>
  <c r="G1603" i="1"/>
  <c r="A1604" i="1"/>
  <c r="F1604" i="1"/>
  <c r="G1604" i="1"/>
  <c r="A1605" i="1"/>
  <c r="F1605" i="1"/>
  <c r="G1605" i="1"/>
  <c r="A1606" i="1"/>
  <c r="F1606" i="1"/>
  <c r="G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H1653" i="1"/>
  <c r="I1653" i="1"/>
  <c r="A1654" i="1"/>
  <c r="H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H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H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H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H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H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I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I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  <c r="A3074" i="1"/>
  <c r="F3074" i="1"/>
  <c r="G3074" i="1"/>
  <c r="I3074" i="1"/>
  <c r="A3075" i="1"/>
  <c r="F3075" i="1"/>
  <c r="G3075" i="1"/>
  <c r="I3075" i="1"/>
  <c r="A3076" i="1"/>
  <c r="F3076" i="1"/>
  <c r="G3076" i="1"/>
  <c r="I3076" i="1"/>
  <c r="A3077" i="1"/>
  <c r="F3077" i="1"/>
  <c r="G3077" i="1"/>
  <c r="I3077" i="1"/>
  <c r="A3078" i="1"/>
  <c r="F3078" i="1"/>
  <c r="G3078" i="1"/>
  <c r="I3078" i="1"/>
  <c r="A3079" i="1"/>
  <c r="F3079" i="1"/>
  <c r="G3079" i="1"/>
  <c r="I3079" i="1"/>
  <c r="A3080" i="1"/>
  <c r="F3080" i="1"/>
  <c r="G3080" i="1"/>
  <c r="I3080" i="1"/>
  <c r="A3081" i="1"/>
  <c r="F3081" i="1"/>
  <c r="G3081" i="1"/>
  <c r="I3081" i="1"/>
  <c r="A3082" i="1"/>
  <c r="F3082" i="1"/>
  <c r="G3082" i="1"/>
  <c r="I3082" i="1"/>
  <c r="A3083" i="1"/>
  <c r="F3083" i="1"/>
  <c r="G3083" i="1"/>
  <c r="I3083" i="1"/>
  <c r="A3084" i="1"/>
  <c r="F3084" i="1"/>
  <c r="G3084" i="1"/>
  <c r="I3084" i="1"/>
  <c r="A3085" i="1"/>
  <c r="F3085" i="1"/>
  <c r="G3085" i="1"/>
  <c r="I3085" i="1"/>
  <c r="A3086" i="1"/>
  <c r="F3086" i="1"/>
  <c r="G3086" i="1"/>
  <c r="I3086" i="1"/>
  <c r="A3087" i="1"/>
  <c r="F3087" i="1"/>
  <c r="G3087" i="1"/>
  <c r="I3087" i="1"/>
  <c r="A3088" i="1"/>
  <c r="F3088" i="1"/>
  <c r="G3088" i="1"/>
  <c r="I3088" i="1"/>
  <c r="A3089" i="1"/>
  <c r="F3089" i="1"/>
  <c r="G3089" i="1"/>
  <c r="I3089" i="1"/>
  <c r="A3090" i="1"/>
  <c r="F3090" i="1"/>
  <c r="G3090" i="1"/>
  <c r="I3090" i="1"/>
  <c r="A3091" i="1"/>
  <c r="F3091" i="1"/>
  <c r="G3091" i="1"/>
  <c r="I3091" i="1"/>
  <c r="A3092" i="1"/>
  <c r="F3092" i="1"/>
  <c r="G3092" i="1"/>
  <c r="I3092" i="1"/>
  <c r="A3093" i="1"/>
  <c r="F3093" i="1"/>
  <c r="G3093" i="1"/>
  <c r="I3093" i="1"/>
  <c r="A3094" i="1"/>
  <c r="F3094" i="1"/>
  <c r="G3094" i="1"/>
  <c r="I3094" i="1"/>
  <c r="A3095" i="1"/>
  <c r="F3095" i="1"/>
  <c r="G3095" i="1"/>
  <c r="I3095" i="1"/>
  <c r="A3096" i="1"/>
  <c r="F3096" i="1"/>
  <c r="G3096" i="1"/>
  <c r="I3096" i="1"/>
  <c r="A3097" i="1"/>
  <c r="F3097" i="1"/>
  <c r="G3097" i="1"/>
  <c r="I3097" i="1"/>
  <c r="A3098" i="1"/>
  <c r="F3098" i="1"/>
  <c r="G3098" i="1"/>
  <c r="I3098" i="1"/>
  <c r="A3099" i="1"/>
  <c r="F3099" i="1"/>
  <c r="G3099" i="1"/>
  <c r="I3099" i="1"/>
  <c r="A3100" i="1"/>
  <c r="F3100" i="1"/>
  <c r="G3100" i="1"/>
  <c r="I3100" i="1"/>
  <c r="A3101" i="1"/>
  <c r="F3101" i="1"/>
  <c r="G3101" i="1"/>
  <c r="I3101" i="1"/>
  <c r="A3102" i="1"/>
  <c r="F3102" i="1"/>
  <c r="G3102" i="1"/>
  <c r="I3102" i="1"/>
  <c r="A3103" i="1"/>
  <c r="F3103" i="1"/>
  <c r="G3103" i="1"/>
  <c r="I3103" i="1"/>
  <c r="A3104" i="1"/>
  <c r="F3104" i="1"/>
  <c r="G3104" i="1"/>
  <c r="I3104" i="1"/>
  <c r="A3105" i="1"/>
  <c r="F3105" i="1"/>
  <c r="G3105" i="1"/>
  <c r="I3105" i="1"/>
  <c r="A3106" i="1"/>
  <c r="F3106" i="1"/>
  <c r="G3106" i="1"/>
  <c r="I3106" i="1"/>
  <c r="A3107" i="1"/>
  <c r="F3107" i="1"/>
  <c r="G3107" i="1"/>
  <c r="I3107" i="1"/>
  <c r="A3108" i="1"/>
  <c r="F3108" i="1"/>
  <c r="G3108" i="1"/>
  <c r="I3108" i="1"/>
  <c r="A3109" i="1"/>
  <c r="F3109" i="1"/>
  <c r="G3109" i="1"/>
  <c r="I3109" i="1"/>
  <c r="A3110" i="1"/>
  <c r="F3110" i="1"/>
  <c r="G3110" i="1"/>
  <c r="I3110" i="1"/>
  <c r="A3111" i="1"/>
  <c r="F3111" i="1"/>
  <c r="G3111" i="1"/>
  <c r="I3111" i="1"/>
  <c r="A3112" i="1"/>
  <c r="F3112" i="1"/>
  <c r="G3112" i="1"/>
  <c r="I3112" i="1"/>
  <c r="A3113" i="1"/>
  <c r="F3113" i="1"/>
  <c r="G3113" i="1"/>
  <c r="I3113" i="1"/>
  <c r="A3114" i="1"/>
  <c r="F3114" i="1"/>
  <c r="G3114" i="1"/>
  <c r="I3114" i="1"/>
  <c r="A3115" i="1"/>
  <c r="F3115" i="1"/>
  <c r="G3115" i="1"/>
  <c r="I3115" i="1"/>
  <c r="A3116" i="1"/>
  <c r="F3116" i="1"/>
  <c r="G3116" i="1"/>
  <c r="I3116" i="1"/>
  <c r="A3117" i="1"/>
  <c r="F3117" i="1"/>
  <c r="G3117" i="1"/>
  <c r="I3117" i="1"/>
  <c r="A3118" i="1"/>
  <c r="F3118" i="1"/>
  <c r="G3118" i="1"/>
  <c r="I3118" i="1"/>
  <c r="A3119" i="1"/>
  <c r="F3119" i="1"/>
  <c r="G3119" i="1"/>
  <c r="I3119" i="1"/>
  <c r="A3120" i="1"/>
  <c r="F3120" i="1"/>
  <c r="G3120" i="1"/>
  <c r="I3120" i="1"/>
  <c r="A3121" i="1"/>
  <c r="F3121" i="1"/>
  <c r="G3121" i="1"/>
  <c r="I3121" i="1"/>
  <c r="A3122" i="1"/>
  <c r="F3122" i="1"/>
  <c r="G3122" i="1"/>
  <c r="I3122" i="1"/>
  <c r="A3123" i="1"/>
  <c r="F3123" i="1"/>
  <c r="G3123" i="1"/>
  <c r="I3123" i="1"/>
  <c r="A3124" i="1"/>
  <c r="F3124" i="1"/>
  <c r="G3124" i="1"/>
  <c r="I3124" i="1"/>
  <c r="A3125" i="1"/>
  <c r="F3125" i="1"/>
  <c r="G3125" i="1"/>
  <c r="I3125" i="1"/>
  <c r="A3126" i="1"/>
  <c r="F3126" i="1"/>
  <c r="G3126" i="1"/>
  <c r="I3126" i="1"/>
  <c r="A3127" i="1"/>
  <c r="F3127" i="1"/>
  <c r="G3127" i="1"/>
  <c r="I3127" i="1"/>
  <c r="A3128" i="1"/>
  <c r="F3128" i="1"/>
  <c r="G3128" i="1"/>
  <c r="I3128" i="1"/>
  <c r="A3129" i="1"/>
  <c r="F3129" i="1"/>
  <c r="G3129" i="1"/>
  <c r="I3129" i="1"/>
  <c r="A3130" i="1"/>
  <c r="F3130" i="1"/>
  <c r="G3130" i="1"/>
  <c r="I3130" i="1"/>
  <c r="A3131" i="1"/>
  <c r="F3131" i="1"/>
  <c r="G3131" i="1"/>
  <c r="I3131" i="1"/>
  <c r="A3132" i="1"/>
  <c r="F3132" i="1"/>
  <c r="G3132" i="1"/>
  <c r="I3132" i="1"/>
  <c r="A3133" i="1"/>
  <c r="F3133" i="1"/>
  <c r="G3133" i="1"/>
  <c r="I3133" i="1"/>
  <c r="A3134" i="1"/>
  <c r="F3134" i="1"/>
  <c r="G3134" i="1"/>
  <c r="I3134" i="1"/>
  <c r="A3135" i="1"/>
  <c r="F3135" i="1"/>
  <c r="G3135" i="1"/>
  <c r="I3135" i="1"/>
  <c r="A3136" i="1"/>
  <c r="F3136" i="1"/>
  <c r="G3136" i="1"/>
  <c r="I3136" i="1"/>
  <c r="A3137" i="1"/>
  <c r="F3137" i="1"/>
  <c r="G3137" i="1"/>
  <c r="I3137" i="1"/>
  <c r="A3138" i="1"/>
  <c r="F3138" i="1"/>
  <c r="G3138" i="1"/>
  <c r="I3138" i="1"/>
  <c r="A3139" i="1"/>
  <c r="F3139" i="1"/>
  <c r="G3139" i="1"/>
  <c r="I3139" i="1"/>
  <c r="A3140" i="1"/>
  <c r="F3140" i="1"/>
  <c r="G3140" i="1"/>
  <c r="I3140" i="1"/>
  <c r="A3141" i="1"/>
  <c r="F3141" i="1"/>
  <c r="G3141" i="1"/>
  <c r="I3141" i="1"/>
  <c r="A3142" i="1"/>
  <c r="F3142" i="1"/>
  <c r="G3142" i="1"/>
  <c r="I3142" i="1"/>
  <c r="A3143" i="1"/>
  <c r="F3143" i="1"/>
  <c r="G3143" i="1"/>
  <c r="I3143" i="1"/>
  <c r="A3144" i="1"/>
  <c r="F3144" i="1"/>
  <c r="G3144" i="1"/>
  <c r="I3144" i="1"/>
  <c r="A3145" i="1"/>
  <c r="F3145" i="1"/>
  <c r="G3145" i="1"/>
  <c r="I3145" i="1"/>
  <c r="A3146" i="1"/>
  <c r="F3146" i="1"/>
  <c r="G3146" i="1"/>
  <c r="I3146" i="1"/>
  <c r="A3147" i="1"/>
  <c r="F3147" i="1"/>
  <c r="G3147" i="1"/>
  <c r="I3147" i="1"/>
  <c r="A3148" i="1"/>
  <c r="F3148" i="1"/>
  <c r="G3148" i="1"/>
  <c r="I3148" i="1"/>
  <c r="A3149" i="1"/>
  <c r="F3149" i="1"/>
  <c r="G3149" i="1"/>
  <c r="I3149" i="1"/>
  <c r="A3150" i="1"/>
  <c r="F3150" i="1"/>
  <c r="G3150" i="1"/>
  <c r="I3150" i="1"/>
  <c r="A3151" i="1"/>
  <c r="F3151" i="1"/>
  <c r="G3151" i="1"/>
  <c r="I3151" i="1"/>
  <c r="A3152" i="1"/>
  <c r="F3152" i="1"/>
  <c r="G3152" i="1"/>
  <c r="I3152" i="1"/>
  <c r="A3153" i="1"/>
  <c r="F3153" i="1"/>
  <c r="G3153" i="1"/>
  <c r="I3153" i="1"/>
  <c r="A3154" i="1"/>
  <c r="F3154" i="1"/>
  <c r="G3154" i="1"/>
  <c r="I3154" i="1"/>
  <c r="A3155" i="1"/>
  <c r="F3155" i="1"/>
  <c r="G3155" i="1"/>
  <c r="I3155" i="1"/>
  <c r="A3156" i="1"/>
  <c r="F3156" i="1"/>
  <c r="G3156" i="1"/>
  <c r="I3156" i="1"/>
  <c r="A3157" i="1"/>
  <c r="F3157" i="1"/>
  <c r="G3157" i="1"/>
  <c r="I3157" i="1"/>
  <c r="A3158" i="1"/>
  <c r="F3158" i="1"/>
  <c r="G3158" i="1"/>
  <c r="I3158" i="1"/>
  <c r="A3159" i="1"/>
  <c r="F3159" i="1"/>
  <c r="G3159" i="1"/>
  <c r="I3159" i="1"/>
  <c r="A3160" i="1"/>
  <c r="F3160" i="1"/>
  <c r="G3160" i="1"/>
  <c r="I3160" i="1"/>
  <c r="A3161" i="1"/>
  <c r="F3161" i="1"/>
  <c r="G3161" i="1"/>
  <c r="I3161" i="1"/>
  <c r="A3162" i="1"/>
  <c r="F3162" i="1"/>
  <c r="G3162" i="1"/>
  <c r="I3162" i="1"/>
  <c r="A3163" i="1"/>
  <c r="F3163" i="1"/>
  <c r="G3163" i="1"/>
  <c r="I3163" i="1"/>
  <c r="A3164" i="1"/>
  <c r="F3164" i="1"/>
  <c r="G3164" i="1"/>
  <c r="I3164" i="1"/>
  <c r="A3165" i="1"/>
  <c r="F3165" i="1"/>
  <c r="G3165" i="1"/>
  <c r="I3165" i="1"/>
  <c r="A3166" i="1"/>
  <c r="F3166" i="1"/>
  <c r="G3166" i="1"/>
  <c r="I3166" i="1"/>
  <c r="A3167" i="1"/>
  <c r="F3167" i="1"/>
  <c r="G3167" i="1"/>
  <c r="I3167" i="1"/>
  <c r="A3168" i="1"/>
  <c r="F3168" i="1"/>
  <c r="G3168" i="1"/>
  <c r="I3168" i="1"/>
  <c r="A3169" i="1"/>
  <c r="F3169" i="1"/>
  <c r="G3169" i="1"/>
  <c r="I3169" i="1"/>
  <c r="A3170" i="1"/>
  <c r="F3170" i="1"/>
  <c r="G3170" i="1"/>
  <c r="I3170" i="1"/>
  <c r="A3171" i="1"/>
  <c r="F3171" i="1"/>
  <c r="G3171" i="1"/>
  <c r="I3171" i="1"/>
  <c r="A3172" i="1"/>
  <c r="F3172" i="1"/>
  <c r="G3172" i="1"/>
  <c r="I3172" i="1"/>
  <c r="A3173" i="1"/>
  <c r="F3173" i="1"/>
  <c r="G3173" i="1"/>
  <c r="I3173" i="1"/>
  <c r="A3174" i="1"/>
  <c r="F3174" i="1"/>
  <c r="G3174" i="1"/>
  <c r="I3174" i="1"/>
  <c r="A3175" i="1"/>
  <c r="F3175" i="1"/>
  <c r="G3175" i="1"/>
  <c r="I3175" i="1"/>
  <c r="A3176" i="1"/>
  <c r="F3176" i="1"/>
  <c r="G3176" i="1"/>
  <c r="I3176" i="1"/>
  <c r="A3177" i="1"/>
  <c r="F3177" i="1"/>
  <c r="G3177" i="1"/>
  <c r="I3177" i="1"/>
  <c r="A3178" i="1"/>
  <c r="F3178" i="1"/>
  <c r="G3178" i="1"/>
  <c r="I3178" i="1"/>
  <c r="A3179" i="1"/>
  <c r="F3179" i="1"/>
  <c r="G3179" i="1"/>
  <c r="I3179" i="1"/>
  <c r="A3180" i="1"/>
  <c r="F3180" i="1"/>
  <c r="G3180" i="1"/>
  <c r="I3180" i="1"/>
  <c r="A3181" i="1"/>
  <c r="F3181" i="1"/>
  <c r="G3181" i="1"/>
  <c r="I3181" i="1"/>
  <c r="A3182" i="1"/>
  <c r="F3182" i="1"/>
  <c r="G3182" i="1"/>
  <c r="I3182" i="1"/>
  <c r="A3183" i="1"/>
  <c r="F3183" i="1"/>
  <c r="G3183" i="1"/>
  <c r="I3183" i="1"/>
  <c r="A3184" i="1"/>
  <c r="F3184" i="1"/>
  <c r="G3184" i="1"/>
  <c r="I3184" i="1"/>
  <c r="A3185" i="1"/>
  <c r="F3185" i="1"/>
  <c r="G3185" i="1"/>
  <c r="I3185" i="1"/>
  <c r="A3186" i="1"/>
  <c r="F3186" i="1"/>
  <c r="G3186" i="1"/>
  <c r="I3186" i="1"/>
  <c r="A3187" i="1"/>
  <c r="F3187" i="1"/>
  <c r="G3187" i="1"/>
  <c r="I3187" i="1"/>
  <c r="A3188" i="1"/>
  <c r="F3188" i="1"/>
  <c r="G3188" i="1"/>
  <c r="I3188" i="1"/>
  <c r="A3189" i="1"/>
  <c r="F3189" i="1"/>
  <c r="G3189" i="1"/>
  <c r="I3189" i="1"/>
  <c r="A3190" i="1"/>
  <c r="F3190" i="1"/>
  <c r="G3190" i="1"/>
  <c r="I3190" i="1"/>
  <c r="A3191" i="1"/>
  <c r="F3191" i="1"/>
  <c r="G3191" i="1"/>
  <c r="I3191" i="1"/>
  <c r="A3192" i="1"/>
  <c r="F3192" i="1"/>
  <c r="G3192" i="1"/>
  <c r="I3192" i="1"/>
  <c r="A3193" i="1"/>
  <c r="F3193" i="1"/>
  <c r="G3193" i="1"/>
  <c r="I3193" i="1"/>
  <c r="A3194" i="1"/>
  <c r="F3194" i="1"/>
  <c r="G3194" i="1"/>
  <c r="I3194" i="1"/>
  <c r="A3195" i="1"/>
  <c r="F3195" i="1"/>
  <c r="G3195" i="1"/>
  <c r="I3195" i="1"/>
  <c r="A3196" i="1"/>
  <c r="F3196" i="1"/>
  <c r="G3196" i="1"/>
  <c r="I3196" i="1"/>
  <c r="A3197" i="1"/>
  <c r="F3197" i="1"/>
  <c r="G3197" i="1"/>
  <c r="I3197" i="1"/>
  <c r="A3198" i="1"/>
  <c r="F3198" i="1"/>
  <c r="G3198" i="1"/>
  <c r="I3198" i="1"/>
  <c r="A3199" i="1"/>
  <c r="F3199" i="1"/>
  <c r="G3199" i="1"/>
  <c r="I3199" i="1"/>
  <c r="A3200" i="1"/>
  <c r="F3200" i="1"/>
  <c r="G3200" i="1"/>
  <c r="I3200" i="1"/>
  <c r="A3201" i="1"/>
  <c r="F3201" i="1"/>
  <c r="G3201" i="1"/>
  <c r="I3201" i="1"/>
  <c r="A3202" i="1"/>
  <c r="F3202" i="1"/>
  <c r="G3202" i="1"/>
  <c r="I3202" i="1"/>
  <c r="A3203" i="1"/>
  <c r="F3203" i="1"/>
  <c r="G3203" i="1"/>
  <c r="I3203" i="1"/>
  <c r="A3204" i="1"/>
  <c r="F3204" i="1"/>
  <c r="G3204" i="1"/>
  <c r="I3204" i="1"/>
  <c r="A3205" i="1"/>
  <c r="F3205" i="1"/>
  <c r="G3205" i="1"/>
  <c r="I3205" i="1"/>
  <c r="A3206" i="1"/>
  <c r="F3206" i="1"/>
  <c r="G3206" i="1"/>
  <c r="I3206" i="1"/>
  <c r="A3207" i="1"/>
  <c r="F3207" i="1"/>
  <c r="G3207" i="1"/>
  <c r="I3207" i="1"/>
  <c r="A3208" i="1"/>
  <c r="F3208" i="1"/>
  <c r="G3208" i="1"/>
  <c r="I3208" i="1"/>
  <c r="A3209" i="1"/>
  <c r="F3209" i="1"/>
  <c r="G3209" i="1"/>
  <c r="I3209" i="1"/>
  <c r="A3210" i="1"/>
  <c r="F3210" i="1"/>
  <c r="G3210" i="1"/>
  <c r="I3210" i="1"/>
  <c r="A3211" i="1"/>
  <c r="F3211" i="1"/>
  <c r="G3211" i="1"/>
  <c r="I3211" i="1"/>
  <c r="A3212" i="1"/>
  <c r="F3212" i="1"/>
  <c r="G3212" i="1"/>
  <c r="I3212" i="1"/>
  <c r="A3213" i="1"/>
  <c r="F3213" i="1"/>
  <c r="G3213" i="1"/>
  <c r="I3213" i="1"/>
  <c r="A3214" i="1"/>
  <c r="F3214" i="1"/>
  <c r="G3214" i="1"/>
  <c r="I3214" i="1"/>
  <c r="A3215" i="1"/>
  <c r="F3215" i="1"/>
  <c r="G3215" i="1"/>
  <c r="I3215" i="1"/>
  <c r="A3216" i="1"/>
  <c r="F3216" i="1"/>
  <c r="G3216" i="1"/>
  <c r="I3216" i="1"/>
  <c r="A3217" i="1"/>
  <c r="F3217" i="1"/>
  <c r="G3217" i="1"/>
  <c r="I3217" i="1"/>
  <c r="A3218" i="1"/>
  <c r="F3218" i="1"/>
  <c r="G3218" i="1"/>
  <c r="I3218" i="1"/>
  <c r="A3219" i="1"/>
  <c r="F3219" i="1"/>
  <c r="G3219" i="1"/>
  <c r="I3219" i="1"/>
  <c r="A3220" i="1"/>
  <c r="F3220" i="1"/>
  <c r="G3220" i="1"/>
  <c r="I3220" i="1"/>
  <c r="A3221" i="1"/>
  <c r="F3221" i="1"/>
  <c r="G3221" i="1"/>
  <c r="I3221" i="1"/>
  <c r="A3222" i="1"/>
  <c r="F3222" i="1"/>
  <c r="G3222" i="1"/>
  <c r="I3222" i="1"/>
  <c r="A3223" i="1"/>
  <c r="F3223" i="1"/>
  <c r="G3223" i="1"/>
  <c r="I3223" i="1"/>
  <c r="A3224" i="1"/>
  <c r="F3224" i="1"/>
  <c r="G3224" i="1"/>
  <c r="I3224" i="1"/>
  <c r="A3225" i="1"/>
  <c r="F3225" i="1"/>
  <c r="G3225" i="1"/>
  <c r="I3225" i="1"/>
  <c r="A3226" i="1"/>
  <c r="F3226" i="1"/>
  <c r="G3226" i="1"/>
  <c r="I3226" i="1"/>
  <c r="A3227" i="1"/>
  <c r="F3227" i="1"/>
  <c r="G3227" i="1"/>
  <c r="I3227" i="1"/>
  <c r="A3228" i="1"/>
  <c r="F3228" i="1"/>
  <c r="G3228" i="1"/>
  <c r="I3228" i="1"/>
  <c r="A3229" i="1"/>
  <c r="F3229" i="1"/>
  <c r="G3229" i="1"/>
  <c r="I3229" i="1"/>
  <c r="A3230" i="1"/>
  <c r="F3230" i="1"/>
  <c r="G3230" i="1"/>
  <c r="I3230" i="1"/>
  <c r="A3231" i="1"/>
  <c r="F3231" i="1"/>
  <c r="G3231" i="1"/>
  <c r="I3231" i="1"/>
  <c r="A3232" i="1"/>
  <c r="F3232" i="1"/>
  <c r="G3232" i="1"/>
  <c r="I3232" i="1"/>
  <c r="A3233" i="1"/>
  <c r="F3233" i="1"/>
  <c r="G3233" i="1"/>
  <c r="I3233" i="1"/>
  <c r="A3234" i="1"/>
  <c r="F3234" i="1"/>
  <c r="G3234" i="1"/>
  <c r="I3234" i="1"/>
  <c r="A3235" i="1"/>
  <c r="F3235" i="1"/>
  <c r="G3235" i="1"/>
  <c r="I3235" i="1"/>
  <c r="A3236" i="1"/>
  <c r="F3236" i="1"/>
  <c r="G3236" i="1"/>
  <c r="I3236" i="1"/>
  <c r="A3237" i="1"/>
  <c r="F3237" i="1"/>
  <c r="G3237" i="1"/>
  <c r="I3237" i="1"/>
  <c r="A3238" i="1"/>
  <c r="F3238" i="1"/>
  <c r="G3238" i="1"/>
  <c r="I3238" i="1"/>
  <c r="A3239" i="1"/>
  <c r="F3239" i="1"/>
  <c r="G3239" i="1"/>
  <c r="I3239" i="1"/>
  <c r="A3240" i="1"/>
  <c r="F3240" i="1"/>
  <c r="G3240" i="1"/>
  <c r="I3240" i="1"/>
  <c r="A3241" i="1"/>
  <c r="F3241" i="1"/>
  <c r="G3241" i="1"/>
  <c r="I3241" i="1"/>
  <c r="A3242" i="1"/>
  <c r="F3242" i="1"/>
  <c r="G3242" i="1"/>
  <c r="I3242" i="1"/>
  <c r="A3243" i="1"/>
  <c r="F3243" i="1"/>
  <c r="G3243" i="1"/>
  <c r="I3243" i="1"/>
  <c r="A3244" i="1"/>
  <c r="F3244" i="1"/>
  <c r="G3244" i="1"/>
  <c r="I3244" i="1"/>
  <c r="A3245" i="1"/>
  <c r="F3245" i="1"/>
  <c r="G3245" i="1"/>
  <c r="I3245" i="1"/>
  <c r="A3246" i="1"/>
  <c r="F3246" i="1"/>
  <c r="G3246" i="1"/>
  <c r="I3246" i="1"/>
  <c r="A3247" i="1"/>
  <c r="F3247" i="1"/>
  <c r="G3247" i="1"/>
  <c r="I3247" i="1"/>
  <c r="A3248" i="1"/>
  <c r="F3248" i="1"/>
  <c r="G3248" i="1"/>
  <c r="I3248" i="1"/>
  <c r="A3249" i="1"/>
  <c r="F3249" i="1"/>
  <c r="G3249" i="1"/>
  <c r="I3249" i="1"/>
  <c r="A3250" i="1"/>
  <c r="F3250" i="1"/>
  <c r="G3250" i="1"/>
  <c r="I3250" i="1"/>
  <c r="A3251" i="1"/>
  <c r="F3251" i="1"/>
  <c r="G3251" i="1"/>
  <c r="I3251" i="1"/>
  <c r="A3252" i="1"/>
  <c r="F3252" i="1"/>
  <c r="G3252" i="1"/>
  <c r="I3252" i="1"/>
  <c r="A3253" i="1"/>
  <c r="F3253" i="1"/>
  <c r="G3253" i="1"/>
  <c r="I3253" i="1"/>
  <c r="A3254" i="1"/>
  <c r="F3254" i="1"/>
  <c r="G3254" i="1"/>
  <c r="I3254" i="1"/>
  <c r="A3255" i="1"/>
  <c r="F3255" i="1"/>
  <c r="G3255" i="1"/>
  <c r="I3255" i="1"/>
  <c r="A3256" i="1"/>
  <c r="F3256" i="1"/>
  <c r="G3256" i="1"/>
  <c r="I3256" i="1"/>
  <c r="A3257" i="1"/>
  <c r="F3257" i="1"/>
  <c r="G3257" i="1"/>
  <c r="I3257" i="1"/>
  <c r="A3258" i="1"/>
  <c r="F3258" i="1"/>
  <c r="G3258" i="1"/>
  <c r="I3258" i="1"/>
  <c r="A3259" i="1"/>
  <c r="F3259" i="1"/>
  <c r="G3259" i="1"/>
  <c r="I3259" i="1"/>
  <c r="A3260" i="1"/>
  <c r="F3260" i="1"/>
  <c r="G3260" i="1"/>
  <c r="I3260" i="1"/>
  <c r="A3261" i="1"/>
  <c r="F3261" i="1"/>
  <c r="G3261" i="1"/>
  <c r="I3261" i="1"/>
  <c r="A3262" i="1"/>
  <c r="F3262" i="1"/>
  <c r="G3262" i="1"/>
  <c r="I3262" i="1"/>
  <c r="A3263" i="1"/>
  <c r="F3263" i="1"/>
  <c r="G3263" i="1"/>
  <c r="I3263" i="1"/>
  <c r="A3264" i="1"/>
  <c r="F3264" i="1"/>
  <c r="G3264" i="1"/>
  <c r="I3264" i="1"/>
  <c r="A3265" i="1"/>
  <c r="F3265" i="1"/>
  <c r="G3265" i="1"/>
  <c r="I3265" i="1"/>
  <c r="A3266" i="1"/>
  <c r="F3266" i="1"/>
  <c r="G3266" i="1"/>
  <c r="I3266" i="1"/>
  <c r="A3267" i="1"/>
  <c r="F3267" i="1"/>
  <c r="G3267" i="1"/>
  <c r="I3267" i="1"/>
  <c r="A3268" i="1"/>
  <c r="F3268" i="1"/>
  <c r="G3268" i="1"/>
  <c r="I3268" i="1"/>
  <c r="A3269" i="1"/>
  <c r="F3269" i="1"/>
  <c r="G3269" i="1"/>
  <c r="I3269" i="1"/>
  <c r="A3270" i="1"/>
  <c r="F3270" i="1"/>
  <c r="G3270" i="1"/>
  <c r="I3270" i="1"/>
  <c r="A3271" i="1"/>
  <c r="F3271" i="1"/>
  <c r="G3271" i="1"/>
  <c r="I3271" i="1"/>
  <c r="A3272" i="1"/>
  <c r="F3272" i="1"/>
  <c r="G3272" i="1"/>
  <c r="I3272" i="1"/>
  <c r="A3273" i="1"/>
  <c r="F3273" i="1"/>
  <c r="G3273" i="1"/>
  <c r="I3273" i="1"/>
  <c r="A3274" i="1"/>
  <c r="F3274" i="1"/>
  <c r="G3274" i="1"/>
  <c r="I3274" i="1"/>
  <c r="A3275" i="1"/>
  <c r="F3275" i="1"/>
  <c r="G3275" i="1"/>
  <c r="I3275" i="1"/>
  <c r="A3276" i="1"/>
  <c r="F3276" i="1"/>
  <c r="G3276" i="1"/>
  <c r="I3276" i="1"/>
  <c r="A3277" i="1"/>
  <c r="F3277" i="1"/>
  <c r="G3277" i="1"/>
  <c r="I3277" i="1"/>
  <c r="A3278" i="1"/>
  <c r="F3278" i="1"/>
  <c r="G3278" i="1"/>
  <c r="I3278" i="1"/>
  <c r="A3279" i="1"/>
  <c r="F3279" i="1"/>
  <c r="G3279" i="1"/>
  <c r="I3279" i="1"/>
  <c r="A3280" i="1"/>
  <c r="F3280" i="1"/>
  <c r="G3280" i="1"/>
  <c r="I3280" i="1"/>
  <c r="A3281" i="1"/>
  <c r="F3281" i="1"/>
  <c r="G3281" i="1"/>
  <c r="I3281" i="1"/>
  <c r="A3282" i="1"/>
  <c r="F3282" i="1"/>
  <c r="G3282" i="1"/>
  <c r="I3282" i="1"/>
  <c r="A3283" i="1"/>
  <c r="F3283" i="1"/>
  <c r="G3283" i="1"/>
  <c r="I3283" i="1"/>
  <c r="A3284" i="1"/>
  <c r="F3284" i="1"/>
  <c r="G3284" i="1"/>
  <c r="I3284" i="1"/>
  <c r="A3285" i="1"/>
  <c r="F3285" i="1"/>
  <c r="G3285" i="1"/>
  <c r="I3285" i="1"/>
  <c r="A3286" i="1"/>
  <c r="F3286" i="1"/>
  <c r="G3286" i="1"/>
  <c r="I3286" i="1"/>
  <c r="A3287" i="1"/>
  <c r="F3287" i="1"/>
  <c r="G3287" i="1"/>
  <c r="I3287" i="1"/>
  <c r="A3288" i="1"/>
  <c r="F3288" i="1"/>
  <c r="G3288" i="1"/>
  <c r="I3288" i="1"/>
  <c r="A3289" i="1"/>
  <c r="F3289" i="1"/>
  <c r="G3289" i="1"/>
  <c r="I3289" i="1"/>
  <c r="A3290" i="1"/>
  <c r="F3290" i="1"/>
  <c r="G3290" i="1"/>
  <c r="I3290" i="1"/>
  <c r="A3291" i="1"/>
  <c r="F3291" i="1"/>
  <c r="G3291" i="1"/>
  <c r="I3291" i="1"/>
  <c r="A3292" i="1"/>
  <c r="F3292" i="1"/>
  <c r="G3292" i="1"/>
  <c r="I3292" i="1"/>
  <c r="A3293" i="1"/>
  <c r="F3293" i="1"/>
  <c r="G3293" i="1"/>
  <c r="I3293" i="1"/>
  <c r="A3294" i="1"/>
  <c r="F3294" i="1"/>
  <c r="G3294" i="1"/>
  <c r="I3294" i="1"/>
  <c r="A3295" i="1"/>
  <c r="F3295" i="1"/>
  <c r="G3295" i="1"/>
  <c r="I3295" i="1"/>
</calcChain>
</file>

<file path=xl/sharedStrings.xml><?xml version="1.0" encoding="utf-8"?>
<sst xmlns="http://schemas.openxmlformats.org/spreadsheetml/2006/main" count="872" uniqueCount="633">
  <si>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</si>
  <si>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</si>
  <si>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</si>
  <si>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</si>
  <si>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</si>
  <si>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</si>
  <si>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</si>
  <si>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</si>
  <si>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</si>
  <si>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1701 COMMERCE ACQUISITION  LLC</t>
  </si>
  <si>
    <t>973 MATERIALS  LLC</t>
  </si>
  <si>
    <t>A &amp; E WELDING</t>
  </si>
  <si>
    <t>ALLSHRED INC</t>
  </si>
  <si>
    <t>ARNOLD OIL COMPANY OF AUSTIN LP</t>
  </si>
  <si>
    <t>TIMOTHY HALL</t>
  </si>
  <si>
    <t>AAA FIRE/SAFETY EQUIP CO INC</t>
  </si>
  <si>
    <t>ABLE ELECTRIC  INC.</t>
  </si>
  <si>
    <t>ADAM ROWINS</t>
  </si>
  <si>
    <t>ADENA LEWIS</t>
  </si>
  <si>
    <t>ALAMO  GROUP (TX)  INC</t>
  </si>
  <si>
    <t>ALBERT NEAL PFEIFFER</t>
  </si>
  <si>
    <t>S &amp; D PLUMBING-GIDDINGS LLC</t>
  </si>
  <si>
    <t>AMANDO AGUIRRE</t>
  </si>
  <si>
    <t>AMAZON CAPITAL SERVICES INC</t>
  </si>
  <si>
    <t>AMERICAN ASSN OF NOTARIES</t>
  </si>
  <si>
    <t>AMERICAN FASTENERS INC</t>
  </si>
  <si>
    <t>AMERICAN TIRE DISTRIBUTORS INC</t>
  </si>
  <si>
    <t>AMERISOURCEBERGEN</t>
  </si>
  <si>
    <t>AMERITEX PIPE &amp; PRODUCTS LLC</t>
  </si>
  <si>
    <t>AMG PRINTING &amp; MAILING</t>
  </si>
  <si>
    <t>ANDERSON &amp; ANDERSON LAW FIRM PC</t>
  </si>
  <si>
    <t>="16</t>
  </si>
  <si>
    <t>365"</t>
  </si>
  <si>
    <t>ANDREW BAKER</t>
  </si>
  <si>
    <t>ANGELA PETREE</t>
  </si>
  <si>
    <t>C APPLEMAN ENT INC</t>
  </si>
  <si>
    <t>APRIL KUCK</t>
  </si>
  <si>
    <t>AQUA BEVERAGE COMPANY/OZARKA</t>
  </si>
  <si>
    <t>AQUA WATER SUPPLY</t>
  </si>
  <si>
    <t>ARA IMAGING / ST.DAVIDS IMAGING LP</t>
  </si>
  <si>
    <t>METROPLEX CONTROL SYSTEMS INC</t>
  </si>
  <si>
    <t>ARSENAL ADVERTISING LLC</t>
  </si>
  <si>
    <t>ASHLEY HERMANS</t>
  </si>
  <si>
    <t>AT&amp;T</t>
  </si>
  <si>
    <t>AT&amp;T MOBILITY</t>
  </si>
  <si>
    <t>AT&amp;T MOBILITY-W&amp;M</t>
  </si>
  <si>
    <t>ERNESTO B HERRERA</t>
  </si>
  <si>
    <t>AUS - TEX TOWING &amp; RECOVERY LLC</t>
  </si>
  <si>
    <t>GRAND JUNCTION NEWSPAPERS INC</t>
  </si>
  <si>
    <t>MARK (MARCO) W. HANSON</t>
  </si>
  <si>
    <t>BUTLER &amp; BURNS EAR NOSE &amp; THROAT ASSO</t>
  </si>
  <si>
    <t>AUSTIN ENDOSCOPY CENTER  II LP</t>
  </si>
  <si>
    <t>AUSTIN GASTROENTERLOGY</t>
  </si>
  <si>
    <t>AUSTIN RADIOLOGICAL ASSOC</t>
  </si>
  <si>
    <t>AUSTIN SOUTHWEST ORTHOPAEDIC GROUP</t>
  </si>
  <si>
    <t>JIM ATTRA INC</t>
  </si>
  <si>
    <t>MICHAEL OLDHAM TIRE INC</t>
  </si>
  <si>
    <t>EDUARDO BARRIENTOS</t>
  </si>
  <si>
    <t>BASIC IDIQ  INC.</t>
  </si>
  <si>
    <t>BASTROP CNTY SHERIFF'S DEPT</t>
  </si>
  <si>
    <t>="11</t>
  </si>
  <si>
    <t>372"</t>
  </si>
  <si>
    <t>735"</t>
  </si>
  <si>
    <t>861"</t>
  </si>
  <si>
    <t>="12</t>
  </si>
  <si>
    <t>007"</t>
  </si>
  <si>
    <t>144"</t>
  </si>
  <si>
    <t>456"</t>
  </si>
  <si>
    <t>550"</t>
  </si>
  <si>
    <t>747"</t>
  </si>
  <si>
    <t>041"</t>
  </si>
  <si>
    <t>DANIEL L HEPKER</t>
  </si>
  <si>
    <t>BASTROP COUNTY DISTRICT CLERK</t>
  </si>
  <si>
    <t>BASTROP COUNTY SOIL &amp; WATER CONSERVATION DISTRICT</t>
  </si>
  <si>
    <t>BASTROP COUNTY MEDICAL ASSOCIATES. PA</t>
  </si>
  <si>
    <t>BASTROP INDEPENDENT SCHOOL DISTRICT</t>
  </si>
  <si>
    <t>BASTROP MEDICAL CLINIC</t>
  </si>
  <si>
    <t>BASTROP OPERA HOUSE INC</t>
  </si>
  <si>
    <t>BASTROP OUTDOOR</t>
  </si>
  <si>
    <t>BASTROP PROVIDENCE FUNERAL HOME</t>
  </si>
  <si>
    <t>BASTROP RETAIL PARTNERS LP</t>
  </si>
  <si>
    <t>BASTROP TREE SERVICE  INC</t>
  </si>
  <si>
    <t>BASTROP VET. HOSPITAL  INC.</t>
  </si>
  <si>
    <t>DAVID H OUTON</t>
  </si>
  <si>
    <t>BELL COUNTY SHERIFF</t>
  </si>
  <si>
    <t>BEN E KEITH CO.</t>
  </si>
  <si>
    <t>BEN LUCAS</t>
  </si>
  <si>
    <t>BENJAMIN FOODS  LLC</t>
  </si>
  <si>
    <t>MULTI SERVICE CORP</t>
  </si>
  <si>
    <t>PADMANABH INC</t>
  </si>
  <si>
    <t>BEXAR COUNTY SHERIFF</t>
  </si>
  <si>
    <t>BICKERSTAFF HEATH DELGADO ACOSTA LL</t>
  </si>
  <si>
    <t>BIDDLE CONSULTING GROUP INC</t>
  </si>
  <si>
    <t>BIG WRENCH ROAD SERVICE INC</t>
  </si>
  <si>
    <t>BIMBO FOODS INC</t>
  </si>
  <si>
    <t>BLAS J COY JR</t>
  </si>
  <si>
    <t>BLUE 360 MEDIA  LLC</t>
  </si>
  <si>
    <t>BLUEBONNET AREA CRIME STOPPERS PROGRAM</t>
  </si>
  <si>
    <t>BLUEBONNET ELECTRIC COOP</t>
  </si>
  <si>
    <t>BLUEBONNET TRAILS MHMR</t>
  </si>
  <si>
    <t>BOB BARKER COMPANY  INC.</t>
  </si>
  <si>
    <t>BOBBY BROWN</t>
  </si>
  <si>
    <t>BRANDON PREWITT</t>
  </si>
  <si>
    <t>BRAZORIA COUNTY SHERIFF</t>
  </si>
  <si>
    <t>BRAZOS COUNTY SHERIFF</t>
  </si>
  <si>
    <t>BRIAN GARVEL</t>
  </si>
  <si>
    <t>BROOKSHIRE BROTHERS</t>
  </si>
  <si>
    <t>="10</t>
  </si>
  <si>
    <t>442"</t>
  </si>
  <si>
    <t>BRYAN GOERTZ</t>
  </si>
  <si>
    <t>LAW OFFICE OF BRYAN W. MCDANIEL  P.C.</t>
  </si>
  <si>
    <t>BUREAU OF VITAL STATISTICS</t>
  </si>
  <si>
    <t>CALAME  LINEBARGER &amp; GRAHAM</t>
  </si>
  <si>
    <t>CALDWELL COUNTY SHERIFF</t>
  </si>
  <si>
    <t>939"</t>
  </si>
  <si>
    <t>CALEB SMITH</t>
  </si>
  <si>
    <t>CAPITAL AREA COUNCIL OF GOVERNMENTS</t>
  </si>
  <si>
    <t>TIB-THE INDEPENDENT BANKERS BANK</t>
  </si>
  <si>
    <t>CASA OF BASTROP COUNTY</t>
  </si>
  <si>
    <t>CENTERPOINT ENERGY</t>
  </si>
  <si>
    <t>CENTEX MATERIALS LLC</t>
  </si>
  <si>
    <t>CENTEX MECHANICAL INC</t>
  </si>
  <si>
    <t>CENTRAL TEXAS AUTOPSY</t>
  </si>
  <si>
    <t>BELINDA HERRERA</t>
  </si>
  <si>
    <t>CHARLES W CARVER</t>
  </si>
  <si>
    <t>CHARLIE JOHANNESSEN</t>
  </si>
  <si>
    <t>CHARM-TEX</t>
  </si>
  <si>
    <t>CHRIS MATT DILLON</t>
  </si>
  <si>
    <t>CHRISTINA BLUE</t>
  </si>
  <si>
    <t>CHRISTOPHER D  DUGGAN</t>
  </si>
  <si>
    <t>CINDYE WOLFORD</t>
  </si>
  <si>
    <t>CINTAS</t>
  </si>
  <si>
    <t>CINTAS CORPORATION #86</t>
  </si>
  <si>
    <t>CINTAS CORPORATION</t>
  </si>
  <si>
    <t>CITY OF BASTROP</t>
  </si>
  <si>
    <t>756"</t>
  </si>
  <si>
    <t>CITY OF SMITHVILLE</t>
  </si>
  <si>
    <t>CLARENCE W HOFFMAN</t>
  </si>
  <si>
    <t>CLINICAL PATHOLOGY ASSOC. OF AUSTIN</t>
  </si>
  <si>
    <t>CLINICAL PATHOLOGY LABORATORIES INC</t>
  </si>
  <si>
    <t>CNA SURETY</t>
  </si>
  <si>
    <t>COLIN WILHELM</t>
  </si>
  <si>
    <t>COMAL COUNTY SHERIFF</t>
  </si>
  <si>
    <t>COMMUNICATION BY HAND LLC</t>
  </si>
  <si>
    <t>COMMUNITY COFFEE COMPANY LLC</t>
  </si>
  <si>
    <t>CONOR BROWN</t>
  </si>
  <si>
    <t>CONTECH ENGINEERED SOLUTIONS INC</t>
  </si>
  <si>
    <t>CONVERGENCE CABLING INC</t>
  </si>
  <si>
    <t>OSCAR MENDEZ ARTEAGA</t>
  </si>
  <si>
    <t>COOPER EQUIPMENT CO.</t>
  </si>
  <si>
    <t>COTHRON SECURITY SOLUTIONS LLC</t>
  </si>
  <si>
    <t>CRYSTAL DEAR</t>
  </si>
  <si>
    <t>CTEHA</t>
  </si>
  <si>
    <t>MUNICIPAL SERVICES BUREAU</t>
  </si>
  <si>
    <t>CUNA MUTUAL</t>
  </si>
  <si>
    <t>CURTIS OLTMANN</t>
  </si>
  <si>
    <t>CUSTOM PRODUCTS CORPORATION</t>
  </si>
  <si>
    <t>DAHILL</t>
  </si>
  <si>
    <t>DALLAS COUNTY CONSTABLE PCT 1</t>
  </si>
  <si>
    <t>DARRELL DANIELL</t>
  </si>
  <si>
    <t>DARRELL STIFFLEMIRE</t>
  </si>
  <si>
    <t>DATASPEC INC</t>
  </si>
  <si>
    <t>DAVID &amp; LUCIA ELIZONDO</t>
  </si>
  <si>
    <t>DAVID B BROOKS</t>
  </si>
  <si>
    <t>DAVID GONZALEZ</t>
  </si>
  <si>
    <t>DAVID HILL</t>
  </si>
  <si>
    <t>DAVID M COLLINS</t>
  </si>
  <si>
    <t>DELL</t>
  </si>
  <si>
    <t>SETON FAMILY OF HOSPITALS</t>
  </si>
  <si>
    <t>DEREK DAVIS</t>
  </si>
  <si>
    <t>DEREK SMITH</t>
  </si>
  <si>
    <t>DICKENS LOCKSMITH INC</t>
  </si>
  <si>
    <t>DIMMITT COUNTY SHERIFF</t>
  </si>
  <si>
    <t>DEPARTMENT OF INFORMATION RESOURCES</t>
  </si>
  <si>
    <t>THE REINALT-THOMAS CORP</t>
  </si>
  <si>
    <t>DONNIE SCHULZ</t>
  </si>
  <si>
    <t>DONNIE STARK</t>
  </si>
  <si>
    <t>DONNY CEDILLO</t>
  </si>
  <si>
    <t>DOUBLE D INTERNATIONAL FOOD CO.  INC.</t>
  </si>
  <si>
    <t>DOUG SHAVER</t>
  </si>
  <si>
    <t>DUNNE &amp; JUAREZ L.L.C.</t>
  </si>
  <si>
    <t>EARLE WEISS</t>
  </si>
  <si>
    <t>EASYVOTE SOLUTIONS LLC</t>
  </si>
  <si>
    <t>ECOLAB INC</t>
  </si>
  <si>
    <t>EDDIE SHAW</t>
  </si>
  <si>
    <t>621"</t>
  </si>
  <si>
    <t>ELECTION SYSTEMS &amp; SOFTWARE INC</t>
  </si>
  <si>
    <t>ELENA CADENA</t>
  </si>
  <si>
    <t>RALPH DAVID GLASS</t>
  </si>
  <si>
    <t>ELGIN SPRINKLER &amp; TRENCHING INC</t>
  </si>
  <si>
    <t>CITY OF ELGIN UTILITIES</t>
  </si>
  <si>
    <t>ELLIOTT ELECTRIC SUPPLY INC</t>
  </si>
  <si>
    <t>ELSWORTH SHERMAN</t>
  </si>
  <si>
    <t>EMERGENCY PHYSICIANS OF CENTRAL TX PA</t>
  </si>
  <si>
    <t>ERGON ASPHALT &amp; EMULSIONS INC</t>
  </si>
  <si>
    <t>EWALD KUBOTA  INC.</t>
  </si>
  <si>
    <t>FAMILY HEALTH CENTER OF BASTROP PLLC</t>
  </si>
  <si>
    <t>FAYETTE MEDICAL SUPPLY</t>
  </si>
  <si>
    <t>FEDERAL EXPRESS</t>
  </si>
  <si>
    <t>FIRST NATIONAL BANK BASTROP</t>
  </si>
  <si>
    <t>="13</t>
  </si>
  <si>
    <t>507   10/3/17"</t>
  </si>
  <si>
    <t>FLEET COR TECHNOLOGIES INC</t>
  </si>
  <si>
    <t>FLEETPRIDE</t>
  </si>
  <si>
    <t>FORREST L. SANDERSON</t>
  </si>
  <si>
    <t>FPC FINANCIAL f.s.b.</t>
  </si>
  <si>
    <t>AUSTIN TRUCK &amp; EQUIP LTD</t>
  </si>
  <si>
    <t>KHALEEL SAYYED</t>
  </si>
  <si>
    <t>FT BEND COUNTY CONSTABLE PCT 4</t>
  </si>
  <si>
    <t>FUN4SENIORS</t>
  </si>
  <si>
    <t>EUGENE W BRIGGS JR</t>
  </si>
  <si>
    <t>G &amp; K SERVICES</t>
  </si>
  <si>
    <t>GALLS LLC</t>
  </si>
  <si>
    <t>FERTITTA HOSPITALITY  LLC</t>
  </si>
  <si>
    <t>GARLAND T MURLEY</t>
  </si>
  <si>
    <t>GARMENTS TO GO  INC</t>
  </si>
  <si>
    <t>GARY DUNCAN</t>
  </si>
  <si>
    <t>BRIDGESTONE AMERICAS INC</t>
  </si>
  <si>
    <t>GERALD L BYINGTON. LMSW</t>
  </si>
  <si>
    <t>GLOBAL EQUIPMENT CO</t>
  </si>
  <si>
    <t>GOES SALES OF TEXAS INC</t>
  </si>
  <si>
    <t>GOLDSTAR PRODUCTS INC</t>
  </si>
  <si>
    <t>GRAINGER INC</t>
  </si>
  <si>
    <t>GRIMES COUNTY CONSTABLE</t>
  </si>
  <si>
    <t>GRUBER TECHNICAL</t>
  </si>
  <si>
    <t>GT DISTRIBUTORS  INC.</t>
  </si>
  <si>
    <t>GUADALUPE COUNTY SHERIFF</t>
  </si>
  <si>
    <t>GULF COAST PAPER CO. INC.</t>
  </si>
  <si>
    <t>GULF COAST VETERINARY SURGERY</t>
  </si>
  <si>
    <t>GUS NAVEJAS</t>
  </si>
  <si>
    <t>H &amp; H OIL INC</t>
  </si>
  <si>
    <t>H.C. DUCHARME</t>
  </si>
  <si>
    <t>HALFF ASSOCIATES</t>
  </si>
  <si>
    <t>HANNAH McMAHAN</t>
  </si>
  <si>
    <t>HANSON EQUIPMENT COMPANY</t>
  </si>
  <si>
    <t>HARRIS COUNTY CONSTABLE PCT 1</t>
  </si>
  <si>
    <t>HAYS COUNTY CONSTABLE PCT 1</t>
  </si>
  <si>
    <t>HEADSETS DIRECT INC.</t>
  </si>
  <si>
    <t>HEARTLAND QUARRIES  LLC</t>
  </si>
  <si>
    <t>HENNA CHEVROLET</t>
  </si>
  <si>
    <t>HENRY STEEN  JR</t>
  </si>
  <si>
    <t>HERBERT  HURST</t>
  </si>
  <si>
    <t>HERBERT J BARTSCH JR</t>
  </si>
  <si>
    <t>HERSHCAP BACKHOE &amp; DITCHING INC</t>
  </si>
  <si>
    <t>658  10/12/17"</t>
  </si>
  <si>
    <t>BASCOM L HODGES JR</t>
  </si>
  <si>
    <t>HODGSON G ECKEL</t>
  </si>
  <si>
    <t>BD HOLT CO</t>
  </si>
  <si>
    <t>CITIBANK (SOUTH DAKOTA)N.A./THE HOME DEPOT</t>
  </si>
  <si>
    <t>HOWARD EISENBECK</t>
  </si>
  <si>
    <t>HUDSON ENERGY CORP</t>
  </si>
  <si>
    <t>HULL SUPPLY COMPANY INC</t>
  </si>
  <si>
    <t>HUNTER TEDFORD</t>
  </si>
  <si>
    <t>HYDRAULIC HOUSE INC</t>
  </si>
  <si>
    <t>AUSTIN GASTROENTEROLOGY ANESTHESIA ASSOC</t>
  </si>
  <si>
    <t>INDIGENT HEALTHCARE SOLUTIONS</t>
  </si>
  <si>
    <t>J D LANGLEY</t>
  </si>
  <si>
    <t>TRIPLE J JACKPOT</t>
  </si>
  <si>
    <t>JAMES  JOHNSON</t>
  </si>
  <si>
    <t>JAMES ALLEN</t>
  </si>
  <si>
    <t>JAMES D.SQUIER</t>
  </si>
  <si>
    <t>JAMES M. BURRIS</t>
  </si>
  <si>
    <t>JAMES O. BURKE</t>
  </si>
  <si>
    <t>JEFF KREIDER</t>
  </si>
  <si>
    <t>JENKINS &amp; JENKINS LLP</t>
  </si>
  <si>
    <t>JENNIFER TOMASZYCKI</t>
  </si>
  <si>
    <t>JERRY HOFROCK</t>
  </si>
  <si>
    <t>="14</t>
  </si>
  <si>
    <t>505  10/20/17"</t>
  </si>
  <si>
    <t>JESSE PERKINS</t>
  </si>
  <si>
    <t>JIMMY DUTY</t>
  </si>
  <si>
    <t>JOE GONZALEZ</t>
  </si>
  <si>
    <t>JOHN C KUHN</t>
  </si>
  <si>
    <t>DEERE &amp; COMPANY</t>
  </si>
  <si>
    <t>JOHN E REID &amp; ASSO INC</t>
  </si>
  <si>
    <t>JOHN TEPKE</t>
  </si>
  <si>
    <t>JOHNNY JOHNSTON</t>
  </si>
  <si>
    <t>JONES COUNTY SHERIFF</t>
  </si>
  <si>
    <t>BILLY JOSH GILL</t>
  </si>
  <si>
    <t>JUSTIN MATTHEW FOHN</t>
  </si>
  <si>
    <t>KAREN STARKS</t>
  </si>
  <si>
    <t>="8</t>
  </si>
  <si>
    <t>898  10/2/17"</t>
  </si>
  <si>
    <t>KATHY REEVES</t>
  </si>
  <si>
    <t>393  10/23/17"</t>
  </si>
  <si>
    <t>KAYLA STEIN</t>
  </si>
  <si>
    <t>KELLIE M. BAILEY</t>
  </si>
  <si>
    <t>KELLY-MOORE PAINT COMPANY  INC</t>
  </si>
  <si>
    <t>KENNETH EUGENE LIMUEL JR</t>
  </si>
  <si>
    <t>KENT BROUSSARD TOWER RENTAL INC</t>
  </si>
  <si>
    <t>KIMCO SERVICES  INC</t>
  </si>
  <si>
    <t>KLEIBER FORD TRACTOR  INC.</t>
  </si>
  <si>
    <t>KRISTI POWELL</t>
  </si>
  <si>
    <t>KYLE BEHRENS</t>
  </si>
  <si>
    <t>LA GRANGE FORD</t>
  </si>
  <si>
    <t>LABATT INSTITUTIONAL SUPPLY CO</t>
  </si>
  <si>
    <t>LABORATORY CORP OF AMERICA</t>
  </si>
  <si>
    <t>LANCE BERDOLL</t>
  </si>
  <si>
    <t>LARRY M SWAYZE</t>
  </si>
  <si>
    <t>LAUREN CONCRETE INC</t>
  </si>
  <si>
    <t>LAW OFFICE OF JODY W. SIMS</t>
  </si>
  <si>
    <t>LEE COUNTY SHERIFF</t>
  </si>
  <si>
    <t>LEE COUNTY WATER SUPPLY CORP</t>
  </si>
  <si>
    <t>LENNOX INDUSTRIES INC</t>
  </si>
  <si>
    <t>LEXISNEXIS RISK DATA MGMT INC</t>
  </si>
  <si>
    <t>LIBERTY TIRE RECYCLING</t>
  </si>
  <si>
    <t>LINDA HARMON-TAX ASSESSOR</t>
  </si>
  <si>
    <t>LISA JACKSON</t>
  </si>
  <si>
    <t>LISA M. MIMS</t>
  </si>
  <si>
    <t>LISA SHIVENER</t>
  </si>
  <si>
    <t>LISA SMITH</t>
  </si>
  <si>
    <t>LOGAN SCHROEDER</t>
  </si>
  <si>
    <t>LONE STAR CIRCLE OF CARE</t>
  </si>
  <si>
    <t>UNITED KWB COLLABORATIONS LLC</t>
  </si>
  <si>
    <t>LONGHORN EMERGENCY MEDICAL ASSOC PA</t>
  </si>
  <si>
    <t>LONGHORN INTERNATIONAL TRUCKS LTD</t>
  </si>
  <si>
    <t>SCOTT BRYANT</t>
  </si>
  <si>
    <t>TRUBAR  LLC</t>
  </si>
  <si>
    <t>LOWE'S</t>
  </si>
  <si>
    <t>LUCIO ARENAS-MARTINEZ</t>
  </si>
  <si>
    <t>MAGIC TOUCH CLEANING SYSTEMS LLC</t>
  </si>
  <si>
    <t>MAIL &amp; SIGNS</t>
  </si>
  <si>
    <t>MARIA CELESTE COSTLEY</t>
  </si>
  <si>
    <t>MARIDEL BORREGO</t>
  </si>
  <si>
    <t>MARK A RUMPLE</t>
  </si>
  <si>
    <t>MARK DESHAY</t>
  </si>
  <si>
    <t>MARK T MALONE M.D. P.A</t>
  </si>
  <si>
    <t>MARK WHITE</t>
  </si>
  <si>
    <t>JOHN W GASPARINI INC</t>
  </si>
  <si>
    <t>MARY ANGELA FREEMAN</t>
  </si>
  <si>
    <t>MARY BETH SCOTT</t>
  </si>
  <si>
    <t>="54</t>
  </si>
  <si>
    <t>859"</t>
  </si>
  <si>
    <t>MATHESON TRI-GAS INC</t>
  </si>
  <si>
    <t>MAVERICK COUNTY SHERIFF</t>
  </si>
  <si>
    <t>MC LENNAN COUNTY CONSTABLE PCT 5</t>
  </si>
  <si>
    <t>McCOY'S BUILDING SUPPLY CENTER</t>
  </si>
  <si>
    <t>McCREARY  VESELKA  BRAGG &amp; ALLEN P</t>
  </si>
  <si>
    <t>010  09/01/17"</t>
  </si>
  <si>
    <t>010  10/02/17"</t>
  </si>
  <si>
    <t>627"</t>
  </si>
  <si>
    <t>071"</t>
  </si>
  <si>
    <t>McCULLOCH COUNTY SHERIFF</t>
  </si>
  <si>
    <t>MEDIMPACT HEALTHCARE SYSTEMS INC</t>
  </si>
  <si>
    <t>MEL NORTHEY CO INC</t>
  </si>
  <si>
    <t>MELISSA A MEADOR</t>
  </si>
  <si>
    <t>MELVIN EVANS</t>
  </si>
  <si>
    <t>MICHELE FRITSCHE C.S.R.</t>
  </si>
  <si>
    <t>MICHELE T WALTY</t>
  </si>
  <si>
    <t>MIDTEX MATERIALS</t>
  </si>
  <si>
    <t>MIKE STIEFER</t>
  </si>
  <si>
    <t>MILLER UNIFORMS &amp; EMBLEMS</t>
  </si>
  <si>
    <t>COURT APPOINTED SPECIAL ADVOCA</t>
  </si>
  <si>
    <t>Children's Advocacy Center</t>
  </si>
  <si>
    <t>Child Protective Services</t>
  </si>
  <si>
    <t>Family Crisis Center</t>
  </si>
  <si>
    <t>DONALD LAWRENCE LINVILLE</t>
  </si>
  <si>
    <t>PATRICK JOSEPH GAYLOR</t>
  </si>
  <si>
    <t>ANDREA MARLENE GEUEA</t>
  </si>
  <si>
    <t>CASEY WAYNE PEACOCK</t>
  </si>
  <si>
    <t>TRINA BETH MILLER</t>
  </si>
  <si>
    <t>MATTHEW STEELE ROBERTS</t>
  </si>
  <si>
    <t>PERCY RUSSELL JR</t>
  </si>
  <si>
    <t>EDWARD ALLEN TAYLOR</t>
  </si>
  <si>
    <t>JIMMY ALLEN EVERETT</t>
  </si>
  <si>
    <t>DAVID LEE MONCEBAIZ</t>
  </si>
  <si>
    <t>HOLLY NOEL RAEMSCH</t>
  </si>
  <si>
    <t>STEPHANIE BEGA MCCARTY</t>
  </si>
  <si>
    <t>DARELD RAY MORRIS</t>
  </si>
  <si>
    <t>MICHAEL CHASE MCCRAVEY</t>
  </si>
  <si>
    <t>ROBERT LEE DANIELS</t>
  </si>
  <si>
    <t>CYNTHIA C AMUNDSON</t>
  </si>
  <si>
    <t>BRADLEY CLINTON GILSTRAP</t>
  </si>
  <si>
    <t>ALLEN RAY BUIE</t>
  </si>
  <si>
    <t>ANNE ELIZABETH STROHM</t>
  </si>
  <si>
    <t>EMILY AARON ANDERS-CLARK</t>
  </si>
  <si>
    <t>VERONICA RIVERA HAYNES</t>
  </si>
  <si>
    <t>TONYA MARIE LOTT</t>
  </si>
  <si>
    <t>MARIBEL ESPINOZA</t>
  </si>
  <si>
    <t>MAUREEN LABORDE LIGHT</t>
  </si>
  <si>
    <t>SUZANNE H MOHME</t>
  </si>
  <si>
    <t>ROSEMARY BOEHM LIGHTSEY</t>
  </si>
  <si>
    <t>JEFF CHRISTOPHER CARLSON</t>
  </si>
  <si>
    <t>LISA ANN GLATT</t>
  </si>
  <si>
    <t>STEPHEN RAY TWIDWELL</t>
  </si>
  <si>
    <t>WILLIAM ADAM LAIRD II</t>
  </si>
  <si>
    <t>SYLVIA JEAN BENFORD</t>
  </si>
  <si>
    <t>DEBORAH SUSAN JONES</t>
  </si>
  <si>
    <t>ROBERT FOSTER FAIRES JR</t>
  </si>
  <si>
    <t>DENISE ROCHELLE HAYWOOD</t>
  </si>
  <si>
    <t>DAVID LEE REDD</t>
  </si>
  <si>
    <t>TODD ALAN MESSINA</t>
  </si>
  <si>
    <t>MERLIN JANET RIVERA</t>
  </si>
  <si>
    <t>KAITLYN THERESAMARIE PARK</t>
  </si>
  <si>
    <t>BETTY JONES</t>
  </si>
  <si>
    <t>ROBERT JOSEPH JOHNSON JR</t>
  </si>
  <si>
    <t>CINDY DENICE NOLES</t>
  </si>
  <si>
    <t>WOODIE RAY DEARY</t>
  </si>
  <si>
    <t>ERICA KAYLEEN MASTERS</t>
  </si>
  <si>
    <t>GWEN HOPKINS MONINGER</t>
  </si>
  <si>
    <t>COLEMAN BUIE FAIRES</t>
  </si>
  <si>
    <t>GABRIEL TOVAR NAVEJAS</t>
  </si>
  <si>
    <t>WANDA RENEE CODY</t>
  </si>
  <si>
    <t>MIGUELANGEL HERNANDEZ</t>
  </si>
  <si>
    <t>BRANDON HEATH WILHELM</t>
  </si>
  <si>
    <t>PAULA JO PIDCOCK</t>
  </si>
  <si>
    <t>RHANDA LYNNE RIDLON</t>
  </si>
  <si>
    <t>JIMMY NELSON PEARSON JR</t>
  </si>
  <si>
    <t>MICHAEL JOSEPH LUNDGREN</t>
  </si>
  <si>
    <t>SHARON D MARTINDALE</t>
  </si>
  <si>
    <t>GEORGE THOMAS JONES JR</t>
  </si>
  <si>
    <t>JONATHAN REY ALLEN</t>
  </si>
  <si>
    <t>ANTHONY BROCK SHOEMAKE</t>
  </si>
  <si>
    <t>DONALD OWEN MORRISON</t>
  </si>
  <si>
    <t>CARL FREDRICK WALBORG</t>
  </si>
  <si>
    <t>LAWRENCE L WATKINS JR</t>
  </si>
  <si>
    <t>JEFFREY DONALD HARRIS</t>
  </si>
  <si>
    <t>AMANDA LEANN CARLISLE</t>
  </si>
  <si>
    <t>RANDY DALE GELTMEIER</t>
  </si>
  <si>
    <t>HAROLD DEE FLOYD</t>
  </si>
  <si>
    <t>JOHN THOMAS ZINKER</t>
  </si>
  <si>
    <t>NORA EASTERWOOD SCHLUETER</t>
  </si>
  <si>
    <t>CHARLES WALTER FERS</t>
  </si>
  <si>
    <t>JOSHUA DEAN NIXON</t>
  </si>
  <si>
    <t>STEPHANIE REBER GOERTZ</t>
  </si>
  <si>
    <t>SOLEDAD SIERRA</t>
  </si>
  <si>
    <t>POLLYE ANITA HOFSTEDT</t>
  </si>
  <si>
    <t>SHERRY ANN DUNBAR</t>
  </si>
  <si>
    <t>MOISES OR CAROLINE GUERRERO</t>
  </si>
  <si>
    <t>851  10/12/17"</t>
  </si>
  <si>
    <t>MOORE MEDICAL LLC</t>
  </si>
  <si>
    <t>LCR-M LIMITED PARTNERSHIP</t>
  </si>
  <si>
    <t>MOTOROLA</t>
  </si>
  <si>
    <t>MOTOROLA INC</t>
  </si>
  <si>
    <t>NATHAN BASTIAN</t>
  </si>
  <si>
    <t>NATIONAL FOOD GROUP INC</t>
  </si>
  <si>
    <t>WILLIAM HAROLD NELSON</t>
  </si>
  <si>
    <t>JOHN NIXON</t>
  </si>
  <si>
    <t>O'CONNOR'S</t>
  </si>
  <si>
    <t>O'REILLY AUTOMOTIVE  INC.</t>
  </si>
  <si>
    <t>SOUTHERN FOODS GROUP LP</t>
  </si>
  <si>
    <t>OFFICE DEPOT</t>
  </si>
  <si>
    <t>OLDCASTLE MATERIALS TEXAS INC</t>
  </si>
  <si>
    <t>ORENTHAL JOHNSON</t>
  </si>
  <si>
    <t>ROGER C OSBORN</t>
  </si>
  <si>
    <t>OSBURN ASSOCIATES INC.</t>
  </si>
  <si>
    <t>OSLIN NATION CO</t>
  </si>
  <si>
    <t>PAIGE TRACTORS INC</t>
  </si>
  <si>
    <t>PARAGON MEDICAL SUPPLIES  INC</t>
  </si>
  <si>
    <t>SL PARKER PARTNERSHIP LLC</t>
  </si>
  <si>
    <t>PATHMARK TRAFFIC PRODUCTS</t>
  </si>
  <si>
    <t>="2 7/8" Tapered"</t>
  </si>
  <si>
    <t>PATRICK ELECTRIC SERVICE</t>
  </si>
  <si>
    <t>PATRICK TYDLACKA</t>
  </si>
  <si>
    <t>PATTERSON  VETERINARY SUPPLY INC</t>
  </si>
  <si>
    <t>PAUL E ALBRECHT</t>
  </si>
  <si>
    <t>PAUL GRANADO</t>
  </si>
  <si>
    <t>GRANT PEASE</t>
  </si>
  <si>
    <t>KEITH PENDLETON</t>
  </si>
  <si>
    <t>PERDUE  BRANDON  FIELDER  COLLINS &amp; MOTT LLP</t>
  </si>
  <si>
    <t>PHILIP R DUCLOUX</t>
  </si>
  <si>
    <t>AMERICAN PIZZA PARTNERS LP</t>
  </si>
  <si>
    <t>PM WILSON &amp; ASSOCIATES PLLC</t>
  </si>
  <si>
    <t>POSTMASTER</t>
  </si>
  <si>
    <t>PRAXAIR DISTRIBUTION  INC.</t>
  </si>
  <si>
    <t>POPE PRO ENTERPRISES INC</t>
  </si>
  <si>
    <t>ELGIN PROVIDENCE LLC</t>
  </si>
  <si>
    <t>AEGEAN LLC</t>
  </si>
  <si>
    <t>QUEST DIAGNOSTICS</t>
  </si>
  <si>
    <t>RACHEL A BAUER</t>
  </si>
  <si>
    <t>RANDAL'S TOWER TECH INC</t>
  </si>
  <si>
    <t>RDO TRUST # 80-5800</t>
  </si>
  <si>
    <t>RECIL REEVES</t>
  </si>
  <si>
    <t>593  10/6/17"</t>
  </si>
  <si>
    <t>RED WING BUSINESS ADVANTAGE ACCOUNT</t>
  </si>
  <si>
    <t>REPUBLIC SERVICES INC BFI WASTE SERVICE</t>
  </si>
  <si>
    <t>REPUBLIC TRUCK SALES   PARTS  &amp; REPAIRS</t>
  </si>
  <si>
    <t>PAULINE SPURLOCK</t>
  </si>
  <si>
    <t>REYNOLDS &amp; KEINARTH</t>
  </si>
  <si>
    <t>RICHARD ALLAN DICKMAN JR</t>
  </si>
  <si>
    <t>RICHARD P HIGHTOWER</t>
  </si>
  <si>
    <t>RICOH</t>
  </si>
  <si>
    <t>RICOH USA INC</t>
  </si>
  <si>
    <t>RICOH AMERICAS CORP</t>
  </si>
  <si>
    <t>JOEL RIVERA -PEDRAZA</t>
  </si>
  <si>
    <t>RUNKLE ENTERPRISES</t>
  </si>
  <si>
    <t>ROADRUNNER RADIOLOGY EQUIP LLC</t>
  </si>
  <si>
    <t>ROBERT MADDEN INDUSTRIES LTD</t>
  </si>
  <si>
    <t>ROBERTA J. MCDONALD</t>
  </si>
  <si>
    <t>ROGERS CUSTOM AUTOMOTIVE</t>
  </si>
  <si>
    <t>RON GARLICK</t>
  </si>
  <si>
    <t>ROSE PIETSCH COUNTY CLERK</t>
  </si>
  <si>
    <t>ROUND ROCK SURGERY CENTER LLC</t>
  </si>
  <si>
    <t>RUSS BASSETT CORPORATION</t>
  </si>
  <si>
    <t>RZ &amp; ASSOCIATES INC</t>
  </si>
  <si>
    <t>TRAVIS CNTY DOMESTIC VIOLENCE &amp; SEXUAL ASSAULT</t>
  </si>
  <si>
    <t>SAM HOUSTON STATE UNIVERSITY INN</t>
  </si>
  <si>
    <t>SAMES BASTROP FORD INC</t>
  </si>
  <si>
    <t>SAMMY LERMA III MD</t>
  </si>
  <si>
    <t>SAMMY REESE</t>
  </si>
  <si>
    <t>SAN PATRICIO COUNTY SHERIFF</t>
  </si>
  <si>
    <t>SARAH LOUCKS</t>
  </si>
  <si>
    <t>SCOTT PAULK</t>
  </si>
  <si>
    <t>SETON HEALTHCARE SPONSORED PROJECTS</t>
  </si>
  <si>
    <t>TRI COUNTY CLINICAL</t>
  </si>
  <si>
    <t>SHARON HANCOCK</t>
  </si>
  <si>
    <t>962  10/6/17"</t>
  </si>
  <si>
    <t>FERRELLGAS  LP</t>
  </si>
  <si>
    <t>SHI GOVERNMENT SOLUTIONS INC.</t>
  </si>
  <si>
    <t>SHOPPA'S FARM SUPPLY</t>
  </si>
  <si>
    <t>SIGNATURE SMILES</t>
  </si>
  <si>
    <t>SILSBEE FORD</t>
  </si>
  <si>
    <t>ROBERT M SMITH JR</t>
  </si>
  <si>
    <t>SMITHVILLE AUTO PARTS  INC</t>
  </si>
  <si>
    <t>SMITHVILLE COMMUNITY CLINIC  INC</t>
  </si>
  <si>
    <t>SOLARWINDS</t>
  </si>
  <si>
    <t>SOUTHERN TIRE MART LLC</t>
  </si>
  <si>
    <t>DS WATERS OF AMERICA INC</t>
  </si>
  <si>
    <t>SPOK INC</t>
  </si>
  <si>
    <t>ST.DAVID'S HEALTHCARE PARTNERSHIP</t>
  </si>
  <si>
    <t>STAPLES ADVANTAGE</t>
  </si>
  <si>
    <t>TX COMPTROLLER OF PUBLIC ACCOUNTS</t>
  </si>
  <si>
    <t>STATE OF TEXAS</t>
  </si>
  <si>
    <t>STEPHEN A THORNE PHD</t>
  </si>
  <si>
    <t>STEPHEN BECK</t>
  </si>
  <si>
    <t>STERICYCLE  INC.</t>
  </si>
  <si>
    <t>STEVE GRANADO</t>
  </si>
  <si>
    <t>STEVEN A LONG</t>
  </si>
  <si>
    <t>STEVEN VINKLAREK</t>
  </si>
  <si>
    <t>MATTHEW LEE SULLINS</t>
  </si>
  <si>
    <t>TAGITM  INC</t>
  </si>
  <si>
    <t>TAMARA BATOT</t>
  </si>
  <si>
    <t>TARRANT COUNTY CONSTABLE 3</t>
  </si>
  <si>
    <t>TAVCO SERVICES INC</t>
  </si>
  <si>
    <t>TAYLOR AUTO ELECT.</t>
  </si>
  <si>
    <t>TX COMM ON LAW ENFORCEMENT</t>
  </si>
  <si>
    <t>TEJAS ELEVATOR COMPANY</t>
  </si>
  <si>
    <t>TERRY FLENNIKEN</t>
  </si>
  <si>
    <t>TERRY M WITHERSPOON</t>
  </si>
  <si>
    <t>TERRY NEIDIG</t>
  </si>
  <si>
    <t>JOHN J FIETSAM INC</t>
  </si>
  <si>
    <t>TEX-CON OIL CO</t>
  </si>
  <si>
    <t>TEXAN EYE  P.A.</t>
  </si>
  <si>
    <t>TEXAS A&amp;M AGRILIFE EXTENSION SERVICE</t>
  </si>
  <si>
    <t>TEXAS AGGREGATES  LLC</t>
  </si>
  <si>
    <t>MC ADAMS GROUP LLC</t>
  </si>
  <si>
    <t>TEXAS ASSOCIATES INSURORS AGENCY</t>
  </si>
  <si>
    <t>TEXAS BLACKLAND HARDWARE</t>
  </si>
  <si>
    <t>CONSELMAN RETAIL ENTERPRISES LLC</t>
  </si>
  <si>
    <t>TEXAS COLORADO RIVER FLOODPLAIN COALITION</t>
  </si>
  <si>
    <t>TEXAS CRUSHED STONE CO.</t>
  </si>
  <si>
    <t>TEXAS DEPARTMENT OF CRIMINAL JUSTICE</t>
  </si>
  <si>
    <t>TEXAS DEPT OF PUBLIC SAFETY</t>
  </si>
  <si>
    <t>="15</t>
  </si>
  <si>
    <t>132  10/30/17"</t>
  </si>
  <si>
    <t>787  10/18/17"</t>
  </si>
  <si>
    <t>TXFACT  LLC</t>
  </si>
  <si>
    <t>TEXAS ONCOLOGY</t>
  </si>
  <si>
    <t>TEXAS PARKS &amp; WILDLIFE FUNDS</t>
  </si>
  <si>
    <t>TX TAG</t>
  </si>
  <si>
    <t>JAMES ANDREW CASEY</t>
  </si>
  <si>
    <t>SANDRA FAYE ROBINSON</t>
  </si>
  <si>
    <t>THE JONES ZYLON COMPANY  LLC</t>
  </si>
  <si>
    <t>RICHARD NELSON MOORE</t>
  </si>
  <si>
    <t>THE NITSCHE GROUP</t>
  </si>
  <si>
    <t>THURSTON BENNETT</t>
  </si>
  <si>
    <t>TWE-ADVANCE/NEWHOUSE PARTNERSHIP</t>
  </si>
  <si>
    <t>TRAVIS CO CONSTABLE  PCT 5</t>
  </si>
  <si>
    <t>TRAVIS COUNTY TREASURER</t>
  </si>
  <si>
    <t>TREADMAXX TIRE DISTRIBUTORS  INC.</t>
  </si>
  <si>
    <t>TREY MOORE</t>
  </si>
  <si>
    <t>TRI-COUNTY PRACTICE ASSOCIATION</t>
  </si>
  <si>
    <t>TRIPLE S FUELS</t>
  </si>
  <si>
    <t>TRACTOR SUPPLY CREDIT PLAN</t>
  </si>
  <si>
    <t>TULL FARLEY</t>
  </si>
  <si>
    <t>TEXAS DEPARTMENT OF TRANSPORTATION</t>
  </si>
  <si>
    <t>TYLER TECHNOLOGIES LGD</t>
  </si>
  <si>
    <t>TYLER TECHNOLOGIES INC</t>
  </si>
  <si>
    <t>ULINE</t>
  </si>
  <si>
    <t>UNITED REFRIGERATION INC</t>
  </si>
  <si>
    <t>DEPARTMENT OF STATE HEALTH SERVICES</t>
  </si>
  <si>
    <t>VITALOGY PA</t>
  </si>
  <si>
    <t>VULCAN CONSTRUCTION MATERIALS  LP</t>
  </si>
  <si>
    <t>VULCAN  INC.</t>
  </si>
  <si>
    <t>WALLER COUNTY ASPHALT INC</t>
  </si>
  <si>
    <t>WALMART COMMUNITY BRC</t>
  </si>
  <si>
    <t>WASHING EQUIPMENT OF TEXAS</t>
  </si>
  <si>
    <t>WASHINGTON COUNTY CHAMBER OF COMMERCE</t>
  </si>
  <si>
    <t>WASTE MANAGEMENT OF TEXAS INC</t>
  </si>
  <si>
    <t>WAYNE BONNETT</t>
  </si>
  <si>
    <t>PROGRESSIVE WASTE SOLUTIONS OF TX. INC.</t>
  </si>
  <si>
    <t>WIND KNOT INCORPORATED</t>
  </si>
  <si>
    <t>COBRA EQUIPMENT RENTALS</t>
  </si>
  <si>
    <t>WEBB COUNTY SHERIFF</t>
  </si>
  <si>
    <t>WEI-ANN LIN  MD PA</t>
  </si>
  <si>
    <t>WEST PUBLISHING CORPORATION</t>
  </si>
  <si>
    <t>MAO PHARMACY INC</t>
  </si>
  <si>
    <t>WILLIAM WAGNER</t>
  </si>
  <si>
    <t>WILLIAMSON CNTY CONSTABLE 4</t>
  </si>
  <si>
    <t>WJC CONSTRUCTION LLC</t>
  </si>
  <si>
    <t>WOODFOREST NATIONAL BANK</t>
  </si>
  <si>
    <t>162"</t>
  </si>
  <si>
    <t>XEROX CORPORATION</t>
  </si>
  <si>
    <t>YOLANDA MORALES</t>
  </si>
  <si>
    <t>YOUNG &amp; PRATT  INC.</t>
  </si>
  <si>
    <t>BRAUNTEX MATERIALS INC</t>
  </si>
  <si>
    <t>BROADDUS &amp; ASSOCIATES</t>
  </si>
  <si>
    <t>DIANNA B ROSE</t>
  </si>
  <si>
    <t>FIRST NATIONAL BANK</t>
  </si>
  <si>
    <t>KIRKSEY ARCHITECTS  INC.</t>
  </si>
  <si>
    <t>LANGFORD COMMUNITY MGMT INC</t>
  </si>
  <si>
    <t>OXLEY WILLIAMS THARP ARCHITECTS  PLLC</t>
  </si>
  <si>
    <t>SPEED FAB-CRETE CORPORATION</t>
  </si>
  <si>
    <t>TREEFOLKS INC</t>
  </si>
  <si>
    <t>ALLSTATE-AMERICAN HERITAGE LIFE INS CO</t>
  </si>
  <si>
    <t>BASTROP ASSN OF SHERIFFS EMPLOYEES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</si>
  <si>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</si>
  <si>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</si>
  <si>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</si>
  <si>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</si>
  <si>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</si>
  <si>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</si>
  <si>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</si>
  <si>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</si>
  <si>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</si>
  <si>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</si>
  <si>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</si>
  <si>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</si>
  <si>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</si>
  <si>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</si>
  <si>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</si>
  <si>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WAGEWORKS INC  FSA/HSA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</si>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</sst>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95"/>
  <sheetViews>
    <sheetView tabSelected="1" zoomScaleNormal="100" workbookViewId="0">
      <selection activeCell="D2" sqref="D2"/>
    </sheetView>
  </sheetViews>
  <sheetFormatPr defaultRowHeight="14.4" x14ac:dyDescent="0.3"/>
  <cols>
    <col min="1" max="1" width="8.77734375" bestFit="1" customWidth="1"/>
    <col min="2" max="2" width="51.10937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0.77734375" bestFit="1" customWidth="1"/>
    <col min="7" max="7" width="33.109375" bestFit="1" customWidth="1"/>
    <col min="8" max="8" width="26.88671875" style="2" bestFit="1" customWidth="1"/>
    <col min="9" max="9" width="33.33203125" bestFit="1" customWidth="1"/>
    <col min="10" max="10" width="5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"005294"</f>
        <v>005294</v>
      </c>
      <c r="B2" t="s">
        <v>9</v>
      </c>
      <c r="C2">
        <v>73468</v>
      </c>
      <c r="D2" s="2">
        <v>1165.74</v>
      </c>
      <c r="E2" s="1">
        <v>43052</v>
      </c>
      <c r="F2" t="str">
        <f>"201711096540"</f>
        <v>201711096540</v>
      </c>
      <c r="G2" t="str">
        <f>"LODGING-S. LONG"</f>
        <v>LODGING-S. LONG</v>
      </c>
      <c r="H2" s="2">
        <v>582.87</v>
      </c>
      <c r="I2" t="str">
        <f>"LODGING-S. LONG"</f>
        <v>LODGING-S. LONG</v>
      </c>
    </row>
    <row r="3" spans="1:9" x14ac:dyDescent="0.3">
      <c r="A3" t="str">
        <f>""</f>
        <v/>
      </c>
      <c r="F3" t="str">
        <f>"201711096543"</f>
        <v>201711096543</v>
      </c>
      <c r="G3" t="str">
        <f>"LODGING-J. ALLEN"</f>
        <v>LODGING-J. ALLEN</v>
      </c>
      <c r="H3" s="2">
        <v>582.87</v>
      </c>
      <c r="I3" t="str">
        <f>"LODGING-J. ALLEN"</f>
        <v>LODGING-J. ALLEN</v>
      </c>
    </row>
    <row r="4" spans="1:9" x14ac:dyDescent="0.3">
      <c r="A4" t="str">
        <f>"000598"</f>
        <v>000598</v>
      </c>
      <c r="B4" t="s">
        <v>10</v>
      </c>
      <c r="C4">
        <v>73469</v>
      </c>
      <c r="D4" s="2">
        <v>9541.0499999999993</v>
      </c>
      <c r="E4" s="1">
        <v>43052</v>
      </c>
      <c r="F4" t="str">
        <f>"9725-001-95885"</f>
        <v>9725-001-95885</v>
      </c>
      <c r="G4" t="str">
        <f>"RECYCLED BASE / P2"</f>
        <v>RECYCLED BASE / P2</v>
      </c>
      <c r="H4" s="2">
        <v>2719.43</v>
      </c>
      <c r="I4" t="str">
        <f>"RECYCLED BASE / P2"</f>
        <v>RECYCLED BASE / P2</v>
      </c>
    </row>
    <row r="5" spans="1:9" x14ac:dyDescent="0.3">
      <c r="A5" t="str">
        <f>""</f>
        <v/>
      </c>
      <c r="F5" t="str">
        <f>"9725-001-95907"</f>
        <v>9725-001-95907</v>
      </c>
      <c r="G5" t="str">
        <f>"RECYCLED BASE / P2"</f>
        <v>RECYCLED BASE / P2</v>
      </c>
      <c r="H5" s="2">
        <v>1971.21</v>
      </c>
      <c r="I5" t="str">
        <f>"RECYCLED BASE / P2"</f>
        <v>RECYCLED BASE / P2</v>
      </c>
    </row>
    <row r="6" spans="1:9" x14ac:dyDescent="0.3">
      <c r="A6" t="str">
        <f>""</f>
        <v/>
      </c>
      <c r="F6" t="str">
        <f>"9725-001-95942"</f>
        <v>9725-001-95942</v>
      </c>
      <c r="G6" t="str">
        <f>"RECYCLED BASE / P2"</f>
        <v>RECYCLED BASE / P2</v>
      </c>
      <c r="H6" s="2">
        <v>2282.88</v>
      </c>
      <c r="I6" t="str">
        <f>"RECYCLED BASE / P2"</f>
        <v>RECYCLED BASE / P2</v>
      </c>
    </row>
    <row r="7" spans="1:9" x14ac:dyDescent="0.3">
      <c r="A7" t="str">
        <f>""</f>
        <v/>
      </c>
      <c r="F7" t="str">
        <f>"9725-004-95837"</f>
        <v>9725-004-95837</v>
      </c>
      <c r="G7" t="str">
        <f>"ACCT#9725-004/REC BASE/PCT#1"</f>
        <v>ACCT#9725-004/REC BASE/PCT#1</v>
      </c>
      <c r="H7" s="2">
        <v>236.25</v>
      </c>
      <c r="I7" t="str">
        <f>"ACCT#9725-004/REC BASE/PCT#1"</f>
        <v>ACCT#9725-004/REC BASE/PCT#1</v>
      </c>
    </row>
    <row r="8" spans="1:9" x14ac:dyDescent="0.3">
      <c r="A8" t="str">
        <f>""</f>
        <v/>
      </c>
      <c r="F8" t="str">
        <f>"9725-004-95868"</f>
        <v>9725-004-95868</v>
      </c>
      <c r="G8" t="str">
        <f>"ACCT#9725-004/REC BASE/PCT#1"</f>
        <v>ACCT#9725-004/REC BASE/PCT#1</v>
      </c>
      <c r="H8" s="2">
        <v>1326.86</v>
      </c>
      <c r="I8" t="str">
        <f>"ACCT#9725-004/REC BASE/PCT#1"</f>
        <v>ACCT#9725-004/REC BASE/PCT#1</v>
      </c>
    </row>
    <row r="9" spans="1:9" x14ac:dyDescent="0.3">
      <c r="A9" t="str">
        <f>""</f>
        <v/>
      </c>
      <c r="F9" t="str">
        <f>"9725-004-95923"</f>
        <v>9725-004-95923</v>
      </c>
      <c r="G9" t="str">
        <f>"ACCT#9725-004/REC BASE/PCT#1"</f>
        <v>ACCT#9725-004/REC BASE/PCT#1</v>
      </c>
      <c r="H9" s="2">
        <v>541.46</v>
      </c>
      <c r="I9" t="str">
        <f>"ACCT#9725-004/REC BASE/PCT#1"</f>
        <v>ACCT#9725-004/REC BASE/PCT#1</v>
      </c>
    </row>
    <row r="10" spans="1:9" x14ac:dyDescent="0.3">
      <c r="A10" t="str">
        <f>""</f>
        <v/>
      </c>
      <c r="F10" t="str">
        <f>"9725-004-95956"</f>
        <v>9725-004-95956</v>
      </c>
      <c r="G10" t="str">
        <f>"ACCT#9725-004/REC BASE/PCT#1"</f>
        <v>ACCT#9725-004/REC BASE/PCT#1</v>
      </c>
      <c r="H10" s="2">
        <v>462.96</v>
      </c>
      <c r="I10" t="str">
        <f>"ACCT#9725-004/REC BASE/PCT#1"</f>
        <v>ACCT#9725-004/REC BASE/PCT#1</v>
      </c>
    </row>
    <row r="11" spans="1:9" x14ac:dyDescent="0.3">
      <c r="A11" t="str">
        <f>"000598"</f>
        <v>000598</v>
      </c>
      <c r="B11" t="s">
        <v>10</v>
      </c>
      <c r="C11">
        <v>73809</v>
      </c>
      <c r="D11" s="2">
        <v>4605.0600000000004</v>
      </c>
      <c r="E11" s="1">
        <v>43066</v>
      </c>
      <c r="F11" t="str">
        <f>"9725-001-96271"</f>
        <v>9725-001-96271</v>
      </c>
      <c r="G11" t="str">
        <f>"ACCT#9725-001/REC BASE/PCT#2"</f>
        <v>ACCT#9725-001/REC BASE/PCT#2</v>
      </c>
      <c r="H11" s="2">
        <v>3566.34</v>
      </c>
      <c r="I11" t="str">
        <f>"ACCT#9725-001/REC BASE/PCT#2"</f>
        <v>ACCT#9725-001/REC BASE/PCT#2</v>
      </c>
    </row>
    <row r="12" spans="1:9" x14ac:dyDescent="0.3">
      <c r="A12" t="str">
        <f>""</f>
        <v/>
      </c>
      <c r="F12" t="str">
        <f>"9725-004-96259"</f>
        <v>9725-004-96259</v>
      </c>
      <c r="G12" t="str">
        <f>"ACCT#9725-004-96259"</f>
        <v>ACCT#9725-004-96259</v>
      </c>
      <c r="H12" s="2">
        <v>1038.72</v>
      </c>
      <c r="I12" t="str">
        <f>"ACCT#9725-004-96259"</f>
        <v>ACCT#9725-004-96259</v>
      </c>
    </row>
    <row r="13" spans="1:9" x14ac:dyDescent="0.3">
      <c r="A13" t="str">
        <f>"001018"</f>
        <v>001018</v>
      </c>
      <c r="B13" t="s">
        <v>11</v>
      </c>
      <c r="C13">
        <v>73810</v>
      </c>
      <c r="D13" s="2">
        <v>400</v>
      </c>
      <c r="E13" s="1">
        <v>43066</v>
      </c>
      <c r="F13" t="str">
        <f>"BRACKET PLATES"</f>
        <v>BRACKET PLATES</v>
      </c>
      <c r="G13" t="str">
        <f>"A &amp; E WELDING"</f>
        <v>A &amp; E WELDING</v>
      </c>
      <c r="H13" s="2">
        <v>400</v>
      </c>
      <c r="I13" t="str">
        <f>"Bracket Plates"</f>
        <v>Bracket Plates</v>
      </c>
    </row>
    <row r="14" spans="1:9" x14ac:dyDescent="0.3">
      <c r="A14" t="str">
        <f>"004643"</f>
        <v>004643</v>
      </c>
      <c r="B14" t="s">
        <v>12</v>
      </c>
      <c r="C14">
        <v>999999</v>
      </c>
      <c r="D14" s="2">
        <v>225</v>
      </c>
      <c r="E14" s="1">
        <v>43053</v>
      </c>
      <c r="F14" t="str">
        <f>"737513"</f>
        <v>737513</v>
      </c>
      <c r="G14" t="str">
        <f>"INV 737513"</f>
        <v>INV 737513</v>
      </c>
      <c r="H14" s="2">
        <v>122</v>
      </c>
      <c r="I14" t="str">
        <f>"INV 737513 - LE"</f>
        <v>INV 737513 - LE</v>
      </c>
    </row>
    <row r="15" spans="1:9" x14ac:dyDescent="0.3">
      <c r="A15" t="str">
        <f>""</f>
        <v/>
      </c>
      <c r="F15" t="str">
        <f>""</f>
        <v/>
      </c>
      <c r="G15" t="str">
        <f>""</f>
        <v/>
      </c>
      <c r="I15" t="str">
        <f>"INV 737513 - JAIL"</f>
        <v>INV 737513 - JAIL</v>
      </c>
    </row>
    <row r="16" spans="1:9" x14ac:dyDescent="0.3">
      <c r="A16" t="str">
        <f>""</f>
        <v/>
      </c>
      <c r="F16" t="str">
        <f>"737524"</f>
        <v>737524</v>
      </c>
      <c r="G16" t="str">
        <f>"SHREDDING SVCS"</f>
        <v>SHREDDING SVCS</v>
      </c>
      <c r="H16" s="2">
        <v>103</v>
      </c>
      <c r="I16" t="str">
        <f t="shared" ref="I16:I22" si="0">"SHREDDING SVCS"</f>
        <v>SHREDDING SVCS</v>
      </c>
    </row>
    <row r="17" spans="1:9" x14ac:dyDescent="0.3">
      <c r="A17" t="str">
        <f>""</f>
        <v/>
      </c>
      <c r="F17" t="str">
        <f>""</f>
        <v/>
      </c>
      <c r="G17" t="str">
        <f>""</f>
        <v/>
      </c>
      <c r="I17" t="str">
        <f t="shared" si="0"/>
        <v>SHREDDING SVCS</v>
      </c>
    </row>
    <row r="18" spans="1:9" x14ac:dyDescent="0.3">
      <c r="A18" t="str">
        <f>""</f>
        <v/>
      </c>
      <c r="F18" t="str">
        <f>""</f>
        <v/>
      </c>
      <c r="G18" t="str">
        <f>""</f>
        <v/>
      </c>
      <c r="I18" t="str">
        <f t="shared" si="0"/>
        <v>SHREDDING SVCS</v>
      </c>
    </row>
    <row r="19" spans="1:9" x14ac:dyDescent="0.3">
      <c r="A19" t="str">
        <f>""</f>
        <v/>
      </c>
      <c r="F19" t="str">
        <f>""</f>
        <v/>
      </c>
      <c r="G19" t="str">
        <f>""</f>
        <v/>
      </c>
      <c r="I19" t="str">
        <f t="shared" si="0"/>
        <v>SHREDDING SVCS</v>
      </c>
    </row>
    <row r="20" spans="1:9" x14ac:dyDescent="0.3">
      <c r="A20" t="str">
        <f>""</f>
        <v/>
      </c>
      <c r="F20" t="str">
        <f>""</f>
        <v/>
      </c>
      <c r="G20" t="str">
        <f>""</f>
        <v/>
      </c>
      <c r="I20" t="str">
        <f t="shared" si="0"/>
        <v>SHREDDING SVCS</v>
      </c>
    </row>
    <row r="21" spans="1:9" x14ac:dyDescent="0.3">
      <c r="A21" t="str">
        <f>""</f>
        <v/>
      </c>
      <c r="F21" t="str">
        <f>""</f>
        <v/>
      </c>
      <c r="G21" t="str">
        <f>""</f>
        <v/>
      </c>
      <c r="I21" t="str">
        <f t="shared" si="0"/>
        <v>SHREDDING SVCS</v>
      </c>
    </row>
    <row r="22" spans="1:9" x14ac:dyDescent="0.3">
      <c r="A22" t="str">
        <f>""</f>
        <v/>
      </c>
      <c r="F22" t="str">
        <f>""</f>
        <v/>
      </c>
      <c r="G22" t="str">
        <f>""</f>
        <v/>
      </c>
      <c r="I22" t="str">
        <f t="shared" si="0"/>
        <v>SHREDDING SVCS</v>
      </c>
    </row>
    <row r="23" spans="1:9" x14ac:dyDescent="0.3">
      <c r="A23" t="str">
        <f>"004643"</f>
        <v>004643</v>
      </c>
      <c r="B23" t="s">
        <v>12</v>
      </c>
      <c r="C23">
        <v>999999</v>
      </c>
      <c r="D23" s="2">
        <v>130.5</v>
      </c>
      <c r="E23" s="1">
        <v>43067</v>
      </c>
      <c r="F23" t="str">
        <f>"727047"</f>
        <v>727047</v>
      </c>
      <c r="G23" t="str">
        <f>"PURGE: FIRST BIN"</f>
        <v>PURGE: FIRST BIN</v>
      </c>
      <c r="H23" s="2">
        <v>79</v>
      </c>
      <c r="I23" t="str">
        <f>"PURGE: FIRST BIN"</f>
        <v>PURGE: FIRST BIN</v>
      </c>
    </row>
    <row r="24" spans="1:9" x14ac:dyDescent="0.3">
      <c r="A24" t="str">
        <f>""</f>
        <v/>
      </c>
      <c r="F24" t="str">
        <f>"737514"</f>
        <v>737514</v>
      </c>
      <c r="G24" t="str">
        <f>"SHREDDING SVCS/TAX OFFICE"</f>
        <v>SHREDDING SVCS/TAX OFFICE</v>
      </c>
      <c r="H24" s="2">
        <v>51.5</v>
      </c>
      <c r="I24" t="str">
        <f>"SHREDDING SVCS/TAX OFFICE"</f>
        <v>SHREDDING SVCS/TAX OFFICE</v>
      </c>
    </row>
    <row r="25" spans="1:9" x14ac:dyDescent="0.3">
      <c r="A25" t="str">
        <f>"ALINE"</f>
        <v>ALINE</v>
      </c>
      <c r="B25" t="s">
        <v>13</v>
      </c>
      <c r="C25">
        <v>73470</v>
      </c>
      <c r="D25" s="2">
        <v>99.16</v>
      </c>
      <c r="E25" s="1">
        <v>43052</v>
      </c>
      <c r="F25" t="str">
        <f>"282605"</f>
        <v>282605</v>
      </c>
      <c r="G25" t="str">
        <f>"SALES/CUST ID#16500/PCT#4"</f>
        <v>SALES/CUST ID#16500/PCT#4</v>
      </c>
      <c r="H25" s="2">
        <v>99.16</v>
      </c>
      <c r="I25" t="str">
        <f>"SALES/CUST ID#16500/PCT#4"</f>
        <v>SALES/CUST ID#16500/PCT#4</v>
      </c>
    </row>
    <row r="26" spans="1:9" x14ac:dyDescent="0.3">
      <c r="A26" t="str">
        <f>"002048"</f>
        <v>002048</v>
      </c>
      <c r="B26" t="s">
        <v>14</v>
      </c>
      <c r="C26">
        <v>73796</v>
      </c>
      <c r="D26" s="2">
        <v>7942.36</v>
      </c>
      <c r="E26" s="1">
        <v>43059</v>
      </c>
      <c r="F26" t="str">
        <f>"201711206731"</f>
        <v>201711206731</v>
      </c>
      <c r="G26" t="str">
        <f>"BASE - PCT 1 YARD"</f>
        <v>BASE - PCT 1 YARD</v>
      </c>
      <c r="H26" s="2">
        <v>1899.58</v>
      </c>
      <c r="I26" t="str">
        <f>"BASE - PCT 1 YARD"</f>
        <v>BASE - PCT 1 YARD</v>
      </c>
    </row>
    <row r="27" spans="1:9" x14ac:dyDescent="0.3">
      <c r="A27" t="str">
        <f>""</f>
        <v/>
      </c>
      <c r="F27" t="str">
        <f>"201711206732"</f>
        <v>201711206732</v>
      </c>
      <c r="G27" t="str">
        <f>"BASE / PCT 4 YARD"</f>
        <v>BASE / PCT 4 YARD</v>
      </c>
      <c r="H27" s="2">
        <v>2091.06</v>
      </c>
      <c r="I27" t="str">
        <f>"BASE / PCT 4 YARD"</f>
        <v>BASE / PCT 4 YARD</v>
      </c>
    </row>
    <row r="28" spans="1:9" x14ac:dyDescent="0.3">
      <c r="A28" t="str">
        <f>""</f>
        <v/>
      </c>
      <c r="F28" t="str">
        <f>"201711206733"</f>
        <v>201711206733</v>
      </c>
      <c r="G28" t="str">
        <f>"BASE / PCT 4 YARD"</f>
        <v>BASE / PCT 4 YARD</v>
      </c>
      <c r="H28" s="2">
        <v>3951.72</v>
      </c>
      <c r="I28" t="str">
        <f>"BASE / PCT 4 YARD"</f>
        <v>BASE / PCT 4 YARD</v>
      </c>
    </row>
    <row r="29" spans="1:9" x14ac:dyDescent="0.3">
      <c r="A29" t="str">
        <f>"002048"</f>
        <v>002048</v>
      </c>
      <c r="B29" t="s">
        <v>14</v>
      </c>
      <c r="C29">
        <v>999999</v>
      </c>
      <c r="D29" s="2">
        <v>5433.1</v>
      </c>
      <c r="E29" s="1">
        <v>43053</v>
      </c>
      <c r="F29" t="str">
        <f>"201711076357"</f>
        <v>201711076357</v>
      </c>
      <c r="G29" t="str">
        <f>"HAULING EXP 10/17/17-11/6/17"</f>
        <v>HAULING EXP 10/17/17-11/6/17</v>
      </c>
      <c r="H29" s="2">
        <v>2199.04</v>
      </c>
      <c r="I29" t="str">
        <f>"HAULING EXP 10/17/17-11/6/17"</f>
        <v>HAULING EXP 10/17/17-11/6/17</v>
      </c>
    </row>
    <row r="30" spans="1:9" x14ac:dyDescent="0.3">
      <c r="A30" t="str">
        <f>""</f>
        <v/>
      </c>
      <c r="F30" t="str">
        <f>"201711076363"</f>
        <v>201711076363</v>
      </c>
      <c r="G30" t="str">
        <f>"HAULING EXP 11/1-11/6 PCT#4"</f>
        <v>HAULING EXP 11/1-11/6 PCT#4</v>
      </c>
      <c r="H30" s="2">
        <v>3234.06</v>
      </c>
      <c r="I30" t="str">
        <f>"HAULING EXP 11/1-11/6 PCT#4"</f>
        <v>HAULING EXP 11/1-11/6 PCT#4</v>
      </c>
    </row>
    <row r="31" spans="1:9" x14ac:dyDescent="0.3">
      <c r="A31" t="str">
        <f>"AAA"</f>
        <v>AAA</v>
      </c>
      <c r="B31" t="s">
        <v>15</v>
      </c>
      <c r="C31">
        <v>999999</v>
      </c>
      <c r="D31" s="2">
        <v>35</v>
      </c>
      <c r="E31" s="1">
        <v>43053</v>
      </c>
      <c r="F31" t="str">
        <f>"294523"</f>
        <v>294523</v>
      </c>
      <c r="G31" t="str">
        <f>"ANNUAL FIRE EXT MAINT"</f>
        <v>ANNUAL FIRE EXT MAINT</v>
      </c>
      <c r="H31" s="2">
        <v>35</v>
      </c>
      <c r="I31" t="str">
        <f>"ANNUAL FIRE EXT MAINT"</f>
        <v>ANNUAL FIRE EXT MAINT</v>
      </c>
    </row>
    <row r="32" spans="1:9" x14ac:dyDescent="0.3">
      <c r="A32" t="str">
        <f>"005134"</f>
        <v>005134</v>
      </c>
      <c r="B32" t="s">
        <v>16</v>
      </c>
      <c r="C32">
        <v>73471</v>
      </c>
      <c r="D32" s="2">
        <v>750</v>
      </c>
      <c r="E32" s="1">
        <v>43052</v>
      </c>
      <c r="F32" t="str">
        <f>"B434 EXTRA"</f>
        <v>B434 EXTRA</v>
      </c>
      <c r="G32" t="str">
        <f>"LABOR &amp; MATERIALS/PCT#4"</f>
        <v>LABOR &amp; MATERIALS/PCT#4</v>
      </c>
      <c r="H32" s="2">
        <v>750</v>
      </c>
      <c r="I32" t="str">
        <f>"LABOR &amp; MATERIALS/PCT#4"</f>
        <v>LABOR &amp; MATERIALS/PCT#4</v>
      </c>
    </row>
    <row r="33" spans="1:9" x14ac:dyDescent="0.3">
      <c r="A33" t="str">
        <f>"005134"</f>
        <v>005134</v>
      </c>
      <c r="B33" t="s">
        <v>16</v>
      </c>
      <c r="C33">
        <v>73811</v>
      </c>
      <c r="D33" s="2">
        <v>2000</v>
      </c>
      <c r="E33" s="1">
        <v>43066</v>
      </c>
      <c r="F33" t="str">
        <f>"B434"</f>
        <v>B434</v>
      </c>
      <c r="G33" t="str">
        <f>"LABOR &amp; MATERIALS/PCT#4"</f>
        <v>LABOR &amp; MATERIALS/PCT#4</v>
      </c>
      <c r="H33" s="2">
        <v>2000</v>
      </c>
      <c r="I33" t="str">
        <f>"LABOR &amp; MATERIALS/PCT#4"</f>
        <v>LABOR &amp; MATERIALS/PCT#4</v>
      </c>
    </row>
    <row r="34" spans="1:9" x14ac:dyDescent="0.3">
      <c r="A34" t="str">
        <f>"000954"</f>
        <v>000954</v>
      </c>
      <c r="B34" t="s">
        <v>17</v>
      </c>
      <c r="C34">
        <v>73812</v>
      </c>
      <c r="D34" s="2">
        <v>805</v>
      </c>
      <c r="E34" s="1">
        <v>43066</v>
      </c>
      <c r="F34" t="str">
        <f>"201711146564"</f>
        <v>201711146564</v>
      </c>
      <c r="G34" t="str">
        <f>"16-17614"</f>
        <v>16-17614</v>
      </c>
      <c r="H34" s="2">
        <v>100</v>
      </c>
      <c r="I34" t="str">
        <f>"16-17614"</f>
        <v>16-17614</v>
      </c>
    </row>
    <row r="35" spans="1:9" x14ac:dyDescent="0.3">
      <c r="A35" t="str">
        <f>""</f>
        <v/>
      </c>
      <c r="F35" t="str">
        <f>"201711146565"</f>
        <v>201711146565</v>
      </c>
      <c r="G35" t="str">
        <f>"17-18229"</f>
        <v>17-18229</v>
      </c>
      <c r="H35" s="2">
        <v>100</v>
      </c>
      <c r="I35" t="str">
        <f>"17-18229"</f>
        <v>17-18229</v>
      </c>
    </row>
    <row r="36" spans="1:9" x14ac:dyDescent="0.3">
      <c r="A36" t="str">
        <f>""</f>
        <v/>
      </c>
      <c r="F36" t="str">
        <f>"201711146566"</f>
        <v>201711146566</v>
      </c>
      <c r="G36" t="str">
        <f>"17-18642"</f>
        <v>17-18642</v>
      </c>
      <c r="H36" s="2">
        <v>605</v>
      </c>
      <c r="I36" t="str">
        <f>"17-18642"</f>
        <v>17-18642</v>
      </c>
    </row>
    <row r="37" spans="1:9" x14ac:dyDescent="0.3">
      <c r="A37" t="str">
        <f>"003117"</f>
        <v>003117</v>
      </c>
      <c r="B37" t="s">
        <v>18</v>
      </c>
      <c r="C37">
        <v>999999</v>
      </c>
      <c r="D37" s="2">
        <v>407.93</v>
      </c>
      <c r="E37" s="1">
        <v>43053</v>
      </c>
      <c r="F37" t="str">
        <f>"201711076354"</f>
        <v>201711076354</v>
      </c>
      <c r="G37" t="str">
        <f>"REIMBURSE-HOTEL/PARKING"</f>
        <v>REIMBURSE-HOTEL/PARKING</v>
      </c>
      <c r="H37" s="2">
        <v>407.93</v>
      </c>
      <c r="I37" t="str">
        <f>"REIMBURSE-HOTEL/PARKING"</f>
        <v>REIMBURSE-HOTEL/PARKING</v>
      </c>
    </row>
    <row r="38" spans="1:9" x14ac:dyDescent="0.3">
      <c r="A38" t="str">
        <f>"003117"</f>
        <v>003117</v>
      </c>
      <c r="B38" t="s">
        <v>18</v>
      </c>
      <c r="C38">
        <v>999999</v>
      </c>
      <c r="D38" s="2">
        <v>591.16</v>
      </c>
      <c r="E38" s="1">
        <v>43067</v>
      </c>
      <c r="F38" t="str">
        <f>"201711146594"</f>
        <v>201711146594</v>
      </c>
      <c r="G38" t="str">
        <f>"PER DIEM 12/14/17-12/18/17"</f>
        <v>PER DIEM 12/14/17-12/18/17</v>
      </c>
      <c r="H38" s="2">
        <v>215</v>
      </c>
      <c r="I38" t="str">
        <f>"PER DIEM 12/14/17-12/18/17"</f>
        <v>PER DIEM 12/14/17-12/18/17</v>
      </c>
    </row>
    <row r="39" spans="1:9" x14ac:dyDescent="0.3">
      <c r="A39" t="str">
        <f>""</f>
        <v/>
      </c>
      <c r="F39" t="str">
        <f>"201711146598"</f>
        <v>201711146598</v>
      </c>
      <c r="G39" t="str">
        <f>"REIMBURSE-HOTEL EXPENSES"</f>
        <v>REIMBURSE-HOTEL EXPENSES</v>
      </c>
      <c r="H39" s="2">
        <v>376.16</v>
      </c>
      <c r="I39" t="str">
        <f>"REIMBURSE-HOTEL EXPENSES"</f>
        <v>REIMBURSE-HOTEL EXPENSES</v>
      </c>
    </row>
    <row r="40" spans="1:9" x14ac:dyDescent="0.3">
      <c r="A40" t="str">
        <f>"AG"</f>
        <v>AG</v>
      </c>
      <c r="B40" t="s">
        <v>19</v>
      </c>
      <c r="C40">
        <v>73472</v>
      </c>
      <c r="D40" s="2">
        <v>2709.05</v>
      </c>
      <c r="E40" s="1">
        <v>43052</v>
      </c>
      <c r="F40" t="str">
        <f>"5985688"</f>
        <v>5985688</v>
      </c>
      <c r="G40" t="str">
        <f>"CUST#17295/SALES#4759297-M6/P3"</f>
        <v>CUST#17295/SALES#4759297-M6/P3</v>
      </c>
      <c r="H40" s="2">
        <v>-64.040000000000006</v>
      </c>
      <c r="I40" t="str">
        <f>"CUST#17295/SALES#4759297-M6/P3"</f>
        <v>CUST#17295/SALES#4759297-M6/P3</v>
      </c>
    </row>
    <row r="41" spans="1:9" x14ac:dyDescent="0.3">
      <c r="A41" t="str">
        <f>""</f>
        <v/>
      </c>
      <c r="F41" t="str">
        <f>"5983793"</f>
        <v>5983793</v>
      </c>
      <c r="G41" t="str">
        <f>"CUST#17295/SALES#4756503-S6/P3"</f>
        <v>CUST#17295/SALES#4756503-S6/P3</v>
      </c>
      <c r="H41" s="2">
        <v>1584.28</v>
      </c>
      <c r="I41" t="str">
        <f>"CUST#17295/SALES#4756503-S6/P3"</f>
        <v>CUST#17295/SALES#4756503-S6/P3</v>
      </c>
    </row>
    <row r="42" spans="1:9" x14ac:dyDescent="0.3">
      <c r="A42" t="str">
        <f>""</f>
        <v/>
      </c>
      <c r="F42" t="str">
        <f>"5985369"</f>
        <v>5985369</v>
      </c>
      <c r="G42" t="str">
        <f>"CUST#17295/SALES#4758605-S6/P3"</f>
        <v>CUST#17295/SALES#4758605-S6/P3</v>
      </c>
      <c r="H42" s="2">
        <v>1115.28</v>
      </c>
      <c r="I42" t="str">
        <f>"CUST#17295/SALES#4758605-S6/P3"</f>
        <v>CUST#17295/SALES#4758605-S6/P3</v>
      </c>
    </row>
    <row r="43" spans="1:9" x14ac:dyDescent="0.3">
      <c r="A43" t="str">
        <f>""</f>
        <v/>
      </c>
      <c r="F43" t="str">
        <f>"5988616"</f>
        <v>5988616</v>
      </c>
      <c r="G43" t="str">
        <f>"CUST#17295/SALES#4758605-S6/P3"</f>
        <v>CUST#17295/SALES#4758605-S6/P3</v>
      </c>
      <c r="H43" s="2">
        <v>73.53</v>
      </c>
      <c r="I43" t="str">
        <f>"CUST#17295/SALES#4758605-S6/P3"</f>
        <v>CUST#17295/SALES#4758605-S6/P3</v>
      </c>
    </row>
    <row r="44" spans="1:9" x14ac:dyDescent="0.3">
      <c r="A44" t="str">
        <f>"NPP"</f>
        <v>NPP</v>
      </c>
      <c r="B44" t="s">
        <v>20</v>
      </c>
      <c r="C44">
        <v>999999</v>
      </c>
      <c r="D44" s="2">
        <v>1000</v>
      </c>
      <c r="E44" s="1">
        <v>43053</v>
      </c>
      <c r="F44" t="str">
        <f>"201710316086"</f>
        <v>201710316086</v>
      </c>
      <c r="G44" t="str">
        <f>"DCPC -16-089"</f>
        <v>DCPC -16-089</v>
      </c>
      <c r="H44" s="2">
        <v>100</v>
      </c>
      <c r="I44" t="str">
        <f>"DCPC -16-089"</f>
        <v>DCPC -16-089</v>
      </c>
    </row>
    <row r="45" spans="1:9" x14ac:dyDescent="0.3">
      <c r="A45" t="str">
        <f>""</f>
        <v/>
      </c>
      <c r="F45" t="str">
        <f>"201711086370"</f>
        <v>201711086370</v>
      </c>
      <c r="G45" t="str">
        <f>"15957   04/15/16"</f>
        <v>15957   04/15/16</v>
      </c>
      <c r="H45" s="2">
        <v>200</v>
      </c>
      <c r="I45" t="str">
        <f>"15957   04/15/16"</f>
        <v>15957   04/15/16</v>
      </c>
    </row>
    <row r="46" spans="1:9" x14ac:dyDescent="0.3">
      <c r="A46" t="str">
        <f>""</f>
        <v/>
      </c>
      <c r="F46" t="str">
        <f>"201711086371"</f>
        <v>201711086371</v>
      </c>
      <c r="G46" t="str">
        <f>"423-5153"</f>
        <v>423-5153</v>
      </c>
      <c r="H46" s="2">
        <v>100</v>
      </c>
      <c r="I46" t="str">
        <f>"423-5153"</f>
        <v>423-5153</v>
      </c>
    </row>
    <row r="47" spans="1:9" x14ac:dyDescent="0.3">
      <c r="A47" t="str">
        <f>""</f>
        <v/>
      </c>
      <c r="F47" t="str">
        <f>"201711086372"</f>
        <v>201711086372</v>
      </c>
      <c r="G47" t="str">
        <f>"305122017A   09/15/17"</f>
        <v>305122017A   09/15/17</v>
      </c>
      <c r="H47" s="2">
        <v>200</v>
      </c>
      <c r="I47" t="str">
        <f>"305122017A   09/15/17"</f>
        <v>305122017A   09/15/17</v>
      </c>
    </row>
    <row r="48" spans="1:9" x14ac:dyDescent="0.3">
      <c r="A48" t="str">
        <f>""</f>
        <v/>
      </c>
      <c r="F48" t="str">
        <f>"201711086373"</f>
        <v>201711086373</v>
      </c>
      <c r="G48" t="str">
        <f>"16143  09/22/17"</f>
        <v>16143  09/22/17</v>
      </c>
      <c r="H48" s="2">
        <v>400</v>
      </c>
      <c r="I48" t="str">
        <f>"16143  09/22/17"</f>
        <v>16143  09/22/17</v>
      </c>
    </row>
    <row r="49" spans="1:9" x14ac:dyDescent="0.3">
      <c r="A49" t="str">
        <f>"NPP"</f>
        <v>NPP</v>
      </c>
      <c r="B49" t="s">
        <v>20</v>
      </c>
      <c r="C49">
        <v>999999</v>
      </c>
      <c r="D49" s="2">
        <v>400</v>
      </c>
      <c r="E49" s="1">
        <v>43067</v>
      </c>
      <c r="F49" t="str">
        <f>"201711146588"</f>
        <v>201711146588</v>
      </c>
      <c r="G49" t="str">
        <f>"16183"</f>
        <v>16183</v>
      </c>
      <c r="H49" s="2">
        <v>400</v>
      </c>
      <c r="I49" t="str">
        <f>"16183"</f>
        <v>16183</v>
      </c>
    </row>
    <row r="50" spans="1:9" x14ac:dyDescent="0.3">
      <c r="A50" t="str">
        <f>"004642"</f>
        <v>004642</v>
      </c>
      <c r="B50" t="s">
        <v>21</v>
      </c>
      <c r="C50">
        <v>73473</v>
      </c>
      <c r="D50" s="2">
        <v>340</v>
      </c>
      <c r="E50" s="1">
        <v>43052</v>
      </c>
      <c r="F50" t="str">
        <f>"26864"</f>
        <v>26864</v>
      </c>
      <c r="G50" t="str">
        <f>"RENTAL/601 COOL WATER/PCT#1"</f>
        <v>RENTAL/601 COOL WATER/PCT#1</v>
      </c>
      <c r="H50" s="2">
        <v>340</v>
      </c>
      <c r="I50" t="str">
        <f>"RENTAL/601 COOL WATER/PCT#1"</f>
        <v>RENTAL/601 COOL WATER/PCT#1</v>
      </c>
    </row>
    <row r="51" spans="1:9" x14ac:dyDescent="0.3">
      <c r="A51" t="str">
        <f>"005278"</f>
        <v>005278</v>
      </c>
      <c r="B51" t="s">
        <v>22</v>
      </c>
      <c r="C51">
        <v>73474</v>
      </c>
      <c r="D51" s="2">
        <v>15</v>
      </c>
      <c r="E51" s="1">
        <v>43052</v>
      </c>
      <c r="F51" t="str">
        <f>"201711086376"</f>
        <v>201711086376</v>
      </c>
      <c r="G51" t="str">
        <f>"FERAL HOGS"</f>
        <v>FERAL HOGS</v>
      </c>
      <c r="H51" s="2">
        <v>15</v>
      </c>
      <c r="I51" t="str">
        <f>"FERAL HOGS"</f>
        <v>FERAL HOGS</v>
      </c>
    </row>
    <row r="52" spans="1:9" x14ac:dyDescent="0.3">
      <c r="A52" t="str">
        <f>"005237"</f>
        <v>005237</v>
      </c>
      <c r="B52" t="s">
        <v>23</v>
      </c>
      <c r="C52">
        <v>999999</v>
      </c>
      <c r="D52" s="2">
        <v>2638.54</v>
      </c>
      <c r="E52" s="1">
        <v>43053</v>
      </c>
      <c r="F52" t="str">
        <f>"17-18469"</f>
        <v>17-18469</v>
      </c>
      <c r="G52" t="str">
        <f>"AMAZON CAPITAL SERVICES INC"</f>
        <v>AMAZON CAPITAL SERVICES INC</v>
      </c>
      <c r="H52" s="2">
        <v>592.44000000000005</v>
      </c>
      <c r="I52" t="str">
        <f>"Raincoat 2XL"</f>
        <v>Raincoat 2XL</v>
      </c>
    </row>
    <row r="53" spans="1:9" x14ac:dyDescent="0.3">
      <c r="A53" t="str">
        <f>""</f>
        <v/>
      </c>
      <c r="F53" t="str">
        <f>""</f>
        <v/>
      </c>
      <c r="G53" t="str">
        <f>""</f>
        <v/>
      </c>
      <c r="I53" t="str">
        <f>"Raincoat XL"</f>
        <v>Raincoat XL</v>
      </c>
    </row>
    <row r="54" spans="1:9" x14ac:dyDescent="0.3">
      <c r="A54" t="str">
        <f>""</f>
        <v/>
      </c>
      <c r="F54" t="str">
        <f>""</f>
        <v/>
      </c>
      <c r="G54" t="str">
        <f>""</f>
        <v/>
      </c>
      <c r="I54" t="str">
        <f>"Raincoat L"</f>
        <v>Raincoat L</v>
      </c>
    </row>
    <row r="55" spans="1:9" x14ac:dyDescent="0.3">
      <c r="A55" t="str">
        <f>""</f>
        <v/>
      </c>
      <c r="F55" t="str">
        <f>""</f>
        <v/>
      </c>
      <c r="G55" t="str">
        <f>""</f>
        <v/>
      </c>
      <c r="I55" t="str">
        <f>"Non-Slip Pad"</f>
        <v>Non-Slip Pad</v>
      </c>
    </row>
    <row r="56" spans="1:9" x14ac:dyDescent="0.3">
      <c r="A56" t="str">
        <f>""</f>
        <v/>
      </c>
      <c r="F56" t="str">
        <f>""</f>
        <v/>
      </c>
      <c r="G56" t="str">
        <f>""</f>
        <v/>
      </c>
      <c r="I56" t="str">
        <f>"Futon Mattress"</f>
        <v>Futon Mattress</v>
      </c>
    </row>
    <row r="57" spans="1:9" x14ac:dyDescent="0.3">
      <c r="A57" t="str">
        <f>""</f>
        <v/>
      </c>
      <c r="F57" t="str">
        <f>""</f>
        <v/>
      </c>
      <c r="G57" t="str">
        <f>""</f>
        <v/>
      </c>
      <c r="I57" t="str">
        <f>"Raincoat- Pink"</f>
        <v>Raincoat- Pink</v>
      </c>
    </row>
    <row r="58" spans="1:9" x14ac:dyDescent="0.3">
      <c r="A58" t="str">
        <f>""</f>
        <v/>
      </c>
      <c r="F58" t="str">
        <f>""</f>
        <v/>
      </c>
      <c r="G58" t="str">
        <f>""</f>
        <v/>
      </c>
      <c r="I58" t="str">
        <f>"Futon Frame"</f>
        <v>Futon Frame</v>
      </c>
    </row>
    <row r="59" spans="1:9" x14ac:dyDescent="0.3">
      <c r="A59" t="str">
        <f>""</f>
        <v/>
      </c>
      <c r="F59" t="str">
        <f>""</f>
        <v/>
      </c>
      <c r="G59" t="str">
        <f>""</f>
        <v/>
      </c>
      <c r="I59" t="str">
        <f>"Shipping"</f>
        <v>Shipping</v>
      </c>
    </row>
    <row r="60" spans="1:9" x14ac:dyDescent="0.3">
      <c r="A60" t="str">
        <f>""</f>
        <v/>
      </c>
      <c r="F60" t="str">
        <f>""</f>
        <v/>
      </c>
      <c r="G60" t="str">
        <f>""</f>
        <v/>
      </c>
      <c r="I60" t="str">
        <f>"Shipping Discount"</f>
        <v>Shipping Discount</v>
      </c>
    </row>
    <row r="61" spans="1:9" x14ac:dyDescent="0.3">
      <c r="A61" t="str">
        <f>""</f>
        <v/>
      </c>
      <c r="F61" t="str">
        <f>"1PQY-GMKL-P31M"</f>
        <v>1PQY-GMKL-P31M</v>
      </c>
      <c r="G61" t="str">
        <f>"Portable Radio"</f>
        <v>Portable Radio</v>
      </c>
      <c r="H61" s="2">
        <v>178.88</v>
      </c>
      <c r="I61" t="str">
        <f>"Portable Radio"</f>
        <v>Portable Radio</v>
      </c>
    </row>
    <row r="62" spans="1:9" x14ac:dyDescent="0.3">
      <c r="A62" t="str">
        <f>""</f>
        <v/>
      </c>
      <c r="F62" t="str">
        <f>"1RFV-DGGQ-XM7L"</f>
        <v>1RFV-DGGQ-XM7L</v>
      </c>
      <c r="G62" t="str">
        <f>"Fluke Networks"</f>
        <v>Fluke Networks</v>
      </c>
      <c r="H62" s="2">
        <v>1587.99</v>
      </c>
      <c r="I62" t="str">
        <f>"Fluke Networks"</f>
        <v>Fluke Networks</v>
      </c>
    </row>
    <row r="63" spans="1:9" x14ac:dyDescent="0.3">
      <c r="A63" t="str">
        <f>""</f>
        <v/>
      </c>
      <c r="F63" t="str">
        <f>"A1GVML5XR6WRQH"</f>
        <v>A1GVML5XR6WRQH</v>
      </c>
      <c r="G63" t="str">
        <f>"Spade Set Scoopers"</f>
        <v>Spade Set Scoopers</v>
      </c>
      <c r="H63" s="2">
        <v>67.959999999999994</v>
      </c>
      <c r="I63" t="str">
        <f>"Spade Set Scoopers"</f>
        <v>Spade Set Scoopers</v>
      </c>
    </row>
    <row r="64" spans="1:9" x14ac:dyDescent="0.3">
      <c r="A64" t="str">
        <f>""</f>
        <v/>
      </c>
      <c r="F64" t="str">
        <f>"OFFICE SUPPLIES"</f>
        <v>OFFICE SUPPLIES</v>
      </c>
      <c r="G64" t="str">
        <f>"Office Supplies &amp; Furn."</f>
        <v>Office Supplies &amp; Furn.</v>
      </c>
      <c r="H64" s="2">
        <v>211.27</v>
      </c>
      <c r="I64" t="str">
        <f>"WasteBasket"</f>
        <v>WasteBasket</v>
      </c>
    </row>
    <row r="65" spans="1:9" x14ac:dyDescent="0.3">
      <c r="A65" t="str">
        <f>""</f>
        <v/>
      </c>
      <c r="F65" t="str">
        <f>""</f>
        <v/>
      </c>
      <c r="G65" t="str">
        <f>""</f>
        <v/>
      </c>
      <c r="I65" t="str">
        <f>"Desk Organizer"</f>
        <v>Desk Organizer</v>
      </c>
    </row>
    <row r="66" spans="1:9" x14ac:dyDescent="0.3">
      <c r="A66" t="str">
        <f>""</f>
        <v/>
      </c>
      <c r="F66" t="str">
        <f>""</f>
        <v/>
      </c>
      <c r="G66" t="str">
        <f>""</f>
        <v/>
      </c>
      <c r="I66" t="str">
        <f>"Scissors"</f>
        <v>Scissors</v>
      </c>
    </row>
    <row r="67" spans="1:9" x14ac:dyDescent="0.3">
      <c r="A67" t="str">
        <f>""</f>
        <v/>
      </c>
      <c r="F67" t="str">
        <f>""</f>
        <v/>
      </c>
      <c r="G67" t="str">
        <f>""</f>
        <v/>
      </c>
      <c r="I67" t="str">
        <f>"Organizer Set"</f>
        <v>Organizer Set</v>
      </c>
    </row>
    <row r="68" spans="1:9" x14ac:dyDescent="0.3">
      <c r="A68" t="str">
        <f>""</f>
        <v/>
      </c>
      <c r="F68" t="str">
        <f>""</f>
        <v/>
      </c>
      <c r="G68" t="str">
        <f>""</f>
        <v/>
      </c>
      <c r="I68" t="str">
        <f>"Germ-X"</f>
        <v>Germ-X</v>
      </c>
    </row>
    <row r="69" spans="1:9" x14ac:dyDescent="0.3">
      <c r="A69" t="str">
        <f>""</f>
        <v/>
      </c>
      <c r="F69" t="str">
        <f>""</f>
        <v/>
      </c>
      <c r="G69" t="str">
        <f>""</f>
        <v/>
      </c>
      <c r="I69" t="str">
        <f>"Stapler"</f>
        <v>Stapler</v>
      </c>
    </row>
    <row r="70" spans="1:9" x14ac:dyDescent="0.3">
      <c r="A70" t="str">
        <f>""</f>
        <v/>
      </c>
      <c r="F70" t="str">
        <f>""</f>
        <v/>
      </c>
      <c r="G70" t="str">
        <f>""</f>
        <v/>
      </c>
      <c r="I70" t="str">
        <f>"Shelving"</f>
        <v>Shelving</v>
      </c>
    </row>
    <row r="71" spans="1:9" x14ac:dyDescent="0.3">
      <c r="A71" t="str">
        <f>""</f>
        <v/>
      </c>
      <c r="F71" t="str">
        <f>""</f>
        <v/>
      </c>
      <c r="G71" t="str">
        <f>""</f>
        <v/>
      </c>
      <c r="I71" t="str">
        <f>"Tape Dispenser"</f>
        <v>Tape Dispenser</v>
      </c>
    </row>
    <row r="72" spans="1:9" x14ac:dyDescent="0.3">
      <c r="A72" t="str">
        <f>""</f>
        <v/>
      </c>
      <c r="F72" t="str">
        <f>""</f>
        <v/>
      </c>
      <c r="G72" t="str">
        <f>""</f>
        <v/>
      </c>
      <c r="I72" t="str">
        <f>"Draw File Cabinet"</f>
        <v>Draw File Cabinet</v>
      </c>
    </row>
    <row r="73" spans="1:9" x14ac:dyDescent="0.3">
      <c r="A73" t="str">
        <f>"005237"</f>
        <v>005237</v>
      </c>
      <c r="B73" t="s">
        <v>23</v>
      </c>
      <c r="C73">
        <v>999999</v>
      </c>
      <c r="D73" s="2">
        <v>344.94</v>
      </c>
      <c r="E73" s="1">
        <v>43067</v>
      </c>
      <c r="F73" t="str">
        <f>"APC BATTERY BACKUP"</f>
        <v>APC BATTERY BACKUP</v>
      </c>
      <c r="G73" t="str">
        <f>"AMAZON CAPITAL SERVICES INC"</f>
        <v>AMAZON CAPITAL SERVICES INC</v>
      </c>
      <c r="H73" s="2">
        <v>344.94</v>
      </c>
      <c r="I73" t="str">
        <f>"APC Battery Back-UPS"</f>
        <v>APC Battery Back-UPS</v>
      </c>
    </row>
    <row r="74" spans="1:9" x14ac:dyDescent="0.3">
      <c r="A74" t="str">
        <f>"T6702"</f>
        <v>T6702</v>
      </c>
      <c r="B74" t="s">
        <v>24</v>
      </c>
      <c r="C74">
        <v>73475</v>
      </c>
      <c r="D74" s="2">
        <v>91.94</v>
      </c>
      <c r="E74" s="1">
        <v>43052</v>
      </c>
      <c r="F74" t="str">
        <f>"201710245939"</f>
        <v>201710245939</v>
      </c>
      <c r="G74" t="str">
        <f>"NOTARY APP.-A. WITTENBORN"</f>
        <v>NOTARY APP.-A. WITTENBORN</v>
      </c>
      <c r="H74" s="2">
        <v>91.94</v>
      </c>
      <c r="I74" t="str">
        <f>"NOTARY APP.-A. WITTENBORN"</f>
        <v>NOTARY APP.-A. WITTENBORN</v>
      </c>
    </row>
    <row r="75" spans="1:9" x14ac:dyDescent="0.3">
      <c r="A75" t="str">
        <f>"AMERIC"</f>
        <v>AMERIC</v>
      </c>
      <c r="B75" t="s">
        <v>25</v>
      </c>
      <c r="C75">
        <v>73813</v>
      </c>
      <c r="D75" s="2">
        <v>8.16</v>
      </c>
      <c r="E75" s="1">
        <v>43066</v>
      </c>
      <c r="F75" t="str">
        <f>"5299167"</f>
        <v>5299167</v>
      </c>
      <c r="G75" t="str">
        <f>"INV 5299167"</f>
        <v>INV 5299167</v>
      </c>
      <c r="H75" s="2">
        <v>8.16</v>
      </c>
      <c r="I75" t="str">
        <f>"INV 5299167"</f>
        <v>INV 5299167</v>
      </c>
    </row>
    <row r="76" spans="1:9" x14ac:dyDescent="0.3">
      <c r="A76" t="str">
        <f>"003296"</f>
        <v>003296</v>
      </c>
      <c r="B76" t="s">
        <v>26</v>
      </c>
      <c r="C76">
        <v>73476</v>
      </c>
      <c r="D76" s="2">
        <v>216.64</v>
      </c>
      <c r="E76" s="1">
        <v>43052</v>
      </c>
      <c r="F76" t="str">
        <f>"S098973870"</f>
        <v>S098973870</v>
      </c>
      <c r="G76" t="str">
        <f>"CUST#379865/PCT#4"</f>
        <v>CUST#379865/PCT#4</v>
      </c>
      <c r="H76" s="2">
        <v>216.64</v>
      </c>
      <c r="I76" t="str">
        <f>"CUST#379865/PCT#4"</f>
        <v>CUST#379865/PCT#4</v>
      </c>
    </row>
    <row r="77" spans="1:9" x14ac:dyDescent="0.3">
      <c r="A77" t="str">
        <f>"003296"</f>
        <v>003296</v>
      </c>
      <c r="B77" t="s">
        <v>26</v>
      </c>
      <c r="C77">
        <v>73814</v>
      </c>
      <c r="D77" s="2">
        <v>1648.32</v>
      </c>
      <c r="E77" s="1">
        <v>43066</v>
      </c>
      <c r="F77" t="str">
        <f>"S100047265"</f>
        <v>S100047265</v>
      </c>
      <c r="G77" t="str">
        <f>"CUST#379865/PCT#2"</f>
        <v>CUST#379865/PCT#2</v>
      </c>
      <c r="H77" s="2">
        <v>1648.32</v>
      </c>
      <c r="I77" t="str">
        <f>"CUST#379865/PCT#2"</f>
        <v>CUST#379865/PCT#2</v>
      </c>
    </row>
    <row r="78" spans="1:9" x14ac:dyDescent="0.3">
      <c r="A78" t="str">
        <f>"002148"</f>
        <v>002148</v>
      </c>
      <c r="B78" t="s">
        <v>27</v>
      </c>
      <c r="C78">
        <v>73477</v>
      </c>
      <c r="D78" s="2">
        <v>547.74</v>
      </c>
      <c r="E78" s="1">
        <v>43052</v>
      </c>
      <c r="F78" t="str">
        <f>"927023452"</f>
        <v>927023452</v>
      </c>
      <c r="G78" t="str">
        <f>"INV 927023452"</f>
        <v>INV 927023452</v>
      </c>
      <c r="H78" s="2">
        <v>547.74</v>
      </c>
      <c r="I78" t="str">
        <f>"INV 927023452"</f>
        <v>INV 927023452</v>
      </c>
    </row>
    <row r="79" spans="1:9" x14ac:dyDescent="0.3">
      <c r="A79" t="str">
        <f>"002148"</f>
        <v>002148</v>
      </c>
      <c r="B79" t="s">
        <v>27</v>
      </c>
      <c r="C79">
        <v>73815</v>
      </c>
      <c r="D79" s="2">
        <v>239.55</v>
      </c>
      <c r="E79" s="1">
        <v>43066</v>
      </c>
      <c r="F79" t="str">
        <f>"927865322/92786532"</f>
        <v>927865322/92786532</v>
      </c>
      <c r="G79" t="str">
        <f>"INV 927865322"</f>
        <v>INV 927865322</v>
      </c>
      <c r="H79" s="2">
        <v>239.55</v>
      </c>
      <c r="I79" t="str">
        <f>"INV 927865322"</f>
        <v>INV 927865322</v>
      </c>
    </row>
    <row r="80" spans="1:9" x14ac:dyDescent="0.3">
      <c r="A80" t="str">
        <f>""</f>
        <v/>
      </c>
      <c r="F80" t="str">
        <f>""</f>
        <v/>
      </c>
      <c r="G80" t="str">
        <f>""</f>
        <v/>
      </c>
      <c r="I80" t="str">
        <f>"INV 927865323"</f>
        <v>INV 927865323</v>
      </c>
    </row>
    <row r="81" spans="1:10" x14ac:dyDescent="0.3">
      <c r="A81" t="str">
        <f>"005227"</f>
        <v>005227</v>
      </c>
      <c r="B81" t="s">
        <v>28</v>
      </c>
      <c r="C81">
        <v>999999</v>
      </c>
      <c r="D81" s="2">
        <v>154154</v>
      </c>
      <c r="E81" s="1">
        <v>43067</v>
      </c>
      <c r="F81" t="str">
        <f>"RIVERSIDE DR. PIPE"</f>
        <v>RIVERSIDE DR. PIPE</v>
      </c>
      <c r="G81" t="str">
        <f>"Riverside Dr. Pipe"</f>
        <v>Riverside Dr. Pipe</v>
      </c>
      <c r="H81" s="2">
        <v>154154</v>
      </c>
      <c r="I81" t="str">
        <f>"Riverside Dr. Pipe"</f>
        <v>Riverside Dr. Pipe</v>
      </c>
    </row>
    <row r="82" spans="1:10" x14ac:dyDescent="0.3">
      <c r="A82" t="str">
        <f>"T14545"</f>
        <v>T14545</v>
      </c>
      <c r="B82" t="s">
        <v>29</v>
      </c>
      <c r="C82">
        <v>73478</v>
      </c>
      <c r="D82" s="2">
        <v>27454.51</v>
      </c>
      <c r="E82" s="1">
        <v>43052</v>
      </c>
      <c r="F82" t="str">
        <f>"107675"</f>
        <v>107675</v>
      </c>
      <c r="G82" t="str">
        <f>"METERING/POSTAGE"</f>
        <v>METERING/POSTAGE</v>
      </c>
      <c r="H82" s="2">
        <v>27454.51</v>
      </c>
      <c r="I82" t="str">
        <f>"POSTAGE"</f>
        <v>POSTAGE</v>
      </c>
    </row>
    <row r="83" spans="1:10" x14ac:dyDescent="0.3">
      <c r="A83" t="str">
        <f>""</f>
        <v/>
      </c>
      <c r="F83" t="str">
        <f>""</f>
        <v/>
      </c>
      <c r="G83" t="str">
        <f>""</f>
        <v/>
      </c>
      <c r="I83" t="str">
        <f>"POSTAGE"</f>
        <v>POSTAGE</v>
      </c>
    </row>
    <row r="84" spans="1:10" x14ac:dyDescent="0.3">
      <c r="A84" t="str">
        <f>"T14545"</f>
        <v>T14545</v>
      </c>
      <c r="B84" t="s">
        <v>29</v>
      </c>
      <c r="C84">
        <v>73787</v>
      </c>
      <c r="D84" s="2">
        <v>10430.77</v>
      </c>
      <c r="E84" s="1">
        <v>43054</v>
      </c>
      <c r="F84" t="str">
        <f>"201711156626"</f>
        <v>201711156626</v>
      </c>
      <c r="G84" t="str">
        <f>"POSTAGE - ELECTIONS"</f>
        <v>POSTAGE - ELECTIONS</v>
      </c>
      <c r="H84" s="2">
        <v>10430.77</v>
      </c>
      <c r="I84" t="str">
        <f>"POSTAGE - ELECTIONS"</f>
        <v>POSTAGE - ELECTIONS</v>
      </c>
    </row>
    <row r="85" spans="1:10" x14ac:dyDescent="0.3">
      <c r="A85" t="str">
        <f>"T7520"</f>
        <v>T7520</v>
      </c>
      <c r="B85" t="s">
        <v>30</v>
      </c>
      <c r="C85">
        <v>999999</v>
      </c>
      <c r="D85" s="2">
        <v>6565</v>
      </c>
      <c r="E85" s="1">
        <v>43053</v>
      </c>
      <c r="F85" t="s">
        <v>31</v>
      </c>
      <c r="G85" t="s">
        <v>32</v>
      </c>
      <c r="H85" s="2" t="str">
        <f>"16 365"</f>
        <v>16 365</v>
      </c>
      <c r="I85" t="str">
        <f>"435-4105"</f>
        <v>435-4105</v>
      </c>
      <c r="J85">
        <v>400</v>
      </c>
    </row>
    <row r="86" spans="1:10" x14ac:dyDescent="0.3">
      <c r="A86" t="str">
        <f>""</f>
        <v/>
      </c>
      <c r="F86" t="str">
        <f>"201710255961"</f>
        <v>201710255961</v>
      </c>
      <c r="G86" t="str">
        <f>"16 371  618-21"</f>
        <v>16 371  618-21</v>
      </c>
      <c r="H86" s="2">
        <v>500</v>
      </c>
      <c r="I86" t="str">
        <f>"16 371  618-21"</f>
        <v>16 371  618-21</v>
      </c>
    </row>
    <row r="87" spans="1:10" x14ac:dyDescent="0.3">
      <c r="A87" t="str">
        <f>""</f>
        <v/>
      </c>
      <c r="F87" t="str">
        <f>"201710255962"</f>
        <v>201710255962</v>
      </c>
      <c r="G87" t="str">
        <f>"14 411"</f>
        <v>14 411</v>
      </c>
      <c r="H87" s="2">
        <v>400</v>
      </c>
      <c r="I87" t="str">
        <f>"14 411"</f>
        <v>14 411</v>
      </c>
    </row>
    <row r="88" spans="1:10" x14ac:dyDescent="0.3">
      <c r="A88" t="str">
        <f>""</f>
        <v/>
      </c>
      <c r="F88" t="str">
        <f>"201710255963"</f>
        <v>201710255963</v>
      </c>
      <c r="G88" t="str">
        <f>"16 168"</f>
        <v>16 168</v>
      </c>
      <c r="H88" s="2">
        <v>400</v>
      </c>
      <c r="I88" t="str">
        <f>"16 168"</f>
        <v>16 168</v>
      </c>
    </row>
    <row r="89" spans="1:10" x14ac:dyDescent="0.3">
      <c r="A89" t="str">
        <f>""</f>
        <v/>
      </c>
      <c r="F89" t="str">
        <f>"201710255964"</f>
        <v>201710255964</v>
      </c>
      <c r="G89" t="str">
        <f>"14 889  28 560"</f>
        <v>14 889  28 560</v>
      </c>
      <c r="H89" s="2">
        <v>500</v>
      </c>
      <c r="I89" t="str">
        <f>"14 889  28 560"</f>
        <v>14 889  28 560</v>
      </c>
    </row>
    <row r="90" spans="1:10" x14ac:dyDescent="0.3">
      <c r="A90" t="str">
        <f>""</f>
        <v/>
      </c>
      <c r="F90" t="str">
        <f>"201710276007"</f>
        <v>201710276007</v>
      </c>
      <c r="G90" t="str">
        <f>"NO CAUSE # OR NAMES LISTED"</f>
        <v>NO CAUSE # OR NAMES LISTED</v>
      </c>
      <c r="H90" s="2">
        <v>100</v>
      </c>
      <c r="I90" t="str">
        <f>"NO CAUSE # OR NAMES LISTED"</f>
        <v>NO CAUSE # OR NAMES LISTED</v>
      </c>
    </row>
    <row r="91" spans="1:10" x14ac:dyDescent="0.3">
      <c r="A91" t="str">
        <f>""</f>
        <v/>
      </c>
      <c r="F91" t="str">
        <f>"201710276008"</f>
        <v>201710276008</v>
      </c>
      <c r="G91" t="str">
        <f>"55 183"</f>
        <v>55 183</v>
      </c>
      <c r="H91" s="2">
        <v>250</v>
      </c>
      <c r="I91" t="str">
        <f>"55 183"</f>
        <v>55 183</v>
      </c>
    </row>
    <row r="92" spans="1:10" x14ac:dyDescent="0.3">
      <c r="A92" t="str">
        <f>""</f>
        <v/>
      </c>
      <c r="F92" t="str">
        <f>"201710316084"</f>
        <v>201710316084</v>
      </c>
      <c r="G92" t="str">
        <f>"16 268"</f>
        <v>16 268</v>
      </c>
      <c r="H92" s="2">
        <v>400</v>
      </c>
      <c r="I92" t="str">
        <f>"16 268"</f>
        <v>16 268</v>
      </c>
    </row>
    <row r="93" spans="1:10" x14ac:dyDescent="0.3">
      <c r="A93" t="str">
        <f>""</f>
        <v/>
      </c>
      <c r="F93" t="str">
        <f>"201710316085"</f>
        <v>201710316085</v>
      </c>
      <c r="G93" t="str">
        <f>"15 988"</f>
        <v>15 988</v>
      </c>
      <c r="H93" s="2">
        <v>400</v>
      </c>
      <c r="I93" t="str">
        <f>"15 988"</f>
        <v>15 988</v>
      </c>
    </row>
    <row r="94" spans="1:10" x14ac:dyDescent="0.3">
      <c r="A94" t="str">
        <f>""</f>
        <v/>
      </c>
      <c r="F94" t="str">
        <f>"201711036117"</f>
        <v>201711036117</v>
      </c>
      <c r="G94" t="str">
        <f>"207082017D"</f>
        <v>207082017D</v>
      </c>
      <c r="H94" s="2">
        <v>250</v>
      </c>
      <c r="I94" t="str">
        <f>"207082017D"</f>
        <v>207082017D</v>
      </c>
    </row>
    <row r="95" spans="1:10" x14ac:dyDescent="0.3">
      <c r="A95" t="str">
        <f>""</f>
        <v/>
      </c>
      <c r="F95" t="str">
        <f>"201711036118"</f>
        <v>201711036118</v>
      </c>
      <c r="G95" t="str">
        <f>"16-17601"</f>
        <v>16-17601</v>
      </c>
      <c r="H95" s="2">
        <v>1840</v>
      </c>
      <c r="I95" t="str">
        <f>"16-17601"</f>
        <v>16-17601</v>
      </c>
    </row>
    <row r="96" spans="1:10" x14ac:dyDescent="0.3">
      <c r="A96" t="str">
        <f>""</f>
        <v/>
      </c>
      <c r="F96" t="str">
        <f>"201711036163"</f>
        <v>201711036163</v>
      </c>
      <c r="G96" t="str">
        <f>"55 573  55 574  3017232017D"</f>
        <v>55 573  55 574  3017232017D</v>
      </c>
      <c r="H96" s="2">
        <v>500</v>
      </c>
      <c r="I96" t="str">
        <f>"55 573  55 574  3017232017D"</f>
        <v>55 573  55 574  3017232017D</v>
      </c>
    </row>
    <row r="97" spans="1:9" x14ac:dyDescent="0.3">
      <c r="A97" t="str">
        <f>""</f>
        <v/>
      </c>
      <c r="F97" t="str">
        <f>"201711036176"</f>
        <v>201711036176</v>
      </c>
      <c r="G97" t="str">
        <f>"55 431"</f>
        <v>55 431</v>
      </c>
      <c r="H97" s="2">
        <v>250</v>
      </c>
      <c r="I97" t="str">
        <f>"55 431"</f>
        <v>55 431</v>
      </c>
    </row>
    <row r="98" spans="1:9" x14ac:dyDescent="0.3">
      <c r="A98" t="str">
        <f>""</f>
        <v/>
      </c>
      <c r="F98" t="str">
        <f>"201711036177"</f>
        <v>201711036177</v>
      </c>
      <c r="G98" t="str">
        <f>"55 432  CH2015125H"</f>
        <v>55 432  CH2015125H</v>
      </c>
      <c r="H98" s="2">
        <v>375</v>
      </c>
      <c r="I98" t="str">
        <f>"55 432  CH2015125H"</f>
        <v>55 432  CH2015125H</v>
      </c>
    </row>
    <row r="99" spans="1:9" x14ac:dyDescent="0.3">
      <c r="A99" t="str">
        <f>"T7520"</f>
        <v>T7520</v>
      </c>
      <c r="B99" t="s">
        <v>30</v>
      </c>
      <c r="C99">
        <v>999999</v>
      </c>
      <c r="D99" s="2">
        <v>1557.5</v>
      </c>
      <c r="E99" s="1">
        <v>43067</v>
      </c>
      <c r="F99" t="str">
        <f>"201711166668"</f>
        <v>201711166668</v>
      </c>
      <c r="G99" t="str">
        <f>"54 891"</f>
        <v>54 891</v>
      </c>
      <c r="H99" s="2">
        <v>250</v>
      </c>
      <c r="I99" t="str">
        <f>"54 891"</f>
        <v>54 891</v>
      </c>
    </row>
    <row r="100" spans="1:9" x14ac:dyDescent="0.3">
      <c r="A100" t="str">
        <f>""</f>
        <v/>
      </c>
      <c r="F100" t="str">
        <f>"201711166669"</f>
        <v>201711166669</v>
      </c>
      <c r="G100" t="str">
        <f>"17-18615"</f>
        <v>17-18615</v>
      </c>
      <c r="H100" s="2">
        <v>492.5</v>
      </c>
      <c r="I100" t="str">
        <f>"17-18615"</f>
        <v>17-18615</v>
      </c>
    </row>
    <row r="101" spans="1:9" x14ac:dyDescent="0.3">
      <c r="A101" t="str">
        <f>""</f>
        <v/>
      </c>
      <c r="F101" t="str">
        <f>"201711166670"</f>
        <v>201711166670</v>
      </c>
      <c r="G101" t="str">
        <f>"17-18535"</f>
        <v>17-18535</v>
      </c>
      <c r="H101" s="2">
        <v>167.5</v>
      </c>
      <c r="I101" t="str">
        <f>"17-18535"</f>
        <v>17-18535</v>
      </c>
    </row>
    <row r="102" spans="1:9" x14ac:dyDescent="0.3">
      <c r="A102" t="str">
        <f>""</f>
        <v/>
      </c>
      <c r="F102" t="str">
        <f>"201711166671"</f>
        <v>201711166671</v>
      </c>
      <c r="G102" t="str">
        <f>"16-17765"</f>
        <v>16-17765</v>
      </c>
      <c r="H102" s="2">
        <v>360</v>
      </c>
      <c r="I102" t="str">
        <f>"16-17765"</f>
        <v>16-17765</v>
      </c>
    </row>
    <row r="103" spans="1:9" x14ac:dyDescent="0.3">
      <c r="A103" t="str">
        <f>""</f>
        <v/>
      </c>
      <c r="F103" t="str">
        <f>"201711166672"</f>
        <v>201711166672</v>
      </c>
      <c r="G103" t="str">
        <f>"16-17913"</f>
        <v>16-17913</v>
      </c>
      <c r="H103" s="2">
        <v>287.5</v>
      </c>
      <c r="I103" t="str">
        <f>"16-17913"</f>
        <v>16-17913</v>
      </c>
    </row>
    <row r="104" spans="1:9" x14ac:dyDescent="0.3">
      <c r="A104" t="str">
        <f>"T7342"</f>
        <v>T7342</v>
      </c>
      <c r="B104" t="s">
        <v>33</v>
      </c>
      <c r="C104">
        <v>73479</v>
      </c>
      <c r="D104" s="2">
        <v>114.15</v>
      </c>
      <c r="E104" s="1">
        <v>43052</v>
      </c>
      <c r="F104" t="str">
        <f>"201710255949"</f>
        <v>201710255949</v>
      </c>
      <c r="G104" t="str">
        <f>"REIMBURSE-LUNCH"</f>
        <v>REIMBURSE-LUNCH</v>
      </c>
      <c r="H104" s="2">
        <v>114.15</v>
      </c>
      <c r="I104" t="str">
        <f>"REIMBURSE-LUNCH"</f>
        <v>REIMBURSE-LUNCH</v>
      </c>
    </row>
    <row r="105" spans="1:9" x14ac:dyDescent="0.3">
      <c r="A105" t="str">
        <f>"005263"</f>
        <v>005263</v>
      </c>
      <c r="B105" t="s">
        <v>34</v>
      </c>
      <c r="C105">
        <v>73480</v>
      </c>
      <c r="D105" s="2">
        <v>25</v>
      </c>
      <c r="E105" s="1">
        <v>43052</v>
      </c>
      <c r="F105" t="str">
        <f>"201710255977"</f>
        <v>201710255977</v>
      </c>
      <c r="G105" t="str">
        <f>"OVERPAYMENT"</f>
        <v>OVERPAYMENT</v>
      </c>
      <c r="H105" s="2">
        <v>25</v>
      </c>
      <c r="I105" t="str">
        <f>"OVERPAYMENT"</f>
        <v>OVERPAYMENT</v>
      </c>
    </row>
    <row r="106" spans="1:9" x14ac:dyDescent="0.3">
      <c r="A106" t="str">
        <f>"002661"</f>
        <v>002661</v>
      </c>
      <c r="B106" t="s">
        <v>35</v>
      </c>
      <c r="C106">
        <v>73481</v>
      </c>
      <c r="D106" s="2">
        <v>43.44</v>
      </c>
      <c r="E106" s="1">
        <v>43052</v>
      </c>
      <c r="F106" t="str">
        <f>"1710-364349"</f>
        <v>1710-364349</v>
      </c>
      <c r="G106" t="str">
        <f>"ACCT#3-3053/PCT#2"</f>
        <v>ACCT#3-3053/PCT#2</v>
      </c>
      <c r="H106" s="2">
        <v>43.44</v>
      </c>
      <c r="I106" t="str">
        <f>"ACCT#3-3053/PCT#2"</f>
        <v>ACCT#3-3053/PCT#2</v>
      </c>
    </row>
    <row r="107" spans="1:9" x14ac:dyDescent="0.3">
      <c r="A107" t="str">
        <f>"004902"</f>
        <v>004902</v>
      </c>
      <c r="B107" t="s">
        <v>36</v>
      </c>
      <c r="C107">
        <v>999999</v>
      </c>
      <c r="D107" s="2">
        <v>854.93</v>
      </c>
      <c r="E107" s="1">
        <v>43053</v>
      </c>
      <c r="F107" t="str">
        <f>"201711026109"</f>
        <v>201711026109</v>
      </c>
      <c r="G107" t="str">
        <f>"MILEAGE/OCT 2017"</f>
        <v>MILEAGE/OCT 2017</v>
      </c>
      <c r="H107" s="2">
        <v>854.93</v>
      </c>
      <c r="I107" t="str">
        <f>"MILEAGE/OCT 2017"</f>
        <v>MILEAGE/OCT 2017</v>
      </c>
    </row>
    <row r="108" spans="1:9" x14ac:dyDescent="0.3">
      <c r="A108" t="str">
        <f>"AQUAB"</f>
        <v>AQUAB</v>
      </c>
      <c r="B108" t="s">
        <v>37</v>
      </c>
      <c r="C108">
        <v>73482</v>
      </c>
      <c r="D108" s="2">
        <v>900.13</v>
      </c>
      <c r="E108" s="1">
        <v>43052</v>
      </c>
      <c r="F108" t="str">
        <f>"201711016100"</f>
        <v>201711016100</v>
      </c>
      <c r="G108" t="str">
        <f>"209932/210529/211740/212687/GS"</f>
        <v>209932/210529/211740/212687/GS</v>
      </c>
      <c r="H108" s="2">
        <v>101.5</v>
      </c>
      <c r="I108" t="str">
        <f>"209932/210529/211740/212687/GS"</f>
        <v>209932/210529/211740/212687/GS</v>
      </c>
    </row>
    <row r="109" spans="1:9" x14ac:dyDescent="0.3">
      <c r="A109" t="str">
        <f>""</f>
        <v/>
      </c>
      <c r="F109" t="str">
        <f>"201711066343"</f>
        <v>201711066343</v>
      </c>
      <c r="G109" t="str">
        <f>"ACCT#015538/EMER COMM"</f>
        <v>ACCT#015538/EMER COMM</v>
      </c>
      <c r="H109" s="2">
        <v>223.77</v>
      </c>
      <c r="I109" t="str">
        <f>"ACCT#015538/EMER COMM"</f>
        <v>ACCT#015538/EMER COMM</v>
      </c>
    </row>
    <row r="110" spans="1:9" x14ac:dyDescent="0.3">
      <c r="A110" t="str">
        <f>""</f>
        <v/>
      </c>
      <c r="F110" t="str">
        <f>"209928/212194"</f>
        <v>209928/212194</v>
      </c>
      <c r="G110" t="str">
        <f>"ACCT#013789/BASTROP COUNTY"</f>
        <v>ACCT#013789/BASTROP COUNTY</v>
      </c>
      <c r="H110" s="2">
        <v>41.84</v>
      </c>
      <c r="I110" t="str">
        <f>"ACCT#013789/BASTROP COUNTY"</f>
        <v>ACCT#013789/BASTROP COUNTY</v>
      </c>
    </row>
    <row r="111" spans="1:9" x14ac:dyDescent="0.3">
      <c r="A111" t="str">
        <f>""</f>
        <v/>
      </c>
      <c r="F111" t="str">
        <f>"209929/211877"</f>
        <v>209929/211877</v>
      </c>
      <c r="G111" t="str">
        <f>"ACCT#011280/COUNTY CLERK"</f>
        <v>ACCT#011280/COUNTY CLERK</v>
      </c>
      <c r="H111" s="2">
        <v>46.5</v>
      </c>
      <c r="I111" t="str">
        <f>"ACCT#011280/COUNTY CLERK"</f>
        <v>ACCT#011280/COUNTY CLERK</v>
      </c>
    </row>
    <row r="112" spans="1:9" x14ac:dyDescent="0.3">
      <c r="A112" t="str">
        <f>""</f>
        <v/>
      </c>
      <c r="F112" t="str">
        <f>"209930/211812"</f>
        <v>209930/211812</v>
      </c>
      <c r="G112" t="str">
        <f>"ACCT#010835/CO COMM PCT#1"</f>
        <v>ACCT#010835/CO COMM PCT#1</v>
      </c>
      <c r="H112" s="2">
        <v>19.34</v>
      </c>
      <c r="I112" t="str">
        <f>"ACCT#010835/CO COMM PCT#1"</f>
        <v>ACCT#010835/CO COMM PCT#1</v>
      </c>
    </row>
    <row r="113" spans="1:9" x14ac:dyDescent="0.3">
      <c r="A113" t="str">
        <f>""</f>
        <v/>
      </c>
      <c r="F113" t="str">
        <f>"209934/211715"</f>
        <v>209934/211715</v>
      </c>
      <c r="G113" t="str">
        <f>"ACCT#010057/AUDITOR'S OFFICE"</f>
        <v>ACCT#010057/AUDITOR'S OFFICE</v>
      </c>
      <c r="H113" s="2">
        <v>39</v>
      </c>
      <c r="I113" t="str">
        <f>"ACCT#010057/AUDITOR'S OFFICE"</f>
        <v>ACCT#010057/AUDITOR'S OFFICE</v>
      </c>
    </row>
    <row r="114" spans="1:9" x14ac:dyDescent="0.3">
      <c r="A114" t="str">
        <f>""</f>
        <v/>
      </c>
      <c r="F114" t="str">
        <f>"209936/212546"</f>
        <v>209936/212546</v>
      </c>
      <c r="G114" t="str">
        <f>"ACCT#015199/JP#1"</f>
        <v>ACCT#015199/JP#1</v>
      </c>
      <c r="H114" s="2">
        <v>19.34</v>
      </c>
      <c r="I114" t="str">
        <f>"ACCT#015199/JP#1"</f>
        <v>ACCT#015199/JP#1</v>
      </c>
    </row>
    <row r="115" spans="1:9" x14ac:dyDescent="0.3">
      <c r="A115" t="str">
        <f>""</f>
        <v/>
      </c>
      <c r="F115" t="str">
        <f>"209937/212151"</f>
        <v>209937/212151</v>
      </c>
      <c r="G115" t="str">
        <f>"ACCT#013393/BASTROP CO HR"</f>
        <v>ACCT#013393/BASTROP CO HR</v>
      </c>
      <c r="H115" s="2">
        <v>32.5</v>
      </c>
      <c r="I115" t="str">
        <f>"ACCT#013393/BASTROP CO HR"</f>
        <v>ACCT#013393/BASTROP CO HR</v>
      </c>
    </row>
    <row r="116" spans="1:9" x14ac:dyDescent="0.3">
      <c r="A116" t="str">
        <f>""</f>
        <v/>
      </c>
      <c r="F116" t="str">
        <f>"209938/211780"</f>
        <v>209938/211780</v>
      </c>
      <c r="G116" t="str">
        <f>"ACCT#010602/COMMISSIONER OFF"</f>
        <v>ACCT#010602/COMMISSIONER OFF</v>
      </c>
      <c r="H116" s="2">
        <v>33</v>
      </c>
      <c r="I116" t="str">
        <f>"ACCT#010602/COMMISSIONERS OFF"</f>
        <v>ACCT#010602/COMMISSIONERS OFF</v>
      </c>
    </row>
    <row r="117" spans="1:9" x14ac:dyDescent="0.3">
      <c r="A117" t="str">
        <f>""</f>
        <v/>
      </c>
      <c r="F117" t="str">
        <f>"209939/212061"</f>
        <v>209939/212061</v>
      </c>
      <c r="G117" t="str">
        <f>"ACCT#012571/TREASURER"</f>
        <v>ACCT#012571/TREASURER</v>
      </c>
      <c r="H117" s="2">
        <v>31.5</v>
      </c>
      <c r="I117" t="str">
        <f>"ACCT#012571/TREASURER"</f>
        <v>ACCT#012571/TREASURER</v>
      </c>
    </row>
    <row r="118" spans="1:9" x14ac:dyDescent="0.3">
      <c r="A118" t="str">
        <f>""</f>
        <v/>
      </c>
      <c r="F118" t="str">
        <f>"209941"</f>
        <v>209941</v>
      </c>
      <c r="G118" t="str">
        <f>"ACCT#012260/DA'S OFFICE"</f>
        <v>ACCT#012260/DA'S OFFICE</v>
      </c>
      <c r="H118" s="2">
        <v>52.5</v>
      </c>
      <c r="I118" t="str">
        <f>"ACCT#012260/DA'S OFFICE"</f>
        <v>ACCT#012260/DA'S OFFICE</v>
      </c>
    </row>
    <row r="119" spans="1:9" x14ac:dyDescent="0.3">
      <c r="A119" t="str">
        <f>""</f>
        <v/>
      </c>
      <c r="F119" t="str">
        <f>"209942/211837"</f>
        <v>209942/211837</v>
      </c>
      <c r="G119" t="str">
        <f>"ACCT#011033/IT DEPT"</f>
        <v>ACCT#011033/IT DEPT</v>
      </c>
      <c r="H119" s="2">
        <v>36</v>
      </c>
      <c r="I119" t="str">
        <f>"ACCT#011033/IT DEPT"</f>
        <v>ACCT#011033/IT DEPT</v>
      </c>
    </row>
    <row r="120" spans="1:9" x14ac:dyDescent="0.3">
      <c r="A120" t="str">
        <f>""</f>
        <v/>
      </c>
      <c r="F120" t="str">
        <f>"209943/211962"</f>
        <v>209943/211962</v>
      </c>
      <c r="G120" t="str">
        <f>"ACCT#011955/DIST JUDGE"</f>
        <v>ACCT#011955/DIST JUDGE</v>
      </c>
      <c r="H120" s="2">
        <v>63</v>
      </c>
      <c r="I120" t="str">
        <f>"ACCT#011955/DIST JUDGE"</f>
        <v>ACCT#011955/DIST JUDGE</v>
      </c>
    </row>
    <row r="121" spans="1:9" x14ac:dyDescent="0.3">
      <c r="A121" t="str">
        <f>""</f>
        <v/>
      </c>
      <c r="F121" t="str">
        <f>"209944/211897"</f>
        <v>209944/211897</v>
      </c>
      <c r="G121" t="str">
        <f>"ACCT#011474/ELECTIONS"</f>
        <v>ACCT#011474/ELECTIONS</v>
      </c>
      <c r="H121" s="2">
        <v>25</v>
      </c>
      <c r="I121" t="str">
        <f>"ACCT#011474/ELECTIONS"</f>
        <v>ACCT#011474/ELECTIONS</v>
      </c>
    </row>
    <row r="122" spans="1:9" x14ac:dyDescent="0.3">
      <c r="A122" t="str">
        <f>""</f>
        <v/>
      </c>
      <c r="F122" t="str">
        <f>"209945/212008"</f>
        <v>209945/212008</v>
      </c>
      <c r="G122" t="str">
        <f>"ACCT#012259/DIST CLERK'S OFF"</f>
        <v>ACCT#012259/DIST CLERK'S OFF</v>
      </c>
      <c r="H122" s="2">
        <v>61.5</v>
      </c>
      <c r="I122" t="str">
        <f>"ACCT#012259/DIST CLERK'S OFF"</f>
        <v>ACCT#012259/DIST CLERK'S OFF</v>
      </c>
    </row>
    <row r="123" spans="1:9" x14ac:dyDescent="0.3">
      <c r="A123" t="str">
        <f>""</f>
        <v/>
      </c>
      <c r="F123" t="str">
        <f>"209953/211730"</f>
        <v>209953/211730</v>
      </c>
      <c r="G123" t="str">
        <f>"ACCT#010149/EXTENSION OFFICE"</f>
        <v>ACCT#010149/EXTENSION OFFICE</v>
      </c>
      <c r="H123" s="2">
        <v>33.840000000000003</v>
      </c>
      <c r="I123" t="str">
        <f>"ACCT#010149/EXTENSION OFFICE"</f>
        <v>ACCT#010149/EXTENSION OFFICE</v>
      </c>
    </row>
    <row r="124" spans="1:9" x14ac:dyDescent="0.3">
      <c r="A124" t="str">
        <f>""</f>
        <v/>
      </c>
      <c r="F124" t="str">
        <f>"211723"</f>
        <v>211723</v>
      </c>
      <c r="G124" t="str">
        <f>"ACCT#010111/CCAL-BASTROP"</f>
        <v>ACCT#010111/CCAL-BASTROP</v>
      </c>
      <c r="H124" s="2">
        <v>13</v>
      </c>
      <c r="I124" t="str">
        <f>"ACCT#010111/CCAL-BASTROP"</f>
        <v>ACCT#010111/CCAL-BASTROP</v>
      </c>
    </row>
    <row r="125" spans="1:9" x14ac:dyDescent="0.3">
      <c r="A125" t="str">
        <f>""</f>
        <v/>
      </c>
      <c r="F125" t="str">
        <f>"211749"</f>
        <v>211749</v>
      </c>
      <c r="G125" t="str">
        <f>"ACCT#010311/COUNTY COURT"</f>
        <v>ACCT#010311/COUNTY COURT</v>
      </c>
      <c r="H125" s="2">
        <v>9</v>
      </c>
      <c r="I125" t="str">
        <f>"ACCT#010311/COUNTY COURT"</f>
        <v>ACCT#010311/COUNTY COURT</v>
      </c>
    </row>
    <row r="126" spans="1:9" x14ac:dyDescent="0.3">
      <c r="A126" t="str">
        <f>""</f>
        <v/>
      </c>
      <c r="F126" t="str">
        <f>"212096"</f>
        <v>212096</v>
      </c>
      <c r="G126" t="str">
        <f>"ACCT#012803/BASTROP CO JUDGE"</f>
        <v>ACCT#012803/BASTROP CO JUDGE</v>
      </c>
      <c r="H126" s="2">
        <v>9</v>
      </c>
      <c r="I126" t="str">
        <f>"ACCT#012803/BASTROP CO JUDGE"</f>
        <v>ACCT#012803/BASTROP CO JUDGE</v>
      </c>
    </row>
    <row r="127" spans="1:9" x14ac:dyDescent="0.3">
      <c r="A127" t="str">
        <f>""</f>
        <v/>
      </c>
      <c r="F127" t="str">
        <f>"212425"</f>
        <v>212425</v>
      </c>
      <c r="G127" t="str">
        <f>"ACCT#014877/OFFICE OF EMER MGT"</f>
        <v>ACCT#014877/OFFICE OF EMER MGT</v>
      </c>
      <c r="H127" s="2">
        <v>9</v>
      </c>
      <c r="I127" t="str">
        <f>"ACCT#014877/OFFICE OF EMER MGT"</f>
        <v>ACCT#014877/OFFICE OF EMER MGT</v>
      </c>
    </row>
    <row r="128" spans="1:9" x14ac:dyDescent="0.3">
      <c r="A128" t="str">
        <f>"AWS"</f>
        <v>AWS</v>
      </c>
      <c r="B128" t="s">
        <v>38</v>
      </c>
      <c r="C128">
        <v>73816</v>
      </c>
      <c r="D128" s="2">
        <v>1875.75</v>
      </c>
      <c r="E128" s="1">
        <v>43066</v>
      </c>
      <c r="F128" t="str">
        <f>"201711156605"</f>
        <v>201711156605</v>
      </c>
      <c r="G128" t="str">
        <f>"ACCT#7700010024/12 LD WATER/P1"</f>
        <v>ACCT#7700010024/12 LD WATER/P1</v>
      </c>
      <c r="H128" s="2">
        <v>123</v>
      </c>
      <c r="I128" t="str">
        <f>"ACCT#7700010024/12 LD WATER/P1"</f>
        <v>ACCT#7700010024/12 LD WATER/P1</v>
      </c>
    </row>
    <row r="129" spans="1:9" x14ac:dyDescent="0.3">
      <c r="A129" t="str">
        <f>""</f>
        <v/>
      </c>
      <c r="F129" t="str">
        <f>"201711156609"</f>
        <v>201711156609</v>
      </c>
      <c r="G129" t="str">
        <f>"ACCT#7700010027/100 LDS WTR/P4"</f>
        <v>ACCT#7700010027/100 LDS WTR/P4</v>
      </c>
      <c r="H129" s="2">
        <v>1025</v>
      </c>
      <c r="I129" t="str">
        <f>"ACCT#7700010027/100 LDS WTR/P4"</f>
        <v>ACCT#7700010027/100 LDS WTR/P4</v>
      </c>
    </row>
    <row r="130" spans="1:9" x14ac:dyDescent="0.3">
      <c r="A130" t="str">
        <f>""</f>
        <v/>
      </c>
      <c r="F130" t="str">
        <f>"201711156613"</f>
        <v>201711156613</v>
      </c>
      <c r="G130" t="str">
        <f>"ACCT#7700010025/71 LDS WTR/P2"</f>
        <v>ACCT#7700010025/71 LDS WTR/P2</v>
      </c>
      <c r="H130" s="2">
        <v>727.75</v>
      </c>
      <c r="I130" t="str">
        <f>"ACCT#7700010025/71 LDS WTR/P2"</f>
        <v>ACCT#7700010025/71 LDS WTR/P2</v>
      </c>
    </row>
    <row r="131" spans="1:9" x14ac:dyDescent="0.3">
      <c r="A131" t="str">
        <f>"AWS"</f>
        <v>AWS</v>
      </c>
      <c r="B131" t="s">
        <v>38</v>
      </c>
      <c r="C131">
        <v>73992</v>
      </c>
      <c r="D131" s="2">
        <v>708.5</v>
      </c>
      <c r="E131" s="1">
        <v>43068</v>
      </c>
      <c r="F131" t="str">
        <f>"201711296839"</f>
        <v>201711296839</v>
      </c>
      <c r="G131" t="str">
        <f>"ACCT#0102120801/12012017"</f>
        <v>ACCT#0102120801/12012017</v>
      </c>
      <c r="H131" s="2">
        <v>647.89</v>
      </c>
      <c r="I131" t="str">
        <f>"ACCT#0102120801/12012017"</f>
        <v>ACCT#0102120801/12012017</v>
      </c>
    </row>
    <row r="132" spans="1:9" x14ac:dyDescent="0.3">
      <c r="A132" t="str">
        <f>""</f>
        <v/>
      </c>
      <c r="F132" t="str">
        <f>"201711296840"</f>
        <v>201711296840</v>
      </c>
      <c r="G132" t="str">
        <f>"ACCT#0201891401/12012017"</f>
        <v>ACCT#0201891401/12012017</v>
      </c>
      <c r="H132" s="2">
        <v>25.28</v>
      </c>
      <c r="I132" t="str">
        <f>"ACCT#0201891401/12012017"</f>
        <v>ACCT#0201891401/12012017</v>
      </c>
    </row>
    <row r="133" spans="1:9" x14ac:dyDescent="0.3">
      <c r="A133" t="str">
        <f>""</f>
        <v/>
      </c>
      <c r="F133" t="str">
        <f>"201711296841"</f>
        <v>201711296841</v>
      </c>
      <c r="G133" t="str">
        <f>"ACCT#0800042801/12012017"</f>
        <v>ACCT#0800042801/12012017</v>
      </c>
      <c r="H133" s="2">
        <v>35.33</v>
      </c>
      <c r="I133" t="str">
        <f>"ACCT#0800042801/12012017"</f>
        <v>ACCT#0800042801/12012017</v>
      </c>
    </row>
    <row r="134" spans="1:9" x14ac:dyDescent="0.3">
      <c r="A134" t="str">
        <f>"000987"</f>
        <v>000987</v>
      </c>
      <c r="B134" t="s">
        <v>39</v>
      </c>
      <c r="C134">
        <v>73483</v>
      </c>
      <c r="D134" s="2">
        <v>343.75</v>
      </c>
      <c r="E134" s="1">
        <v>43052</v>
      </c>
      <c r="F134" t="str">
        <f>"201711086491"</f>
        <v>201711086491</v>
      </c>
      <c r="G134" t="str">
        <f>"INDIGENT HEALTH"</f>
        <v>INDIGENT HEALTH</v>
      </c>
      <c r="H134" s="2">
        <v>343.75</v>
      </c>
      <c r="I134" t="str">
        <f>"INDIGENT HEALTH"</f>
        <v>INDIGENT HEALTH</v>
      </c>
    </row>
    <row r="135" spans="1:9" x14ac:dyDescent="0.3">
      <c r="A135" t="str">
        <f>"001114"</f>
        <v>001114</v>
      </c>
      <c r="B135" t="s">
        <v>40</v>
      </c>
      <c r="C135">
        <v>999999</v>
      </c>
      <c r="D135" s="2">
        <v>1375</v>
      </c>
      <c r="E135" s="1">
        <v>43053</v>
      </c>
      <c r="F135" t="str">
        <f>"198167"</f>
        <v>198167</v>
      </c>
      <c r="G135" t="str">
        <f>"INV 198167"</f>
        <v>INV 198167</v>
      </c>
      <c r="H135" s="2">
        <v>1375</v>
      </c>
      <c r="I135" t="str">
        <f>"INV 198167"</f>
        <v>INV 198167</v>
      </c>
    </row>
    <row r="136" spans="1:9" x14ac:dyDescent="0.3">
      <c r="A136" t="str">
        <f>"003672"</f>
        <v>003672</v>
      </c>
      <c r="B136" t="s">
        <v>41</v>
      </c>
      <c r="C136">
        <v>73817</v>
      </c>
      <c r="D136" s="2">
        <v>44795.75</v>
      </c>
      <c r="E136" s="1">
        <v>43066</v>
      </c>
      <c r="F136" t="str">
        <f>"14590"</f>
        <v>14590</v>
      </c>
      <c r="G136" t="str">
        <f>"PROJ NAME BC SEPT/OCT ADVERT"</f>
        <v>PROJ NAME BC SEPT/OCT ADVERT</v>
      </c>
      <c r="H136" s="2">
        <v>34645.75</v>
      </c>
      <c r="I136" t="str">
        <f>"PROJ NAME BC SEPT/OCT ADVERT"</f>
        <v>PROJ NAME BC SEPT/OCT ADVERT</v>
      </c>
    </row>
    <row r="137" spans="1:9" x14ac:dyDescent="0.3">
      <c r="A137" t="str">
        <f>""</f>
        <v/>
      </c>
      <c r="F137" t="str">
        <f>"14591"</f>
        <v>14591</v>
      </c>
      <c r="G137" t="str">
        <f>"PROJ#BC PRO SERV SEPTIC/OCT AD"</f>
        <v>PROJ#BC PRO SERV SEPTIC/OCT AD</v>
      </c>
      <c r="H137" s="2">
        <v>10150</v>
      </c>
      <c r="I137" t="str">
        <f>"PROJ#BC PRO SERV SEPTIC/OCT AD"</f>
        <v>PROJ#BC PRO SERV SEPTIC/OCT AD</v>
      </c>
    </row>
    <row r="138" spans="1:9" x14ac:dyDescent="0.3">
      <c r="A138" t="str">
        <f>"004507"</f>
        <v>004507</v>
      </c>
      <c r="B138" t="s">
        <v>42</v>
      </c>
      <c r="C138">
        <v>73484</v>
      </c>
      <c r="D138" s="2">
        <v>10.039999999999999</v>
      </c>
      <c r="E138" s="1">
        <v>43052</v>
      </c>
      <c r="F138" t="str">
        <f>"201711036111"</f>
        <v>201711036111</v>
      </c>
      <c r="G138" t="str">
        <f>"REIMBURSE FUEL"</f>
        <v>REIMBURSE FUEL</v>
      </c>
      <c r="H138" s="2">
        <v>10.039999999999999</v>
      </c>
      <c r="I138" t="str">
        <f>"REIMBURSE FUEL"</f>
        <v>REIMBURSE FUEL</v>
      </c>
    </row>
    <row r="139" spans="1:9" x14ac:dyDescent="0.3">
      <c r="A139" t="str">
        <f>"T7386"</f>
        <v>T7386</v>
      </c>
      <c r="B139" t="s">
        <v>43</v>
      </c>
      <c r="C139">
        <v>73818</v>
      </c>
      <c r="D139" s="2">
        <v>1795.37</v>
      </c>
      <c r="E139" s="1">
        <v>43066</v>
      </c>
      <c r="F139" t="str">
        <f>"201711176707"</f>
        <v>201711176707</v>
      </c>
      <c r="G139" t="str">
        <f>"ACCT#512303-1080 238 5/SHERIFF"</f>
        <v>ACCT#512303-1080 238 5/SHERIFF</v>
      </c>
      <c r="H139" s="2">
        <v>1795.37</v>
      </c>
      <c r="I139" t="str">
        <f>"ACCT#512303-1080 238 5/SHERIFF"</f>
        <v>ACCT#512303-1080 238 5/SHERIFF</v>
      </c>
    </row>
    <row r="140" spans="1:9" x14ac:dyDescent="0.3">
      <c r="A140" t="str">
        <f>"AT&amp;TMO"</f>
        <v>AT&amp;TMO</v>
      </c>
      <c r="B140" t="s">
        <v>44</v>
      </c>
      <c r="C140">
        <v>73485</v>
      </c>
      <c r="D140" s="2">
        <v>6071.93</v>
      </c>
      <c r="E140" s="1">
        <v>43052</v>
      </c>
      <c r="F140" t="str">
        <f>"201710245940"</f>
        <v>201710245940</v>
      </c>
      <c r="G140" t="str">
        <f>"ACCT#287263291654"</f>
        <v>ACCT#287263291654</v>
      </c>
      <c r="H140" s="2">
        <v>1661.4</v>
      </c>
      <c r="I140" t="str">
        <f t="shared" ref="I140:I154" si="1">"ACCT#287263291654"</f>
        <v>ACCT#287263291654</v>
      </c>
    </row>
    <row r="141" spans="1:9" x14ac:dyDescent="0.3">
      <c r="A141" t="str">
        <f>""</f>
        <v/>
      </c>
      <c r="F141" t="str">
        <f>""</f>
        <v/>
      </c>
      <c r="G141" t="str">
        <f>""</f>
        <v/>
      </c>
      <c r="I141" t="str">
        <f t="shared" si="1"/>
        <v>ACCT#287263291654</v>
      </c>
    </row>
    <row r="142" spans="1:9" x14ac:dyDescent="0.3">
      <c r="A142" t="str">
        <f>""</f>
        <v/>
      </c>
      <c r="F142" t="str">
        <f>""</f>
        <v/>
      </c>
      <c r="G142" t="str">
        <f>""</f>
        <v/>
      </c>
      <c r="I142" t="str">
        <f t="shared" si="1"/>
        <v>ACCT#287263291654</v>
      </c>
    </row>
    <row r="143" spans="1:9" x14ac:dyDescent="0.3">
      <c r="A143" t="str">
        <f>""</f>
        <v/>
      </c>
      <c r="F143" t="str">
        <f>""</f>
        <v/>
      </c>
      <c r="G143" t="str">
        <f>""</f>
        <v/>
      </c>
      <c r="I143" t="str">
        <f t="shared" si="1"/>
        <v>ACCT#287263291654</v>
      </c>
    </row>
    <row r="144" spans="1:9" x14ac:dyDescent="0.3">
      <c r="A144" t="str">
        <f>""</f>
        <v/>
      </c>
      <c r="F144" t="str">
        <f>""</f>
        <v/>
      </c>
      <c r="G144" t="str">
        <f>""</f>
        <v/>
      </c>
      <c r="I144" t="str">
        <f t="shared" si="1"/>
        <v>ACCT#287263291654</v>
      </c>
    </row>
    <row r="145" spans="1:9" x14ac:dyDescent="0.3">
      <c r="A145" t="str">
        <f>""</f>
        <v/>
      </c>
      <c r="F145" t="str">
        <f>""</f>
        <v/>
      </c>
      <c r="G145" t="str">
        <f>""</f>
        <v/>
      </c>
      <c r="I145" t="str">
        <f t="shared" si="1"/>
        <v>ACCT#287263291654</v>
      </c>
    </row>
    <row r="146" spans="1:9" x14ac:dyDescent="0.3">
      <c r="A146" t="str">
        <f>""</f>
        <v/>
      </c>
      <c r="F146" t="str">
        <f>""</f>
        <v/>
      </c>
      <c r="G146" t="str">
        <f>""</f>
        <v/>
      </c>
      <c r="I146" t="str">
        <f t="shared" si="1"/>
        <v>ACCT#287263291654</v>
      </c>
    </row>
    <row r="147" spans="1:9" x14ac:dyDescent="0.3">
      <c r="A147" t="str">
        <f>""</f>
        <v/>
      </c>
      <c r="F147" t="str">
        <f>""</f>
        <v/>
      </c>
      <c r="G147" t="str">
        <f>""</f>
        <v/>
      </c>
      <c r="I147" t="str">
        <f t="shared" si="1"/>
        <v>ACCT#287263291654</v>
      </c>
    </row>
    <row r="148" spans="1:9" x14ac:dyDescent="0.3">
      <c r="A148" t="str">
        <f>""</f>
        <v/>
      </c>
      <c r="F148" t="str">
        <f>""</f>
        <v/>
      </c>
      <c r="G148" t="str">
        <f>""</f>
        <v/>
      </c>
      <c r="I148" t="str">
        <f t="shared" si="1"/>
        <v>ACCT#287263291654</v>
      </c>
    </row>
    <row r="149" spans="1:9" x14ac:dyDescent="0.3">
      <c r="A149" t="str">
        <f>""</f>
        <v/>
      </c>
      <c r="F149" t="str">
        <f>""</f>
        <v/>
      </c>
      <c r="G149" t="str">
        <f>""</f>
        <v/>
      </c>
      <c r="I149" t="str">
        <f t="shared" si="1"/>
        <v>ACCT#287263291654</v>
      </c>
    </row>
    <row r="150" spans="1:9" x14ac:dyDescent="0.3">
      <c r="A150" t="str">
        <f>""</f>
        <v/>
      </c>
      <c r="F150" t="str">
        <f>""</f>
        <v/>
      </c>
      <c r="G150" t="str">
        <f>""</f>
        <v/>
      </c>
      <c r="I150" t="str">
        <f t="shared" si="1"/>
        <v>ACCT#287263291654</v>
      </c>
    </row>
    <row r="151" spans="1:9" x14ac:dyDescent="0.3">
      <c r="A151" t="str">
        <f>""</f>
        <v/>
      </c>
      <c r="F151" t="str">
        <f>""</f>
        <v/>
      </c>
      <c r="G151" t="str">
        <f>""</f>
        <v/>
      </c>
      <c r="I151" t="str">
        <f t="shared" si="1"/>
        <v>ACCT#287263291654</v>
      </c>
    </row>
    <row r="152" spans="1:9" x14ac:dyDescent="0.3">
      <c r="A152" t="str">
        <f>""</f>
        <v/>
      </c>
      <c r="F152" t="str">
        <f>""</f>
        <v/>
      </c>
      <c r="G152" t="str">
        <f>""</f>
        <v/>
      </c>
      <c r="I152" t="str">
        <f t="shared" si="1"/>
        <v>ACCT#287263291654</v>
      </c>
    </row>
    <row r="153" spans="1:9" x14ac:dyDescent="0.3">
      <c r="A153" t="str">
        <f>""</f>
        <v/>
      </c>
      <c r="F153" t="str">
        <f>""</f>
        <v/>
      </c>
      <c r="G153" t="str">
        <f>""</f>
        <v/>
      </c>
      <c r="I153" t="str">
        <f t="shared" si="1"/>
        <v>ACCT#287263291654</v>
      </c>
    </row>
    <row r="154" spans="1:9" x14ac:dyDescent="0.3">
      <c r="A154" t="str">
        <f>""</f>
        <v/>
      </c>
      <c r="F154" t="str">
        <f>""</f>
        <v/>
      </c>
      <c r="G154" t="str">
        <f>""</f>
        <v/>
      </c>
      <c r="I154" t="str">
        <f t="shared" si="1"/>
        <v>ACCT#287263291654</v>
      </c>
    </row>
    <row r="155" spans="1:9" x14ac:dyDescent="0.3">
      <c r="A155" t="str">
        <f>""</f>
        <v/>
      </c>
      <c r="F155" t="str">
        <f>"201710255942"</f>
        <v>201710255942</v>
      </c>
      <c r="G155" t="str">
        <f>"ACCT#287263291654X06202017"</f>
        <v>ACCT#287263291654X06202017</v>
      </c>
      <c r="H155" s="2">
        <v>2179.9699999999998</v>
      </c>
      <c r="I155" t="str">
        <f>"ACCT#287263291654X06202017"</f>
        <v>ACCT#287263291654X06202017</v>
      </c>
    </row>
    <row r="156" spans="1:9" x14ac:dyDescent="0.3">
      <c r="A156" t="str">
        <f>""</f>
        <v/>
      </c>
      <c r="F156" t="str">
        <f>"201710255951"</f>
        <v>201710255951</v>
      </c>
      <c r="G156" t="str">
        <f>"ACCT#287263291654/PCT#4"</f>
        <v>ACCT#287263291654/PCT#4</v>
      </c>
      <c r="H156" s="2">
        <v>35.99</v>
      </c>
      <c r="I156" t="str">
        <f>"ACCT#287263291654/PCT#4"</f>
        <v>ACCT#287263291654/PCT#4</v>
      </c>
    </row>
    <row r="157" spans="1:9" x14ac:dyDescent="0.3">
      <c r="A157" t="str">
        <f>""</f>
        <v/>
      </c>
      <c r="F157" t="str">
        <f>"201710255952"</f>
        <v>201710255952</v>
      </c>
      <c r="G157" t="str">
        <f>"ACCT#287263291654"</f>
        <v>ACCT#287263291654</v>
      </c>
      <c r="H157" s="2">
        <v>37.99</v>
      </c>
      <c r="I157" t="str">
        <f>"ACCT#287263291654"</f>
        <v>ACCT#287263291654</v>
      </c>
    </row>
    <row r="158" spans="1:9" x14ac:dyDescent="0.3">
      <c r="A158" t="str">
        <f>""</f>
        <v/>
      </c>
      <c r="F158" t="str">
        <f>"287263291654X10202"</f>
        <v>287263291654X10202</v>
      </c>
      <c r="G158" t="str">
        <f>"ACCT#287263291654/PCT2"</f>
        <v>ACCT#287263291654/PCT2</v>
      </c>
      <c r="H158" s="2">
        <v>113.97</v>
      </c>
      <c r="I158" t="str">
        <f>"ACCT#287263291654/PCT2"</f>
        <v>ACCT#287263291654/PCT2</v>
      </c>
    </row>
    <row r="159" spans="1:9" x14ac:dyDescent="0.3">
      <c r="A159" t="str">
        <f>""</f>
        <v/>
      </c>
      <c r="F159" t="str">
        <f>"287263291729X10202"</f>
        <v>287263291729X10202</v>
      </c>
      <c r="G159" t="str">
        <f>"ACCT#287263291729"</f>
        <v>ACCT#287263291729</v>
      </c>
      <c r="H159" s="2">
        <v>2042.61</v>
      </c>
      <c r="I159" t="str">
        <f>"ACCT#287263291729"</f>
        <v>ACCT#287263291729</v>
      </c>
    </row>
    <row r="160" spans="1:9" x14ac:dyDescent="0.3">
      <c r="A160" t="str">
        <f>"AT&amp;T13"</f>
        <v>AT&amp;T13</v>
      </c>
      <c r="B160" t="s">
        <v>45</v>
      </c>
      <c r="C160">
        <v>73819</v>
      </c>
      <c r="D160" s="2">
        <v>204.68</v>
      </c>
      <c r="E160" s="1">
        <v>43066</v>
      </c>
      <c r="F160" t="str">
        <f>"201711156612"</f>
        <v>201711156612</v>
      </c>
      <c r="G160" t="str">
        <f>"ACCT#826392401/DPS"</f>
        <v>ACCT#826392401/DPS</v>
      </c>
      <c r="H160" s="2">
        <v>204.68</v>
      </c>
      <c r="I160" t="str">
        <f>"ACCT#826392401/DPS"</f>
        <v>ACCT#826392401/DPS</v>
      </c>
    </row>
    <row r="161" spans="1:9" x14ac:dyDescent="0.3">
      <c r="A161" t="str">
        <f>"AAS&amp;AS"</f>
        <v>AAS&amp;AS</v>
      </c>
      <c r="B161" t="s">
        <v>46</v>
      </c>
      <c r="C161">
        <v>73820</v>
      </c>
      <c r="D161" s="2">
        <v>682.99</v>
      </c>
      <c r="E161" s="1">
        <v>43066</v>
      </c>
      <c r="F161" t="str">
        <f>"0056515"</f>
        <v>0056515</v>
      </c>
      <c r="G161" t="str">
        <f>"REPAIRS 2016 FRTL/PCT#2"</f>
        <v>REPAIRS 2016 FRTL/PCT#2</v>
      </c>
      <c r="H161" s="2">
        <v>411.93</v>
      </c>
      <c r="I161" t="str">
        <f>"REPAIRS 2016 FRTL/PCT#2"</f>
        <v>REPAIRS 2016 FRTL/PCT#2</v>
      </c>
    </row>
    <row r="162" spans="1:9" x14ac:dyDescent="0.3">
      <c r="A162" t="str">
        <f>""</f>
        <v/>
      </c>
      <c r="F162" t="str">
        <f>"0056617"</f>
        <v>0056617</v>
      </c>
      <c r="G162" t="str">
        <f>"REPAIRS-2007 FRT/PCT#2"</f>
        <v>REPAIRS-2007 FRT/PCT#2</v>
      </c>
      <c r="H162" s="2">
        <v>271.06</v>
      </c>
      <c r="I162" t="str">
        <f>"REPAIRS-2007 FRT/PCT#2"</f>
        <v>REPAIRS-2007 FRT/PCT#2</v>
      </c>
    </row>
    <row r="163" spans="1:9" x14ac:dyDescent="0.3">
      <c r="A163" t="str">
        <f>"003355"</f>
        <v>003355</v>
      </c>
      <c r="B163" t="s">
        <v>47</v>
      </c>
      <c r="C163">
        <v>73486</v>
      </c>
      <c r="D163" s="2">
        <v>350</v>
      </c>
      <c r="E163" s="1">
        <v>43052</v>
      </c>
      <c r="F163" t="str">
        <f>"178935"</f>
        <v>178935</v>
      </c>
      <c r="G163" t="str">
        <f>"TOWING/WINCH/PCT#3"</f>
        <v>TOWING/WINCH/PCT#3</v>
      </c>
      <c r="H163" s="2">
        <v>350</v>
      </c>
      <c r="I163" t="str">
        <f>"TOWING/WINCH/PCT#3"</f>
        <v>TOWING/WINCH/PCT#3</v>
      </c>
    </row>
    <row r="164" spans="1:9" x14ac:dyDescent="0.3">
      <c r="A164" t="str">
        <f>"003291"</f>
        <v>003291</v>
      </c>
      <c r="B164" t="s">
        <v>48</v>
      </c>
      <c r="C164">
        <v>999999</v>
      </c>
      <c r="D164" s="2">
        <v>1333.9</v>
      </c>
      <c r="E164" s="1">
        <v>43053</v>
      </c>
      <c r="F164" t="str">
        <f>"0000235839"</f>
        <v>0000235839</v>
      </c>
      <c r="G164" t="str">
        <f>"Ad# 0000235839"</f>
        <v>Ad# 0000235839</v>
      </c>
      <c r="H164" s="2">
        <v>150.85</v>
      </c>
      <c r="I164" t="str">
        <f>"Ad# 0000235839"</f>
        <v>Ad# 0000235839</v>
      </c>
    </row>
    <row r="165" spans="1:9" x14ac:dyDescent="0.3">
      <c r="A165" t="str">
        <f>""</f>
        <v/>
      </c>
      <c r="F165" t="str">
        <f>"232425"</f>
        <v>232425</v>
      </c>
      <c r="G165" t="str">
        <f>"Ad# 232425"</f>
        <v>Ad# 232425</v>
      </c>
      <c r="H165" s="2">
        <v>388.8</v>
      </c>
      <c r="I165" t="str">
        <f>"Ad# 232425"</f>
        <v>Ad# 232425</v>
      </c>
    </row>
    <row r="166" spans="1:9" x14ac:dyDescent="0.3">
      <c r="A166" t="str">
        <f>""</f>
        <v/>
      </c>
      <c r="F166" t="str">
        <f>"235969"</f>
        <v>235969</v>
      </c>
      <c r="G166" t="str">
        <f>"Public Hearing"</f>
        <v>Public Hearing</v>
      </c>
      <c r="H166" s="2">
        <v>64.8</v>
      </c>
      <c r="I166" t="str">
        <f>"Public Hearing"</f>
        <v>Public Hearing</v>
      </c>
    </row>
    <row r="167" spans="1:9" x14ac:dyDescent="0.3">
      <c r="A167" t="str">
        <f>""</f>
        <v/>
      </c>
      <c r="F167" t="str">
        <f>"I00235740-10212017"</f>
        <v>I00235740-10212017</v>
      </c>
      <c r="G167" t="str">
        <f>"Ad# 0000235740"</f>
        <v>Ad# 0000235740</v>
      </c>
      <c r="H167" s="2">
        <v>729.45</v>
      </c>
      <c r="I167" t="str">
        <f>"Ad# 0000235740"</f>
        <v>Ad# 0000235740</v>
      </c>
    </row>
    <row r="168" spans="1:9" x14ac:dyDescent="0.3">
      <c r="A168" t="str">
        <f>"003291"</f>
        <v>003291</v>
      </c>
      <c r="B168" t="s">
        <v>48</v>
      </c>
      <c r="C168">
        <v>999999</v>
      </c>
      <c r="D168" s="2">
        <v>777.31</v>
      </c>
      <c r="E168" s="1">
        <v>43067</v>
      </c>
      <c r="F168" t="str">
        <f>"0000236797"</f>
        <v>0000236797</v>
      </c>
      <c r="G168" t="str">
        <f>"AD# 0000236797"</f>
        <v>AD# 0000236797</v>
      </c>
      <c r="H168" s="2">
        <v>207.36</v>
      </c>
      <c r="I168" t="str">
        <f>"AD# 0000236797"</f>
        <v>AD# 0000236797</v>
      </c>
    </row>
    <row r="169" spans="1:9" x14ac:dyDescent="0.3">
      <c r="A169" t="str">
        <f>""</f>
        <v/>
      </c>
      <c r="F169" t="str">
        <f>"248227"</f>
        <v>248227</v>
      </c>
      <c r="G169" t="str">
        <f>"ad# 248227"</f>
        <v>ad# 248227</v>
      </c>
      <c r="H169" s="2">
        <v>124.99</v>
      </c>
      <c r="I169" t="str">
        <f>"ad# 248227"</f>
        <v>ad# 248227</v>
      </c>
    </row>
    <row r="170" spans="1:9" x14ac:dyDescent="0.3">
      <c r="A170" t="str">
        <f>""</f>
        <v/>
      </c>
      <c r="F170" t="str">
        <f>"i00241318-10262017"</f>
        <v>i00241318-10262017</v>
      </c>
      <c r="G170" t="str">
        <f>"Ad# I00241318-10262017"</f>
        <v>Ad# I00241318-10262017</v>
      </c>
      <c r="H170" s="2">
        <v>228.96</v>
      </c>
      <c r="I170" t="str">
        <f>"Ad# I00241318-10262017"</f>
        <v>Ad# I00241318-10262017</v>
      </c>
    </row>
    <row r="171" spans="1:9" x14ac:dyDescent="0.3">
      <c r="A171" t="str">
        <f>""</f>
        <v/>
      </c>
      <c r="F171" t="str">
        <f>"i00241328-10262017"</f>
        <v>i00241328-10262017</v>
      </c>
      <c r="G171" t="str">
        <f>"Ad# I00241328-10262017"</f>
        <v>Ad# I00241328-10262017</v>
      </c>
      <c r="H171" s="2">
        <v>216</v>
      </c>
      <c r="I171" t="str">
        <f>"Ad# I00241328-10262017"</f>
        <v>Ad# I00241328-10262017</v>
      </c>
    </row>
    <row r="172" spans="1:9" x14ac:dyDescent="0.3">
      <c r="A172" t="str">
        <f>"005262"</f>
        <v>005262</v>
      </c>
      <c r="B172" t="s">
        <v>49</v>
      </c>
      <c r="C172">
        <v>73487</v>
      </c>
      <c r="D172" s="2">
        <v>619.17999999999995</v>
      </c>
      <c r="E172" s="1">
        <v>43052</v>
      </c>
      <c r="F172" t="str">
        <f>"710036"</f>
        <v>710036</v>
      </c>
      <c r="G172" t="str">
        <f>"COURT INTERPRETATION/MILEAGE"</f>
        <v>COURT INTERPRETATION/MILEAGE</v>
      </c>
      <c r="H172" s="2">
        <v>396.38</v>
      </c>
      <c r="I172" t="str">
        <f>"COURT INTERPRETATION/MILEAGE"</f>
        <v>COURT INTERPRETATION/MILEAGE</v>
      </c>
    </row>
    <row r="173" spans="1:9" x14ac:dyDescent="0.3">
      <c r="A173" t="str">
        <f>""</f>
        <v/>
      </c>
      <c r="F173" t="str">
        <f>"710071"</f>
        <v>710071</v>
      </c>
      <c r="G173" t="str">
        <f>"COURT INTER/MILEAGE"</f>
        <v>COURT INTER/MILEAGE</v>
      </c>
      <c r="H173" s="2">
        <v>222.8</v>
      </c>
      <c r="I173" t="str">
        <f>"COURT INTER/MILEAGE"</f>
        <v>COURT INTER/MILEAGE</v>
      </c>
    </row>
    <row r="174" spans="1:9" x14ac:dyDescent="0.3">
      <c r="A174" t="str">
        <f>"T6178"</f>
        <v>T6178</v>
      </c>
      <c r="B174" t="s">
        <v>50</v>
      </c>
      <c r="C174">
        <v>73488</v>
      </c>
      <c r="D174" s="2">
        <v>80.23</v>
      </c>
      <c r="E174" s="1">
        <v>43052</v>
      </c>
      <c r="F174" t="str">
        <f>"201711076367"</f>
        <v>201711076367</v>
      </c>
      <c r="G174" t="str">
        <f>"INDIGENT HEALTH - JAIL"</f>
        <v>INDIGENT HEALTH - JAIL</v>
      </c>
      <c r="H174" s="2">
        <v>80.23</v>
      </c>
      <c r="I174" t="str">
        <f>"INDIGENT HEALTH - JAIL"</f>
        <v>INDIGENT HEALTH - JAIL</v>
      </c>
    </row>
    <row r="175" spans="1:9" x14ac:dyDescent="0.3">
      <c r="A175" t="str">
        <f>"003805"</f>
        <v>003805</v>
      </c>
      <c r="B175" t="s">
        <v>51</v>
      </c>
      <c r="C175">
        <v>73489</v>
      </c>
      <c r="D175" s="2">
        <v>349.36</v>
      </c>
      <c r="E175" s="1">
        <v>43052</v>
      </c>
      <c r="F175" t="str">
        <f>"201711086492"</f>
        <v>201711086492</v>
      </c>
      <c r="G175" t="str">
        <f t="shared" ref="G175:G181" si="2">"INDIGENT HEALTH"</f>
        <v>INDIGENT HEALTH</v>
      </c>
      <c r="H175" s="2">
        <v>349.36</v>
      </c>
      <c r="I175" t="str">
        <f t="shared" ref="I175:I181" si="3">"INDIGENT HEALTH"</f>
        <v>INDIGENT HEALTH</v>
      </c>
    </row>
    <row r="176" spans="1:9" x14ac:dyDescent="0.3">
      <c r="A176" t="str">
        <f>"T6757"</f>
        <v>T6757</v>
      </c>
      <c r="B176" t="s">
        <v>52</v>
      </c>
      <c r="C176">
        <v>999999</v>
      </c>
      <c r="D176" s="2">
        <v>22.14</v>
      </c>
      <c r="E176" s="1">
        <v>43067</v>
      </c>
      <c r="F176" t="str">
        <f>"201711166643"</f>
        <v>201711166643</v>
      </c>
      <c r="G176" t="str">
        <f t="shared" si="2"/>
        <v>INDIGENT HEALTH</v>
      </c>
      <c r="H176" s="2">
        <v>22.14</v>
      </c>
      <c r="I176" t="str">
        <f t="shared" si="3"/>
        <v>INDIGENT HEALTH</v>
      </c>
    </row>
    <row r="177" spans="1:9" x14ac:dyDescent="0.3">
      <c r="A177" t="str">
        <f>"T1251"</f>
        <v>T1251</v>
      </c>
      <c r="B177" t="s">
        <v>53</v>
      </c>
      <c r="C177">
        <v>73490</v>
      </c>
      <c r="D177" s="2">
        <v>8.2899999999999991</v>
      </c>
      <c r="E177" s="1">
        <v>43052</v>
      </c>
      <c r="F177" t="str">
        <f>"201711086494"</f>
        <v>201711086494</v>
      </c>
      <c r="G177" t="str">
        <f t="shared" si="2"/>
        <v>INDIGENT HEALTH</v>
      </c>
      <c r="H177" s="2">
        <v>8.2899999999999991</v>
      </c>
      <c r="I177" t="str">
        <f t="shared" si="3"/>
        <v>INDIGENT HEALTH</v>
      </c>
    </row>
    <row r="178" spans="1:9" x14ac:dyDescent="0.3">
      <c r="A178" t="str">
        <f>"T1251"</f>
        <v>T1251</v>
      </c>
      <c r="B178" t="s">
        <v>53</v>
      </c>
      <c r="C178">
        <v>73821</v>
      </c>
      <c r="D178" s="2">
        <v>290.55</v>
      </c>
      <c r="E178" s="1">
        <v>43066</v>
      </c>
      <c r="F178" t="str">
        <f>"201711166644"</f>
        <v>201711166644</v>
      </c>
      <c r="G178" t="str">
        <f t="shared" si="2"/>
        <v>INDIGENT HEALTH</v>
      </c>
      <c r="H178" s="2">
        <v>30.47</v>
      </c>
      <c r="I178" t="str">
        <f t="shared" si="3"/>
        <v>INDIGENT HEALTH</v>
      </c>
    </row>
    <row r="179" spans="1:9" x14ac:dyDescent="0.3">
      <c r="A179" t="str">
        <f>""</f>
        <v/>
      </c>
      <c r="F179" t="str">
        <f>"201711166645"</f>
        <v>201711166645</v>
      </c>
      <c r="G179" t="str">
        <f t="shared" si="2"/>
        <v>INDIGENT HEALTH</v>
      </c>
      <c r="H179" s="2">
        <v>102.65</v>
      </c>
      <c r="I179" t="str">
        <f t="shared" si="3"/>
        <v>INDIGENT HEALTH</v>
      </c>
    </row>
    <row r="180" spans="1:9" x14ac:dyDescent="0.3">
      <c r="A180" t="str">
        <f>""</f>
        <v/>
      </c>
      <c r="F180" t="str">
        <f>"201711166646"</f>
        <v>201711166646</v>
      </c>
      <c r="G180" t="str">
        <f t="shared" si="2"/>
        <v>INDIGENT HEALTH</v>
      </c>
      <c r="H180" s="2">
        <v>157.43</v>
      </c>
      <c r="I180" t="str">
        <f t="shared" si="3"/>
        <v>INDIGENT HEALTH</v>
      </c>
    </row>
    <row r="181" spans="1:9" x14ac:dyDescent="0.3">
      <c r="A181" t="str">
        <f>"T3200"</f>
        <v>T3200</v>
      </c>
      <c r="B181" t="s">
        <v>54</v>
      </c>
      <c r="C181">
        <v>73491</v>
      </c>
      <c r="D181" s="2">
        <v>208.63</v>
      </c>
      <c r="E181" s="1">
        <v>43052</v>
      </c>
      <c r="F181" t="str">
        <f>"201711086495"</f>
        <v>201711086495</v>
      </c>
      <c r="G181" t="str">
        <f t="shared" si="2"/>
        <v>INDIGENT HEALTH</v>
      </c>
      <c r="H181" s="2">
        <v>208.63</v>
      </c>
      <c r="I181" t="str">
        <f t="shared" si="3"/>
        <v>INDIGENT HEALTH</v>
      </c>
    </row>
    <row r="182" spans="1:9" x14ac:dyDescent="0.3">
      <c r="A182" t="str">
        <f>"B&amp;B"</f>
        <v>B&amp;B</v>
      </c>
      <c r="B182" t="s">
        <v>55</v>
      </c>
      <c r="C182">
        <v>73492</v>
      </c>
      <c r="D182" s="2">
        <v>2608.7800000000002</v>
      </c>
      <c r="E182" s="1">
        <v>43052</v>
      </c>
      <c r="F182" t="str">
        <f>"201711016095"</f>
        <v>201711016095</v>
      </c>
      <c r="G182" t="str">
        <f>"CUST#1700/PCT#2"</f>
        <v>CUST#1700/PCT#2</v>
      </c>
      <c r="H182" s="2">
        <v>88.15</v>
      </c>
      <c r="I182" t="str">
        <f>"CUST#1700/PCT#2"</f>
        <v>CUST#1700/PCT#2</v>
      </c>
    </row>
    <row r="183" spans="1:9" x14ac:dyDescent="0.3">
      <c r="A183" t="str">
        <f>""</f>
        <v/>
      </c>
      <c r="F183" t="str">
        <f>"201711016096"</f>
        <v>201711016096</v>
      </c>
      <c r="G183" t="str">
        <f>"CUST#1750/PCT#3"</f>
        <v>CUST#1750/PCT#3</v>
      </c>
      <c r="H183" s="2">
        <v>613.17999999999995</v>
      </c>
      <c r="I183" t="str">
        <f>"CUST#1750/PCT#3"</f>
        <v>CUST#1750/PCT#3</v>
      </c>
    </row>
    <row r="184" spans="1:9" x14ac:dyDescent="0.3">
      <c r="A184" t="str">
        <f>""</f>
        <v/>
      </c>
      <c r="F184" t="str">
        <f>"201711016097"</f>
        <v>201711016097</v>
      </c>
      <c r="G184" t="str">
        <f>"CUST#1800/PCT#4"</f>
        <v>CUST#1800/PCT#4</v>
      </c>
      <c r="H184" s="2">
        <v>194.15</v>
      </c>
      <c r="I184" t="str">
        <f>"CUST#1800/PCT#4"</f>
        <v>CUST#1800/PCT#4</v>
      </c>
    </row>
    <row r="185" spans="1:9" x14ac:dyDescent="0.3">
      <c r="A185" t="str">
        <f>""</f>
        <v/>
      </c>
      <c r="F185" t="str">
        <f>"201711016099"</f>
        <v>201711016099</v>
      </c>
      <c r="G185" t="str">
        <f>"CUST#1650"</f>
        <v>CUST#1650</v>
      </c>
      <c r="H185" s="2">
        <v>184.4</v>
      </c>
      <c r="I185" t="str">
        <f>"CUST#1650"</f>
        <v>CUST#1650</v>
      </c>
    </row>
    <row r="186" spans="1:9" x14ac:dyDescent="0.3">
      <c r="A186" t="str">
        <f>""</f>
        <v/>
      </c>
      <c r="F186" t="str">
        <f>""</f>
        <v/>
      </c>
      <c r="G186" t="str">
        <f>""</f>
        <v/>
      </c>
      <c r="I186" t="str">
        <f>"CUST#1650"</f>
        <v>CUST#1650</v>
      </c>
    </row>
    <row r="187" spans="1:9" x14ac:dyDescent="0.3">
      <c r="A187" t="str">
        <f>""</f>
        <v/>
      </c>
      <c r="F187" t="str">
        <f>""</f>
        <v/>
      </c>
      <c r="G187" t="str">
        <f>""</f>
        <v/>
      </c>
      <c r="I187" t="str">
        <f>"CUST#1650"</f>
        <v>CUST#1650</v>
      </c>
    </row>
    <row r="188" spans="1:9" x14ac:dyDescent="0.3">
      <c r="A188" t="str">
        <f>""</f>
        <v/>
      </c>
      <c r="F188" t="str">
        <f>"201711016101"</f>
        <v>201711016101</v>
      </c>
      <c r="G188" t="str">
        <f>"CUST#1650/PCT#1"</f>
        <v>CUST#1650/PCT#1</v>
      </c>
      <c r="H188" s="2">
        <v>1528.9</v>
      </c>
      <c r="I188" t="str">
        <f>"CUST#1650/PCT#1"</f>
        <v>CUST#1650/PCT#1</v>
      </c>
    </row>
    <row r="189" spans="1:9" x14ac:dyDescent="0.3">
      <c r="A189" t="str">
        <f>""</f>
        <v/>
      </c>
      <c r="F189" t="str">
        <f>""</f>
        <v/>
      </c>
      <c r="G189" t="str">
        <f>""</f>
        <v/>
      </c>
      <c r="I189" t="str">
        <f>"CUST#1650/PCT#1"</f>
        <v>CUST#1650/PCT#1</v>
      </c>
    </row>
    <row r="190" spans="1:9" x14ac:dyDescent="0.3">
      <c r="A190" t="str">
        <f>"BTW"</f>
        <v>BTW</v>
      </c>
      <c r="B190" t="s">
        <v>56</v>
      </c>
      <c r="C190">
        <v>73493</v>
      </c>
      <c r="D190" s="2">
        <v>1240.48</v>
      </c>
      <c r="E190" s="1">
        <v>43052</v>
      </c>
      <c r="F190" t="str">
        <f>"201711036154"</f>
        <v>201711036154</v>
      </c>
      <c r="G190" t="str">
        <f>"ACCT#0010/PCT#2"</f>
        <v>ACCT#0010/PCT#2</v>
      </c>
      <c r="H190" s="2">
        <v>615</v>
      </c>
      <c r="I190" t="str">
        <f>"ACCT#0010/PCT#2"</f>
        <v>ACCT#0010/PCT#2</v>
      </c>
    </row>
    <row r="191" spans="1:9" x14ac:dyDescent="0.3">
      <c r="A191" t="str">
        <f>""</f>
        <v/>
      </c>
      <c r="F191" t="str">
        <f>"201711036155"</f>
        <v>201711036155</v>
      </c>
      <c r="G191" t="str">
        <f>"ACCT#0011/PCT#3"</f>
        <v>ACCT#0011/PCT#3</v>
      </c>
      <c r="H191" s="2">
        <v>108</v>
      </c>
      <c r="I191" t="str">
        <f>"ACCT#0011/PCT#3"</f>
        <v>ACCT#0011/PCT#3</v>
      </c>
    </row>
    <row r="192" spans="1:9" x14ac:dyDescent="0.3">
      <c r="A192" t="str">
        <f>""</f>
        <v/>
      </c>
      <c r="F192" t="str">
        <f>"201711086420"</f>
        <v>201711086420</v>
      </c>
      <c r="G192" t="str">
        <f>"ACCT#0009/VEHICLE MAINT"</f>
        <v>ACCT#0009/VEHICLE MAINT</v>
      </c>
      <c r="H192" s="2">
        <v>48.5</v>
      </c>
      <c r="I192" t="str">
        <f>"ACCT#0009/VEHICLE MAINT"</f>
        <v>ACCT#0009/VEHICLE MAINT</v>
      </c>
    </row>
    <row r="193" spans="1:10" x14ac:dyDescent="0.3">
      <c r="A193" t="str">
        <f>""</f>
        <v/>
      </c>
      <c r="F193" t="str">
        <f>"201711086469"</f>
        <v>201711086469</v>
      </c>
      <c r="G193" t="str">
        <f>"ACCT#0009/VEH MAINT/PCT#1"</f>
        <v>ACCT#0009/VEH MAINT/PCT#1</v>
      </c>
      <c r="H193" s="2">
        <v>450.98</v>
      </c>
      <c r="I193" t="str">
        <f>"ACCT#0009/VEH MAINT/PCT#1"</f>
        <v>ACCT#0009/VEH MAINT/PCT#1</v>
      </c>
    </row>
    <row r="194" spans="1:10" x14ac:dyDescent="0.3">
      <c r="A194" t="str">
        <f>""</f>
        <v/>
      </c>
      <c r="F194" t="str">
        <f>"345420"</f>
        <v>345420</v>
      </c>
      <c r="G194" t="str">
        <f>"ACCT#0008/2017 DODGE"</f>
        <v>ACCT#0008/2017 DODGE</v>
      </c>
      <c r="H194" s="2">
        <v>18</v>
      </c>
      <c r="I194" t="str">
        <f>"ACCT#0008/2017 DODGE"</f>
        <v>ACCT#0008/2017 DODGE</v>
      </c>
    </row>
    <row r="195" spans="1:10" x14ac:dyDescent="0.3">
      <c r="A195" t="str">
        <f>"001769"</f>
        <v>001769</v>
      </c>
      <c r="B195" t="s">
        <v>57</v>
      </c>
      <c r="C195">
        <v>999999</v>
      </c>
      <c r="D195" s="2">
        <v>9896.94</v>
      </c>
      <c r="E195" s="1">
        <v>43053</v>
      </c>
      <c r="F195" t="str">
        <f>"1524"</f>
        <v>1524</v>
      </c>
      <c r="G195" t="str">
        <f>"FENCING/PCT#2"</f>
        <v>FENCING/PCT#2</v>
      </c>
      <c r="H195" s="2">
        <v>9896.94</v>
      </c>
      <c r="I195" t="str">
        <f>"FENCING/PCT#2"</f>
        <v>FENCING/PCT#2</v>
      </c>
    </row>
    <row r="196" spans="1:10" x14ac:dyDescent="0.3">
      <c r="A196" t="str">
        <f>"001769"</f>
        <v>001769</v>
      </c>
      <c r="B196" t="s">
        <v>57</v>
      </c>
      <c r="C196">
        <v>999999</v>
      </c>
      <c r="D196" s="2">
        <v>1000</v>
      </c>
      <c r="E196" s="1">
        <v>43067</v>
      </c>
      <c r="F196" t="str">
        <f>"1525"</f>
        <v>1525</v>
      </c>
      <c r="G196" t="str">
        <f>"TREE REMOVALPCT#2"</f>
        <v>TREE REMOVALPCT#2</v>
      </c>
      <c r="H196" s="2">
        <v>1000</v>
      </c>
      <c r="I196" t="str">
        <f>"TREE REMOVALPCT#2"</f>
        <v>TREE REMOVALPCT#2</v>
      </c>
    </row>
    <row r="197" spans="1:10" x14ac:dyDescent="0.3">
      <c r="A197" t="str">
        <f>"004875"</f>
        <v>004875</v>
      </c>
      <c r="B197" t="s">
        <v>58</v>
      </c>
      <c r="C197">
        <v>73494</v>
      </c>
      <c r="D197" s="2">
        <v>7653.03</v>
      </c>
      <c r="E197" s="1">
        <v>43052</v>
      </c>
      <c r="F197" t="str">
        <f>"RETAINAGE FEE"</f>
        <v>RETAINAGE FEE</v>
      </c>
      <c r="G197" t="str">
        <f>"Inv# 2 Courtroom Rebuild"</f>
        <v>Inv# 2 Courtroom Rebuild</v>
      </c>
      <c r="H197" s="2">
        <v>7653.03</v>
      </c>
      <c r="I197" t="str">
        <f>"Inv# 2 Courtroom Rebuild"</f>
        <v>Inv# 2 Courtroom Rebuild</v>
      </c>
    </row>
    <row r="198" spans="1:10" x14ac:dyDescent="0.3">
      <c r="A198" t="str">
        <f>"T1636"</f>
        <v>T1636</v>
      </c>
      <c r="B198" t="s">
        <v>59</v>
      </c>
      <c r="C198">
        <v>73495</v>
      </c>
      <c r="D198" s="2">
        <v>6267</v>
      </c>
      <c r="E198" s="1">
        <v>43052</v>
      </c>
      <c r="F198" t="s">
        <v>60</v>
      </c>
      <c r="G198" t="s">
        <v>61</v>
      </c>
      <c r="H198" s="2" t="str">
        <f>"SERVICE"</f>
        <v>SERVICE</v>
      </c>
      <c r="I198" t="str">
        <f>"995-4110"</f>
        <v>995-4110</v>
      </c>
      <c r="J198">
        <v>325</v>
      </c>
    </row>
    <row r="199" spans="1:10" x14ac:dyDescent="0.3">
      <c r="A199" t="str">
        <f>""</f>
        <v/>
      </c>
      <c r="F199" t="s">
        <v>60</v>
      </c>
      <c r="G199" t="s">
        <v>62</v>
      </c>
      <c r="H199" s="2" t="str">
        <f>"SERVICE"</f>
        <v>SERVICE</v>
      </c>
      <c r="I199" t="str">
        <f>"995-4110"</f>
        <v>995-4110</v>
      </c>
      <c r="J199">
        <v>475</v>
      </c>
    </row>
    <row r="200" spans="1:10" x14ac:dyDescent="0.3">
      <c r="A200" t="str">
        <f>""</f>
        <v/>
      </c>
      <c r="F200" t="s">
        <v>60</v>
      </c>
      <c r="G200" t="s">
        <v>63</v>
      </c>
      <c r="H200" s="2" t="str">
        <f>"SERVICE"</f>
        <v>SERVICE</v>
      </c>
      <c r="I200" t="str">
        <f>"995-4110"</f>
        <v>995-4110</v>
      </c>
      <c r="J200">
        <v>250</v>
      </c>
    </row>
    <row r="201" spans="1:10" x14ac:dyDescent="0.3">
      <c r="A201" t="str">
        <f>""</f>
        <v/>
      </c>
      <c r="F201" t="str">
        <f>"11651"</f>
        <v>11651</v>
      </c>
      <c r="G201" t="str">
        <f>"SERVICE  09/29/17"</f>
        <v>SERVICE  09/29/17</v>
      </c>
      <c r="H201" s="2">
        <v>250</v>
      </c>
      <c r="I201" t="str">
        <f>"SERVICE  09/29/17"</f>
        <v>SERVICE  09/29/17</v>
      </c>
    </row>
    <row r="202" spans="1:10" x14ac:dyDescent="0.3">
      <c r="A202" t="str">
        <f>""</f>
        <v/>
      </c>
      <c r="F202" t="str">
        <f>"11736"</f>
        <v>11736</v>
      </c>
      <c r="G202" t="str">
        <f>"SERVICE  09/28/17"</f>
        <v>SERVICE  09/28/17</v>
      </c>
      <c r="H202" s="2">
        <v>400</v>
      </c>
      <c r="I202" t="str">
        <f>"SERVICE  09/28/17"</f>
        <v>SERVICE  09/28/17</v>
      </c>
    </row>
    <row r="203" spans="1:10" x14ac:dyDescent="0.3">
      <c r="A203" t="str">
        <f>""</f>
        <v/>
      </c>
      <c r="F203" t="str">
        <f>"11865"</f>
        <v>11865</v>
      </c>
      <c r="G203" t="str">
        <f>"SERVICE  08/30/17"</f>
        <v>SERVICE  08/30/17</v>
      </c>
      <c r="H203" s="2">
        <v>275</v>
      </c>
      <c r="I203" t="str">
        <f>"SERVICE  08/30/17"</f>
        <v>SERVICE  08/30/17</v>
      </c>
    </row>
    <row r="204" spans="1:10" x14ac:dyDescent="0.3">
      <c r="A204" t="str">
        <f>""</f>
        <v/>
      </c>
      <c r="F204" t="str">
        <f>"11979"</f>
        <v>11979</v>
      </c>
      <c r="G204" t="str">
        <f>"SERVICE  09/08/17"</f>
        <v>SERVICE  09/08/17</v>
      </c>
      <c r="H204" s="2">
        <v>150</v>
      </c>
      <c r="I204" t="str">
        <f>"SERVICE  09/08/17"</f>
        <v>SERVICE  09/08/17</v>
      </c>
    </row>
    <row r="205" spans="1:10" x14ac:dyDescent="0.3">
      <c r="A205" t="str">
        <f>""</f>
        <v/>
      </c>
      <c r="F205" t="s">
        <v>64</v>
      </c>
      <c r="G205" t="s">
        <v>65</v>
      </c>
      <c r="H205" s="2" t="str">
        <f>"SERVICE"</f>
        <v>SERVICE</v>
      </c>
      <c r="I205" t="str">
        <f>"995-4110"</f>
        <v>995-4110</v>
      </c>
      <c r="J205">
        <v>75</v>
      </c>
    </row>
    <row r="206" spans="1:10" x14ac:dyDescent="0.3">
      <c r="A206" t="str">
        <f>""</f>
        <v/>
      </c>
      <c r="F206" t="s">
        <v>64</v>
      </c>
      <c r="G206" t="s">
        <v>66</v>
      </c>
      <c r="H206" s="2" t="str">
        <f>"SERVICE"</f>
        <v>SERVICE</v>
      </c>
      <c r="I206" t="str">
        <f>"995-4110"</f>
        <v>995-4110</v>
      </c>
      <c r="J206">
        <v>475</v>
      </c>
    </row>
    <row r="207" spans="1:10" x14ac:dyDescent="0.3">
      <c r="A207" t="str">
        <f>""</f>
        <v/>
      </c>
      <c r="F207" t="s">
        <v>64</v>
      </c>
      <c r="G207" t="s">
        <v>67</v>
      </c>
      <c r="H207" s="2" t="str">
        <f>"SERVICE  09/05/17"</f>
        <v>SERVICE  09/05/17</v>
      </c>
      <c r="I207" t="str">
        <f>"995-4110"</f>
        <v>995-4110</v>
      </c>
      <c r="J207">
        <v>13</v>
      </c>
    </row>
    <row r="208" spans="1:10" x14ac:dyDescent="0.3">
      <c r="A208" t="str">
        <f>""</f>
        <v/>
      </c>
      <c r="F208" t="s">
        <v>64</v>
      </c>
      <c r="G208" t="s">
        <v>68</v>
      </c>
      <c r="H208" s="2" t="str">
        <f>"SERVICE  09/06/17"</f>
        <v>SERVICE  09/06/17</v>
      </c>
      <c r="I208" t="str">
        <f>"995-4110"</f>
        <v>995-4110</v>
      </c>
      <c r="J208">
        <v>75</v>
      </c>
    </row>
    <row r="209" spans="1:10" x14ac:dyDescent="0.3">
      <c r="A209" t="str">
        <f>""</f>
        <v/>
      </c>
      <c r="F209" t="s">
        <v>64</v>
      </c>
      <c r="G209" t="s">
        <v>69</v>
      </c>
      <c r="H209" s="2" t="str">
        <f>"SERVICE  09/05/17"</f>
        <v>SERVICE  09/05/17</v>
      </c>
      <c r="I209" t="str">
        <f>"995-4110"</f>
        <v>995-4110</v>
      </c>
      <c r="J209">
        <v>150</v>
      </c>
    </row>
    <row r="210" spans="1:10" x14ac:dyDescent="0.3">
      <c r="A210" t="str">
        <f>""</f>
        <v/>
      </c>
      <c r="F210" t="str">
        <f>"12051"</f>
        <v>12051</v>
      </c>
      <c r="G210" t="str">
        <f>"SERVICE  09/29/17"</f>
        <v>SERVICE  09/29/17</v>
      </c>
      <c r="H210" s="2">
        <v>400</v>
      </c>
      <c r="I210" t="str">
        <f>"SERVICE  09/29/17"</f>
        <v>SERVICE  09/29/17</v>
      </c>
    </row>
    <row r="211" spans="1:10" x14ac:dyDescent="0.3">
      <c r="A211" t="str">
        <f>""</f>
        <v/>
      </c>
      <c r="F211" t="str">
        <f>"12078"</f>
        <v>12078</v>
      </c>
      <c r="G211" t="str">
        <f>"SERVICE  08/30/17"</f>
        <v>SERVICE  08/30/17</v>
      </c>
      <c r="H211" s="2">
        <v>350</v>
      </c>
      <c r="I211" t="str">
        <f>"SERVICE  08/30/17"</f>
        <v>SERVICE  08/30/17</v>
      </c>
    </row>
    <row r="212" spans="1:10" x14ac:dyDescent="0.3">
      <c r="A212" t="str">
        <f>""</f>
        <v/>
      </c>
      <c r="F212" t="str">
        <f>"12267"</f>
        <v>12267</v>
      </c>
      <c r="G212" t="str">
        <f>"SERVICE  08/30/17"</f>
        <v>SERVICE  08/30/17</v>
      </c>
      <c r="H212" s="2">
        <v>200</v>
      </c>
      <c r="I212" t="str">
        <f>"SERVICE  8/30/17"</f>
        <v>SERVICE  8/30/17</v>
      </c>
    </row>
    <row r="213" spans="1:10" x14ac:dyDescent="0.3">
      <c r="A213" t="str">
        <f>""</f>
        <v/>
      </c>
      <c r="F213" t="str">
        <f>"12329"</f>
        <v>12329</v>
      </c>
      <c r="G213" t="str">
        <f>"SERVICE  08/31/17"</f>
        <v>SERVICE  08/31/17</v>
      </c>
      <c r="H213" s="2">
        <v>21</v>
      </c>
      <c r="I213" t="str">
        <f>"SERVICE  08/31/17"</f>
        <v>SERVICE  08/31/17</v>
      </c>
    </row>
    <row r="214" spans="1:10" x14ac:dyDescent="0.3">
      <c r="A214" t="str">
        <f>""</f>
        <v/>
      </c>
      <c r="F214" t="str">
        <f>"12388  09/07/17"</f>
        <v>12388  09/07/17</v>
      </c>
      <c r="G214" t="str">
        <f>"SERVICE  09/07/17"</f>
        <v>SERVICE  09/07/17</v>
      </c>
      <c r="H214" s="2">
        <v>250</v>
      </c>
      <c r="I214" t="str">
        <f>"SERVICE  09/07/17"</f>
        <v>SERVICE  09/07/17</v>
      </c>
    </row>
    <row r="215" spans="1:10" x14ac:dyDescent="0.3">
      <c r="A215" t="str">
        <f>""</f>
        <v/>
      </c>
      <c r="F215" t="str">
        <f>"12500"</f>
        <v>12500</v>
      </c>
      <c r="G215" t="str">
        <f>"SERVICE  08/30/17"</f>
        <v>SERVICE  08/30/17</v>
      </c>
      <c r="H215" s="2">
        <v>325</v>
      </c>
      <c r="I215" t="str">
        <f>"SERVICE  08/30/17"</f>
        <v>SERVICE  08/30/17</v>
      </c>
    </row>
    <row r="216" spans="1:10" x14ac:dyDescent="0.3">
      <c r="A216" t="str">
        <f>""</f>
        <v/>
      </c>
      <c r="F216" t="str">
        <f>"12504"</f>
        <v>12504</v>
      </c>
      <c r="G216" t="str">
        <f>"SERVICE  09/13/17"</f>
        <v>SERVICE  09/13/17</v>
      </c>
      <c r="H216" s="2">
        <v>225</v>
      </c>
      <c r="I216" t="str">
        <f>"SERVICE  09/13/17"</f>
        <v>SERVICE  09/13/17</v>
      </c>
    </row>
    <row r="217" spans="1:10" x14ac:dyDescent="0.3">
      <c r="A217" t="str">
        <f>""</f>
        <v/>
      </c>
      <c r="F217" t="str">
        <f>"12516"</f>
        <v>12516</v>
      </c>
      <c r="G217" t="str">
        <f>"SERVICE  08/31/17"</f>
        <v>SERVICE  08/31/17</v>
      </c>
      <c r="H217" s="2">
        <v>150</v>
      </c>
      <c r="I217" t="str">
        <f>"SERVICE  08/31/17"</f>
        <v>SERVICE  08/31/17</v>
      </c>
    </row>
    <row r="218" spans="1:10" x14ac:dyDescent="0.3">
      <c r="A218" t="str">
        <f>""</f>
        <v/>
      </c>
      <c r="F218" t="str">
        <f>"12559"</f>
        <v>12559</v>
      </c>
      <c r="G218" t="str">
        <f>"SERVICE  09/07/17"</f>
        <v>SERVICE  09/07/17</v>
      </c>
      <c r="H218" s="2">
        <v>75</v>
      </c>
      <c r="I218" t="str">
        <f>"SERVICE  09/07/17"</f>
        <v>SERVICE  09/07/17</v>
      </c>
    </row>
    <row r="219" spans="1:10" x14ac:dyDescent="0.3">
      <c r="A219" t="str">
        <f>""</f>
        <v/>
      </c>
      <c r="F219" t="str">
        <f>"12619"</f>
        <v>12619</v>
      </c>
      <c r="G219" t="str">
        <f>"SERVICE  09/18/2017"</f>
        <v>SERVICE  09/18/2017</v>
      </c>
      <c r="H219" s="2">
        <v>108</v>
      </c>
      <c r="I219" t="str">
        <f>"SERVICE  09/18/2017"</f>
        <v>SERVICE  09/18/2017</v>
      </c>
    </row>
    <row r="220" spans="1:10" x14ac:dyDescent="0.3">
      <c r="A220" t="str">
        <f>""</f>
        <v/>
      </c>
      <c r="F220" t="str">
        <f>"12623"</f>
        <v>12623</v>
      </c>
      <c r="G220" t="str">
        <f>"SERVICE  09/29/17"</f>
        <v>SERVICE  09/29/17</v>
      </c>
      <c r="H220" s="2">
        <v>150</v>
      </c>
      <c r="I220" t="str">
        <f>"SERVICE  09/29/17"</f>
        <v>SERVICE  09/29/17</v>
      </c>
    </row>
    <row r="221" spans="1:10" x14ac:dyDescent="0.3">
      <c r="A221" t="str">
        <f>""</f>
        <v/>
      </c>
      <c r="F221" t="str">
        <f>"12643  09/26/17"</f>
        <v>12643  09/26/17</v>
      </c>
      <c r="G221" t="str">
        <f>"SERVICE  09/26/17"</f>
        <v>SERVICE  09/26/17</v>
      </c>
      <c r="H221" s="2">
        <v>250</v>
      </c>
      <c r="I221" t="str">
        <f>"SERVICE  09/26/17"</f>
        <v>SERVICE  09/26/17</v>
      </c>
    </row>
    <row r="222" spans="1:10" x14ac:dyDescent="0.3">
      <c r="A222" t="str">
        <f>""</f>
        <v/>
      </c>
      <c r="F222" t="str">
        <f>"12659"</f>
        <v>12659</v>
      </c>
      <c r="G222" t="str">
        <f>"SERVICE  09/11/17"</f>
        <v>SERVICE  09/11/17</v>
      </c>
      <c r="H222" s="2">
        <v>75</v>
      </c>
      <c r="I222" t="str">
        <f>"SERVICE  09/11/17"</f>
        <v>SERVICE  09/11/17</v>
      </c>
    </row>
    <row r="223" spans="1:10" x14ac:dyDescent="0.3">
      <c r="A223" t="str">
        <f>""</f>
        <v/>
      </c>
      <c r="F223" t="str">
        <f>"12707"</f>
        <v>12707</v>
      </c>
      <c r="G223" t="str">
        <f>"SERVICE  09/08/17"</f>
        <v>SERVICE  09/08/17</v>
      </c>
      <c r="H223" s="2">
        <v>75</v>
      </c>
      <c r="I223" t="str">
        <f>"SERVICE  09/08/17"</f>
        <v>SERVICE  09/08/17</v>
      </c>
    </row>
    <row r="224" spans="1:10" x14ac:dyDescent="0.3">
      <c r="A224" t="str">
        <f>""</f>
        <v/>
      </c>
      <c r="F224" t="str">
        <f>"12716"</f>
        <v>12716</v>
      </c>
      <c r="G224" t="str">
        <f>"SERVICE  09/11/17"</f>
        <v>SERVICE  09/11/17</v>
      </c>
      <c r="H224" s="2">
        <v>75</v>
      </c>
      <c r="I224" t="str">
        <f>"SERVICE  09/11/17"</f>
        <v>SERVICE  09/11/17</v>
      </c>
    </row>
    <row r="225" spans="1:10" x14ac:dyDescent="0.3">
      <c r="A225" t="str">
        <f>""</f>
        <v/>
      </c>
      <c r="F225" t="str">
        <f>"12728"</f>
        <v>12728</v>
      </c>
      <c r="G225" t="str">
        <f>"SERVICE  09/21/2017"</f>
        <v>SERVICE  09/21/2017</v>
      </c>
      <c r="H225" s="2">
        <v>150</v>
      </c>
      <c r="I225" t="str">
        <f>"SERVICE  09/21/2017"</f>
        <v>SERVICE  09/21/2017</v>
      </c>
    </row>
    <row r="226" spans="1:10" x14ac:dyDescent="0.3">
      <c r="A226" t="str">
        <f>""</f>
        <v/>
      </c>
      <c r="F226" t="str">
        <f>"12748"</f>
        <v>12748</v>
      </c>
      <c r="G226" t="str">
        <f>"SERVICE  09/29/17"</f>
        <v>SERVICE  09/29/17</v>
      </c>
      <c r="H226" s="2">
        <v>225</v>
      </c>
      <c r="I226" t="str">
        <f>"SERVICE  09/29/17"</f>
        <v>SERVICE  09/29/17</v>
      </c>
    </row>
    <row r="227" spans="1:10" x14ac:dyDescent="0.3">
      <c r="A227" t="str">
        <f>""</f>
        <v/>
      </c>
      <c r="F227" t="str">
        <f>"8974"</f>
        <v>8974</v>
      </c>
      <c r="G227" t="str">
        <f>"SERVICE  09/14/2017"</f>
        <v>SERVICE  09/14/2017</v>
      </c>
      <c r="H227" s="2">
        <v>250</v>
      </c>
      <c r="I227" t="str">
        <f>"SERVICE  09/14/2017"</f>
        <v>SERVICE  09/14/2017</v>
      </c>
    </row>
    <row r="228" spans="1:10" x14ac:dyDescent="0.3">
      <c r="A228" t="str">
        <f>"T1636"</f>
        <v>T1636</v>
      </c>
      <c r="B228" t="s">
        <v>59</v>
      </c>
      <c r="C228">
        <v>73822</v>
      </c>
      <c r="D228" s="2">
        <v>4931</v>
      </c>
      <c r="E228" s="1">
        <v>43066</v>
      </c>
      <c r="F228" t="str">
        <f>"10946"</f>
        <v>10946</v>
      </c>
      <c r="G228" t="str">
        <f>"SERVICE"</f>
        <v>SERVICE</v>
      </c>
      <c r="H228" s="2">
        <v>300</v>
      </c>
      <c r="I228" t="str">
        <f>"SERVICE"</f>
        <v>SERVICE</v>
      </c>
    </row>
    <row r="229" spans="1:10" x14ac:dyDescent="0.3">
      <c r="A229" t="str">
        <f>""</f>
        <v/>
      </c>
      <c r="F229" t="str">
        <f>"11313"</f>
        <v>11313</v>
      </c>
      <c r="G229" t="str">
        <f>"SERVICE"</f>
        <v>SERVICE</v>
      </c>
      <c r="H229" s="2">
        <v>275</v>
      </c>
      <c r="I229" t="str">
        <f>"SERVICE"</f>
        <v>SERVICE</v>
      </c>
    </row>
    <row r="230" spans="1:10" x14ac:dyDescent="0.3">
      <c r="A230" t="str">
        <f>""</f>
        <v/>
      </c>
      <c r="F230" t="s">
        <v>64</v>
      </c>
      <c r="G230" t="s">
        <v>70</v>
      </c>
      <c r="H230" s="2" t="str">
        <f>"SERVICE"</f>
        <v>SERVICE</v>
      </c>
      <c r="I230" t="str">
        <f>"995-4110"</f>
        <v>995-4110</v>
      </c>
      <c r="J230">
        <v>350</v>
      </c>
    </row>
    <row r="231" spans="1:10" x14ac:dyDescent="0.3">
      <c r="A231" t="str">
        <f>""</f>
        <v/>
      </c>
      <c r="F231" t="str">
        <f>"12006"</f>
        <v>12006</v>
      </c>
      <c r="G231" t="str">
        <f t="shared" ref="G231:G249" si="4">"SERVICE"</f>
        <v>SERVICE</v>
      </c>
      <c r="H231" s="2">
        <v>250</v>
      </c>
      <c r="I231" t="str">
        <f t="shared" ref="I231:I249" si="5">"SERVICE"</f>
        <v>SERVICE</v>
      </c>
    </row>
    <row r="232" spans="1:10" x14ac:dyDescent="0.3">
      <c r="A232" t="str">
        <f>""</f>
        <v/>
      </c>
      <c r="F232" t="str">
        <f>"12086"</f>
        <v>12086</v>
      </c>
      <c r="G232" t="str">
        <f t="shared" si="4"/>
        <v>SERVICE</v>
      </c>
      <c r="H232" s="2">
        <v>225</v>
      </c>
      <c r="I232" t="str">
        <f t="shared" si="5"/>
        <v>SERVICE</v>
      </c>
    </row>
    <row r="233" spans="1:10" x14ac:dyDescent="0.3">
      <c r="A233" t="str">
        <f>""</f>
        <v/>
      </c>
      <c r="F233" t="str">
        <f>"12160"</f>
        <v>12160</v>
      </c>
      <c r="G233" t="str">
        <f t="shared" si="4"/>
        <v>SERVICE</v>
      </c>
      <c r="H233" s="2">
        <v>200</v>
      </c>
      <c r="I233" t="str">
        <f t="shared" si="5"/>
        <v>SERVICE</v>
      </c>
    </row>
    <row r="234" spans="1:10" x14ac:dyDescent="0.3">
      <c r="A234" t="str">
        <f>""</f>
        <v/>
      </c>
      <c r="F234" t="str">
        <f>"12200"</f>
        <v>12200</v>
      </c>
      <c r="G234" t="str">
        <f t="shared" si="4"/>
        <v>SERVICE</v>
      </c>
      <c r="H234" s="2">
        <v>275</v>
      </c>
      <c r="I234" t="str">
        <f t="shared" si="5"/>
        <v>SERVICE</v>
      </c>
    </row>
    <row r="235" spans="1:10" x14ac:dyDescent="0.3">
      <c r="A235" t="str">
        <f>""</f>
        <v/>
      </c>
      <c r="F235" t="str">
        <f>"12236"</f>
        <v>12236</v>
      </c>
      <c r="G235" t="str">
        <f t="shared" si="4"/>
        <v>SERVICE</v>
      </c>
      <c r="H235" s="2">
        <v>200</v>
      </c>
      <c r="I235" t="str">
        <f t="shared" si="5"/>
        <v>SERVICE</v>
      </c>
    </row>
    <row r="236" spans="1:10" x14ac:dyDescent="0.3">
      <c r="A236" t="str">
        <f>""</f>
        <v/>
      </c>
      <c r="F236" t="str">
        <f>"12248"</f>
        <v>12248</v>
      </c>
      <c r="G236" t="str">
        <f t="shared" si="4"/>
        <v>SERVICE</v>
      </c>
      <c r="H236" s="2">
        <v>200</v>
      </c>
      <c r="I236" t="str">
        <f t="shared" si="5"/>
        <v>SERVICE</v>
      </c>
    </row>
    <row r="237" spans="1:10" x14ac:dyDescent="0.3">
      <c r="A237" t="str">
        <f>""</f>
        <v/>
      </c>
      <c r="F237" t="str">
        <f>"12298"</f>
        <v>12298</v>
      </c>
      <c r="G237" t="str">
        <f t="shared" si="4"/>
        <v>SERVICE</v>
      </c>
      <c r="H237" s="2">
        <v>200</v>
      </c>
      <c r="I237" t="str">
        <f t="shared" si="5"/>
        <v>SERVICE</v>
      </c>
    </row>
    <row r="238" spans="1:10" x14ac:dyDescent="0.3">
      <c r="A238" t="str">
        <f>""</f>
        <v/>
      </c>
      <c r="F238" t="str">
        <f>"12311"</f>
        <v>12311</v>
      </c>
      <c r="G238" t="str">
        <f t="shared" si="4"/>
        <v>SERVICE</v>
      </c>
      <c r="H238" s="2">
        <v>199</v>
      </c>
      <c r="I238" t="str">
        <f t="shared" si="5"/>
        <v>SERVICE</v>
      </c>
    </row>
    <row r="239" spans="1:10" x14ac:dyDescent="0.3">
      <c r="A239" t="str">
        <f>""</f>
        <v/>
      </c>
      <c r="F239" t="str">
        <f>"12329  10/03/2017"</f>
        <v>12329  10/03/2017</v>
      </c>
      <c r="G239" t="str">
        <f t="shared" si="4"/>
        <v>SERVICE</v>
      </c>
      <c r="H239" s="2">
        <v>25</v>
      </c>
      <c r="I239" t="str">
        <f t="shared" si="5"/>
        <v>SERVICE</v>
      </c>
    </row>
    <row r="240" spans="1:10" x14ac:dyDescent="0.3">
      <c r="A240" t="str">
        <f>""</f>
        <v/>
      </c>
      <c r="F240" t="str">
        <f>"12381"</f>
        <v>12381</v>
      </c>
      <c r="G240" t="str">
        <f t="shared" si="4"/>
        <v>SERVICE</v>
      </c>
      <c r="H240" s="2">
        <v>325</v>
      </c>
      <c r="I240" t="str">
        <f t="shared" si="5"/>
        <v>SERVICE</v>
      </c>
    </row>
    <row r="241" spans="1:9" x14ac:dyDescent="0.3">
      <c r="A241" t="str">
        <f>""</f>
        <v/>
      </c>
      <c r="F241" t="str">
        <f>"12425  10/13/17"</f>
        <v>12425  10/13/17</v>
      </c>
      <c r="G241" t="str">
        <f t="shared" si="4"/>
        <v>SERVICE</v>
      </c>
      <c r="H241" s="2">
        <v>250</v>
      </c>
      <c r="I241" t="str">
        <f t="shared" si="5"/>
        <v>SERVICE</v>
      </c>
    </row>
    <row r="242" spans="1:9" x14ac:dyDescent="0.3">
      <c r="A242" t="str">
        <f>""</f>
        <v/>
      </c>
      <c r="F242" t="str">
        <f>"12577"</f>
        <v>12577</v>
      </c>
      <c r="G242" t="str">
        <f t="shared" si="4"/>
        <v>SERVICE</v>
      </c>
      <c r="H242" s="2">
        <v>167</v>
      </c>
      <c r="I242" t="str">
        <f t="shared" si="5"/>
        <v>SERVICE</v>
      </c>
    </row>
    <row r="243" spans="1:9" x14ac:dyDescent="0.3">
      <c r="A243" t="str">
        <f>""</f>
        <v/>
      </c>
      <c r="F243" t="str">
        <f>"12607"</f>
        <v>12607</v>
      </c>
      <c r="G243" t="str">
        <f t="shared" si="4"/>
        <v>SERVICE</v>
      </c>
      <c r="H243" s="2">
        <v>250</v>
      </c>
      <c r="I243" t="str">
        <f t="shared" si="5"/>
        <v>SERVICE</v>
      </c>
    </row>
    <row r="244" spans="1:9" x14ac:dyDescent="0.3">
      <c r="A244" t="str">
        <f>""</f>
        <v/>
      </c>
      <c r="F244" t="str">
        <f>"12611"</f>
        <v>12611</v>
      </c>
      <c r="G244" t="str">
        <f t="shared" si="4"/>
        <v>SERVICE</v>
      </c>
      <c r="H244" s="2">
        <v>250</v>
      </c>
      <c r="I244" t="str">
        <f t="shared" si="5"/>
        <v>SERVICE</v>
      </c>
    </row>
    <row r="245" spans="1:9" x14ac:dyDescent="0.3">
      <c r="A245" t="str">
        <f>""</f>
        <v/>
      </c>
      <c r="F245" t="str">
        <f>"12655"</f>
        <v>12655</v>
      </c>
      <c r="G245" t="str">
        <f t="shared" si="4"/>
        <v>SERVICE</v>
      </c>
      <c r="H245" s="2">
        <v>250</v>
      </c>
      <c r="I245" t="str">
        <f t="shared" si="5"/>
        <v>SERVICE</v>
      </c>
    </row>
    <row r="246" spans="1:9" x14ac:dyDescent="0.3">
      <c r="A246" t="str">
        <f>""</f>
        <v/>
      </c>
      <c r="F246" t="str">
        <f>"12657"</f>
        <v>12657</v>
      </c>
      <c r="G246" t="str">
        <f t="shared" si="4"/>
        <v>SERVICE</v>
      </c>
      <c r="H246" s="2">
        <v>250</v>
      </c>
      <c r="I246" t="str">
        <f t="shared" si="5"/>
        <v>SERVICE</v>
      </c>
    </row>
    <row r="247" spans="1:9" x14ac:dyDescent="0.3">
      <c r="A247" t="str">
        <f>""</f>
        <v/>
      </c>
      <c r="F247" t="str">
        <f>"12662"</f>
        <v>12662</v>
      </c>
      <c r="G247" t="str">
        <f t="shared" si="4"/>
        <v>SERVICE</v>
      </c>
      <c r="H247" s="2">
        <v>100</v>
      </c>
      <c r="I247" t="str">
        <f t="shared" si="5"/>
        <v>SERVICE</v>
      </c>
    </row>
    <row r="248" spans="1:9" x14ac:dyDescent="0.3">
      <c r="A248" t="str">
        <f>""</f>
        <v/>
      </c>
      <c r="F248" t="str">
        <f>"5275"</f>
        <v>5275</v>
      </c>
      <c r="G248" t="str">
        <f t="shared" si="4"/>
        <v>SERVICE</v>
      </c>
      <c r="H248" s="2">
        <v>55</v>
      </c>
      <c r="I248" t="str">
        <f t="shared" si="5"/>
        <v>SERVICE</v>
      </c>
    </row>
    <row r="249" spans="1:9" x14ac:dyDescent="0.3">
      <c r="A249" t="str">
        <f>""</f>
        <v/>
      </c>
      <c r="F249" t="str">
        <f>"8866"</f>
        <v>8866</v>
      </c>
      <c r="G249" t="str">
        <f t="shared" si="4"/>
        <v>SERVICE</v>
      </c>
      <c r="H249" s="2">
        <v>335</v>
      </c>
      <c r="I249" t="str">
        <f t="shared" si="5"/>
        <v>SERVICE</v>
      </c>
    </row>
    <row r="250" spans="1:9" x14ac:dyDescent="0.3">
      <c r="A250" t="str">
        <f>"BASCO"</f>
        <v>BASCO</v>
      </c>
      <c r="B250" t="s">
        <v>71</v>
      </c>
      <c r="C250">
        <v>73496</v>
      </c>
      <c r="D250" s="2">
        <v>414.73</v>
      </c>
      <c r="E250" s="1">
        <v>43052</v>
      </c>
      <c r="F250" t="str">
        <f>"201711086416"</f>
        <v>201711086416</v>
      </c>
      <c r="G250" t="str">
        <f>"ACCT#BC01/OFFICE SUPPLIES"</f>
        <v>ACCT#BC01/OFFICE SUPPLIES</v>
      </c>
      <c r="H250" s="2">
        <v>414.73</v>
      </c>
      <c r="I250" t="str">
        <f>"ACCT#BC01/OFFICE SUPPLIES"</f>
        <v>ACCT#BC01/OFFICE SUPPLIES</v>
      </c>
    </row>
    <row r="251" spans="1:9" x14ac:dyDescent="0.3">
      <c r="A251" t="str">
        <f>""</f>
        <v/>
      </c>
      <c r="F251" t="str">
        <f>""</f>
        <v/>
      </c>
      <c r="G251" t="str">
        <f>""</f>
        <v/>
      </c>
      <c r="I251" t="str">
        <f>"ACCT#BC01/OFFICE SUPPLIES"</f>
        <v>ACCT#BC01/OFFICE SUPPLIES</v>
      </c>
    </row>
    <row r="252" spans="1:9" x14ac:dyDescent="0.3">
      <c r="A252" t="str">
        <f>""</f>
        <v/>
      </c>
      <c r="F252" t="str">
        <f>""</f>
        <v/>
      </c>
      <c r="G252" t="str">
        <f>""</f>
        <v/>
      </c>
      <c r="I252" t="str">
        <f>"ACCT#BC01/OFFICE SUPPLIES"</f>
        <v>ACCT#BC01/OFFICE SUPPLIES</v>
      </c>
    </row>
    <row r="253" spans="1:9" x14ac:dyDescent="0.3">
      <c r="A253" t="str">
        <f>"BASCO"</f>
        <v>BASCO</v>
      </c>
      <c r="B253" t="s">
        <v>71</v>
      </c>
      <c r="C253">
        <v>73823</v>
      </c>
      <c r="D253" s="2">
        <v>174.48</v>
      </c>
      <c r="E253" s="1">
        <v>43066</v>
      </c>
      <c r="F253" t="str">
        <f>"10246"</f>
        <v>10246</v>
      </c>
      <c r="G253" t="str">
        <f>"OFFICE SUPPLIES/DPS"</f>
        <v>OFFICE SUPPLIES/DPS</v>
      </c>
      <c r="H253" s="2">
        <v>174.48</v>
      </c>
      <c r="I253" t="str">
        <f>"OFFICE SUPPLIES/DPS"</f>
        <v>OFFICE SUPPLIES/DPS</v>
      </c>
    </row>
    <row r="254" spans="1:9" x14ac:dyDescent="0.3">
      <c r="A254" t="str">
        <f>"004282"</f>
        <v>004282</v>
      </c>
      <c r="B254" t="s">
        <v>72</v>
      </c>
      <c r="C254">
        <v>73497</v>
      </c>
      <c r="D254" s="2">
        <v>8</v>
      </c>
      <c r="E254" s="1">
        <v>43052</v>
      </c>
      <c r="F254" t="str">
        <f>"12643"</f>
        <v>12643</v>
      </c>
      <c r="G254" t="str">
        <f>"INCORRECT FEE ENTERED"</f>
        <v>INCORRECT FEE ENTERED</v>
      </c>
      <c r="H254" s="2">
        <v>8</v>
      </c>
      <c r="I254" t="str">
        <f>"INCORRECT FEE ENTERED"</f>
        <v>INCORRECT FEE ENTERED</v>
      </c>
    </row>
    <row r="255" spans="1:9" x14ac:dyDescent="0.3">
      <c r="A255" t="str">
        <f>"BCSCD"</f>
        <v>BCSCD</v>
      </c>
      <c r="B255" t="s">
        <v>73</v>
      </c>
      <c r="C255">
        <v>73498</v>
      </c>
      <c r="D255" s="2">
        <v>5250</v>
      </c>
      <c r="E255" s="1">
        <v>43052</v>
      </c>
      <c r="F255" t="str">
        <f>"201711016102"</f>
        <v>201711016102</v>
      </c>
      <c r="G255" t="str">
        <f>"BAS CO SOIL&amp;WTR CONS DIST"</f>
        <v>BAS CO SOIL&amp;WTR CONS DIST</v>
      </c>
      <c r="H255" s="2">
        <v>1312.5</v>
      </c>
      <c r="I255" t="str">
        <f>"BAS CO SOIL&amp;WTR CONS DIST"</f>
        <v>BAS CO SOIL&amp;WTR CONS DIST</v>
      </c>
    </row>
    <row r="256" spans="1:9" x14ac:dyDescent="0.3">
      <c r="A256" t="str">
        <f>""</f>
        <v/>
      </c>
      <c r="F256" t="str">
        <f>"201711016104"</f>
        <v>201711016104</v>
      </c>
      <c r="G256" t="str">
        <f>"BAS CNTY SOIL&amp;WTR CONS DIST"</f>
        <v>BAS CNTY SOIL&amp;WTR CONS DIST</v>
      </c>
      <c r="H256" s="2">
        <v>1312.5</v>
      </c>
      <c r="I256" t="str">
        <f>"BAS CNTY SOIL&amp;WTR CONS DIST"</f>
        <v>BAS CNTY SOIL&amp;WTR CONS DIST</v>
      </c>
    </row>
    <row r="257" spans="1:9" x14ac:dyDescent="0.3">
      <c r="A257" t="str">
        <f>""</f>
        <v/>
      </c>
      <c r="F257" t="str">
        <f>"201711036153"</f>
        <v>201711036153</v>
      </c>
      <c r="G257" t="str">
        <f>"BCSWCD CONTRIBUTION"</f>
        <v>BCSWCD CONTRIBUTION</v>
      </c>
      <c r="H257" s="2">
        <v>1312.5</v>
      </c>
      <c r="I257" t="str">
        <f>"BCSWCD CONTRIBUTION"</f>
        <v>BCSWCD CONTRIBUTION</v>
      </c>
    </row>
    <row r="258" spans="1:9" x14ac:dyDescent="0.3">
      <c r="A258" t="str">
        <f>""</f>
        <v/>
      </c>
      <c r="F258" t="str">
        <f>"201711036156"</f>
        <v>201711036156</v>
      </c>
      <c r="G258" t="str">
        <f>"BCSCD CONTRIBUTION"</f>
        <v>BCSCD CONTRIBUTION</v>
      </c>
      <c r="H258" s="2">
        <v>1312.5</v>
      </c>
      <c r="I258" t="str">
        <f>"BCSCD CONTRIBUTION"</f>
        <v>BCSCD CONTRIBUTION</v>
      </c>
    </row>
    <row r="259" spans="1:9" x14ac:dyDescent="0.3">
      <c r="A259" t="str">
        <f>"T8660"</f>
        <v>T8660</v>
      </c>
      <c r="B259" t="s">
        <v>74</v>
      </c>
      <c r="C259">
        <v>999999</v>
      </c>
      <c r="D259" s="2">
        <v>62.72</v>
      </c>
      <c r="E259" s="1">
        <v>43053</v>
      </c>
      <c r="F259" t="str">
        <f>"201711086496"</f>
        <v>201711086496</v>
      </c>
      <c r="G259" t="str">
        <f>"INDIGENT HEALTH"</f>
        <v>INDIGENT HEALTH</v>
      </c>
      <c r="H259" s="2">
        <v>62.72</v>
      </c>
      <c r="I259" t="str">
        <f>"INDIGENT HEALTH"</f>
        <v>INDIGENT HEALTH</v>
      </c>
    </row>
    <row r="260" spans="1:9" x14ac:dyDescent="0.3">
      <c r="A260" t="str">
        <f>"T3799"</f>
        <v>T3799</v>
      </c>
      <c r="B260" t="s">
        <v>75</v>
      </c>
      <c r="C260">
        <v>73824</v>
      </c>
      <c r="D260" s="2">
        <v>951.84</v>
      </c>
      <c r="E260" s="1">
        <v>43066</v>
      </c>
      <c r="F260" t="str">
        <f>"170"</f>
        <v>170</v>
      </c>
      <c r="G260" t="str">
        <f>"GAS/BASTROP CO. ESS/911 ADD."</f>
        <v>GAS/BASTROP CO. ESS/911 ADD.</v>
      </c>
      <c r="H260" s="2">
        <v>951.84</v>
      </c>
      <c r="I260" t="str">
        <f>"GAS/BASTROP CO. ESS/911 ADD."</f>
        <v>GAS/BASTROP CO. ESS/911 ADD.</v>
      </c>
    </row>
    <row r="261" spans="1:9" x14ac:dyDescent="0.3">
      <c r="A261" t="str">
        <f>"T13544"</f>
        <v>T13544</v>
      </c>
      <c r="B261" t="s">
        <v>76</v>
      </c>
      <c r="C261">
        <v>999999</v>
      </c>
      <c r="D261" s="2">
        <v>146.54</v>
      </c>
      <c r="E261" s="1">
        <v>43053</v>
      </c>
      <c r="F261" t="str">
        <f>"201711086497"</f>
        <v>201711086497</v>
      </c>
      <c r="G261" t="str">
        <f>"INDIGENT HEALTH"</f>
        <v>INDIGENT HEALTH</v>
      </c>
      <c r="H261" s="2">
        <v>113.27</v>
      </c>
      <c r="I261" t="str">
        <f>"INDIGENT HEALTH"</f>
        <v>INDIGENT HEALTH</v>
      </c>
    </row>
    <row r="262" spans="1:9" x14ac:dyDescent="0.3">
      <c r="A262" t="str">
        <f>""</f>
        <v/>
      </c>
      <c r="F262" t="str">
        <f>"201711086498"</f>
        <v>201711086498</v>
      </c>
      <c r="G262" t="str">
        <f>"INDIGENT HEALTH"</f>
        <v>INDIGENT HEALTH</v>
      </c>
      <c r="H262" s="2">
        <v>33.270000000000003</v>
      </c>
      <c r="I262" t="str">
        <f>"INDIGENT HEALTH"</f>
        <v>INDIGENT HEALTH</v>
      </c>
    </row>
    <row r="263" spans="1:9" x14ac:dyDescent="0.3">
      <c r="A263" t="str">
        <f>"T13544"</f>
        <v>T13544</v>
      </c>
      <c r="B263" t="s">
        <v>76</v>
      </c>
      <c r="C263">
        <v>999999</v>
      </c>
      <c r="D263" s="2">
        <v>133.08000000000001</v>
      </c>
      <c r="E263" s="1">
        <v>43067</v>
      </c>
      <c r="F263" t="str">
        <f>"201711166647"</f>
        <v>201711166647</v>
      </c>
      <c r="G263" t="str">
        <f>"INDIGENT HEALTH"</f>
        <v>INDIGENT HEALTH</v>
      </c>
      <c r="H263" s="2">
        <v>133.08000000000001</v>
      </c>
      <c r="I263" t="str">
        <f>"INDIGENT HEALTH"</f>
        <v>INDIGENT HEALTH</v>
      </c>
    </row>
    <row r="264" spans="1:9" x14ac:dyDescent="0.3">
      <c r="A264" t="str">
        <f>"005277"</f>
        <v>005277</v>
      </c>
      <c r="B264" t="s">
        <v>77</v>
      </c>
      <c r="C264">
        <v>73499</v>
      </c>
      <c r="D264" s="2">
        <v>800</v>
      </c>
      <c r="E264" s="1">
        <v>43052</v>
      </c>
      <c r="F264" t="str">
        <f>"1002"</f>
        <v>1002</v>
      </c>
      <c r="G264" t="str">
        <f>"ADVERTISEMENT"</f>
        <v>ADVERTISEMENT</v>
      </c>
      <c r="H264" s="2">
        <v>800</v>
      </c>
      <c r="I264" t="str">
        <f>"ADVERTISEMENT"</f>
        <v>ADVERTISEMENT</v>
      </c>
    </row>
    <row r="265" spans="1:9" x14ac:dyDescent="0.3">
      <c r="A265" t="str">
        <f>"000719"</f>
        <v>000719</v>
      </c>
      <c r="B265" t="s">
        <v>78</v>
      </c>
      <c r="C265">
        <v>73500</v>
      </c>
      <c r="D265" s="2">
        <v>356.6</v>
      </c>
      <c r="E265" s="1">
        <v>43052</v>
      </c>
      <c r="F265" t="str">
        <f>"6760"</f>
        <v>6760</v>
      </c>
      <c r="G265" t="str">
        <f>"15-13977 BLADE"</f>
        <v>15-13977 BLADE</v>
      </c>
      <c r="H265" s="2">
        <v>69.42</v>
      </c>
      <c r="I265" t="str">
        <f>"15-13977 BLADE"</f>
        <v>15-13977 BLADE</v>
      </c>
    </row>
    <row r="266" spans="1:9" x14ac:dyDescent="0.3">
      <c r="A266" t="str">
        <f>""</f>
        <v/>
      </c>
      <c r="F266" t="str">
        <f>"6766"</f>
        <v>6766</v>
      </c>
      <c r="G266" t="str">
        <f>"MOWER PARTS/GEN SVCS"</f>
        <v>MOWER PARTS/GEN SVCS</v>
      </c>
      <c r="H266" s="2">
        <v>214</v>
      </c>
      <c r="I266" t="str">
        <f>"MOWER PARTS/GEN SVCS"</f>
        <v>MOWER PARTS/GEN SVCS</v>
      </c>
    </row>
    <row r="267" spans="1:9" x14ac:dyDescent="0.3">
      <c r="A267" t="str">
        <f>""</f>
        <v/>
      </c>
      <c r="F267" t="str">
        <f>"6802"</f>
        <v>6802</v>
      </c>
      <c r="G267" t="str">
        <f>"PULLEY/CABLE"</f>
        <v>PULLEY/CABLE</v>
      </c>
      <c r="H267" s="2">
        <v>73.180000000000007</v>
      </c>
      <c r="I267" t="str">
        <f>"PULLEY/CABLE"</f>
        <v>PULLEY/CABLE</v>
      </c>
    </row>
    <row r="268" spans="1:9" x14ac:dyDescent="0.3">
      <c r="A268" t="str">
        <f>"001542"</f>
        <v>001542</v>
      </c>
      <c r="B268" t="s">
        <v>79</v>
      </c>
      <c r="C268">
        <v>999999</v>
      </c>
      <c r="D268" s="2">
        <v>1885</v>
      </c>
      <c r="E268" s="1">
        <v>43053</v>
      </c>
      <c r="F268" t="str">
        <f>"2017083"</f>
        <v>2017083</v>
      </c>
      <c r="G268" t="str">
        <f>"TRANSPORT-D. SCULLY"</f>
        <v>TRANSPORT-D. SCULLY</v>
      </c>
      <c r="H268" s="2">
        <v>695</v>
      </c>
      <c r="I268" t="str">
        <f>"TRANSPORT-D. SCULLY"</f>
        <v>TRANSPORT-D. SCULLY</v>
      </c>
    </row>
    <row r="269" spans="1:9" x14ac:dyDescent="0.3">
      <c r="A269" t="str">
        <f>""</f>
        <v/>
      </c>
      <c r="F269" t="str">
        <f>"2017120"</f>
        <v>2017120</v>
      </c>
      <c r="G269" t="str">
        <f>"TRANSPORT-D. HEATH"</f>
        <v>TRANSPORT-D. HEATH</v>
      </c>
      <c r="H269" s="2">
        <v>495</v>
      </c>
      <c r="I269" t="str">
        <f>"TRANSPORT-D. HEATH"</f>
        <v>TRANSPORT-D. HEATH</v>
      </c>
    </row>
    <row r="270" spans="1:9" x14ac:dyDescent="0.3">
      <c r="A270" t="str">
        <f>""</f>
        <v/>
      </c>
      <c r="F270" t="str">
        <f>"2017121"</f>
        <v>2017121</v>
      </c>
      <c r="G270" t="str">
        <f>"TRANSPORT-S HARGRAVE"</f>
        <v>TRANSPORT-S HARGRAVE</v>
      </c>
      <c r="H270" s="2">
        <v>400</v>
      </c>
      <c r="I270" t="str">
        <f>"TRANSPORT-S HARGRAVE"</f>
        <v>TRANSPORT-S HARGRAVE</v>
      </c>
    </row>
    <row r="271" spans="1:9" x14ac:dyDescent="0.3">
      <c r="A271" t="str">
        <f>""</f>
        <v/>
      </c>
      <c r="F271" t="str">
        <f>"2017122"</f>
        <v>2017122</v>
      </c>
      <c r="G271" t="str">
        <f>"TRANSPORT-T. WILSON"</f>
        <v>TRANSPORT-T. WILSON</v>
      </c>
      <c r="H271" s="2">
        <v>295</v>
      </c>
      <c r="I271" t="str">
        <f>"TRANSPORT-T. WILSON"</f>
        <v>TRANSPORT-T. WILSON</v>
      </c>
    </row>
    <row r="272" spans="1:9" x14ac:dyDescent="0.3">
      <c r="A272" t="str">
        <f>"001542"</f>
        <v>001542</v>
      </c>
      <c r="B272" t="s">
        <v>79</v>
      </c>
      <c r="C272">
        <v>999999</v>
      </c>
      <c r="D272" s="2">
        <v>2085</v>
      </c>
      <c r="E272" s="1">
        <v>43067</v>
      </c>
      <c r="F272" t="str">
        <f>"2017125"</f>
        <v>2017125</v>
      </c>
      <c r="G272" t="str">
        <f>"TRANSPORT-R.W. SWEARINGEN"</f>
        <v>TRANSPORT-R.W. SWEARINGEN</v>
      </c>
      <c r="H272" s="2">
        <v>400</v>
      </c>
      <c r="I272" t="str">
        <f>"TRANSPORT-R.W. SWEARINGEN"</f>
        <v>TRANSPORT-R.W. SWEARINGEN</v>
      </c>
    </row>
    <row r="273" spans="1:9" x14ac:dyDescent="0.3">
      <c r="A273" t="str">
        <f>""</f>
        <v/>
      </c>
      <c r="F273" t="str">
        <f>"2017129"</f>
        <v>2017129</v>
      </c>
      <c r="G273" t="str">
        <f>"TRANSPORT-B.MAGGIE"</f>
        <v>TRANSPORT-B.MAGGIE</v>
      </c>
      <c r="H273" s="2">
        <v>400</v>
      </c>
      <c r="I273" t="str">
        <f>"TRANSPORT-B.MAGGIE"</f>
        <v>TRANSPORT-B.MAGGIE</v>
      </c>
    </row>
    <row r="274" spans="1:9" x14ac:dyDescent="0.3">
      <c r="A274" t="str">
        <f>""</f>
        <v/>
      </c>
      <c r="F274" t="str">
        <f>"2017132"</f>
        <v>2017132</v>
      </c>
      <c r="G274" t="str">
        <f>"TRANSPORT-P.L. CONTRERAS"</f>
        <v>TRANSPORT-P.L. CONTRERAS</v>
      </c>
      <c r="H274" s="2">
        <v>390</v>
      </c>
      <c r="I274" t="str">
        <f>"TRANSPORT-P.L. CONTRERAS"</f>
        <v>TRANSPORT-P.L. CONTRERAS</v>
      </c>
    </row>
    <row r="275" spans="1:9" x14ac:dyDescent="0.3">
      <c r="A275" t="str">
        <f>""</f>
        <v/>
      </c>
      <c r="F275" t="str">
        <f>"2017135"</f>
        <v>2017135</v>
      </c>
      <c r="G275" t="str">
        <f>"TRANSPORT-A.R. JONES"</f>
        <v>TRANSPORT-A.R. JONES</v>
      </c>
      <c r="H275" s="2">
        <v>400</v>
      </c>
      <c r="I275" t="str">
        <f>"TRANSPORT-A.R. JONES"</f>
        <v>TRANSPORT-A.R. JONES</v>
      </c>
    </row>
    <row r="276" spans="1:9" x14ac:dyDescent="0.3">
      <c r="A276" t="str">
        <f>""</f>
        <v/>
      </c>
      <c r="F276" t="str">
        <f>"2017137"</f>
        <v>2017137</v>
      </c>
      <c r="G276" t="str">
        <f>"TRANSPORT-D.TEPKE"</f>
        <v>TRANSPORT-D.TEPKE</v>
      </c>
      <c r="H276" s="2">
        <v>495</v>
      </c>
      <c r="I276" t="str">
        <f>"TRANSPORT-D.TEPKE"</f>
        <v>TRANSPORT-D.TEPKE</v>
      </c>
    </row>
    <row r="277" spans="1:9" x14ac:dyDescent="0.3">
      <c r="A277" t="str">
        <f>"001081"</f>
        <v>001081</v>
      </c>
      <c r="B277" t="s">
        <v>80</v>
      </c>
      <c r="C277">
        <v>73501</v>
      </c>
      <c r="D277" s="2">
        <v>56064.36</v>
      </c>
      <c r="E277" s="1">
        <v>43052</v>
      </c>
      <c r="F277" t="str">
        <f>"201711086417"</f>
        <v>201711086417</v>
      </c>
      <c r="G277" t="str">
        <f>"381 SALES TAX AGRMNT/4QFY16/17"</f>
        <v>381 SALES TAX AGRMNT/4QFY16/17</v>
      </c>
      <c r="H277" s="2">
        <v>56064.36</v>
      </c>
      <c r="I277" t="str">
        <f>"381 SALES TAX AGRMNT/4QFY16/17"</f>
        <v>381 SALES TAX AGRMNT/4QFY16/17</v>
      </c>
    </row>
    <row r="278" spans="1:9" x14ac:dyDescent="0.3">
      <c r="A278" t="str">
        <f>"000485"</f>
        <v>000485</v>
      </c>
      <c r="B278" t="s">
        <v>81</v>
      </c>
      <c r="C278">
        <v>73502</v>
      </c>
      <c r="D278" s="2">
        <v>350</v>
      </c>
      <c r="E278" s="1">
        <v>43052</v>
      </c>
      <c r="F278" t="str">
        <f>"TREE SERVICE"</f>
        <v>TREE SERVICE</v>
      </c>
      <c r="G278" t="str">
        <f>"Tree Service"</f>
        <v>Tree Service</v>
      </c>
      <c r="H278" s="2">
        <v>350</v>
      </c>
      <c r="I278" t="str">
        <f>"Tree Service"</f>
        <v>Tree Service</v>
      </c>
    </row>
    <row r="279" spans="1:9" x14ac:dyDescent="0.3">
      <c r="A279" t="str">
        <f>"BVH"</f>
        <v>BVH</v>
      </c>
      <c r="B279" t="s">
        <v>82</v>
      </c>
      <c r="C279">
        <v>73503</v>
      </c>
      <c r="D279" s="2">
        <v>147.86000000000001</v>
      </c>
      <c r="E279" s="1">
        <v>43052</v>
      </c>
      <c r="F279" t="str">
        <f>"1094043/4478/4144"</f>
        <v>1094043/4478/4144</v>
      </c>
      <c r="G279" t="str">
        <f>"1094043/1094478/1094144"</f>
        <v>1094043/1094478/1094144</v>
      </c>
      <c r="H279" s="2">
        <v>147.86000000000001</v>
      </c>
      <c r="I279" t="str">
        <f>"1094043"</f>
        <v>1094043</v>
      </c>
    </row>
    <row r="280" spans="1:9" x14ac:dyDescent="0.3">
      <c r="A280" t="str">
        <f>""</f>
        <v/>
      </c>
      <c r="F280" t="str">
        <f>""</f>
        <v/>
      </c>
      <c r="G280" t="str">
        <f>""</f>
        <v/>
      </c>
      <c r="I280" t="str">
        <f>"1094478"</f>
        <v>1094478</v>
      </c>
    </row>
    <row r="281" spans="1:9" x14ac:dyDescent="0.3">
      <c r="A281" t="str">
        <f>""</f>
        <v/>
      </c>
      <c r="F281" t="str">
        <f>""</f>
        <v/>
      </c>
      <c r="G281" t="str">
        <f>""</f>
        <v/>
      </c>
      <c r="I281" t="str">
        <f>"1094144"</f>
        <v>1094144</v>
      </c>
    </row>
    <row r="282" spans="1:9" x14ac:dyDescent="0.3">
      <c r="A282" t="str">
        <f>"BVH"</f>
        <v>BVH</v>
      </c>
      <c r="B282" t="s">
        <v>82</v>
      </c>
      <c r="C282">
        <v>73825</v>
      </c>
      <c r="D282" s="2">
        <v>265.25</v>
      </c>
      <c r="E282" s="1">
        <v>43066</v>
      </c>
      <c r="F282" t="str">
        <f>"1096678"</f>
        <v>1096678</v>
      </c>
      <c r="G282" t="str">
        <f>"INV 1096678"</f>
        <v>INV 1096678</v>
      </c>
      <c r="H282" s="2">
        <v>265.25</v>
      </c>
      <c r="I282" t="str">
        <f>"INV 1096678"</f>
        <v>INV 1096678</v>
      </c>
    </row>
    <row r="283" spans="1:9" x14ac:dyDescent="0.3">
      <c r="A283" t="str">
        <f>"000110"</f>
        <v>000110</v>
      </c>
      <c r="B283" t="s">
        <v>83</v>
      </c>
      <c r="C283">
        <v>999999</v>
      </c>
      <c r="D283" s="2">
        <v>892.5</v>
      </c>
      <c r="E283" s="1">
        <v>43053</v>
      </c>
      <c r="F283" t="str">
        <f>"OCT BCKGND CKS"</f>
        <v>OCT BCKGND CKS</v>
      </c>
      <c r="G283" t="str">
        <f>"OCTOBER SERVICES"</f>
        <v>OCTOBER SERVICES</v>
      </c>
      <c r="H283" s="2">
        <v>892.5</v>
      </c>
      <c r="I283" t="str">
        <f>"OCTOBER SERVICES"</f>
        <v>OCTOBER SERVICES</v>
      </c>
    </row>
    <row r="284" spans="1:9" x14ac:dyDescent="0.3">
      <c r="A284" t="str">
        <f>"002543"</f>
        <v>002543</v>
      </c>
      <c r="B284" t="s">
        <v>84</v>
      </c>
      <c r="C284">
        <v>73504</v>
      </c>
      <c r="D284" s="2">
        <v>70</v>
      </c>
      <c r="E284" s="1">
        <v>43052</v>
      </c>
      <c r="F284" t="str">
        <f>"12504"</f>
        <v>12504</v>
      </c>
      <c r="G284" t="str">
        <f>"SERVICE  09/13/17"</f>
        <v>SERVICE  09/13/17</v>
      </c>
      <c r="H284" s="2">
        <v>70</v>
      </c>
      <c r="I284" t="str">
        <f>"SERVICE  09/13/17"</f>
        <v>SERVICE  09/13/17</v>
      </c>
    </row>
    <row r="285" spans="1:9" x14ac:dyDescent="0.3">
      <c r="A285" t="str">
        <f>"KEITH"</f>
        <v>KEITH</v>
      </c>
      <c r="B285" t="s">
        <v>85</v>
      </c>
      <c r="C285">
        <v>73505</v>
      </c>
      <c r="D285" s="2">
        <v>2689.02</v>
      </c>
      <c r="E285" s="1">
        <v>43052</v>
      </c>
      <c r="F285" t="str">
        <f>"74477813 74484861"</f>
        <v>74477813 74484861</v>
      </c>
      <c r="G285" t="str">
        <f>"INV 74477813"</f>
        <v>INV 74477813</v>
      </c>
      <c r="H285" s="2">
        <v>1620.71</v>
      </c>
      <c r="I285" t="str">
        <f>"INV 74477813"</f>
        <v>INV 74477813</v>
      </c>
    </row>
    <row r="286" spans="1:9" x14ac:dyDescent="0.3">
      <c r="A286" t="str">
        <f>""</f>
        <v/>
      </c>
      <c r="F286" t="str">
        <f>""</f>
        <v/>
      </c>
      <c r="G286" t="str">
        <f>""</f>
        <v/>
      </c>
      <c r="I286" t="str">
        <f>"INV 74484861"</f>
        <v>INV 74484861</v>
      </c>
    </row>
    <row r="287" spans="1:9" x14ac:dyDescent="0.3">
      <c r="A287" t="str">
        <f>""</f>
        <v/>
      </c>
      <c r="F287" t="str">
        <f>"74491891"</f>
        <v>74491891</v>
      </c>
      <c r="G287" t="str">
        <f>"INV 74491891"</f>
        <v>INV 74491891</v>
      </c>
      <c r="H287" s="2">
        <v>1068.31</v>
      </c>
      <c r="I287" t="str">
        <f>"INV 74491891"</f>
        <v>INV 74491891</v>
      </c>
    </row>
    <row r="288" spans="1:9" x14ac:dyDescent="0.3">
      <c r="A288" t="str">
        <f>"KEITH"</f>
        <v>KEITH</v>
      </c>
      <c r="B288" t="s">
        <v>85</v>
      </c>
      <c r="C288">
        <v>73826</v>
      </c>
      <c r="D288" s="2">
        <v>993.81</v>
      </c>
      <c r="E288" s="1">
        <v>43066</v>
      </c>
      <c r="F288" t="str">
        <f>"74498923"</f>
        <v>74498923</v>
      </c>
      <c r="G288" t="str">
        <f>"INV 74498923"</f>
        <v>INV 74498923</v>
      </c>
      <c r="H288" s="2">
        <v>993.81</v>
      </c>
      <c r="I288" t="str">
        <f>"INV 74498923"</f>
        <v>INV 74498923</v>
      </c>
    </row>
    <row r="289" spans="1:10" x14ac:dyDescent="0.3">
      <c r="A289" t="str">
        <f>"005279"</f>
        <v>005279</v>
      </c>
      <c r="B289" t="s">
        <v>86</v>
      </c>
      <c r="C289">
        <v>73506</v>
      </c>
      <c r="D289" s="2">
        <v>65</v>
      </c>
      <c r="E289" s="1">
        <v>43052</v>
      </c>
      <c r="F289" t="str">
        <f>"201711086377"</f>
        <v>201711086377</v>
      </c>
      <c r="G289" t="str">
        <f>"FERAL HOGS"</f>
        <v>FERAL HOGS</v>
      </c>
      <c r="H289" s="2">
        <v>65</v>
      </c>
      <c r="I289" t="str">
        <f>"FERAL HOGS"</f>
        <v>FERAL HOGS</v>
      </c>
    </row>
    <row r="290" spans="1:10" x14ac:dyDescent="0.3">
      <c r="A290" t="str">
        <f>"004075"</f>
        <v>004075</v>
      </c>
      <c r="B290" t="s">
        <v>87</v>
      </c>
      <c r="C290">
        <v>999999</v>
      </c>
      <c r="D290" s="2">
        <v>6860.37</v>
      </c>
      <c r="E290" s="1">
        <v>43053</v>
      </c>
      <c r="F290" t="str">
        <f>"191262-00"</f>
        <v>191262-00</v>
      </c>
      <c r="G290" t="str">
        <f>"INV 191262-00"</f>
        <v>INV 191262-00</v>
      </c>
      <c r="H290" s="2">
        <v>3448.16</v>
      </c>
      <c r="I290" t="str">
        <f>"INV 191262-00"</f>
        <v>INV 191262-00</v>
      </c>
    </row>
    <row r="291" spans="1:10" x14ac:dyDescent="0.3">
      <c r="A291" t="str">
        <f>""</f>
        <v/>
      </c>
      <c r="F291" t="str">
        <f>"191262-00 188541-0"</f>
        <v>191262-00 188541-0</v>
      </c>
      <c r="G291" t="str">
        <f>"INV 191262-00"</f>
        <v>INV 191262-00</v>
      </c>
      <c r="H291" s="2">
        <v>3412.21</v>
      </c>
      <c r="I291" t="str">
        <f>"INV 191262-00"</f>
        <v>INV 191262-00</v>
      </c>
    </row>
    <row r="292" spans="1:10" x14ac:dyDescent="0.3">
      <c r="A292" t="str">
        <f>""</f>
        <v/>
      </c>
      <c r="F292" t="str">
        <f>""</f>
        <v/>
      </c>
      <c r="G292" t="str">
        <f>""</f>
        <v/>
      </c>
      <c r="I292" t="str">
        <f>"INV 188541-0A"</f>
        <v>INV 188541-0A</v>
      </c>
    </row>
    <row r="293" spans="1:10" x14ac:dyDescent="0.3">
      <c r="A293" t="str">
        <f>"001112"</f>
        <v>001112</v>
      </c>
      <c r="B293" t="s">
        <v>88</v>
      </c>
      <c r="C293">
        <v>73827</v>
      </c>
      <c r="D293" s="2">
        <v>282.85000000000002</v>
      </c>
      <c r="E293" s="1">
        <v>43066</v>
      </c>
      <c r="F293" t="str">
        <f>"01465920171114"</f>
        <v>01465920171114</v>
      </c>
      <c r="G293" t="str">
        <f>"Cust# 14659"</f>
        <v>Cust# 14659</v>
      </c>
      <c r="H293" s="2">
        <v>282.85000000000002</v>
      </c>
      <c r="I293" t="str">
        <f>"Inv# 2938440"</f>
        <v>Inv# 2938440</v>
      </c>
    </row>
    <row r="294" spans="1:10" x14ac:dyDescent="0.3">
      <c r="A294" t="str">
        <f>""</f>
        <v/>
      </c>
      <c r="F294" t="str">
        <f>""</f>
        <v/>
      </c>
      <c r="G294" t="str">
        <f>""</f>
        <v/>
      </c>
      <c r="I294" t="str">
        <f>"Inv# 2929251"</f>
        <v>Inv# 2929251</v>
      </c>
    </row>
    <row r="295" spans="1:10" x14ac:dyDescent="0.3">
      <c r="A295" t="str">
        <f>""</f>
        <v/>
      </c>
      <c r="F295" t="str">
        <f>""</f>
        <v/>
      </c>
      <c r="G295" t="str">
        <f>""</f>
        <v/>
      </c>
      <c r="I295" t="str">
        <f>"Inv# 2929252"</f>
        <v>Inv# 2929252</v>
      </c>
    </row>
    <row r="296" spans="1:10" x14ac:dyDescent="0.3">
      <c r="A296" t="str">
        <f>""</f>
        <v/>
      </c>
      <c r="F296" t="str">
        <f>""</f>
        <v/>
      </c>
      <c r="G296" t="str">
        <f>""</f>
        <v/>
      </c>
      <c r="I296" t="str">
        <f>"Inv# 2929253"</f>
        <v>Inv# 2929253</v>
      </c>
    </row>
    <row r="297" spans="1:10" x14ac:dyDescent="0.3">
      <c r="A297" t="str">
        <f>""</f>
        <v/>
      </c>
      <c r="F297" t="str">
        <f>""</f>
        <v/>
      </c>
      <c r="G297" t="str">
        <f>""</f>
        <v/>
      </c>
      <c r="I297" t="str">
        <f>"Inv# 2909227"</f>
        <v>Inv# 2909227</v>
      </c>
    </row>
    <row r="298" spans="1:10" x14ac:dyDescent="0.3">
      <c r="A298" t="str">
        <f>"005306"</f>
        <v>005306</v>
      </c>
      <c r="B298" t="s">
        <v>89</v>
      </c>
      <c r="C298">
        <v>73828</v>
      </c>
      <c r="D298" s="2">
        <v>265.24</v>
      </c>
      <c r="E298" s="1">
        <v>43066</v>
      </c>
      <c r="F298" t="str">
        <f>"LODGING"</f>
        <v>LODGING</v>
      </c>
      <c r="G298" t="str">
        <f>"LODGING"</f>
        <v>LODGING</v>
      </c>
      <c r="H298" s="2">
        <v>265.24</v>
      </c>
      <c r="I298" t="str">
        <f>"LODGING"</f>
        <v>LODGING</v>
      </c>
    </row>
    <row r="299" spans="1:10" x14ac:dyDescent="0.3">
      <c r="A299" t="str">
        <f>"002443"</f>
        <v>002443</v>
      </c>
      <c r="B299" t="s">
        <v>90</v>
      </c>
      <c r="C299">
        <v>73507</v>
      </c>
      <c r="D299" s="2">
        <v>230</v>
      </c>
      <c r="E299" s="1">
        <v>43052</v>
      </c>
      <c r="F299" t="s">
        <v>64</v>
      </c>
      <c r="G299" t="s">
        <v>66</v>
      </c>
      <c r="H299" s="2" t="str">
        <f>"SERVICE"</f>
        <v>SERVICE</v>
      </c>
      <c r="I299" t="str">
        <f>"995-4110"</f>
        <v>995-4110</v>
      </c>
      <c r="J299">
        <v>80</v>
      </c>
    </row>
    <row r="300" spans="1:10" x14ac:dyDescent="0.3">
      <c r="A300" t="str">
        <f>""</f>
        <v/>
      </c>
      <c r="F300" t="str">
        <f>"12329"</f>
        <v>12329</v>
      </c>
      <c r="G300" t="str">
        <f>"SERVICE  08/31/17"</f>
        <v>SERVICE  08/31/17</v>
      </c>
      <c r="H300" s="2">
        <v>75</v>
      </c>
      <c r="I300" t="str">
        <f>"SERVICE  08/31/17"</f>
        <v>SERVICE  08/31/17</v>
      </c>
    </row>
    <row r="301" spans="1:10" x14ac:dyDescent="0.3">
      <c r="A301" t="str">
        <f>""</f>
        <v/>
      </c>
      <c r="F301" t="str">
        <f>"12504"</f>
        <v>12504</v>
      </c>
      <c r="G301" t="str">
        <f>"SERVICE 09/13/17"</f>
        <v>SERVICE 09/13/17</v>
      </c>
      <c r="H301" s="2">
        <v>75</v>
      </c>
      <c r="I301" t="str">
        <f>"SERVICE 09/13/17"</f>
        <v>SERVICE 09/13/17</v>
      </c>
    </row>
    <row r="302" spans="1:10" x14ac:dyDescent="0.3">
      <c r="A302" t="str">
        <f>"002443"</f>
        <v>002443</v>
      </c>
      <c r="B302" t="s">
        <v>90</v>
      </c>
      <c r="C302">
        <v>73829</v>
      </c>
      <c r="D302" s="2">
        <v>135</v>
      </c>
      <c r="E302" s="1">
        <v>43066</v>
      </c>
      <c r="F302" t="str">
        <f>"11313"</f>
        <v>11313</v>
      </c>
      <c r="G302" t="str">
        <f>"SERVICE"</f>
        <v>SERVICE</v>
      </c>
      <c r="H302" s="2">
        <v>60</v>
      </c>
    </row>
    <row r="303" spans="1:10" x14ac:dyDescent="0.3">
      <c r="A303" t="str">
        <f>""</f>
        <v/>
      </c>
      <c r="F303" t="str">
        <f>"12329  10/03/2017"</f>
        <v>12329  10/03/2017</v>
      </c>
      <c r="G303" t="str">
        <f>"SERVICE"</f>
        <v>SERVICE</v>
      </c>
      <c r="H303" s="2">
        <v>75</v>
      </c>
    </row>
    <row r="304" spans="1:10" x14ac:dyDescent="0.3">
      <c r="A304" t="str">
        <f>"T2043"</f>
        <v>T2043</v>
      </c>
      <c r="B304" t="s">
        <v>91</v>
      </c>
      <c r="C304">
        <v>999999</v>
      </c>
      <c r="D304" s="2">
        <v>1500.15</v>
      </c>
      <c r="E304" s="1">
        <v>43053</v>
      </c>
      <c r="F304" t="str">
        <f>"104973"</f>
        <v>104973</v>
      </c>
      <c r="G304" t="str">
        <f>"CLIENT#001309/PROF SVCS OCT17"</f>
        <v>CLIENT#001309/PROF SVCS OCT17</v>
      </c>
      <c r="H304" s="2">
        <v>1500.15</v>
      </c>
      <c r="I304" t="str">
        <f>"CLIENT#001309/PROF SVCS OCT17"</f>
        <v>CLIENT#001309/PROF SVCS OCT17</v>
      </c>
    </row>
    <row r="305" spans="1:9" x14ac:dyDescent="0.3">
      <c r="A305" t="str">
        <f>"004797"</f>
        <v>004797</v>
      </c>
      <c r="B305" t="s">
        <v>92</v>
      </c>
      <c r="C305">
        <v>73508</v>
      </c>
      <c r="D305" s="2">
        <v>2195</v>
      </c>
      <c r="E305" s="1">
        <v>43052</v>
      </c>
      <c r="F305" t="str">
        <f>"55651"</f>
        <v>55651</v>
      </c>
      <c r="G305" t="str">
        <f>"ITEM CODE#CCAL-2"</f>
        <v>ITEM CODE#CCAL-2</v>
      </c>
      <c r="H305" s="2">
        <v>2195</v>
      </c>
      <c r="I305" t="str">
        <f>"ITEM CODE#CCAL-2"</f>
        <v>ITEM CODE#CCAL-2</v>
      </c>
    </row>
    <row r="306" spans="1:9" x14ac:dyDescent="0.3">
      <c r="A306" t="str">
        <f>"004147"</f>
        <v>004147</v>
      </c>
      <c r="B306" t="s">
        <v>93</v>
      </c>
      <c r="C306">
        <v>999999</v>
      </c>
      <c r="D306" s="2">
        <v>1374.03</v>
      </c>
      <c r="E306" s="1">
        <v>43053</v>
      </c>
      <c r="F306" t="str">
        <f>"4219"</f>
        <v>4219</v>
      </c>
      <c r="G306" t="str">
        <f>"LABOR/SUPPLIES/PCT#4"</f>
        <v>LABOR/SUPPLIES/PCT#4</v>
      </c>
      <c r="H306" s="2">
        <v>537.75</v>
      </c>
      <c r="I306" t="str">
        <f>"LABOR/SUPPLIES/PCT#4"</f>
        <v>LABOR/SUPPLIES/PCT#4</v>
      </c>
    </row>
    <row r="307" spans="1:9" x14ac:dyDescent="0.3">
      <c r="A307" t="str">
        <f>""</f>
        <v/>
      </c>
      <c r="F307" t="str">
        <f>"4274"</f>
        <v>4274</v>
      </c>
      <c r="G307" t="str">
        <f>"CK COOLANT LEAK/WATER PUMP/P4"</f>
        <v>CK COOLANT LEAK/WATER PUMP/P4</v>
      </c>
      <c r="H307" s="2">
        <v>836.28</v>
      </c>
      <c r="I307" t="str">
        <f>"CK COOLANT LEAK/WATER PUMP/P4"</f>
        <v>CK COOLANT LEAK/WATER PUMP/P4</v>
      </c>
    </row>
    <row r="308" spans="1:9" x14ac:dyDescent="0.3">
      <c r="A308" t="str">
        <f>"000593"</f>
        <v>000593</v>
      </c>
      <c r="B308" t="s">
        <v>94</v>
      </c>
      <c r="C308">
        <v>73509</v>
      </c>
      <c r="D308" s="2">
        <v>833.18</v>
      </c>
      <c r="E308" s="1">
        <v>43052</v>
      </c>
      <c r="F308" t="str">
        <f>"84078930524/30389"</f>
        <v>84078930524/30389</v>
      </c>
      <c r="G308" t="str">
        <f>"INV 84078930524"</f>
        <v>INV 84078930524</v>
      </c>
      <c r="H308" s="2">
        <v>568.98</v>
      </c>
      <c r="I308" t="str">
        <f>"INV 84078930524"</f>
        <v>INV 84078930524</v>
      </c>
    </row>
    <row r="309" spans="1:9" x14ac:dyDescent="0.3">
      <c r="A309" t="str">
        <f>""</f>
        <v/>
      </c>
      <c r="F309" t="str">
        <f>""</f>
        <v/>
      </c>
      <c r="G309" t="str">
        <f>""</f>
        <v/>
      </c>
      <c r="I309" t="str">
        <f>"INV 84078930389"</f>
        <v>INV 84078930389</v>
      </c>
    </row>
    <row r="310" spans="1:9" x14ac:dyDescent="0.3">
      <c r="A310" t="str">
        <f>""</f>
        <v/>
      </c>
      <c r="F310" t="str">
        <f>"84078930565"</f>
        <v>84078930565</v>
      </c>
      <c r="G310" t="str">
        <f>"INV 84078930565"</f>
        <v>INV 84078930565</v>
      </c>
      <c r="H310" s="2">
        <v>264.2</v>
      </c>
      <c r="I310" t="str">
        <f>"INV 84078930565"</f>
        <v>INV 84078930565</v>
      </c>
    </row>
    <row r="311" spans="1:9" x14ac:dyDescent="0.3">
      <c r="A311" t="str">
        <f>"000593"</f>
        <v>000593</v>
      </c>
      <c r="B311" t="s">
        <v>94</v>
      </c>
      <c r="C311">
        <v>73830</v>
      </c>
      <c r="D311" s="2">
        <v>570.79999999999995</v>
      </c>
      <c r="E311" s="1">
        <v>43066</v>
      </c>
      <c r="F311" t="str">
        <f>"84078930654/750"</f>
        <v>84078930654/750</v>
      </c>
      <c r="G311" t="str">
        <f>"INV 84078930654"</f>
        <v>INV 84078930654</v>
      </c>
      <c r="H311" s="2">
        <v>570.79999999999995</v>
      </c>
      <c r="I311" t="str">
        <f>"INV 84078930654"</f>
        <v>INV 84078930654</v>
      </c>
    </row>
    <row r="312" spans="1:9" x14ac:dyDescent="0.3">
      <c r="A312" t="str">
        <f>""</f>
        <v/>
      </c>
      <c r="F312" t="str">
        <f>""</f>
        <v/>
      </c>
      <c r="G312" t="str">
        <f>""</f>
        <v/>
      </c>
      <c r="I312" t="str">
        <f>"INV 84078930750"</f>
        <v>INV 84078930750</v>
      </c>
    </row>
    <row r="313" spans="1:9" x14ac:dyDescent="0.3">
      <c r="A313" t="str">
        <f>"003732"</f>
        <v>003732</v>
      </c>
      <c r="B313" t="s">
        <v>95</v>
      </c>
      <c r="C313">
        <v>999999</v>
      </c>
      <c r="D313" s="2">
        <v>1113.01</v>
      </c>
      <c r="E313" s="1">
        <v>43053</v>
      </c>
      <c r="F313" t="str">
        <f>"201710276009"</f>
        <v>201710276009</v>
      </c>
      <c r="G313" t="str">
        <f>"17-18653"</f>
        <v>17-18653</v>
      </c>
      <c r="H313" s="2">
        <v>100</v>
      </c>
      <c r="I313" t="str">
        <f>"17-18653"</f>
        <v>17-18653</v>
      </c>
    </row>
    <row r="314" spans="1:9" x14ac:dyDescent="0.3">
      <c r="A314" t="str">
        <f>""</f>
        <v/>
      </c>
      <c r="F314" t="str">
        <f>"201710276010"</f>
        <v>201710276010</v>
      </c>
      <c r="G314" t="str">
        <f>"16-17820"</f>
        <v>16-17820</v>
      </c>
      <c r="H314" s="2">
        <v>100</v>
      </c>
      <c r="I314" t="str">
        <f>"16-17820"</f>
        <v>16-17820</v>
      </c>
    </row>
    <row r="315" spans="1:9" x14ac:dyDescent="0.3">
      <c r="A315" t="str">
        <f>""</f>
        <v/>
      </c>
      <c r="F315" t="str">
        <f>"201710276011"</f>
        <v>201710276011</v>
      </c>
      <c r="G315" t="str">
        <f>"13-16315"</f>
        <v>13-16315</v>
      </c>
      <c r="H315" s="2">
        <v>100</v>
      </c>
      <c r="I315" t="str">
        <f>"13-16315"</f>
        <v>13-16315</v>
      </c>
    </row>
    <row r="316" spans="1:9" x14ac:dyDescent="0.3">
      <c r="A316" t="str">
        <f>""</f>
        <v/>
      </c>
      <c r="F316" t="str">
        <f>"201711036164"</f>
        <v>201711036164</v>
      </c>
      <c r="G316" t="str">
        <f>"54 238"</f>
        <v>54 238</v>
      </c>
      <c r="H316" s="2">
        <v>563.01</v>
      </c>
      <c r="I316" t="str">
        <f>"54 238"</f>
        <v>54 238</v>
      </c>
    </row>
    <row r="317" spans="1:9" x14ac:dyDescent="0.3">
      <c r="A317" t="str">
        <f>""</f>
        <v/>
      </c>
      <c r="F317" t="str">
        <f>"201711036175"</f>
        <v>201711036175</v>
      </c>
      <c r="G317" t="str">
        <f>"20170339/9253463155/20170339SP"</f>
        <v>20170339/9253463155/20170339SP</v>
      </c>
      <c r="H317" s="2">
        <v>250</v>
      </c>
      <c r="I317" t="str">
        <f>"20170339/9253463155/20170339SP"</f>
        <v>20170339/9253463155/20170339SP</v>
      </c>
    </row>
    <row r="318" spans="1:9" x14ac:dyDescent="0.3">
      <c r="A318" t="str">
        <f>"003732"</f>
        <v>003732</v>
      </c>
      <c r="B318" t="s">
        <v>95</v>
      </c>
      <c r="C318">
        <v>999999</v>
      </c>
      <c r="D318" s="2">
        <v>1434.85</v>
      </c>
      <c r="E318" s="1">
        <v>43067</v>
      </c>
      <c r="F318" t="str">
        <f>"201711146587"</f>
        <v>201711146587</v>
      </c>
      <c r="G318" t="str">
        <f>"423-5214"</f>
        <v>423-5214</v>
      </c>
      <c r="H318" s="2">
        <v>621.72</v>
      </c>
      <c r="I318" t="str">
        <f>"423-5214"</f>
        <v>423-5214</v>
      </c>
    </row>
    <row r="319" spans="1:9" x14ac:dyDescent="0.3">
      <c r="A319" t="str">
        <f>""</f>
        <v/>
      </c>
      <c r="F319" t="str">
        <f>"201711166673"</f>
        <v>201711166673</v>
      </c>
      <c r="G319" t="str">
        <f>"55 051"</f>
        <v>55 051</v>
      </c>
      <c r="H319" s="2">
        <v>250</v>
      </c>
      <c r="I319" t="str">
        <f>"55 051"</f>
        <v>55 051</v>
      </c>
    </row>
    <row r="320" spans="1:9" x14ac:dyDescent="0.3">
      <c r="A320" t="str">
        <f>""</f>
        <v/>
      </c>
      <c r="F320" t="str">
        <f>"201711166674"</f>
        <v>201711166674</v>
      </c>
      <c r="G320" t="str">
        <f>"17-18677"</f>
        <v>17-18677</v>
      </c>
      <c r="H320" s="2">
        <v>100</v>
      </c>
      <c r="I320" t="str">
        <f>"17-18677"</f>
        <v>17-18677</v>
      </c>
    </row>
    <row r="321" spans="1:9" x14ac:dyDescent="0.3">
      <c r="A321" t="str">
        <f>""</f>
        <v/>
      </c>
      <c r="F321" t="str">
        <f>"201711166675"</f>
        <v>201711166675</v>
      </c>
      <c r="G321" t="str">
        <f>"17-18616"</f>
        <v>17-18616</v>
      </c>
      <c r="H321" s="2">
        <v>463.13</v>
      </c>
      <c r="I321" t="str">
        <f>"17-18616"</f>
        <v>17-18616</v>
      </c>
    </row>
    <row r="322" spans="1:9" x14ac:dyDescent="0.3">
      <c r="A322" t="str">
        <f>"005298"</f>
        <v>005298</v>
      </c>
      <c r="B322" t="s">
        <v>96</v>
      </c>
      <c r="C322">
        <v>73831</v>
      </c>
      <c r="D322" s="2">
        <v>64.25</v>
      </c>
      <c r="E322" s="1">
        <v>43066</v>
      </c>
      <c r="F322" t="str">
        <f>"INV-4710"</f>
        <v>INV-4710</v>
      </c>
      <c r="G322" t="str">
        <f>"ACCT#BSUB100101097916/BOOK"</f>
        <v>ACCT#BSUB100101097916/BOOK</v>
      </c>
      <c r="H322" s="2">
        <v>64.25</v>
      </c>
      <c r="I322" t="str">
        <f>"TX CRIM &amp; TRAFFIC LAW MANUAL"</f>
        <v>TX CRIM &amp; TRAFFIC LAW MANUAL</v>
      </c>
    </row>
    <row r="323" spans="1:9" x14ac:dyDescent="0.3">
      <c r="A323" t="str">
        <f>"001135"</f>
        <v>001135</v>
      </c>
      <c r="B323" t="s">
        <v>97</v>
      </c>
      <c r="C323">
        <v>73510</v>
      </c>
      <c r="D323" s="2">
        <v>315.11</v>
      </c>
      <c r="E323" s="1">
        <v>43052</v>
      </c>
      <c r="F323" t="str">
        <f>"201711016088"</f>
        <v>201711016088</v>
      </c>
      <c r="G323" t="str">
        <f>"CRIMESTOPPER FEES SEPT 2017"</f>
        <v>CRIMESTOPPER FEES SEPT 2017</v>
      </c>
      <c r="H323" s="2">
        <v>315.11</v>
      </c>
      <c r="I323" t="str">
        <f>"CRIMESTOPPER FEES SEPT 2017"</f>
        <v>CRIMESTOPPER FEES SEPT 2017</v>
      </c>
    </row>
    <row r="324" spans="1:9" x14ac:dyDescent="0.3">
      <c r="A324" t="str">
        <f>"001135"</f>
        <v>001135</v>
      </c>
      <c r="B324" t="s">
        <v>97</v>
      </c>
      <c r="C324">
        <v>73832</v>
      </c>
      <c r="D324" s="2">
        <v>495.96</v>
      </c>
      <c r="E324" s="1">
        <v>43066</v>
      </c>
      <c r="F324" t="str">
        <f>"201711206730"</f>
        <v>201711206730</v>
      </c>
      <c r="G324" t="str">
        <f>"CRIMESTOPPER FEES FOR OCT '17"</f>
        <v>CRIMESTOPPER FEES FOR OCT '17</v>
      </c>
      <c r="H324" s="2">
        <v>495.96</v>
      </c>
      <c r="I324" t="str">
        <f>"CRIMESTOPPER FEES FOR OCT '17"</f>
        <v>CRIMESTOPPER FEES FOR OCT '17</v>
      </c>
    </row>
    <row r="325" spans="1:9" x14ac:dyDescent="0.3">
      <c r="A325" t="str">
        <f>"BEC"</f>
        <v>BEC</v>
      </c>
      <c r="B325" t="s">
        <v>98</v>
      </c>
      <c r="C325">
        <v>73790</v>
      </c>
      <c r="D325" s="2">
        <v>3536.6</v>
      </c>
      <c r="E325" s="1">
        <v>43055</v>
      </c>
      <c r="F325" t="str">
        <f>"201711156621"</f>
        <v>201711156621</v>
      </c>
      <c r="G325" t="str">
        <f>"ACCT#5500033554 -11/04/2017"</f>
        <v>ACCT#5500033554 -11/04/2017</v>
      </c>
      <c r="H325" s="2">
        <v>30</v>
      </c>
      <c r="I325" t="str">
        <f>"ACCT#5500033554 -11/04/2017"</f>
        <v>ACCT#5500033554 -11/04/2017</v>
      </c>
    </row>
    <row r="326" spans="1:9" x14ac:dyDescent="0.3">
      <c r="A326" t="str">
        <f>""</f>
        <v/>
      </c>
      <c r="F326" t="str">
        <f>"201711156622"</f>
        <v>201711156622</v>
      </c>
      <c r="G326" t="str">
        <f>"ACCT#5000057374 - 11/04/2017"</f>
        <v>ACCT#5000057374 - 11/04/2017</v>
      </c>
      <c r="H326" s="2">
        <v>3506.6</v>
      </c>
      <c r="I326" t="str">
        <f>"ACCT#5000057374 - 11/04/2017"</f>
        <v>ACCT#5000057374 - 11/04/2017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"ACCT#5000057374 - 11/04/2017"</f>
        <v>ACCT#5000057374 - 11/04/2017</v>
      </c>
    </row>
    <row r="328" spans="1:9" x14ac:dyDescent="0.3">
      <c r="A328" t="str">
        <f>""</f>
        <v/>
      </c>
      <c r="F328" t="str">
        <f>""</f>
        <v/>
      </c>
      <c r="G328" t="str">
        <f>""</f>
        <v/>
      </c>
      <c r="I328" t="str">
        <f>"ACCT#5000057374 - 11/04/2017"</f>
        <v>ACCT#5000057374 - 11/04/2017</v>
      </c>
    </row>
    <row r="329" spans="1:9" x14ac:dyDescent="0.3">
      <c r="A329" t="str">
        <f>""</f>
        <v/>
      </c>
      <c r="F329" t="str">
        <f>""</f>
        <v/>
      </c>
      <c r="G329" t="str">
        <f>""</f>
        <v/>
      </c>
      <c r="I329" t="str">
        <f>"ACCT#5000057374 - 11/04/2017"</f>
        <v>ACCT#5000057374 - 11/04/2017</v>
      </c>
    </row>
    <row r="330" spans="1:9" x14ac:dyDescent="0.3">
      <c r="A330" t="str">
        <f>"T5975"</f>
        <v>T5975</v>
      </c>
      <c r="B330" t="s">
        <v>99</v>
      </c>
      <c r="C330">
        <v>73511</v>
      </c>
      <c r="D330" s="2">
        <v>725</v>
      </c>
      <c r="E330" s="1">
        <v>43052</v>
      </c>
      <c r="F330" t="str">
        <f>"25102017"</f>
        <v>25102017</v>
      </c>
      <c r="G330" t="str">
        <f>"INV 25102017"</f>
        <v>INV 25102017</v>
      </c>
      <c r="H330" s="2">
        <v>725</v>
      </c>
      <c r="I330" t="str">
        <f>"INV 25102017"</f>
        <v>INV 25102017</v>
      </c>
    </row>
    <row r="331" spans="1:9" x14ac:dyDescent="0.3">
      <c r="A331" t="str">
        <f>"BBCI"</f>
        <v>BBCI</v>
      </c>
      <c r="B331" t="s">
        <v>100</v>
      </c>
      <c r="C331">
        <v>73512</v>
      </c>
      <c r="D331" s="2">
        <v>3124.95</v>
      </c>
      <c r="E331" s="1">
        <v>43052</v>
      </c>
      <c r="F331" t="str">
        <f>"UT1000435625"</f>
        <v>UT1000435625</v>
      </c>
      <c r="G331" t="str">
        <f>"INV UT1000435625"</f>
        <v>INV UT1000435625</v>
      </c>
      <c r="H331" s="2">
        <v>1125</v>
      </c>
      <c r="I331" t="str">
        <f>"INV UT1000435625"</f>
        <v>INV UT1000435625</v>
      </c>
    </row>
    <row r="332" spans="1:9" x14ac:dyDescent="0.3">
      <c r="A332" t="str">
        <f>""</f>
        <v/>
      </c>
      <c r="F332" t="str">
        <f>"UT10004357838/6745"</f>
        <v>UT10004357838/6745</v>
      </c>
      <c r="G332" t="str">
        <f>"INV UT1000435838"</f>
        <v>INV UT1000435838</v>
      </c>
      <c r="H332" s="2">
        <v>630.1</v>
      </c>
      <c r="I332" t="str">
        <f>"INV UT1000435838"</f>
        <v>INV UT1000435838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"INV UT1000436745"</f>
        <v>INV UT1000436745</v>
      </c>
    </row>
    <row r="334" spans="1:9" x14ac:dyDescent="0.3">
      <c r="A334" t="str">
        <f>""</f>
        <v/>
      </c>
      <c r="F334" t="str">
        <f>"UT1000436452"</f>
        <v>UT1000436452</v>
      </c>
      <c r="G334" t="str">
        <f>"INV UT1000436452"</f>
        <v>INV UT1000436452</v>
      </c>
      <c r="H334" s="2">
        <v>1097.4100000000001</v>
      </c>
      <c r="I334" t="str">
        <f>"INV UT1000436452"</f>
        <v>INV UT1000436452</v>
      </c>
    </row>
    <row r="335" spans="1:9" x14ac:dyDescent="0.3">
      <c r="A335" t="str">
        <f>""</f>
        <v/>
      </c>
      <c r="F335" t="str">
        <f>"UT1000437089"</f>
        <v>UT1000437089</v>
      </c>
      <c r="G335" t="str">
        <f>"INV UT1000437089"</f>
        <v>INV UT1000437089</v>
      </c>
      <c r="H335" s="2">
        <v>272.44</v>
      </c>
      <c r="I335" t="str">
        <f>"INV UT1000437089"</f>
        <v>INV UT1000437089</v>
      </c>
    </row>
    <row r="336" spans="1:9" x14ac:dyDescent="0.3">
      <c r="A336" t="str">
        <f>"001367"</f>
        <v>001367</v>
      </c>
      <c r="B336" t="s">
        <v>101</v>
      </c>
      <c r="C336">
        <v>73513</v>
      </c>
      <c r="D336" s="2">
        <v>6362.3</v>
      </c>
      <c r="E336" s="1">
        <v>43052</v>
      </c>
      <c r="F336" t="str">
        <f>"6427"</f>
        <v>6427</v>
      </c>
      <c r="G336" t="str">
        <f>"INV 6427/UNIT 1665"</f>
        <v>INV 6427/UNIT 1665</v>
      </c>
      <c r="H336" s="2">
        <v>318.62</v>
      </c>
      <c r="I336" t="str">
        <f>"INV 6427/UNIT 1665"</f>
        <v>INV 6427/UNIT 1665</v>
      </c>
    </row>
    <row r="337" spans="1:9" x14ac:dyDescent="0.3">
      <c r="A337" t="str">
        <f>""</f>
        <v/>
      </c>
      <c r="F337" t="str">
        <f>"6447"</f>
        <v>6447</v>
      </c>
      <c r="G337" t="str">
        <f>"INV 6447/UNIT 1668"</f>
        <v>INV 6447/UNIT 1668</v>
      </c>
      <c r="H337" s="2">
        <v>567.29</v>
      </c>
      <c r="I337" t="str">
        <f>"INV 6447/UNIT 1668"</f>
        <v>INV 6447/UNIT 1668</v>
      </c>
    </row>
    <row r="338" spans="1:9" x14ac:dyDescent="0.3">
      <c r="A338" t="str">
        <f>""</f>
        <v/>
      </c>
      <c r="F338" t="str">
        <f>"6465"</f>
        <v>6465</v>
      </c>
      <c r="G338" t="str">
        <f>"INV 6465/UNIT 0127"</f>
        <v>INV 6465/UNIT 0127</v>
      </c>
      <c r="H338" s="2">
        <v>357.1</v>
      </c>
      <c r="I338" t="str">
        <f>"INV 6465/UNIT 0127"</f>
        <v>INV 6465/UNIT 0127</v>
      </c>
    </row>
    <row r="339" spans="1:9" x14ac:dyDescent="0.3">
      <c r="A339" t="str">
        <f>""</f>
        <v/>
      </c>
      <c r="F339" t="str">
        <f>"6479"</f>
        <v>6479</v>
      </c>
      <c r="G339" t="str">
        <f>"INV 6479/UNIT 0124"</f>
        <v>INV 6479/UNIT 0124</v>
      </c>
      <c r="H339" s="2">
        <v>519.66999999999996</v>
      </c>
      <c r="I339" t="str">
        <f>"INV 6479/UNIT 0124"</f>
        <v>INV 6479/UNIT 0124</v>
      </c>
    </row>
    <row r="340" spans="1:9" x14ac:dyDescent="0.3">
      <c r="A340" t="str">
        <f>""</f>
        <v/>
      </c>
      <c r="F340" t="str">
        <f>"6487"</f>
        <v>6487</v>
      </c>
      <c r="G340" t="str">
        <f>"INV 6487/UNIT 0122"</f>
        <v>INV 6487/UNIT 0122</v>
      </c>
      <c r="H340" s="2">
        <v>360.19</v>
      </c>
      <c r="I340" t="str">
        <f>"INV 6487/UNIT 0122"</f>
        <v>INV 6487/UNIT 0122</v>
      </c>
    </row>
    <row r="341" spans="1:9" x14ac:dyDescent="0.3">
      <c r="A341" t="str">
        <f>""</f>
        <v/>
      </c>
      <c r="F341" t="str">
        <f>"6488"</f>
        <v>6488</v>
      </c>
      <c r="G341" t="str">
        <f>"INV 6488/UNIT 123"</f>
        <v>INV 6488/UNIT 123</v>
      </c>
      <c r="H341" s="2">
        <v>96.15</v>
      </c>
      <c r="I341" t="str">
        <f>"INV 6488/UNIT 123"</f>
        <v>INV 6488/UNIT 123</v>
      </c>
    </row>
    <row r="342" spans="1:9" x14ac:dyDescent="0.3">
      <c r="A342" t="str">
        <f>""</f>
        <v/>
      </c>
      <c r="F342" t="str">
        <f>"6527"</f>
        <v>6527</v>
      </c>
      <c r="G342" t="str">
        <f>"INV 6527/UNIT 0116"</f>
        <v>INV 6527/UNIT 0116</v>
      </c>
      <c r="H342" s="2">
        <v>823.8</v>
      </c>
      <c r="I342" t="str">
        <f>"INV 6527/UNIT 0116"</f>
        <v>INV 6527/UNIT 0116</v>
      </c>
    </row>
    <row r="343" spans="1:9" x14ac:dyDescent="0.3">
      <c r="A343" t="str">
        <f>""</f>
        <v/>
      </c>
      <c r="F343" t="str">
        <f>"6538"</f>
        <v>6538</v>
      </c>
      <c r="G343" t="str">
        <f>"INV 6538/UNIT 0118"</f>
        <v>INV 6538/UNIT 0118</v>
      </c>
      <c r="H343" s="2">
        <v>364.63</v>
      </c>
      <c r="I343" t="str">
        <f>"INV 6538/UNIT 0118"</f>
        <v>INV 6538/UNIT 0118</v>
      </c>
    </row>
    <row r="344" spans="1:9" x14ac:dyDescent="0.3">
      <c r="A344" t="str">
        <f>""</f>
        <v/>
      </c>
      <c r="F344" t="str">
        <f>"6542"</f>
        <v>6542</v>
      </c>
      <c r="G344" t="str">
        <f>"INV 6542/UNIT 0121"</f>
        <v>INV 6542/UNIT 0121</v>
      </c>
      <c r="H344" s="2">
        <v>454.59</v>
      </c>
      <c r="I344" t="str">
        <f>"INV 6542/UNIT 0121"</f>
        <v>INV 6542/UNIT 0121</v>
      </c>
    </row>
    <row r="345" spans="1:9" x14ac:dyDescent="0.3">
      <c r="A345" t="str">
        <f>""</f>
        <v/>
      </c>
      <c r="F345" t="str">
        <f>"6552"</f>
        <v>6552</v>
      </c>
      <c r="G345" t="str">
        <f>"INV 6552/UNI T 0314"</f>
        <v>INV 6552/UNI T 0314</v>
      </c>
      <c r="H345" s="2">
        <v>227.41</v>
      </c>
      <c r="I345" t="str">
        <f>"INV 6552/UNI T 0314"</f>
        <v>INV 6552/UNI T 0314</v>
      </c>
    </row>
    <row r="346" spans="1:9" x14ac:dyDescent="0.3">
      <c r="A346" t="str">
        <f>""</f>
        <v/>
      </c>
      <c r="F346" t="str">
        <f>"6560/6566/6570"</f>
        <v>6560/6566/6570</v>
      </c>
      <c r="G346" t="str">
        <f>"INV 6560/UNIT 5511"</f>
        <v>INV 6560/UNIT 5511</v>
      </c>
      <c r="H346" s="2">
        <v>838.8</v>
      </c>
      <c r="I346" t="str">
        <f>"INV 6560/UNIT 5511"</f>
        <v>INV 6560/UNIT 5511</v>
      </c>
    </row>
    <row r="347" spans="1:9" x14ac:dyDescent="0.3">
      <c r="A347" t="str">
        <f>""</f>
        <v/>
      </c>
      <c r="F347" t="str">
        <f>""</f>
        <v/>
      </c>
      <c r="G347" t="str">
        <f>""</f>
        <v/>
      </c>
      <c r="I347" t="str">
        <f>"INV 6566/UNIT 81"</f>
        <v>INV 6566/UNIT 81</v>
      </c>
    </row>
    <row r="348" spans="1:9" x14ac:dyDescent="0.3">
      <c r="A348" t="str">
        <f>""</f>
        <v/>
      </c>
      <c r="F348" t="str">
        <f>""</f>
        <v/>
      </c>
      <c r="G348" t="str">
        <f>""</f>
        <v/>
      </c>
      <c r="I348" t="str">
        <f>"INV 6570/UNIT 0120"</f>
        <v>INV 6570/UNIT 0120</v>
      </c>
    </row>
    <row r="349" spans="1:9" x14ac:dyDescent="0.3">
      <c r="A349" t="str">
        <f>""</f>
        <v/>
      </c>
      <c r="F349" t="str">
        <f>"6568"</f>
        <v>6568</v>
      </c>
      <c r="G349" t="str">
        <f>"INV 6568/UNIT 81"</f>
        <v>INV 6568/UNIT 81</v>
      </c>
      <c r="H349" s="2">
        <v>153.46</v>
      </c>
      <c r="I349" t="str">
        <f>"INV 6568/UNIT 81"</f>
        <v>INV 6568/UNIT 81</v>
      </c>
    </row>
    <row r="350" spans="1:9" x14ac:dyDescent="0.3">
      <c r="A350" t="str">
        <f>""</f>
        <v/>
      </c>
      <c r="F350" t="str">
        <f>"682116"</f>
        <v>682116</v>
      </c>
      <c r="G350" t="str">
        <f>"INV 682116/UNIT 9379"</f>
        <v>INV 682116/UNIT 9379</v>
      </c>
      <c r="H350" s="2">
        <v>129.28</v>
      </c>
      <c r="I350" t="str">
        <f>"INV 682116/UNIT 9379"</f>
        <v>INV 682116/UNIT 9379</v>
      </c>
    </row>
    <row r="351" spans="1:9" x14ac:dyDescent="0.3">
      <c r="A351" t="str">
        <f>""</f>
        <v/>
      </c>
      <c r="F351" t="str">
        <f>"VEHICLE WORK"</f>
        <v>VEHICLE WORK</v>
      </c>
      <c r="G351" t="str">
        <f>"INV 6446/UNIT 1663"</f>
        <v>INV 6446/UNIT 1663</v>
      </c>
      <c r="H351" s="2">
        <v>1151.31</v>
      </c>
      <c r="I351" t="str">
        <f>"INV 6446/UNIT 1663"</f>
        <v>INV 6446/UNIT 1663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"INV 6455/UNIT 6557"</f>
        <v>INV 6455/UNIT 6557</v>
      </c>
    </row>
    <row r="353" spans="1:9" x14ac:dyDescent="0.3">
      <c r="A353" t="str">
        <f>""</f>
        <v/>
      </c>
      <c r="F353" t="str">
        <f>""</f>
        <v/>
      </c>
      <c r="G353" t="str">
        <f>""</f>
        <v/>
      </c>
      <c r="I353" t="str">
        <f>"INV 6456/UNIT 6499"</f>
        <v>INV 6456/UNIT 6499</v>
      </c>
    </row>
    <row r="354" spans="1:9" x14ac:dyDescent="0.3">
      <c r="A354" t="str">
        <f>""</f>
        <v/>
      </c>
      <c r="F354" t="str">
        <f>""</f>
        <v/>
      </c>
      <c r="G354" t="str">
        <f>""</f>
        <v/>
      </c>
      <c r="I354" t="str">
        <f>"INV 6458/UNIT 4111"</f>
        <v>INV 6458/UNIT 4111</v>
      </c>
    </row>
    <row r="355" spans="1:9" x14ac:dyDescent="0.3">
      <c r="A355" t="str">
        <f>""</f>
        <v/>
      </c>
      <c r="F355" t="str">
        <f>""</f>
        <v/>
      </c>
      <c r="G355" t="str">
        <f>""</f>
        <v/>
      </c>
      <c r="I355" t="str">
        <f>"INV 6463/UNIT 0127"</f>
        <v>INV 6463/UNIT 0127</v>
      </c>
    </row>
    <row r="356" spans="1:9" x14ac:dyDescent="0.3">
      <c r="A356" t="str">
        <f>""</f>
        <v/>
      </c>
      <c r="F356" t="str">
        <f>""</f>
        <v/>
      </c>
      <c r="G356" t="str">
        <f>""</f>
        <v/>
      </c>
      <c r="I356" t="str">
        <f>"INV 6468/UNIT 0116"</f>
        <v>INV 6468/UNIT 0116</v>
      </c>
    </row>
    <row r="357" spans="1:9" x14ac:dyDescent="0.3">
      <c r="A357" t="str">
        <f>""</f>
        <v/>
      </c>
      <c r="F357" t="str">
        <f>""</f>
        <v/>
      </c>
      <c r="G357" t="str">
        <f>""</f>
        <v/>
      </c>
      <c r="I357" t="str">
        <f>"INV 6470/UNIT 0118"</f>
        <v>INV 6470/UNIT 0118</v>
      </c>
    </row>
    <row r="358" spans="1:9" x14ac:dyDescent="0.3">
      <c r="A358" t="str">
        <f>""</f>
        <v/>
      </c>
      <c r="F358" t="str">
        <f>""</f>
        <v/>
      </c>
      <c r="G358" t="str">
        <f>""</f>
        <v/>
      </c>
      <c r="I358" t="str">
        <f>"INV 6474/UNIT 6556"</f>
        <v>INV 6474/UNIT 6556</v>
      </c>
    </row>
    <row r="359" spans="1:9" x14ac:dyDescent="0.3">
      <c r="A359" t="str">
        <f>""</f>
        <v/>
      </c>
      <c r="F359" t="str">
        <f>""</f>
        <v/>
      </c>
      <c r="G359" t="str">
        <f>""</f>
        <v/>
      </c>
      <c r="I359" t="str">
        <f>"INV 6486/UNIT 0122"</f>
        <v>INV 6486/UNIT 0122</v>
      </c>
    </row>
    <row r="360" spans="1:9" x14ac:dyDescent="0.3">
      <c r="A360" t="str">
        <f>""</f>
        <v/>
      </c>
      <c r="F360" t="str">
        <f>""</f>
        <v/>
      </c>
      <c r="G360" t="str">
        <f>""</f>
        <v/>
      </c>
      <c r="I360" t="str">
        <f>"INV 6489/UNIT 8944"</f>
        <v>INV 6489/UNIT 8944</v>
      </c>
    </row>
    <row r="361" spans="1:9" x14ac:dyDescent="0.3">
      <c r="A361" t="str">
        <f>""</f>
        <v/>
      </c>
      <c r="F361" t="str">
        <f>""</f>
        <v/>
      </c>
      <c r="G361" t="str">
        <f>""</f>
        <v/>
      </c>
      <c r="I361" t="str">
        <f>"INV 6493/UNIT 4717"</f>
        <v>INV 6493/UNIT 4717</v>
      </c>
    </row>
    <row r="362" spans="1:9" x14ac:dyDescent="0.3">
      <c r="A362" t="str">
        <f>""</f>
        <v/>
      </c>
      <c r="F362" t="str">
        <f>""</f>
        <v/>
      </c>
      <c r="G362" t="str">
        <f>""</f>
        <v/>
      </c>
      <c r="I362" t="str">
        <f>"INV 6496/UNIT 124"</f>
        <v>INV 6496/UNIT 124</v>
      </c>
    </row>
    <row r="363" spans="1:9" x14ac:dyDescent="0.3">
      <c r="A363" t="str">
        <f>""</f>
        <v/>
      </c>
      <c r="F363" t="str">
        <f>""</f>
        <v/>
      </c>
      <c r="G363" t="str">
        <f>""</f>
        <v/>
      </c>
      <c r="I363" t="str">
        <f>"INV 6513/UNIT 3102"</f>
        <v>INV 6513/UNIT 3102</v>
      </c>
    </row>
    <row r="364" spans="1:9" x14ac:dyDescent="0.3">
      <c r="A364" t="str">
        <f>""</f>
        <v/>
      </c>
      <c r="F364" t="str">
        <f>""</f>
        <v/>
      </c>
      <c r="G364" t="str">
        <f>""</f>
        <v/>
      </c>
      <c r="I364" t="str">
        <f>"INV 6514/UNIT 1672"</f>
        <v>INV 6514/UNIT 1672</v>
      </c>
    </row>
    <row r="365" spans="1:9" x14ac:dyDescent="0.3">
      <c r="A365" t="str">
        <f>""</f>
        <v/>
      </c>
      <c r="F365" t="str">
        <f>""</f>
        <v/>
      </c>
      <c r="G365" t="str">
        <f>""</f>
        <v/>
      </c>
      <c r="I365" t="str">
        <f>"INV 6526/UNIT 6486"</f>
        <v>INV 6526/UNIT 6486</v>
      </c>
    </row>
    <row r="366" spans="1:9" x14ac:dyDescent="0.3">
      <c r="A366" t="str">
        <f>""</f>
        <v/>
      </c>
      <c r="F366" t="str">
        <f>""</f>
        <v/>
      </c>
      <c r="G366" t="str">
        <f>""</f>
        <v/>
      </c>
      <c r="I366" t="str">
        <f>"INV 6528/UNIT 6550"</f>
        <v>INV 6528/UNIT 6550</v>
      </c>
    </row>
    <row r="367" spans="1:9" x14ac:dyDescent="0.3">
      <c r="A367" t="str">
        <f>""</f>
        <v/>
      </c>
      <c r="F367" t="str">
        <f>""</f>
        <v/>
      </c>
      <c r="G367" t="str">
        <f>""</f>
        <v/>
      </c>
      <c r="I367" t="str">
        <f>"INV 6530/UNIT 0119"</f>
        <v>INV 6530/UNIT 0119</v>
      </c>
    </row>
    <row r="368" spans="1:9" x14ac:dyDescent="0.3">
      <c r="A368" t="str">
        <f>""</f>
        <v/>
      </c>
      <c r="F368" t="str">
        <f>""</f>
        <v/>
      </c>
      <c r="G368" t="str">
        <f>""</f>
        <v/>
      </c>
      <c r="I368" t="str">
        <f>"INV 6531/UNIT 6541"</f>
        <v>INV 6531/UNIT 6541</v>
      </c>
    </row>
    <row r="369" spans="1:9" x14ac:dyDescent="0.3">
      <c r="A369" t="str">
        <f>""</f>
        <v/>
      </c>
      <c r="F369" t="str">
        <f>""</f>
        <v/>
      </c>
      <c r="G369" t="str">
        <f>""</f>
        <v/>
      </c>
      <c r="I369" t="str">
        <f>"INV 6532/UNIT 6535"</f>
        <v>INV 6532/UNIT 6535</v>
      </c>
    </row>
    <row r="370" spans="1:9" x14ac:dyDescent="0.3">
      <c r="A370" t="str">
        <f>""</f>
        <v/>
      </c>
      <c r="F370" t="str">
        <f>""</f>
        <v/>
      </c>
      <c r="G370" t="str">
        <f>""</f>
        <v/>
      </c>
      <c r="I370" t="str">
        <f>"INV 6540/UNIT 1666"</f>
        <v>INV 6540/UNIT 1666</v>
      </c>
    </row>
    <row r="371" spans="1:9" x14ac:dyDescent="0.3">
      <c r="A371" t="str">
        <f>""</f>
        <v/>
      </c>
      <c r="F371" t="str">
        <f>""</f>
        <v/>
      </c>
      <c r="G371" t="str">
        <f>""</f>
        <v/>
      </c>
      <c r="I371" t="str">
        <f>"INV 6549/UNIT 9379"</f>
        <v>INV 6549/UNIT 9379</v>
      </c>
    </row>
    <row r="372" spans="1:9" x14ac:dyDescent="0.3">
      <c r="A372" t="str">
        <f>""</f>
        <v/>
      </c>
      <c r="F372" t="str">
        <f>""</f>
        <v/>
      </c>
      <c r="G372" t="str">
        <f>""</f>
        <v/>
      </c>
      <c r="I372" t="str">
        <f>"INV 6553/UNIT 5350"</f>
        <v>INV 6553/UNIT 5350</v>
      </c>
    </row>
    <row r="373" spans="1:9" x14ac:dyDescent="0.3">
      <c r="A373" t="str">
        <f>""</f>
        <v/>
      </c>
      <c r="F373" t="str">
        <f>""</f>
        <v/>
      </c>
      <c r="G373" t="str">
        <f>""</f>
        <v/>
      </c>
      <c r="I373" t="str">
        <f>"INV 6558/UNIT 6554"</f>
        <v>INV 6558/UNIT 6554</v>
      </c>
    </row>
    <row r="374" spans="1:9" x14ac:dyDescent="0.3">
      <c r="A374" t="str">
        <f>"001367"</f>
        <v>001367</v>
      </c>
      <c r="B374" t="s">
        <v>101</v>
      </c>
      <c r="C374">
        <v>73833</v>
      </c>
      <c r="D374" s="2">
        <v>1277.3</v>
      </c>
      <c r="E374" s="1">
        <v>43066</v>
      </c>
      <c r="F374" t="str">
        <f>"6595"</f>
        <v>6595</v>
      </c>
      <c r="G374" t="str">
        <f>"OIL CHANGE &amp; INSP/GEN SVCS"</f>
        <v>OIL CHANGE &amp; INSP/GEN SVCS</v>
      </c>
      <c r="H374" s="2">
        <v>37.950000000000003</v>
      </c>
      <c r="I374" t="str">
        <f>"OIL CHANGE &amp; INSP/GEN SVCS"</f>
        <v>OIL CHANGE &amp; INSP/GEN SVCS</v>
      </c>
    </row>
    <row r="375" spans="1:9" x14ac:dyDescent="0.3">
      <c r="A375" t="str">
        <f>""</f>
        <v/>
      </c>
      <c r="F375" t="str">
        <f>"INV6574"</f>
        <v>INV6574</v>
      </c>
      <c r="G375" t="str">
        <f>"INV 6574  / UNIT 9379"</f>
        <v>INV 6574  / UNIT 9379</v>
      </c>
      <c r="H375" s="2">
        <v>83.46</v>
      </c>
      <c r="I375" t="str">
        <f>"INV 6574  / UNIT 9379"</f>
        <v>INV 6574  / UNIT 9379</v>
      </c>
    </row>
    <row r="376" spans="1:9" x14ac:dyDescent="0.3">
      <c r="A376" t="str">
        <f>""</f>
        <v/>
      </c>
      <c r="F376" t="str">
        <f>"INV6625"</f>
        <v>INV6625</v>
      </c>
      <c r="G376" t="str">
        <f>"INV 6625/UNIT 86"</f>
        <v>INV 6625/UNIT 86</v>
      </c>
      <c r="H376" s="2">
        <v>73.92</v>
      </c>
      <c r="I376" t="str">
        <f>"INV 6625/UNIT 86"</f>
        <v>INV 6625/UNIT 86</v>
      </c>
    </row>
    <row r="377" spans="1:9" x14ac:dyDescent="0.3">
      <c r="A377" t="str">
        <f>""</f>
        <v/>
      </c>
      <c r="F377" t="str">
        <f>"INV6636"</f>
        <v>INV6636</v>
      </c>
      <c r="G377" t="str">
        <f>"INV 6636 / UNIT 1672"</f>
        <v>INV 6636 / UNIT 1672</v>
      </c>
      <c r="H377" s="2">
        <v>278.3</v>
      </c>
      <c r="I377" t="str">
        <f>"INV 6636 / UNIT 1672"</f>
        <v>INV 6636 / UNIT 1672</v>
      </c>
    </row>
    <row r="378" spans="1:9" x14ac:dyDescent="0.3">
      <c r="A378" t="str">
        <f>""</f>
        <v/>
      </c>
      <c r="F378" t="str">
        <f>"INV6638"</f>
        <v>INV6638</v>
      </c>
      <c r="G378" t="str">
        <f>"INV 6638 / 125"</f>
        <v>INV 6638 / 125</v>
      </c>
      <c r="H378" s="2">
        <v>276.52</v>
      </c>
      <c r="I378" t="str">
        <f>"INV 6638 / 125"</f>
        <v>INV 6638 / 125</v>
      </c>
    </row>
    <row r="379" spans="1:9" x14ac:dyDescent="0.3">
      <c r="A379" t="str">
        <f>""</f>
        <v/>
      </c>
      <c r="F379" t="str">
        <f>"VEH MAINT"</f>
        <v>VEH MAINT</v>
      </c>
      <c r="G379" t="str">
        <f>"INV 6577/ UNIT 0311"</f>
        <v>INV 6577/ UNIT 0311</v>
      </c>
      <c r="H379" s="2">
        <v>527.15</v>
      </c>
      <c r="I379" t="str">
        <f>"INV 6577/ UNIT 0311"</f>
        <v>INV 6577/ UNIT 0311</v>
      </c>
    </row>
    <row r="380" spans="1:9" x14ac:dyDescent="0.3">
      <c r="A380" t="str">
        <f>""</f>
        <v/>
      </c>
      <c r="F380" t="str">
        <f>""</f>
        <v/>
      </c>
      <c r="G380" t="str">
        <f>""</f>
        <v/>
      </c>
      <c r="I380" t="str">
        <f>"INV 6584 / UNIT 125"</f>
        <v>INV 6584 / UNIT 125</v>
      </c>
    </row>
    <row r="381" spans="1:9" x14ac:dyDescent="0.3">
      <c r="A381" t="str">
        <f>""</f>
        <v/>
      </c>
      <c r="F381" t="str">
        <f>""</f>
        <v/>
      </c>
      <c r="G381" t="str">
        <f>""</f>
        <v/>
      </c>
      <c r="I381" t="str">
        <f>"INV 6591 / UNIT 0123"</f>
        <v>INV 6591 / UNIT 0123</v>
      </c>
    </row>
    <row r="382" spans="1:9" x14ac:dyDescent="0.3">
      <c r="A382" t="str">
        <f>""</f>
        <v/>
      </c>
      <c r="F382" t="str">
        <f>""</f>
        <v/>
      </c>
      <c r="G382" t="str">
        <f>""</f>
        <v/>
      </c>
      <c r="I382" t="str">
        <f>"INV 6594 / UNIT 3102"</f>
        <v>INV 6594 / UNIT 3102</v>
      </c>
    </row>
    <row r="383" spans="1:9" x14ac:dyDescent="0.3">
      <c r="A383" t="str">
        <f>""</f>
        <v/>
      </c>
      <c r="F383" t="str">
        <f>""</f>
        <v/>
      </c>
      <c r="G383" t="str">
        <f>""</f>
        <v/>
      </c>
      <c r="I383" t="str">
        <f>"INV 6610 / UNIT 6502"</f>
        <v>INV 6610 / UNIT 6502</v>
      </c>
    </row>
    <row r="384" spans="1:9" x14ac:dyDescent="0.3">
      <c r="A384" t="str">
        <f>""</f>
        <v/>
      </c>
      <c r="F384" t="str">
        <f>""</f>
        <v/>
      </c>
      <c r="G384" t="str">
        <f>""</f>
        <v/>
      </c>
      <c r="I384" t="str">
        <f>"INV 6632 / UNIT 0119"</f>
        <v>INV 6632 / UNIT 0119</v>
      </c>
    </row>
    <row r="385" spans="1:10" x14ac:dyDescent="0.3">
      <c r="A385" t="str">
        <f>""</f>
        <v/>
      </c>
      <c r="F385" t="str">
        <f>""</f>
        <v/>
      </c>
      <c r="G385" t="str">
        <f>""</f>
        <v/>
      </c>
      <c r="I385" t="str">
        <f>"INV 6635 / UNIT 6523"</f>
        <v>INV 6635 / UNIT 6523</v>
      </c>
    </row>
    <row r="386" spans="1:10" x14ac:dyDescent="0.3">
      <c r="A386" t="str">
        <f>""</f>
        <v/>
      </c>
      <c r="F386" t="str">
        <f>""</f>
        <v/>
      </c>
      <c r="G386" t="str">
        <f>""</f>
        <v/>
      </c>
      <c r="I386" t="str">
        <f>"INV 6637 / UNIT 125"</f>
        <v>INV 6637 / UNIT 125</v>
      </c>
    </row>
    <row r="387" spans="1:10" x14ac:dyDescent="0.3">
      <c r="A387" t="str">
        <f>"003996"</f>
        <v>003996</v>
      </c>
      <c r="B387" t="s">
        <v>102</v>
      </c>
      <c r="C387">
        <v>73514</v>
      </c>
      <c r="D387" s="2">
        <v>110</v>
      </c>
      <c r="E387" s="1">
        <v>43052</v>
      </c>
      <c r="F387" t="str">
        <f>"201711086378"</f>
        <v>201711086378</v>
      </c>
      <c r="G387" t="str">
        <f>"FERAL HOGS"</f>
        <v>FERAL HOGS</v>
      </c>
      <c r="H387" s="2">
        <v>70</v>
      </c>
      <c r="I387" t="str">
        <f>"FERAL HOGS"</f>
        <v>FERAL HOGS</v>
      </c>
    </row>
    <row r="388" spans="1:10" x14ac:dyDescent="0.3">
      <c r="A388" t="str">
        <f>""</f>
        <v/>
      </c>
      <c r="F388" t="str">
        <f>"201711086379"</f>
        <v>201711086379</v>
      </c>
      <c r="G388" t="str">
        <f>"FERAL HOGS"</f>
        <v>FERAL HOGS</v>
      </c>
      <c r="H388" s="2">
        <v>40</v>
      </c>
      <c r="I388" t="str">
        <f>"FERAL HOGS"</f>
        <v>FERAL HOGS</v>
      </c>
    </row>
    <row r="389" spans="1:10" x14ac:dyDescent="0.3">
      <c r="A389" t="str">
        <f>"003762"</f>
        <v>003762</v>
      </c>
      <c r="B389" t="s">
        <v>103</v>
      </c>
      <c r="C389">
        <v>73515</v>
      </c>
      <c r="D389" s="2">
        <v>150</v>
      </c>
      <c r="E389" s="1">
        <v>43052</v>
      </c>
      <c r="F389" t="str">
        <f>"12770"</f>
        <v>12770</v>
      </c>
      <c r="G389" t="str">
        <f>"SERVICE  09/18/17"</f>
        <v>SERVICE  09/18/17</v>
      </c>
      <c r="H389" s="2">
        <v>150</v>
      </c>
      <c r="I389" t="str">
        <f>"SERVICE  09/18/17"</f>
        <v>SERVICE  09/18/17</v>
      </c>
    </row>
    <row r="390" spans="1:10" x14ac:dyDescent="0.3">
      <c r="A390" t="str">
        <f>"002841"</f>
        <v>002841</v>
      </c>
      <c r="B390" t="s">
        <v>104</v>
      </c>
      <c r="C390">
        <v>73834</v>
      </c>
      <c r="D390" s="2">
        <v>70</v>
      </c>
      <c r="E390" s="1">
        <v>43066</v>
      </c>
      <c r="F390" t="str">
        <f>"12200"</f>
        <v>12200</v>
      </c>
      <c r="G390" t="str">
        <f>"SERVICE"</f>
        <v>SERVICE</v>
      </c>
      <c r="H390" s="2">
        <v>70</v>
      </c>
      <c r="I390" t="str">
        <f>"SERVICE"</f>
        <v>SERVICE</v>
      </c>
    </row>
    <row r="391" spans="1:10" x14ac:dyDescent="0.3">
      <c r="A391" t="str">
        <f>"003337"</f>
        <v>003337</v>
      </c>
      <c r="B391" t="s">
        <v>105</v>
      </c>
      <c r="C391">
        <v>73835</v>
      </c>
      <c r="D391" s="2">
        <v>7.79</v>
      </c>
      <c r="E391" s="1">
        <v>43066</v>
      </c>
      <c r="F391" t="str">
        <f>"REIMBURSEMENT-FEED"</f>
        <v>REIMBURSEMENT-FEED</v>
      </c>
      <c r="G391" t="str">
        <f>"REIMBURSEMENT"</f>
        <v>REIMBURSEMENT</v>
      </c>
      <c r="H391" s="2">
        <v>7.79</v>
      </c>
      <c r="I391" t="str">
        <f>"REIMBURSEMENT - FEED"</f>
        <v>REIMBURSEMENT - FEED</v>
      </c>
    </row>
    <row r="392" spans="1:10" x14ac:dyDescent="0.3">
      <c r="A392" t="str">
        <f>"004274"</f>
        <v>004274</v>
      </c>
      <c r="B392" t="s">
        <v>106</v>
      </c>
      <c r="C392">
        <v>73516</v>
      </c>
      <c r="D392" s="2">
        <v>20</v>
      </c>
      <c r="E392" s="1">
        <v>43052</v>
      </c>
      <c r="F392" t="s">
        <v>107</v>
      </c>
      <c r="G392" t="s">
        <v>108</v>
      </c>
      <c r="H392" s="2" t="str">
        <f>"RESTITUTION-R. WRIGHT"</f>
        <v>RESTITUTION-R. WRIGHT</v>
      </c>
      <c r="I392" t="str">
        <f>"210-0000"</f>
        <v>210-0000</v>
      </c>
      <c r="J392">
        <v>20</v>
      </c>
    </row>
    <row r="393" spans="1:10" x14ac:dyDescent="0.3">
      <c r="A393" t="str">
        <f>"T11280"</f>
        <v>T11280</v>
      </c>
      <c r="B393" t="s">
        <v>109</v>
      </c>
      <c r="C393">
        <v>73836</v>
      </c>
      <c r="D393" s="2">
        <v>1167.28</v>
      </c>
      <c r="E393" s="1">
        <v>43066</v>
      </c>
      <c r="F393" t="str">
        <f>"201711176711"</f>
        <v>201711176711</v>
      </c>
      <c r="G393" t="str">
        <f>"REIMBURSEMENT-HOTEL/WITNESSES"</f>
        <v>REIMBURSEMENT-HOTEL/WITNESSES</v>
      </c>
      <c r="H393" s="2">
        <v>1167.28</v>
      </c>
      <c r="I393" t="str">
        <f>"REIMBURSEMENT-HOTEL/WITNESSES"</f>
        <v>REIMBURSEMENT-HOTEL/WITNESSES</v>
      </c>
    </row>
    <row r="394" spans="1:10" x14ac:dyDescent="0.3">
      <c r="A394" t="str">
        <f>"T9216"</f>
        <v>T9216</v>
      </c>
      <c r="B394" t="s">
        <v>110</v>
      </c>
      <c r="C394">
        <v>73517</v>
      </c>
      <c r="D394" s="2">
        <v>500</v>
      </c>
      <c r="E394" s="1">
        <v>43052</v>
      </c>
      <c r="F394" t="str">
        <f>"201711036167"</f>
        <v>201711036167</v>
      </c>
      <c r="G394" t="str">
        <f>"CH-20170610"</f>
        <v>CH-20170610</v>
      </c>
      <c r="H394" s="2">
        <v>250</v>
      </c>
      <c r="I394" t="str">
        <f>"CH-20170610"</f>
        <v>CH-20170610</v>
      </c>
    </row>
    <row r="395" spans="1:10" x14ac:dyDescent="0.3">
      <c r="A395" t="str">
        <f>""</f>
        <v/>
      </c>
      <c r="F395" t="str">
        <f>"201711036168"</f>
        <v>201711036168</v>
      </c>
      <c r="G395" t="str">
        <f>"402257-2"</f>
        <v>402257-2</v>
      </c>
      <c r="H395" s="2">
        <v>250</v>
      </c>
      <c r="I395" t="str">
        <f>"402257-2"</f>
        <v>402257-2</v>
      </c>
    </row>
    <row r="396" spans="1:10" x14ac:dyDescent="0.3">
      <c r="A396" t="str">
        <f>"T9216"</f>
        <v>T9216</v>
      </c>
      <c r="B396" t="s">
        <v>110</v>
      </c>
      <c r="C396">
        <v>73837</v>
      </c>
      <c r="D396" s="2">
        <v>250</v>
      </c>
      <c r="E396" s="1">
        <v>43066</v>
      </c>
      <c r="F396" t="str">
        <f>"201711166676"</f>
        <v>201711166676</v>
      </c>
      <c r="G396" t="str">
        <f>"52 212"</f>
        <v>52 212</v>
      </c>
      <c r="H396" s="2">
        <v>250</v>
      </c>
      <c r="I396" t="str">
        <f>"52 212"</f>
        <v>52 212</v>
      </c>
    </row>
    <row r="397" spans="1:10" x14ac:dyDescent="0.3">
      <c r="A397" t="str">
        <f>"002356"</f>
        <v>002356</v>
      </c>
      <c r="B397" t="s">
        <v>111</v>
      </c>
      <c r="C397">
        <v>73518</v>
      </c>
      <c r="D397" s="2">
        <v>45</v>
      </c>
      <c r="E397" s="1">
        <v>43052</v>
      </c>
      <c r="F397" t="str">
        <f>"17-18670"</f>
        <v>17-18670</v>
      </c>
      <c r="G397" t="str">
        <f>"CENTRAL ADOPTION REG FUND"</f>
        <v>CENTRAL ADOPTION REG FUND</v>
      </c>
      <c r="H397" s="2">
        <v>15</v>
      </c>
      <c r="I397" t="str">
        <f>"CENTRAL ADOPTION REG FUND"</f>
        <v>CENTRAL ADOPTION REG FUND</v>
      </c>
    </row>
    <row r="398" spans="1:10" x14ac:dyDescent="0.3">
      <c r="A398" t="str">
        <f>""</f>
        <v/>
      </c>
      <c r="F398" t="str">
        <f>"17-18696"</f>
        <v>17-18696</v>
      </c>
      <c r="G398" t="str">
        <f>"CENTRAL ADOPTION REGISTRY FUND"</f>
        <v>CENTRAL ADOPTION REGISTRY FUND</v>
      </c>
      <c r="H398" s="2">
        <v>15</v>
      </c>
      <c r="I398" t="str">
        <f>"CENTRAL ADOPTION REGISTRY FUND"</f>
        <v>CENTRAL ADOPTION REGISTRY FUND</v>
      </c>
    </row>
    <row r="399" spans="1:10" x14ac:dyDescent="0.3">
      <c r="A399" t="str">
        <f>""</f>
        <v/>
      </c>
      <c r="F399" t="str">
        <f>"17-18704"</f>
        <v>17-18704</v>
      </c>
      <c r="G399" t="str">
        <f>"CENTRAL ADOPT REG FUND"</f>
        <v>CENTRAL ADOPT REG FUND</v>
      </c>
      <c r="H399" s="2">
        <v>15</v>
      </c>
      <c r="I399" t="str">
        <f>"CENTRAL ADOPT REG FUND"</f>
        <v>CENTRAL ADOPT REG FUND</v>
      </c>
    </row>
    <row r="400" spans="1:10" x14ac:dyDescent="0.3">
      <c r="A400" t="str">
        <f>"002356"</f>
        <v>002356</v>
      </c>
      <c r="B400" t="s">
        <v>111</v>
      </c>
      <c r="C400">
        <v>73838</v>
      </c>
      <c r="D400" s="2">
        <v>60</v>
      </c>
      <c r="E400" s="1">
        <v>43066</v>
      </c>
      <c r="F400" t="str">
        <f>"17-18714"</f>
        <v>17-18714</v>
      </c>
      <c r="G400" t="str">
        <f>"CENTRAL ADOPTION REGISTRY FUND"</f>
        <v>CENTRAL ADOPTION REGISTRY FUND</v>
      </c>
      <c r="H400" s="2">
        <v>15</v>
      </c>
      <c r="I400" t="str">
        <f>"CENTRAL ADOPTION REGISTRY FUND"</f>
        <v>CENTRAL ADOPTION REGISTRY FUND</v>
      </c>
    </row>
    <row r="401" spans="1:10" x14ac:dyDescent="0.3">
      <c r="A401" t="str">
        <f>""</f>
        <v/>
      </c>
      <c r="F401" t="str">
        <f>"17-18727"</f>
        <v>17-18727</v>
      </c>
      <c r="G401" t="str">
        <f>"CENTRAL ADOPTION REGISTRY FUND"</f>
        <v>CENTRAL ADOPTION REGISTRY FUND</v>
      </c>
      <c r="H401" s="2">
        <v>15</v>
      </c>
      <c r="I401" t="str">
        <f>"CENTRAL ADOPTION REGISTRY FUND"</f>
        <v>CENTRAL ADOPTION REGISTRY FUND</v>
      </c>
    </row>
    <row r="402" spans="1:10" x14ac:dyDescent="0.3">
      <c r="A402" t="str">
        <f>""</f>
        <v/>
      </c>
      <c r="F402" t="str">
        <f>"423-5355"</f>
        <v>423-5355</v>
      </c>
      <c r="G402" t="str">
        <f>"CENTRAL ADOPTION REGISTRY FUND"</f>
        <v>CENTRAL ADOPTION REGISTRY FUND</v>
      </c>
      <c r="H402" s="2">
        <v>15</v>
      </c>
      <c r="I402" t="str">
        <f>"CENTRAL ADOPTION REGISTRY FUND"</f>
        <v>CENTRAL ADOPTION REGISTRY FUND</v>
      </c>
    </row>
    <row r="403" spans="1:10" x14ac:dyDescent="0.3">
      <c r="A403" t="str">
        <f>""</f>
        <v/>
      </c>
      <c r="F403" t="str">
        <f>"423-5367"</f>
        <v>423-5367</v>
      </c>
      <c r="G403" t="str">
        <f>"CENTRAL ADOPTION REGISTRY FUND"</f>
        <v>CENTRAL ADOPTION REGISTRY FUND</v>
      </c>
      <c r="H403" s="2">
        <v>15</v>
      </c>
      <c r="I403" t="str">
        <f>"CENTRAL ADOPTION REGISTRY FUND"</f>
        <v>CENTRAL ADOPTION REGISTRY FUND</v>
      </c>
    </row>
    <row r="404" spans="1:10" x14ac:dyDescent="0.3">
      <c r="A404" t="str">
        <f>"005297"</f>
        <v>005297</v>
      </c>
      <c r="B404" t="s">
        <v>112</v>
      </c>
      <c r="C404">
        <v>73839</v>
      </c>
      <c r="D404" s="2">
        <v>162</v>
      </c>
      <c r="E404" s="1">
        <v>43066</v>
      </c>
      <c r="F404" t="str">
        <f>"5275"</f>
        <v>5275</v>
      </c>
      <c r="G404" t="str">
        <f>"FEES PAID FROM SALES TAX"</f>
        <v>FEES PAID FROM SALES TAX</v>
      </c>
      <c r="H404" s="2">
        <v>162</v>
      </c>
      <c r="I404" t="str">
        <f>"FEES PAID FROM SALES TAX"</f>
        <v>FEES PAID FROM SALES TAX</v>
      </c>
    </row>
    <row r="405" spans="1:10" x14ac:dyDescent="0.3">
      <c r="A405" t="str">
        <f>"002687"</f>
        <v>002687</v>
      </c>
      <c r="B405" t="s">
        <v>113</v>
      </c>
      <c r="C405">
        <v>73519</v>
      </c>
      <c r="D405" s="2">
        <v>74</v>
      </c>
      <c r="E405" s="1">
        <v>43052</v>
      </c>
      <c r="F405" t="s">
        <v>60</v>
      </c>
      <c r="G405" t="s">
        <v>114</v>
      </c>
      <c r="H405" s="2" t="str">
        <f>"SERVICE"</f>
        <v>SERVICE</v>
      </c>
      <c r="I405" t="str">
        <f>"995-4110"</f>
        <v>995-4110</v>
      </c>
      <c r="J405">
        <v>74</v>
      </c>
    </row>
    <row r="406" spans="1:10" x14ac:dyDescent="0.3">
      <c r="A406" t="str">
        <f>"005301"</f>
        <v>005301</v>
      </c>
      <c r="B406" t="s">
        <v>115</v>
      </c>
      <c r="C406">
        <v>73840</v>
      </c>
      <c r="D406" s="2">
        <v>55</v>
      </c>
      <c r="E406" s="1">
        <v>43066</v>
      </c>
      <c r="F406" t="str">
        <f>"K9 TRAINING REIMBU"</f>
        <v>K9 TRAINING REIMBU</v>
      </c>
      <c r="G406" t="str">
        <f>"TRAINING"</f>
        <v>TRAINING</v>
      </c>
      <c r="H406" s="2">
        <v>55</v>
      </c>
      <c r="I406" t="str">
        <f>"K-9 TRAINING REIMBUR"</f>
        <v>K-9 TRAINING REIMBUR</v>
      </c>
    </row>
    <row r="407" spans="1:10" x14ac:dyDescent="0.3">
      <c r="A407" t="str">
        <f>"T12518"</f>
        <v>T12518</v>
      </c>
      <c r="B407" t="s">
        <v>116</v>
      </c>
      <c r="C407">
        <v>73520</v>
      </c>
      <c r="D407" s="2">
        <v>443.76</v>
      </c>
      <c r="E407" s="1">
        <v>43052</v>
      </c>
      <c r="F407" t="str">
        <f>"2017PS 824"</f>
        <v>2017PS 824</v>
      </c>
      <c r="G407" t="str">
        <f>"EMERGENCY COMM/SYST MONIT"</f>
        <v>EMERGENCY COMM/SYST MONIT</v>
      </c>
      <c r="H407" s="2">
        <v>23.76</v>
      </c>
      <c r="I407" t="str">
        <f>"EMERGENCY COMM/SYST MONIT"</f>
        <v>EMERGENCY COMM/SYST MONIT</v>
      </c>
    </row>
    <row r="408" spans="1:10" x14ac:dyDescent="0.3">
      <c r="A408" t="str">
        <f>""</f>
        <v/>
      </c>
      <c r="F408" t="str">
        <f>"21116"</f>
        <v>21116</v>
      </c>
      <c r="G408" t="str">
        <f>"INV 21116 MICHAEL PANZINO"</f>
        <v>INV 21116 MICHAEL PANZINO</v>
      </c>
      <c r="H408" s="2">
        <v>120</v>
      </c>
      <c r="I408" t="str">
        <f>"INV 21116 MICHAEL PANZINO"</f>
        <v>INV 21116 MICHAEL PANZINO</v>
      </c>
    </row>
    <row r="409" spans="1:10" x14ac:dyDescent="0.3">
      <c r="A409" t="str">
        <f>""</f>
        <v/>
      </c>
      <c r="F409" t="str">
        <f>"21117"</f>
        <v>21117</v>
      </c>
      <c r="G409" t="str">
        <f>"INV 21117 MICHAEL PANZINO"</f>
        <v>INV 21117 MICHAEL PANZINO</v>
      </c>
      <c r="H409" s="2">
        <v>30</v>
      </c>
      <c r="I409" t="str">
        <f>"INV 21117 MICHAEL PANZINO"</f>
        <v>INV 21117 MICHAEL PANZINO</v>
      </c>
    </row>
    <row r="410" spans="1:10" x14ac:dyDescent="0.3">
      <c r="A410" t="str">
        <f>""</f>
        <v/>
      </c>
      <c r="F410" t="str">
        <f>"21217"</f>
        <v>21217</v>
      </c>
      <c r="G410" t="str">
        <f>"SHANE RAWLINGS 11/27/2017"</f>
        <v>SHANE RAWLINGS 11/27/2017</v>
      </c>
      <c r="H410" s="2">
        <v>240</v>
      </c>
      <c r="I410" t="str">
        <f>"SHANE RAWLINGS 11/27/2017"</f>
        <v>SHANE RAWLINGS 11/27/2017</v>
      </c>
    </row>
    <row r="411" spans="1:10" x14ac:dyDescent="0.3">
      <c r="A411" t="str">
        <f>""</f>
        <v/>
      </c>
      <c r="F411" t="str">
        <f>"TRAINING-S.RAWLING"</f>
        <v>TRAINING-S.RAWLING</v>
      </c>
      <c r="G411" t="str">
        <f>"INV 21114 SHANE RAWLINGS"</f>
        <v>INV 21114 SHANE RAWLINGS</v>
      </c>
      <c r="H411" s="2">
        <v>30</v>
      </c>
      <c r="I411" t="str">
        <f>"SHANE RAWLINGS 10/26/2017"</f>
        <v>SHANE RAWLINGS 10/26/2017</v>
      </c>
    </row>
    <row r="412" spans="1:10" x14ac:dyDescent="0.3">
      <c r="A412" t="str">
        <f>"002726"</f>
        <v>002726</v>
      </c>
      <c r="B412" t="s">
        <v>117</v>
      </c>
      <c r="C412">
        <v>73521</v>
      </c>
      <c r="D412" s="2">
        <v>3376.47</v>
      </c>
      <c r="E412" s="1">
        <v>43052</v>
      </c>
      <c r="F412" t="str">
        <f>"ACCT#0058 11/16/17"</f>
        <v>ACCT#0058 11/16/17</v>
      </c>
      <c r="G412" t="str">
        <f>"Acct# 0058"</f>
        <v>Acct# 0058</v>
      </c>
      <c r="H412" s="2">
        <v>2015.51</v>
      </c>
      <c r="I412" t="str">
        <f>"VistaPrint"</f>
        <v>VistaPrint</v>
      </c>
    </row>
    <row r="413" spans="1:10" x14ac:dyDescent="0.3">
      <c r="A413" t="str">
        <f>""</f>
        <v/>
      </c>
      <c r="F413" t="str">
        <f>""</f>
        <v/>
      </c>
      <c r="G413" t="str">
        <f>""</f>
        <v/>
      </c>
      <c r="I413" t="str">
        <f>"Amazon"</f>
        <v>Amazon</v>
      </c>
    </row>
    <row r="414" spans="1:10" x14ac:dyDescent="0.3">
      <c r="A414" t="str">
        <f>""</f>
        <v/>
      </c>
      <c r="F414" t="str">
        <f>""</f>
        <v/>
      </c>
      <c r="G414" t="str">
        <f>""</f>
        <v/>
      </c>
      <c r="I414" t="str">
        <f>"DropBOx"</f>
        <v>DropBOx</v>
      </c>
    </row>
    <row r="415" spans="1:10" x14ac:dyDescent="0.3">
      <c r="A415" t="str">
        <f>""</f>
        <v/>
      </c>
      <c r="F415" t="str">
        <f>""</f>
        <v/>
      </c>
      <c r="G415" t="str">
        <f>""</f>
        <v/>
      </c>
      <c r="I415" t="str">
        <f>"DropBox"</f>
        <v>DropBox</v>
      </c>
    </row>
    <row r="416" spans="1:10" x14ac:dyDescent="0.3">
      <c r="A416" t="str">
        <f>""</f>
        <v/>
      </c>
      <c r="F416" t="str">
        <f>""</f>
        <v/>
      </c>
      <c r="G416" t="str">
        <f>""</f>
        <v/>
      </c>
      <c r="I416" t="str">
        <f>"Walmart"</f>
        <v>Walmart</v>
      </c>
    </row>
    <row r="417" spans="1:9" x14ac:dyDescent="0.3">
      <c r="A417" t="str">
        <f>""</f>
        <v/>
      </c>
      <c r="F417" t="str">
        <f>""</f>
        <v/>
      </c>
      <c r="G417" t="str">
        <f>""</f>
        <v/>
      </c>
      <c r="I417" t="str">
        <f>"Amazon"</f>
        <v>Amazon</v>
      </c>
    </row>
    <row r="418" spans="1:9" x14ac:dyDescent="0.3">
      <c r="A418" t="str">
        <f>""</f>
        <v/>
      </c>
      <c r="F418" t="str">
        <f>""</f>
        <v/>
      </c>
      <c r="G418" t="str">
        <f>""</f>
        <v/>
      </c>
      <c r="I418" t="str">
        <f>"Academy"</f>
        <v>Academy</v>
      </c>
    </row>
    <row r="419" spans="1:9" x14ac:dyDescent="0.3">
      <c r="A419" t="str">
        <f>""</f>
        <v/>
      </c>
      <c r="F419" t="str">
        <f>""</f>
        <v/>
      </c>
      <c r="G419" t="str">
        <f>""</f>
        <v/>
      </c>
      <c r="I419" t="str">
        <f>"Rosanna Garza"</f>
        <v>Rosanna Garza</v>
      </c>
    </row>
    <row r="420" spans="1:9" x14ac:dyDescent="0.3">
      <c r="A420" t="str">
        <f>""</f>
        <v/>
      </c>
      <c r="F420" t="str">
        <f>""</f>
        <v/>
      </c>
      <c r="G420" t="str">
        <f>""</f>
        <v/>
      </c>
      <c r="I420" t="str">
        <f>"Robert Bennett"</f>
        <v>Robert Bennett</v>
      </c>
    </row>
    <row r="421" spans="1:9" x14ac:dyDescent="0.3">
      <c r="A421" t="str">
        <f>""</f>
        <v/>
      </c>
      <c r="F421" t="str">
        <f>""</f>
        <v/>
      </c>
      <c r="G421" t="str">
        <f>""</f>
        <v/>
      </c>
      <c r="I421" t="str">
        <f>"Annette Murley"</f>
        <v>Annette Murley</v>
      </c>
    </row>
    <row r="422" spans="1:9" x14ac:dyDescent="0.3">
      <c r="A422" t="str">
        <f>""</f>
        <v/>
      </c>
      <c r="F422" t="str">
        <f>""</f>
        <v/>
      </c>
      <c r="G422" t="str">
        <f>""</f>
        <v/>
      </c>
      <c r="I422" t="str">
        <f>"Charles Adam"</f>
        <v>Charles Adam</v>
      </c>
    </row>
    <row r="423" spans="1:9" x14ac:dyDescent="0.3">
      <c r="A423" t="str">
        <f>""</f>
        <v/>
      </c>
      <c r="F423" t="str">
        <f>""</f>
        <v/>
      </c>
      <c r="G423" t="str">
        <f>""</f>
        <v/>
      </c>
      <c r="I423" t="str">
        <f>"Erika DeJesus"</f>
        <v>Erika DeJesus</v>
      </c>
    </row>
    <row r="424" spans="1:9" x14ac:dyDescent="0.3">
      <c r="A424" t="str">
        <f>""</f>
        <v/>
      </c>
      <c r="F424" t="str">
        <f>""</f>
        <v/>
      </c>
      <c r="G424" t="str">
        <f>""</f>
        <v/>
      </c>
      <c r="I424" t="str">
        <f>"Kenneth Leatherwood"</f>
        <v>Kenneth Leatherwood</v>
      </c>
    </row>
    <row r="425" spans="1:9" x14ac:dyDescent="0.3">
      <c r="A425" t="str">
        <f>""</f>
        <v/>
      </c>
      <c r="F425" t="str">
        <f>""</f>
        <v/>
      </c>
      <c r="G425" t="str">
        <f>""</f>
        <v/>
      </c>
      <c r="I425" t="str">
        <f>"Kenneth Leatherwood"</f>
        <v>Kenneth Leatherwood</v>
      </c>
    </row>
    <row r="426" spans="1:9" x14ac:dyDescent="0.3">
      <c r="A426" t="str">
        <f>""</f>
        <v/>
      </c>
      <c r="F426" t="str">
        <f>""</f>
        <v/>
      </c>
      <c r="G426" t="str">
        <f>""</f>
        <v/>
      </c>
      <c r="I426" t="str">
        <f>"Kenneth Leatherwood"</f>
        <v>Kenneth Leatherwood</v>
      </c>
    </row>
    <row r="427" spans="1:9" x14ac:dyDescent="0.3">
      <c r="A427" t="str">
        <f>""</f>
        <v/>
      </c>
      <c r="F427" t="str">
        <f>""</f>
        <v/>
      </c>
      <c r="G427" t="str">
        <f>""</f>
        <v/>
      </c>
      <c r="I427" t="str">
        <f>"Kenneth Leatherwood"</f>
        <v>Kenneth Leatherwood</v>
      </c>
    </row>
    <row r="428" spans="1:9" x14ac:dyDescent="0.3">
      <c r="A428" t="str">
        <f>""</f>
        <v/>
      </c>
      <c r="F428" t="str">
        <f>""</f>
        <v/>
      </c>
      <c r="G428" t="str">
        <f>""</f>
        <v/>
      </c>
      <c r="I428" t="str">
        <f>"Kenneth Leatherwood"</f>
        <v>Kenneth Leatherwood</v>
      </c>
    </row>
    <row r="429" spans="1:9" x14ac:dyDescent="0.3">
      <c r="A429" t="str">
        <f>""</f>
        <v/>
      </c>
      <c r="F429" t="str">
        <f>""</f>
        <v/>
      </c>
      <c r="G429" t="str">
        <f>""</f>
        <v/>
      </c>
      <c r="I429" t="str">
        <f>"Cummins"</f>
        <v>Cummins</v>
      </c>
    </row>
    <row r="430" spans="1:9" x14ac:dyDescent="0.3">
      <c r="A430" t="str">
        <f>""</f>
        <v/>
      </c>
      <c r="F430" t="str">
        <f>""</f>
        <v/>
      </c>
      <c r="G430" t="str">
        <f>""</f>
        <v/>
      </c>
      <c r="I430" t="str">
        <f>"Cummins"</f>
        <v>Cummins</v>
      </c>
    </row>
    <row r="431" spans="1:9" x14ac:dyDescent="0.3">
      <c r="A431" t="str">
        <f>""</f>
        <v/>
      </c>
      <c r="F431" t="str">
        <f>""</f>
        <v/>
      </c>
      <c r="G431" t="str">
        <f>""</f>
        <v/>
      </c>
      <c r="I431" t="str">
        <f>"Cummins"</f>
        <v>Cummins</v>
      </c>
    </row>
    <row r="432" spans="1:9" x14ac:dyDescent="0.3">
      <c r="A432" t="str">
        <f>""</f>
        <v/>
      </c>
      <c r="F432" t="str">
        <f>"ACCT0058 PART 1"</f>
        <v>ACCT0058 PART 1</v>
      </c>
      <c r="G432" t="str">
        <f>"Acct# 0058"</f>
        <v>Acct# 0058</v>
      </c>
      <c r="H432" s="2">
        <v>1360.96</v>
      </c>
      <c r="I432" t="str">
        <f>"GoDaddy"</f>
        <v>GoDaddy</v>
      </c>
    </row>
    <row r="433" spans="1:9" x14ac:dyDescent="0.3">
      <c r="A433" t="str">
        <f>""</f>
        <v/>
      </c>
      <c r="F433" t="str">
        <f>""</f>
        <v/>
      </c>
      <c r="G433" t="str">
        <f>""</f>
        <v/>
      </c>
      <c r="I433" t="str">
        <f>"Go Daddy"</f>
        <v>Go Daddy</v>
      </c>
    </row>
    <row r="434" spans="1:9" x14ac:dyDescent="0.3">
      <c r="A434" t="str">
        <f>""</f>
        <v/>
      </c>
      <c r="F434" t="str">
        <f>""</f>
        <v/>
      </c>
      <c r="G434" t="str">
        <f>""</f>
        <v/>
      </c>
      <c r="I434" t="str">
        <f>"Paypal"</f>
        <v>Paypal</v>
      </c>
    </row>
    <row r="435" spans="1:9" x14ac:dyDescent="0.3">
      <c r="A435" t="str">
        <f>""</f>
        <v/>
      </c>
      <c r="F435" t="str">
        <f>""</f>
        <v/>
      </c>
      <c r="G435" t="str">
        <f>""</f>
        <v/>
      </c>
      <c r="I435" t="str">
        <f>"BIgger"</f>
        <v>BIgger</v>
      </c>
    </row>
    <row r="436" spans="1:9" x14ac:dyDescent="0.3">
      <c r="A436" t="str">
        <f>""</f>
        <v/>
      </c>
      <c r="F436" t="str">
        <f>""</f>
        <v/>
      </c>
      <c r="G436" t="str">
        <f>""</f>
        <v/>
      </c>
      <c r="I436" t="str">
        <f>"PayPal"</f>
        <v>PayPal</v>
      </c>
    </row>
    <row r="437" spans="1:9" x14ac:dyDescent="0.3">
      <c r="A437" t="str">
        <f>""</f>
        <v/>
      </c>
      <c r="F437" t="str">
        <f>""</f>
        <v/>
      </c>
      <c r="G437" t="str">
        <f>""</f>
        <v/>
      </c>
      <c r="I437" t="str">
        <f>"Walmart"</f>
        <v>Walmart</v>
      </c>
    </row>
    <row r="438" spans="1:9" x14ac:dyDescent="0.3">
      <c r="A438" t="str">
        <f>""</f>
        <v/>
      </c>
      <c r="F438" t="str">
        <f>""</f>
        <v/>
      </c>
      <c r="G438" t="str">
        <f>""</f>
        <v/>
      </c>
      <c r="I438" t="str">
        <f>"Robert Bennett"</f>
        <v>Robert Bennett</v>
      </c>
    </row>
    <row r="439" spans="1:9" x14ac:dyDescent="0.3">
      <c r="A439" t="str">
        <f>""</f>
        <v/>
      </c>
      <c r="F439" t="str">
        <f>""</f>
        <v/>
      </c>
      <c r="G439" t="str">
        <f>""</f>
        <v/>
      </c>
      <c r="I439" t="str">
        <f>"Charles Adam"</f>
        <v>Charles Adam</v>
      </c>
    </row>
    <row r="440" spans="1:9" x14ac:dyDescent="0.3">
      <c r="A440" t="str">
        <f>""</f>
        <v/>
      </c>
      <c r="F440" t="str">
        <f>""</f>
        <v/>
      </c>
      <c r="G440" t="str">
        <f>""</f>
        <v/>
      </c>
      <c r="I440" t="str">
        <f>"Charles Adams"</f>
        <v>Charles Adams</v>
      </c>
    </row>
    <row r="441" spans="1:9" x14ac:dyDescent="0.3">
      <c r="A441" t="str">
        <f>""</f>
        <v/>
      </c>
      <c r="F441" t="str">
        <f>""</f>
        <v/>
      </c>
      <c r="G441" t="str">
        <f>""</f>
        <v/>
      </c>
      <c r="I441" t="str">
        <f>"Kenneth Leatherwood"</f>
        <v>Kenneth Leatherwood</v>
      </c>
    </row>
    <row r="442" spans="1:9" x14ac:dyDescent="0.3">
      <c r="A442" t="str">
        <f>""</f>
        <v/>
      </c>
      <c r="F442" t="str">
        <f>""</f>
        <v/>
      </c>
      <c r="G442" t="str">
        <f>""</f>
        <v/>
      </c>
      <c r="I442" t="str">
        <f>"Kenneth Leatherwood"</f>
        <v>Kenneth Leatherwood</v>
      </c>
    </row>
    <row r="443" spans="1:9" x14ac:dyDescent="0.3">
      <c r="A443" t="str">
        <f>""</f>
        <v/>
      </c>
      <c r="F443" t="str">
        <f>""</f>
        <v/>
      </c>
      <c r="G443" t="str">
        <f>""</f>
        <v/>
      </c>
      <c r="I443" t="str">
        <f>"Kenneth Leatherwood"</f>
        <v>Kenneth Leatherwood</v>
      </c>
    </row>
    <row r="444" spans="1:9" x14ac:dyDescent="0.3">
      <c r="A444" t="str">
        <f>""</f>
        <v/>
      </c>
      <c r="F444" t="str">
        <f>""</f>
        <v/>
      </c>
      <c r="G444" t="str">
        <f>""</f>
        <v/>
      </c>
      <c r="I444" t="str">
        <f>"Amazon"</f>
        <v>Amazon</v>
      </c>
    </row>
    <row r="445" spans="1:9" x14ac:dyDescent="0.3">
      <c r="A445" t="str">
        <f>"CARD"</f>
        <v>CARD</v>
      </c>
      <c r="B445" t="s">
        <v>117</v>
      </c>
      <c r="C445">
        <v>73522</v>
      </c>
      <c r="D445" s="2">
        <v>62.39</v>
      </c>
      <c r="E445" s="1">
        <v>43052</v>
      </c>
      <c r="F445" t="str">
        <f>"9/23/17-10/23/17"</f>
        <v>9/23/17-10/23/17</v>
      </c>
      <c r="G445" t="str">
        <f>"XXXX 0574 STATEMENT"</f>
        <v>XXXX 0574 STATEMENT</v>
      </c>
      <c r="H445" s="2">
        <v>62.39</v>
      </c>
      <c r="I445" t="str">
        <f>"BEST BUY - FLASH DRI"</f>
        <v>BEST BUY - FLASH DRI</v>
      </c>
    </row>
    <row r="446" spans="1:9" x14ac:dyDescent="0.3">
      <c r="A446" t="str">
        <f>""</f>
        <v/>
      </c>
      <c r="F446" t="str">
        <f>""</f>
        <v/>
      </c>
      <c r="G446" t="str">
        <f>""</f>
        <v/>
      </c>
      <c r="I446" t="str">
        <f>"OMNI CC - LODGING"</f>
        <v>OMNI CC - LODGING</v>
      </c>
    </row>
    <row r="447" spans="1:9" x14ac:dyDescent="0.3">
      <c r="A447" t="str">
        <f>"CASA"</f>
        <v>CASA</v>
      </c>
      <c r="B447" t="s">
        <v>118</v>
      </c>
      <c r="C447">
        <v>73841</v>
      </c>
      <c r="D447" s="2">
        <v>11000</v>
      </c>
      <c r="E447" s="1">
        <v>43066</v>
      </c>
      <c r="F447" t="str">
        <f>"201711166629"</f>
        <v>201711166629</v>
      </c>
      <c r="G447" t="str">
        <f>"FUNDS FOR 2017-2018"</f>
        <v>FUNDS FOR 2017-2018</v>
      </c>
      <c r="H447" s="2">
        <v>11000</v>
      </c>
      <c r="I447" t="str">
        <f>"FUNDS FOR 2017-2018"</f>
        <v>FUNDS FOR 2017-2018</v>
      </c>
    </row>
    <row r="448" spans="1:9" x14ac:dyDescent="0.3">
      <c r="A448" t="str">
        <f>"CTRPNT"</f>
        <v>CTRPNT</v>
      </c>
      <c r="B448" t="s">
        <v>119</v>
      </c>
      <c r="C448">
        <v>73993</v>
      </c>
      <c r="D448" s="2">
        <v>1714.94</v>
      </c>
      <c r="E448" s="1">
        <v>43068</v>
      </c>
      <c r="F448" t="str">
        <f>"201711296848"</f>
        <v>201711296848</v>
      </c>
      <c r="G448" t="str">
        <f>"ACCT#2974567 / 11172017"</f>
        <v>ACCT#2974567 / 11172017</v>
      </c>
      <c r="H448" s="2">
        <v>1423.79</v>
      </c>
      <c r="I448" t="str">
        <f>"ACCT#2974567 / 11172017"</f>
        <v>ACCT#2974567 / 11172017</v>
      </c>
    </row>
    <row r="449" spans="1:9" x14ac:dyDescent="0.3">
      <c r="A449" t="str">
        <f>""</f>
        <v/>
      </c>
      <c r="F449" t="str">
        <f>"201711296849"</f>
        <v>201711296849</v>
      </c>
      <c r="G449" t="str">
        <f>"ACCT# 3204433 / 11172017"</f>
        <v>ACCT# 3204433 / 11172017</v>
      </c>
      <c r="H449" s="2">
        <v>40.1</v>
      </c>
      <c r="I449" t="str">
        <f>"ACCT# 3204433 / 11172017"</f>
        <v>ACCT# 3204433 / 11172017</v>
      </c>
    </row>
    <row r="450" spans="1:9" x14ac:dyDescent="0.3">
      <c r="A450" t="str">
        <f>""</f>
        <v/>
      </c>
      <c r="F450" t="str">
        <f>"201711296850"</f>
        <v>201711296850</v>
      </c>
      <c r="G450" t="str">
        <f>"ACCT#3204434 / 11172017"</f>
        <v>ACCT#3204434 / 11172017</v>
      </c>
      <c r="H450" s="2">
        <v>40.1</v>
      </c>
      <c r="I450" t="str">
        <f>"ACCT#3204434 / 11172017"</f>
        <v>ACCT#3204434 / 11172017</v>
      </c>
    </row>
    <row r="451" spans="1:9" x14ac:dyDescent="0.3">
      <c r="A451" t="str">
        <f>""</f>
        <v/>
      </c>
      <c r="F451" t="str">
        <f>"201711296851"</f>
        <v>201711296851</v>
      </c>
      <c r="G451" t="str">
        <f>"ACCT# 2814197 / 11172017"</f>
        <v>ACCT# 2814197 / 11172017</v>
      </c>
      <c r="H451" s="2">
        <v>40.1</v>
      </c>
      <c r="I451" t="str">
        <f>"ACCT# 2814197 / 11172017"</f>
        <v>ACCT# 2814197 / 11172017</v>
      </c>
    </row>
    <row r="452" spans="1:9" x14ac:dyDescent="0.3">
      <c r="A452" t="str">
        <f>""</f>
        <v/>
      </c>
      <c r="F452" t="str">
        <f>"201711296852"</f>
        <v>201711296852</v>
      </c>
      <c r="G452" t="str">
        <f>"ACCT# 2959098 / 11172017"</f>
        <v>ACCT# 2959098 / 11172017</v>
      </c>
      <c r="H452" s="2">
        <v>40.520000000000003</v>
      </c>
      <c r="I452" t="str">
        <f>"ACCT# 2959098 / 11172017"</f>
        <v>ACCT# 2959098 / 11172017</v>
      </c>
    </row>
    <row r="453" spans="1:9" x14ac:dyDescent="0.3">
      <c r="A453" t="str">
        <f>""</f>
        <v/>
      </c>
      <c r="F453" t="str">
        <f>"201711296853"</f>
        <v>201711296853</v>
      </c>
      <c r="G453" t="str">
        <f>"ACCT# 2959074 / 11172017"</f>
        <v>ACCT# 2959074 / 11172017</v>
      </c>
      <c r="H453" s="2">
        <v>46.37</v>
      </c>
      <c r="I453" t="str">
        <f>"ACCT# 2959074 / 11172017"</f>
        <v>ACCT# 2959074 / 11172017</v>
      </c>
    </row>
    <row r="454" spans="1:9" x14ac:dyDescent="0.3">
      <c r="A454" t="str">
        <f>""</f>
        <v/>
      </c>
      <c r="F454" t="str">
        <f>"201711296854"</f>
        <v>201711296854</v>
      </c>
      <c r="G454" t="str">
        <f>"ACCT# 6400890108 / 11172017"</f>
        <v>ACCT# 6400890108 / 11172017</v>
      </c>
      <c r="H454" s="2">
        <v>40.1</v>
      </c>
      <c r="I454" t="str">
        <f>"ACCT# 6400890108 / 11172017"</f>
        <v>ACCT# 6400890108 / 11172017</v>
      </c>
    </row>
    <row r="455" spans="1:9" x14ac:dyDescent="0.3">
      <c r="A455" t="str">
        <f>""</f>
        <v/>
      </c>
      <c r="F455" t="str">
        <f>"201711296855"</f>
        <v>201711296855</v>
      </c>
      <c r="G455" t="str">
        <f>"ACCT# 6400893680 / 11172017"</f>
        <v>ACCT# 6400893680 / 11172017</v>
      </c>
      <c r="H455" s="2">
        <v>43.86</v>
      </c>
      <c r="I455" t="str">
        <f>"ACCT# 6400893680 / 11172017"</f>
        <v>ACCT# 6400893680 / 11172017</v>
      </c>
    </row>
    <row r="456" spans="1:9" x14ac:dyDescent="0.3">
      <c r="A456" t="str">
        <f>"CENTEX"</f>
        <v>CENTEX</v>
      </c>
      <c r="B456" t="s">
        <v>120</v>
      </c>
      <c r="C456">
        <v>73523</v>
      </c>
      <c r="D456" s="2">
        <v>31146.51</v>
      </c>
      <c r="E456" s="1">
        <v>43052</v>
      </c>
      <c r="F456" t="str">
        <f>"30121416"</f>
        <v>30121416</v>
      </c>
      <c r="G456" t="str">
        <f t="shared" ref="G456:G461" si="6">"CUST#BASPCT1/ORD#37-19558/PCT1"</f>
        <v>CUST#BASPCT1/ORD#37-19558/PCT1</v>
      </c>
      <c r="H456" s="2">
        <v>424.17</v>
      </c>
      <c r="I456" t="str">
        <f t="shared" ref="I456:I461" si="7">"CUST#BASPCT1/ORD#37-19558/PCT1"</f>
        <v>CUST#BASPCT1/ORD#37-19558/PCT1</v>
      </c>
    </row>
    <row r="457" spans="1:9" x14ac:dyDescent="0.3">
      <c r="A457" t="str">
        <f>""</f>
        <v/>
      </c>
      <c r="F457" t="str">
        <f>"30121444"</f>
        <v>30121444</v>
      </c>
      <c r="G457" t="str">
        <f t="shared" si="6"/>
        <v>CUST#BASPCT1/ORD#37-19558/PCT1</v>
      </c>
      <c r="H457" s="2">
        <v>429.57</v>
      </c>
      <c r="I457" t="str">
        <f t="shared" si="7"/>
        <v>CUST#BASPCT1/ORD#37-19558/PCT1</v>
      </c>
    </row>
    <row r="458" spans="1:9" x14ac:dyDescent="0.3">
      <c r="A458" t="str">
        <f>""</f>
        <v/>
      </c>
      <c r="F458" t="str">
        <f>"30121471"</f>
        <v>30121471</v>
      </c>
      <c r="G458" t="str">
        <f t="shared" si="6"/>
        <v>CUST#BASPCT1/ORD#37-19558/PCT1</v>
      </c>
      <c r="H458" s="2">
        <v>437.13</v>
      </c>
      <c r="I458" t="str">
        <f t="shared" si="7"/>
        <v>CUST#BASPCT1/ORD#37-19558/PCT1</v>
      </c>
    </row>
    <row r="459" spans="1:9" x14ac:dyDescent="0.3">
      <c r="A459" t="str">
        <f>""</f>
        <v/>
      </c>
      <c r="F459" t="str">
        <f>"30121481"</f>
        <v>30121481</v>
      </c>
      <c r="G459" t="str">
        <f t="shared" si="6"/>
        <v>CUST#BASPCT1/ORD#37-19558/PCT1</v>
      </c>
      <c r="H459" s="2">
        <v>423.9</v>
      </c>
      <c r="I459" t="str">
        <f t="shared" si="7"/>
        <v>CUST#BASPCT1/ORD#37-19558/PCT1</v>
      </c>
    </row>
    <row r="460" spans="1:9" x14ac:dyDescent="0.3">
      <c r="A460" t="str">
        <f>""</f>
        <v/>
      </c>
      <c r="F460" t="str">
        <f>"30121515"</f>
        <v>30121515</v>
      </c>
      <c r="G460" t="str">
        <f t="shared" si="6"/>
        <v>CUST#BASPCT1/ORD#37-19558/PCT1</v>
      </c>
      <c r="H460" s="2">
        <v>1279.08</v>
      </c>
      <c r="I460" t="str">
        <f t="shared" si="7"/>
        <v>CUST#BASPCT1/ORD#37-19558/PCT1</v>
      </c>
    </row>
    <row r="461" spans="1:9" x14ac:dyDescent="0.3">
      <c r="A461" t="str">
        <f>""</f>
        <v/>
      </c>
      <c r="F461" t="str">
        <f>"30121560"</f>
        <v>30121560</v>
      </c>
      <c r="G461" t="str">
        <f t="shared" si="6"/>
        <v>CUST#BASPCT1/ORD#37-19558/PCT1</v>
      </c>
      <c r="H461" s="2">
        <v>653.66999999999996</v>
      </c>
      <c r="I461" t="str">
        <f t="shared" si="7"/>
        <v>CUST#BASPCT1/ORD#37-19558/PCT1</v>
      </c>
    </row>
    <row r="462" spans="1:9" x14ac:dyDescent="0.3">
      <c r="A462" t="str">
        <f>""</f>
        <v/>
      </c>
      <c r="F462" t="str">
        <f>"30121562"</f>
        <v>30121562</v>
      </c>
      <c r="G462" t="str">
        <f>"CUST#BASPCT4/ORD#37-19552/PCT4"</f>
        <v>CUST#BASPCT4/ORD#37-19552/PCT4</v>
      </c>
      <c r="H462" s="2">
        <v>631.53</v>
      </c>
      <c r="I462" t="str">
        <f>"CUST#BASPCT4/ORD#37-19552/PCT4"</f>
        <v>CUST#BASPCT4/ORD#37-19552/PCT4</v>
      </c>
    </row>
    <row r="463" spans="1:9" x14ac:dyDescent="0.3">
      <c r="A463" t="str">
        <f>""</f>
        <v/>
      </c>
      <c r="F463" t="str">
        <f>"30121600"</f>
        <v>30121600</v>
      </c>
      <c r="G463" t="str">
        <f>"CUST#BASPCT1/ORD#37-19558/PCT1"</f>
        <v>CUST#BASPCT1/ORD#37-19558/PCT1</v>
      </c>
      <c r="H463" s="2">
        <v>644.4</v>
      </c>
      <c r="I463" t="str">
        <f>"CUST#BASPCT1/ORD#37-19558/PCT1"</f>
        <v>CUST#BASPCT1/ORD#37-19558/PCT1</v>
      </c>
    </row>
    <row r="464" spans="1:9" x14ac:dyDescent="0.3">
      <c r="A464" t="str">
        <f>""</f>
        <v/>
      </c>
      <c r="F464" t="str">
        <f>"30121602"</f>
        <v>30121602</v>
      </c>
      <c r="G464" t="str">
        <f>"CUST#BASPCT4/ORD#37-19552/PCT4"</f>
        <v>CUST#BASPCT4/ORD#37-19552/PCT4</v>
      </c>
      <c r="H464" s="2">
        <v>1236.42</v>
      </c>
      <c r="I464" t="str">
        <f>"CUST#BASPCT4/ORD#37-19552/PCT4"</f>
        <v>CUST#BASPCT4/ORD#37-19552/PCT4</v>
      </c>
    </row>
    <row r="465" spans="1:9" x14ac:dyDescent="0.3">
      <c r="A465" t="str">
        <f>""</f>
        <v/>
      </c>
      <c r="F465" t="str">
        <f>"30121641"</f>
        <v>30121641</v>
      </c>
      <c r="G465" t="str">
        <f>"CUST#BASPCT1/ORD#37-19558/PCT1"</f>
        <v>CUST#BASPCT1/ORD#37-19558/PCT1</v>
      </c>
      <c r="H465" s="2">
        <v>436.41</v>
      </c>
      <c r="I465" t="str">
        <f>"CUST#BASPCT1/ORD#37-19558/PCT1"</f>
        <v>CUST#BASPCT1/ORD#37-19558/PCT1</v>
      </c>
    </row>
    <row r="466" spans="1:9" x14ac:dyDescent="0.3">
      <c r="A466" t="str">
        <f>""</f>
        <v/>
      </c>
      <c r="F466" t="str">
        <f>"30121642"</f>
        <v>30121642</v>
      </c>
      <c r="G466" t="str">
        <f>"CUST#BASPCT4/ORD#37-19552/PCT4"</f>
        <v>CUST#BASPCT4/ORD#37-19552/PCT4</v>
      </c>
      <c r="H466" s="2">
        <v>823.41</v>
      </c>
      <c r="I466" t="str">
        <f>"CUST#BASPCT4/ORD#37-19552/PCT4"</f>
        <v>CUST#BASPCT4/ORD#37-19552/PCT4</v>
      </c>
    </row>
    <row r="467" spans="1:9" x14ac:dyDescent="0.3">
      <c r="A467" t="str">
        <f>""</f>
        <v/>
      </c>
      <c r="F467" t="str">
        <f>"30121746"</f>
        <v>30121746</v>
      </c>
      <c r="G467" t="str">
        <f>"CENTEX MATERIALS LLC"</f>
        <v>CENTEX MATERIALS LLC</v>
      </c>
      <c r="H467" s="2">
        <v>6511.89</v>
      </c>
      <c r="I467" t="str">
        <f>"CENTEX MATERIALS LLC"</f>
        <v>CENTEX MATERIALS LLC</v>
      </c>
    </row>
    <row r="468" spans="1:9" x14ac:dyDescent="0.3">
      <c r="A468" t="str">
        <f>""</f>
        <v/>
      </c>
      <c r="F468" t="str">
        <f>"30121777"</f>
        <v>30121777</v>
      </c>
      <c r="G468" t="str">
        <f>"CUST#BASPCT1/ORD#37-19558/PCT1"</f>
        <v>CUST#BASPCT1/ORD#37-19558/PCT1</v>
      </c>
      <c r="H468" s="2">
        <v>425.43</v>
      </c>
      <c r="I468" t="str">
        <f>"CUST#BASPCT1/ORD#37-19558/PCT1"</f>
        <v>CUST#BASPCT1/ORD#37-19558/PCT1</v>
      </c>
    </row>
    <row r="469" spans="1:9" x14ac:dyDescent="0.3">
      <c r="A469" t="str">
        <f>""</f>
        <v/>
      </c>
      <c r="F469" t="str">
        <f>"30121778"</f>
        <v>30121778</v>
      </c>
      <c r="G469" t="str">
        <f>"TYPE D ROCK / P2"</f>
        <v>TYPE D ROCK / P2</v>
      </c>
      <c r="H469" s="2">
        <v>7156.8</v>
      </c>
      <c r="I469" t="str">
        <f>"TYPE D ROCK / P2"</f>
        <v>TYPE D ROCK / P2</v>
      </c>
    </row>
    <row r="470" spans="1:9" x14ac:dyDescent="0.3">
      <c r="A470" t="str">
        <f>""</f>
        <v/>
      </c>
      <c r="F470" t="str">
        <f>"30121812"</f>
        <v>30121812</v>
      </c>
      <c r="G470" t="str">
        <f>"CUST#BASPCT1/ORD#37-19558/PCT1"</f>
        <v>CUST#BASPCT1/ORD#37-19558/PCT1</v>
      </c>
      <c r="H470" s="2">
        <v>430.83</v>
      </c>
      <c r="I470" t="str">
        <f>"CUST#BASPCT1/ORD#37-19558/PCT1"</f>
        <v>CUST#BASPCT1/ORD#37-19558/PCT1</v>
      </c>
    </row>
    <row r="471" spans="1:9" x14ac:dyDescent="0.3">
      <c r="A471" t="str">
        <f>""</f>
        <v/>
      </c>
      <c r="F471" t="str">
        <f>"30121813"</f>
        <v>30121813</v>
      </c>
      <c r="G471" t="str">
        <f>"TYPE D ROCK / P2"</f>
        <v>TYPE D ROCK / P2</v>
      </c>
      <c r="H471" s="2">
        <v>8128.89</v>
      </c>
      <c r="I471" t="str">
        <f>"TYPE D ROCK / P2"</f>
        <v>TYPE D ROCK / P2</v>
      </c>
    </row>
    <row r="472" spans="1:9" x14ac:dyDescent="0.3">
      <c r="A472" t="str">
        <f>""</f>
        <v/>
      </c>
      <c r="F472" t="str">
        <f>"30121850"</f>
        <v>30121850</v>
      </c>
      <c r="G472" t="str">
        <f>"CUST#BASPCT1/ORD#37-19558/PCT1"</f>
        <v>CUST#BASPCT1/ORD#37-19558/PCT1</v>
      </c>
      <c r="H472" s="2">
        <v>430.56</v>
      </c>
      <c r="I472" t="str">
        <f>"CUST#BASPCT1/ORD#37-19558/PCT1"</f>
        <v>CUST#BASPCT1/ORD#37-19558/PCT1</v>
      </c>
    </row>
    <row r="473" spans="1:9" x14ac:dyDescent="0.3">
      <c r="A473" t="str">
        <f>""</f>
        <v/>
      </c>
      <c r="F473" t="str">
        <f>"30122069"</f>
        <v>30122069</v>
      </c>
      <c r="G473" t="str">
        <f>"CUST#BASPCT1/ORD#37-19558/PCT1"</f>
        <v>CUST#BASPCT1/ORD#37-19558/PCT1</v>
      </c>
      <c r="H473" s="2">
        <v>642.41999999999996</v>
      </c>
      <c r="I473" t="str">
        <f>"CUST#BASPCT1/ORD#37-19558/PCT1"</f>
        <v>CUST#BASPCT1/ORD#37-19558/PCT1</v>
      </c>
    </row>
    <row r="474" spans="1:9" x14ac:dyDescent="0.3">
      <c r="A474" t="str">
        <f>"CENTEX"</f>
        <v>CENTEX</v>
      </c>
      <c r="B474" t="s">
        <v>120</v>
      </c>
      <c r="C474">
        <v>73842</v>
      </c>
      <c r="D474" s="2">
        <v>1233.18</v>
      </c>
      <c r="E474" s="1">
        <v>43066</v>
      </c>
      <c r="F474" t="str">
        <f>"30122227"</f>
        <v>30122227</v>
      </c>
      <c r="G474" t="str">
        <f>"CUST#BASPCT1/ORD#37-19558/PCT1"</f>
        <v>CUST#BASPCT1/ORD#37-19558/PCT1</v>
      </c>
      <c r="H474" s="2">
        <v>426.87</v>
      </c>
      <c r="I474" t="str">
        <f>"CUST#BASPCT1/ORD#37-19558/PCT1"</f>
        <v>CUST#BASPCT1/ORD#37-19558/PCT1</v>
      </c>
    </row>
    <row r="475" spans="1:9" x14ac:dyDescent="0.3">
      <c r="A475" t="str">
        <f>""</f>
        <v/>
      </c>
      <c r="F475" t="str">
        <f>"30122340"</f>
        <v>30122340</v>
      </c>
      <c r="G475" t="str">
        <f>"CUST#BASPCT1/ORD#37-19558/PCT1"</f>
        <v>CUST#BASPCT1/ORD#37-19558/PCT1</v>
      </c>
      <c r="H475" s="2">
        <v>400.32</v>
      </c>
      <c r="I475" t="str">
        <f>"CUST#BASPCT1/ORD#37-19558/PCT1"</f>
        <v>CUST#BASPCT1/ORD#37-19558/PCT1</v>
      </c>
    </row>
    <row r="476" spans="1:9" x14ac:dyDescent="0.3">
      <c r="A476" t="str">
        <f>""</f>
        <v/>
      </c>
      <c r="F476" t="str">
        <f>"30122371"</f>
        <v>30122371</v>
      </c>
      <c r="G476" t="str">
        <f>"CUST#BASPCT1/ORD#37-19558/PCT1"</f>
        <v>CUST#BASPCT1/ORD#37-19558/PCT1</v>
      </c>
      <c r="H476" s="2">
        <v>405.99</v>
      </c>
      <c r="I476" t="str">
        <f>"CUST#BASPCT1/ORD#37-19558/PCT1"</f>
        <v>CUST#BASPCT1/ORD#37-19558/PCT1</v>
      </c>
    </row>
    <row r="477" spans="1:9" x14ac:dyDescent="0.3">
      <c r="A477" t="str">
        <f>"003739"</f>
        <v>003739</v>
      </c>
      <c r="B477" t="s">
        <v>121</v>
      </c>
      <c r="C477">
        <v>73524</v>
      </c>
      <c r="D477" s="2">
        <v>4720</v>
      </c>
      <c r="E477" s="1">
        <v>43052</v>
      </c>
      <c r="F477" t="str">
        <f>"I46046"</f>
        <v>I46046</v>
      </c>
      <c r="G477" t="str">
        <f>"INV I46046"</f>
        <v>INV I46046</v>
      </c>
      <c r="H477" s="2">
        <v>4720</v>
      </c>
      <c r="I477" t="str">
        <f>"INV I46046"</f>
        <v>INV I46046</v>
      </c>
    </row>
    <row r="478" spans="1:9" x14ac:dyDescent="0.3">
      <c r="A478" t="str">
        <f>"002795"</f>
        <v>002795</v>
      </c>
      <c r="B478" t="s">
        <v>122</v>
      </c>
      <c r="C478">
        <v>73843</v>
      </c>
      <c r="D478" s="2">
        <v>2100</v>
      </c>
      <c r="E478" s="1">
        <v>43066</v>
      </c>
      <c r="F478" t="str">
        <f>"11953"</f>
        <v>11953</v>
      </c>
      <c r="G478" t="str">
        <f>"CTA 235-17-D. CHAMBERS"</f>
        <v>CTA 235-17-D. CHAMBERS</v>
      </c>
      <c r="H478" s="2">
        <v>2100</v>
      </c>
      <c r="I478" t="str">
        <f>"CTA 235-17-D. CHAMBERS"</f>
        <v>CTA 235-17-D. CHAMBERS</v>
      </c>
    </row>
    <row r="479" spans="1:9" x14ac:dyDescent="0.3">
      <c r="A479" t="str">
        <f>"005303"</f>
        <v>005303</v>
      </c>
      <c r="B479" t="s">
        <v>123</v>
      </c>
      <c r="C479">
        <v>73844</v>
      </c>
      <c r="D479" s="2">
        <v>500</v>
      </c>
      <c r="E479" s="1">
        <v>43066</v>
      </c>
      <c r="F479" t="str">
        <f>"2017-1"</f>
        <v>2017-1</v>
      </c>
      <c r="G479" t="str">
        <f>"MEDIATION SVCS-17-18120"</f>
        <v>MEDIATION SVCS-17-18120</v>
      </c>
      <c r="H479" s="2">
        <v>500</v>
      </c>
      <c r="I479" t="str">
        <f>"MEDIATION SVCS-17-18120"</f>
        <v>MEDIATION SVCS-17-18120</v>
      </c>
    </row>
    <row r="480" spans="1:9" x14ac:dyDescent="0.3">
      <c r="A480" t="str">
        <f>"004648"</f>
        <v>004648</v>
      </c>
      <c r="B480" t="s">
        <v>124</v>
      </c>
      <c r="C480">
        <v>73525</v>
      </c>
      <c r="D480" s="2">
        <v>1041.9100000000001</v>
      </c>
      <c r="E480" s="1">
        <v>43052</v>
      </c>
      <c r="F480" t="str">
        <f>"201711036126"</f>
        <v>201711036126</v>
      </c>
      <c r="G480" t="str">
        <f>"17-18119"</f>
        <v>17-18119</v>
      </c>
      <c r="H480" s="2">
        <v>265.85000000000002</v>
      </c>
      <c r="I480" t="str">
        <f>"17-18119"</f>
        <v>17-18119</v>
      </c>
    </row>
    <row r="481" spans="1:9" x14ac:dyDescent="0.3">
      <c r="A481" t="str">
        <f>""</f>
        <v/>
      </c>
      <c r="F481" t="str">
        <f>"201711036127"</f>
        <v>201711036127</v>
      </c>
      <c r="G481" t="str">
        <f>"16-17819"</f>
        <v>16-17819</v>
      </c>
      <c r="H481" s="2">
        <v>442.5</v>
      </c>
      <c r="I481" t="str">
        <f>"16-17819"</f>
        <v>16-17819</v>
      </c>
    </row>
    <row r="482" spans="1:9" x14ac:dyDescent="0.3">
      <c r="A482" t="str">
        <f>""</f>
        <v/>
      </c>
      <c r="F482" t="str">
        <f>"201711036128"</f>
        <v>201711036128</v>
      </c>
      <c r="G482" t="str">
        <f>"17-18269"</f>
        <v>17-18269</v>
      </c>
      <c r="H482" s="2">
        <v>233.56</v>
      </c>
      <c r="I482" t="str">
        <f>"17-18269"</f>
        <v>17-18269</v>
      </c>
    </row>
    <row r="483" spans="1:9" x14ac:dyDescent="0.3">
      <c r="A483" t="str">
        <f>""</f>
        <v/>
      </c>
      <c r="F483" t="str">
        <f>"201711036129"</f>
        <v>201711036129</v>
      </c>
      <c r="G483" t="str">
        <f>"17-18579"</f>
        <v>17-18579</v>
      </c>
      <c r="H483" s="2">
        <v>100</v>
      </c>
      <c r="I483" t="str">
        <f>"17-18579"</f>
        <v>17-18579</v>
      </c>
    </row>
    <row r="484" spans="1:9" x14ac:dyDescent="0.3">
      <c r="A484" t="str">
        <f>"003165"</f>
        <v>003165</v>
      </c>
      <c r="B484" t="s">
        <v>125</v>
      </c>
      <c r="C484">
        <v>73526</v>
      </c>
      <c r="D484" s="2">
        <v>115</v>
      </c>
      <c r="E484" s="1">
        <v>43052</v>
      </c>
      <c r="F484" t="str">
        <f>"201711086380"</f>
        <v>201711086380</v>
      </c>
      <c r="G484" t="str">
        <f>"FERAL HOGS"</f>
        <v>FERAL HOGS</v>
      </c>
      <c r="H484" s="2">
        <v>90</v>
      </c>
      <c r="I484" t="str">
        <f>"FERAL HOGS"</f>
        <v>FERAL HOGS</v>
      </c>
    </row>
    <row r="485" spans="1:9" x14ac:dyDescent="0.3">
      <c r="A485" t="str">
        <f>""</f>
        <v/>
      </c>
      <c r="F485" t="str">
        <f>"201711086381"</f>
        <v>201711086381</v>
      </c>
      <c r="G485" t="str">
        <f>"FERAL HOGS"</f>
        <v>FERAL HOGS</v>
      </c>
      <c r="H485" s="2">
        <v>25</v>
      </c>
      <c r="I485" t="str">
        <f>"FERAL HOGS"</f>
        <v>FERAL HOGS</v>
      </c>
    </row>
    <row r="486" spans="1:9" x14ac:dyDescent="0.3">
      <c r="A486" t="str">
        <f>"T11831"</f>
        <v>T11831</v>
      </c>
      <c r="B486" t="s">
        <v>126</v>
      </c>
      <c r="C486">
        <v>73527</v>
      </c>
      <c r="D486" s="2">
        <v>430.8</v>
      </c>
      <c r="E486" s="1">
        <v>43052</v>
      </c>
      <c r="F486" t="str">
        <f>"0149624-IN"</f>
        <v>0149624-IN</v>
      </c>
      <c r="G486" t="str">
        <f>"INV 0149624-IN"</f>
        <v>INV 0149624-IN</v>
      </c>
      <c r="H486" s="2">
        <v>430.8</v>
      </c>
      <c r="I486" t="str">
        <f>"INV 0149624-IN"</f>
        <v>INV 0149624-IN</v>
      </c>
    </row>
    <row r="487" spans="1:9" x14ac:dyDescent="0.3">
      <c r="A487" t="str">
        <f>"T9145"</f>
        <v>T9145</v>
      </c>
      <c r="B487" t="s">
        <v>127</v>
      </c>
      <c r="C487">
        <v>999999</v>
      </c>
      <c r="D487" s="2">
        <v>7000</v>
      </c>
      <c r="E487" s="1">
        <v>43053</v>
      </c>
      <c r="F487" t="str">
        <f>"201710255965"</f>
        <v>201710255965</v>
      </c>
      <c r="G487" t="str">
        <f>"02-1016-5-06  15228-1"</f>
        <v>02-1016-5-06  15228-1</v>
      </c>
      <c r="H487" s="2">
        <v>400</v>
      </c>
      <c r="I487" t="str">
        <f>"02-1016-5-06  15228-1"</f>
        <v>02-1016-5-06  15228-1</v>
      </c>
    </row>
    <row r="488" spans="1:9" x14ac:dyDescent="0.3">
      <c r="A488" t="str">
        <f>""</f>
        <v/>
      </c>
      <c r="F488" t="str">
        <f>"201710255966"</f>
        <v>201710255966</v>
      </c>
      <c r="G488" t="str">
        <f>"410166-3"</f>
        <v>410166-3</v>
      </c>
      <c r="H488" s="2">
        <v>400</v>
      </c>
      <c r="I488" t="str">
        <f>"410166-3"</f>
        <v>410166-3</v>
      </c>
    </row>
    <row r="489" spans="1:9" x14ac:dyDescent="0.3">
      <c r="A489" t="str">
        <f>""</f>
        <v/>
      </c>
      <c r="F489" t="str">
        <f>"201710255967"</f>
        <v>201710255967</v>
      </c>
      <c r="G489" t="str">
        <f>"DCPC 17 014"</f>
        <v>DCPC 17 014</v>
      </c>
      <c r="H489" s="2">
        <v>150</v>
      </c>
      <c r="I489" t="str">
        <f>"DCPC 17 014"</f>
        <v>DCPC 17 014</v>
      </c>
    </row>
    <row r="490" spans="1:9" x14ac:dyDescent="0.3">
      <c r="A490" t="str">
        <f>""</f>
        <v/>
      </c>
      <c r="F490" t="str">
        <f>"201710255981"</f>
        <v>201710255981</v>
      </c>
      <c r="G490" t="str">
        <f>"16 173 CR1  16 173 CR2"</f>
        <v>16 173 CR1  16 173 CR2</v>
      </c>
      <c r="H490" s="2">
        <v>600</v>
      </c>
      <c r="I490" t="str">
        <f>"16 173 CR1  16 173 CR2"</f>
        <v>16 173 CR1  16 173 CR2</v>
      </c>
    </row>
    <row r="491" spans="1:9" x14ac:dyDescent="0.3">
      <c r="A491" t="str">
        <f>""</f>
        <v/>
      </c>
      <c r="F491" t="str">
        <f>"201710255982"</f>
        <v>201710255982</v>
      </c>
      <c r="G491" t="str">
        <f>"16 320"</f>
        <v>16 320</v>
      </c>
      <c r="H491" s="2">
        <v>400</v>
      </c>
      <c r="I491" t="str">
        <f>"16 320"</f>
        <v>16 320</v>
      </c>
    </row>
    <row r="492" spans="1:9" x14ac:dyDescent="0.3">
      <c r="A492" t="str">
        <f>""</f>
        <v/>
      </c>
      <c r="F492" t="str">
        <f>"201710276012"</f>
        <v>201710276012</v>
      </c>
      <c r="G492" t="str">
        <f>"54 465  55 158  55 159"</f>
        <v>54 465  55 158  55 159</v>
      </c>
      <c r="H492" s="2">
        <v>500</v>
      </c>
      <c r="I492" t="str">
        <f>"54 465  55 158  55 159"</f>
        <v>54 465  55 158  55 159</v>
      </c>
    </row>
    <row r="493" spans="1:9" x14ac:dyDescent="0.3">
      <c r="A493" t="str">
        <f>""</f>
        <v/>
      </c>
      <c r="F493" t="str">
        <f>"201710276013"</f>
        <v>201710276013</v>
      </c>
      <c r="G493" t="str">
        <f>"411184-7M"</f>
        <v>411184-7M</v>
      </c>
      <c r="H493" s="2">
        <v>250</v>
      </c>
      <c r="I493" t="str">
        <f>"411184-7M"</f>
        <v>411184-7M</v>
      </c>
    </row>
    <row r="494" spans="1:9" x14ac:dyDescent="0.3">
      <c r="A494" t="str">
        <f>""</f>
        <v/>
      </c>
      <c r="F494" t="str">
        <f>"201710276014"</f>
        <v>201710276014</v>
      </c>
      <c r="G494" t="str">
        <f>"16-18071"</f>
        <v>16-18071</v>
      </c>
      <c r="H494" s="2">
        <v>100</v>
      </c>
      <c r="I494" t="str">
        <f>"16-18071"</f>
        <v>16-18071</v>
      </c>
    </row>
    <row r="495" spans="1:9" x14ac:dyDescent="0.3">
      <c r="A495" t="str">
        <f>""</f>
        <v/>
      </c>
      <c r="F495" t="str">
        <f>"201710276015"</f>
        <v>201710276015</v>
      </c>
      <c r="G495" t="str">
        <f>"17-18119"</f>
        <v>17-18119</v>
      </c>
      <c r="H495" s="2">
        <v>250</v>
      </c>
      <c r="I495" t="str">
        <f>"17-18119"</f>
        <v>17-18119</v>
      </c>
    </row>
    <row r="496" spans="1:9" x14ac:dyDescent="0.3">
      <c r="A496" t="str">
        <f>""</f>
        <v/>
      </c>
      <c r="F496" t="str">
        <f>"201710276016"</f>
        <v>201710276016</v>
      </c>
      <c r="G496" t="str">
        <f>"17-18578"</f>
        <v>17-18578</v>
      </c>
      <c r="H496" s="2">
        <v>100</v>
      </c>
      <c r="I496" t="str">
        <f>"17-18578"</f>
        <v>17-18578</v>
      </c>
    </row>
    <row r="497" spans="1:9" x14ac:dyDescent="0.3">
      <c r="A497" t="str">
        <f>""</f>
        <v/>
      </c>
      <c r="F497" t="str">
        <f>"201710276017"</f>
        <v>201710276017</v>
      </c>
      <c r="G497" t="str">
        <f>"17-18646"</f>
        <v>17-18646</v>
      </c>
      <c r="H497" s="2">
        <v>100</v>
      </c>
      <c r="I497" t="str">
        <f>"17-18646"</f>
        <v>17-18646</v>
      </c>
    </row>
    <row r="498" spans="1:9" x14ac:dyDescent="0.3">
      <c r="A498" t="str">
        <f>""</f>
        <v/>
      </c>
      <c r="F498" t="str">
        <f>"201710276018"</f>
        <v>201710276018</v>
      </c>
      <c r="G498" t="str">
        <f>"16-17582"</f>
        <v>16-17582</v>
      </c>
      <c r="H498" s="2">
        <v>100</v>
      </c>
      <c r="I498" t="str">
        <f>"16-17582"</f>
        <v>16-17582</v>
      </c>
    </row>
    <row r="499" spans="1:9" x14ac:dyDescent="0.3">
      <c r="A499" t="str">
        <f>""</f>
        <v/>
      </c>
      <c r="F499" t="str">
        <f>"201711036158"</f>
        <v>201711036158</v>
      </c>
      <c r="G499" t="str">
        <f>"16 242"</f>
        <v>16 242</v>
      </c>
      <c r="H499" s="2">
        <v>400</v>
      </c>
      <c r="I499" t="str">
        <f>"16 242"</f>
        <v>16 242</v>
      </c>
    </row>
    <row r="500" spans="1:9" x14ac:dyDescent="0.3">
      <c r="A500" t="str">
        <f>""</f>
        <v/>
      </c>
      <c r="F500" t="str">
        <f>"201711036159"</f>
        <v>201711036159</v>
      </c>
      <c r="G500" t="str">
        <f>"AC20170415/AC20170415A"</f>
        <v>AC20170415/AC20170415A</v>
      </c>
      <c r="H500" s="2">
        <v>600</v>
      </c>
      <c r="I500" t="str">
        <f>"AC20170415/AC20170415A"</f>
        <v>AC20170415/AC20170415A</v>
      </c>
    </row>
    <row r="501" spans="1:9" x14ac:dyDescent="0.3">
      <c r="A501" t="str">
        <f>""</f>
        <v/>
      </c>
      <c r="F501" t="str">
        <f>"201711036160"</f>
        <v>201711036160</v>
      </c>
      <c r="G501" t="str">
        <f>"CH20170320B"</f>
        <v>CH20170320B</v>
      </c>
      <c r="H501" s="2">
        <v>400</v>
      </c>
      <c r="I501" t="str">
        <f>"CH20170320B"</f>
        <v>CH20170320B</v>
      </c>
    </row>
    <row r="502" spans="1:9" x14ac:dyDescent="0.3">
      <c r="A502" t="str">
        <f>""</f>
        <v/>
      </c>
      <c r="F502" t="str">
        <f>"201711036161"</f>
        <v>201711036161</v>
      </c>
      <c r="G502" t="str">
        <f>"55 406  AC20170415B  201705537"</f>
        <v>55 406  AC20170415B  201705537</v>
      </c>
      <c r="H502" s="2">
        <v>500</v>
      </c>
      <c r="I502" t="str">
        <f>"55 406  AC20170415B  201705537"</f>
        <v>55 406  AC20170415B  201705537</v>
      </c>
    </row>
    <row r="503" spans="1:9" x14ac:dyDescent="0.3">
      <c r="A503" t="str">
        <f>""</f>
        <v/>
      </c>
      <c r="F503" t="str">
        <f>"201711036162"</f>
        <v>201711036162</v>
      </c>
      <c r="G503" t="str">
        <f>"56 481  55 264  410156-4"</f>
        <v>56 481  55 264  410156-4</v>
      </c>
      <c r="H503" s="2">
        <v>500</v>
      </c>
      <c r="I503" t="str">
        <f>"56 481  55 264  410156-4"</f>
        <v>56 481  55 264  410156-4</v>
      </c>
    </row>
    <row r="504" spans="1:9" x14ac:dyDescent="0.3">
      <c r="A504" t="str">
        <f>""</f>
        <v/>
      </c>
      <c r="F504" t="str">
        <f>"201711036178"</f>
        <v>201711036178</v>
      </c>
      <c r="G504" t="str">
        <f>"405187-4"</f>
        <v>405187-4</v>
      </c>
      <c r="H504" s="2">
        <v>250</v>
      </c>
      <c r="I504" t="str">
        <f>"405187-4"</f>
        <v>405187-4</v>
      </c>
    </row>
    <row r="505" spans="1:9" x14ac:dyDescent="0.3">
      <c r="A505" t="str">
        <f>""</f>
        <v/>
      </c>
      <c r="F505" t="str">
        <f>"201711036179"</f>
        <v>201711036179</v>
      </c>
      <c r="G505" t="str">
        <f>"1JP1517B"</f>
        <v>1JP1517B</v>
      </c>
      <c r="H505" s="2">
        <v>250</v>
      </c>
      <c r="I505" t="str">
        <f>"1JP1517B"</f>
        <v>1JP1517B</v>
      </c>
    </row>
    <row r="506" spans="1:9" x14ac:dyDescent="0.3">
      <c r="A506" t="str">
        <f>""</f>
        <v/>
      </c>
      <c r="F506" t="str">
        <f>"201711036180"</f>
        <v>201711036180</v>
      </c>
      <c r="G506" t="str">
        <f>"55 285"</f>
        <v>55 285</v>
      </c>
      <c r="H506" s="2">
        <v>250</v>
      </c>
      <c r="I506" t="str">
        <f>"55 285"</f>
        <v>55 285</v>
      </c>
    </row>
    <row r="507" spans="1:9" x14ac:dyDescent="0.3">
      <c r="A507" t="str">
        <f>""</f>
        <v/>
      </c>
      <c r="F507" t="str">
        <f>"201711076350"</f>
        <v>201711076350</v>
      </c>
      <c r="G507" t="str">
        <f>"17-18672"</f>
        <v>17-18672</v>
      </c>
      <c r="H507" s="2">
        <v>100</v>
      </c>
      <c r="I507" t="str">
        <f>"17-18672"</f>
        <v>17-18672</v>
      </c>
    </row>
    <row r="508" spans="1:9" x14ac:dyDescent="0.3">
      <c r="A508" t="str">
        <f>""</f>
        <v/>
      </c>
      <c r="F508" t="str">
        <f>"201711086375"</f>
        <v>201711086375</v>
      </c>
      <c r="G508" t="str">
        <f>"15 239"</f>
        <v>15 239</v>
      </c>
      <c r="H508" s="2">
        <v>400</v>
      </c>
      <c r="I508" t="str">
        <f>"15 239"</f>
        <v>15 239</v>
      </c>
    </row>
    <row r="509" spans="1:9" x14ac:dyDescent="0.3">
      <c r="A509" t="str">
        <f>"T9145"</f>
        <v>T9145</v>
      </c>
      <c r="B509" t="s">
        <v>127</v>
      </c>
      <c r="C509">
        <v>999999</v>
      </c>
      <c r="D509" s="2">
        <v>1550</v>
      </c>
      <c r="E509" s="1">
        <v>43067</v>
      </c>
      <c r="F509" t="str">
        <f>"201711146595"</f>
        <v>201711146595</v>
      </c>
      <c r="G509" t="str">
        <f>"405115.2M"</f>
        <v>405115.2M</v>
      </c>
      <c r="H509" s="2">
        <v>400</v>
      </c>
      <c r="I509" t="str">
        <f>"405115.2M"</f>
        <v>405115.2M</v>
      </c>
    </row>
    <row r="510" spans="1:9" x14ac:dyDescent="0.3">
      <c r="A510" t="str">
        <f>""</f>
        <v/>
      </c>
      <c r="F510" t="str">
        <f>"201711146596"</f>
        <v>201711146596</v>
      </c>
      <c r="G510" t="str">
        <f>"409255.IM"</f>
        <v>409255.IM</v>
      </c>
      <c r="H510" s="2">
        <v>400</v>
      </c>
      <c r="I510" t="str">
        <f>"409255.IM"</f>
        <v>409255.IM</v>
      </c>
    </row>
    <row r="511" spans="1:9" x14ac:dyDescent="0.3">
      <c r="A511" t="str">
        <f>""</f>
        <v/>
      </c>
      <c r="F511" t="str">
        <f>"201711166677"</f>
        <v>201711166677</v>
      </c>
      <c r="G511" t="str">
        <f>"16-17765"</f>
        <v>16-17765</v>
      </c>
      <c r="H511" s="2">
        <v>750</v>
      </c>
      <c r="I511" t="str">
        <f>"16-17765"</f>
        <v>16-17765</v>
      </c>
    </row>
    <row r="512" spans="1:9" x14ac:dyDescent="0.3">
      <c r="A512" t="str">
        <f>"005030"</f>
        <v>005030</v>
      </c>
      <c r="B512" t="s">
        <v>128</v>
      </c>
      <c r="C512">
        <v>999999</v>
      </c>
      <c r="D512" s="2">
        <v>200</v>
      </c>
      <c r="E512" s="1">
        <v>43053</v>
      </c>
      <c r="F512" t="str">
        <f>"1013"</f>
        <v>1013</v>
      </c>
      <c r="G512" t="str">
        <f>"CLIPPERS/ANIMAL SVCS"</f>
        <v>CLIPPERS/ANIMAL SVCS</v>
      </c>
      <c r="H512" s="2">
        <v>200</v>
      </c>
      <c r="I512" t="str">
        <f>"CLIPPERS/ANIMAL SVCS"</f>
        <v>CLIPPERS/ANIMAL SVCS</v>
      </c>
    </row>
    <row r="513" spans="1:10" x14ac:dyDescent="0.3">
      <c r="A513" t="str">
        <f>"T14090"</f>
        <v>T14090</v>
      </c>
      <c r="B513" t="s">
        <v>129</v>
      </c>
      <c r="C513">
        <v>999999</v>
      </c>
      <c r="D513" s="2">
        <v>29.92</v>
      </c>
      <c r="E513" s="1">
        <v>43067</v>
      </c>
      <c r="F513" t="str">
        <f>"201711146600"</f>
        <v>201711146600</v>
      </c>
      <c r="G513" t="str">
        <f>"REIMBURSEMENT-COFFEE"</f>
        <v>REIMBURSEMENT-COFFEE</v>
      </c>
      <c r="H513" s="2">
        <v>29.92</v>
      </c>
      <c r="I513" t="str">
        <f>"REIMBURSEMENT-COFFEE"</f>
        <v>REIMBURSEMENT-COFFEE</v>
      </c>
    </row>
    <row r="514" spans="1:10" x14ac:dyDescent="0.3">
      <c r="A514" t="str">
        <f>"004228"</f>
        <v>004228</v>
      </c>
      <c r="B514" t="s">
        <v>130</v>
      </c>
      <c r="C514">
        <v>999999</v>
      </c>
      <c r="D514" s="2">
        <v>131.38</v>
      </c>
      <c r="E514" s="1">
        <v>43053</v>
      </c>
      <c r="F514" t="str">
        <f>"201711076356"</f>
        <v>201711076356</v>
      </c>
      <c r="G514" t="str">
        <f>"REIMBURSE FOR EXPENSES"</f>
        <v>REIMBURSE FOR EXPENSES</v>
      </c>
      <c r="H514" s="2">
        <v>131.38</v>
      </c>
      <c r="I514" t="str">
        <f>"REIMBURSE FOR EXPENSES"</f>
        <v>REIMBURSE FOR EXPENSES</v>
      </c>
    </row>
    <row r="515" spans="1:10" x14ac:dyDescent="0.3">
      <c r="A515" t="str">
        <f>"005120"</f>
        <v>005120</v>
      </c>
      <c r="B515" t="s">
        <v>131</v>
      </c>
      <c r="C515">
        <v>73845</v>
      </c>
      <c r="D515" s="2">
        <v>40.229999999999997</v>
      </c>
      <c r="E515" s="1">
        <v>43066</v>
      </c>
      <c r="F515" t="str">
        <f>"5009279142"</f>
        <v>5009279142</v>
      </c>
      <c r="G515" t="str">
        <f>"CUST#0011167190/PCT#1"</f>
        <v>CUST#0011167190/PCT#1</v>
      </c>
      <c r="H515" s="2">
        <v>40.229999999999997</v>
      </c>
      <c r="I515" t="str">
        <f>"CUST#0011167190/PCT#1"</f>
        <v>CUST#0011167190/PCT#1</v>
      </c>
    </row>
    <row r="516" spans="1:10" x14ac:dyDescent="0.3">
      <c r="A516" t="str">
        <f>"004728"</f>
        <v>004728</v>
      </c>
      <c r="B516" t="s">
        <v>132</v>
      </c>
      <c r="C516">
        <v>73528</v>
      </c>
      <c r="D516" s="2">
        <v>2472.16</v>
      </c>
      <c r="E516" s="1">
        <v>43052</v>
      </c>
      <c r="F516" t="str">
        <f>"201711076353"</f>
        <v>201711076353</v>
      </c>
      <c r="G516" t="str">
        <f>"ACCT#086-11458/ANIMAL SVCS"</f>
        <v>ACCT#086-11458/ANIMAL SVCS</v>
      </c>
      <c r="H516" s="2">
        <v>359.16</v>
      </c>
      <c r="I516" t="str">
        <f>"ACCT#086-11458/ANIMAL SVCS"</f>
        <v>ACCT#086-11458/ANIMAL SVCS</v>
      </c>
    </row>
    <row r="517" spans="1:10" x14ac:dyDescent="0.3">
      <c r="A517" t="str">
        <f>""</f>
        <v/>
      </c>
      <c r="F517" t="str">
        <f>"201711076358"</f>
        <v>201711076358</v>
      </c>
      <c r="G517" t="str">
        <f>"ACCT#086-11375/PCT#2"</f>
        <v>ACCT#086-11375/PCT#2</v>
      </c>
      <c r="H517" s="2">
        <v>574.12</v>
      </c>
      <c r="I517" t="str">
        <f>"ACCT#086-11375/PCT#2"</f>
        <v>ACCT#086-11375/PCT#2</v>
      </c>
    </row>
    <row r="518" spans="1:10" x14ac:dyDescent="0.3">
      <c r="A518" t="str">
        <f>""</f>
        <v/>
      </c>
      <c r="F518" t="str">
        <f>"201711076364"</f>
        <v>201711076364</v>
      </c>
      <c r="G518" t="str">
        <f>"ACCT#086-11386/PCT#4"</f>
        <v>ACCT#086-11386/PCT#4</v>
      </c>
      <c r="H518" s="2">
        <v>729.27</v>
      </c>
      <c r="I518" t="str">
        <f>"ACCT#086-11386/PCT#4"</f>
        <v>ACCT#086-11386/PCT#4</v>
      </c>
    </row>
    <row r="519" spans="1:10" x14ac:dyDescent="0.3">
      <c r="A519" t="str">
        <f>""</f>
        <v/>
      </c>
      <c r="F519" t="str">
        <f>"201711086431"</f>
        <v>201711086431</v>
      </c>
      <c r="G519" t="str">
        <f>"ACCT#086-11451/UNIFORMS"</f>
        <v>ACCT#086-11451/UNIFORMS</v>
      </c>
      <c r="H519" s="2">
        <v>51.95</v>
      </c>
      <c r="I519" t="str">
        <f>"ACCT#086-11451/UNIFORMS"</f>
        <v>ACCT#086-11451/UNIFORMS</v>
      </c>
    </row>
    <row r="520" spans="1:10" x14ac:dyDescent="0.3">
      <c r="A520" t="str">
        <f>""</f>
        <v/>
      </c>
      <c r="F520" t="str">
        <f>"201711086470"</f>
        <v>201711086470</v>
      </c>
      <c r="G520" t="str">
        <f>"ACCT#086-11451/OCT2017/PCT#1"</f>
        <v>ACCT#086-11451/OCT2017/PCT#1</v>
      </c>
      <c r="H520" s="2">
        <v>757.66</v>
      </c>
      <c r="I520" t="str">
        <f>"ACCT#086-11451/OCT2017/PCT#1"</f>
        <v>ACCT#086-11451/OCT2017/PCT#1</v>
      </c>
    </row>
    <row r="521" spans="1:10" x14ac:dyDescent="0.3">
      <c r="A521" t="str">
        <f>"005132"</f>
        <v>005132</v>
      </c>
      <c r="B521" t="s">
        <v>133</v>
      </c>
      <c r="C521">
        <v>73846</v>
      </c>
      <c r="D521" s="2">
        <v>157.11000000000001</v>
      </c>
      <c r="E521" s="1">
        <v>43066</v>
      </c>
      <c r="F521" t="str">
        <f>"8403410079"</f>
        <v>8403410079</v>
      </c>
      <c r="G521" t="str">
        <f>"CUST#10377368/PCT#3"</f>
        <v>CUST#10377368/PCT#3</v>
      </c>
      <c r="H521" s="2">
        <v>157.11000000000001</v>
      </c>
      <c r="I521" t="str">
        <f>"CUST#10377368/PCT#3"</f>
        <v>CUST#10377368/PCT#3</v>
      </c>
    </row>
    <row r="522" spans="1:10" x14ac:dyDescent="0.3">
      <c r="A522" t="str">
        <f>"004728"</f>
        <v>004728</v>
      </c>
      <c r="B522" t="s">
        <v>132</v>
      </c>
      <c r="C522">
        <v>73847</v>
      </c>
      <c r="D522" s="2">
        <v>951.59</v>
      </c>
      <c r="E522" s="1">
        <v>43066</v>
      </c>
      <c r="F522" t="str">
        <f>"201711146557"</f>
        <v>201711146557</v>
      </c>
      <c r="G522" t="str">
        <f>"ACCT#086-11381/GEN SVCS"</f>
        <v>ACCT#086-11381/GEN SVCS</v>
      </c>
      <c r="H522" s="2">
        <v>951.59</v>
      </c>
      <c r="I522" t="str">
        <f>"ACCT#086-11381/GEN SVCS"</f>
        <v>ACCT#086-11381/GEN SVCS</v>
      </c>
    </row>
    <row r="523" spans="1:10" x14ac:dyDescent="0.3">
      <c r="A523" t="str">
        <f>"BCO"</f>
        <v>BCO</v>
      </c>
      <c r="B523" t="s">
        <v>134</v>
      </c>
      <c r="C523">
        <v>73461</v>
      </c>
      <c r="D523" s="2">
        <v>40851.199999999997</v>
      </c>
      <c r="E523" s="1">
        <v>43048</v>
      </c>
      <c r="F523" t="str">
        <f>"201711096541"</f>
        <v>201711096541</v>
      </c>
      <c r="G523" t="str">
        <f>"ACCT#02-2083-04 / 10292017"</f>
        <v>ACCT#02-2083-04 / 10292017</v>
      </c>
      <c r="H523" s="2">
        <v>495.3</v>
      </c>
      <c r="I523" t="str">
        <f>"CITY OF BASTROP"</f>
        <v>CITY OF BASTROP</v>
      </c>
    </row>
    <row r="524" spans="1:10" x14ac:dyDescent="0.3">
      <c r="A524" t="str">
        <f>""</f>
        <v/>
      </c>
      <c r="F524" t="str">
        <f>"201711096542"</f>
        <v>201711096542</v>
      </c>
      <c r="G524" t="str">
        <f>"COUNTY DEVELOPMENT CENTER"</f>
        <v>COUNTY DEVELOPMENT CENTER</v>
      </c>
      <c r="H524" s="2">
        <v>2308.42</v>
      </c>
      <c r="I524" t="str">
        <f>"CITY OF BASTROP"</f>
        <v>CITY OF BASTROP</v>
      </c>
    </row>
    <row r="525" spans="1:10" x14ac:dyDescent="0.3">
      <c r="A525" t="str">
        <f>""</f>
        <v/>
      </c>
      <c r="F525" t="str">
        <f>"201711096544"</f>
        <v>201711096544</v>
      </c>
      <c r="G525" t="str">
        <f>"LAW ENFORCEMENT CENTER"</f>
        <v>LAW ENFORCEMENT CENTER</v>
      </c>
      <c r="H525" s="2">
        <v>24983.89</v>
      </c>
      <c r="I525" t="str">
        <f>"CITY OF BASTROP"</f>
        <v>CITY OF BASTROP</v>
      </c>
    </row>
    <row r="526" spans="1:10" x14ac:dyDescent="0.3">
      <c r="A526" t="str">
        <f>""</f>
        <v/>
      </c>
      <c r="F526" t="str">
        <f>"201711096545"</f>
        <v>201711096545</v>
      </c>
      <c r="G526" t="str">
        <f>"BASTROP COUNTY COURTHOUSE"</f>
        <v>BASTROP COUNTY COURTHOUSE</v>
      </c>
      <c r="H526" s="2">
        <v>13063.59</v>
      </c>
      <c r="I526" t="str">
        <f>"CITY OF BASTROP"</f>
        <v>CITY OF BASTROP</v>
      </c>
    </row>
    <row r="527" spans="1:10" x14ac:dyDescent="0.3">
      <c r="A527" t="str">
        <f>"COB"</f>
        <v>COB</v>
      </c>
      <c r="B527" t="s">
        <v>134</v>
      </c>
      <c r="C527">
        <v>73529</v>
      </c>
      <c r="D527" s="2">
        <v>100</v>
      </c>
      <c r="E527" s="1">
        <v>43052</v>
      </c>
      <c r="F527" t="s">
        <v>64</v>
      </c>
      <c r="G527" t="s">
        <v>135</v>
      </c>
      <c r="H527" s="2" t="str">
        <f>"RESTITUTION-A.M. LAWRENCE"</f>
        <v>RESTITUTION-A.M. LAWRENCE</v>
      </c>
      <c r="I527" t="str">
        <f>"210-0000"</f>
        <v>210-0000</v>
      </c>
      <c r="J527">
        <v>100</v>
      </c>
    </row>
    <row r="528" spans="1:10" x14ac:dyDescent="0.3">
      <c r="A528" t="str">
        <f>"COB"</f>
        <v>COB</v>
      </c>
      <c r="B528" t="s">
        <v>134</v>
      </c>
      <c r="C528">
        <v>73848</v>
      </c>
      <c r="D528" s="2">
        <v>500</v>
      </c>
      <c r="E528" s="1">
        <v>43066</v>
      </c>
      <c r="F528" t="str">
        <f>"201711146562"</f>
        <v>201711146562</v>
      </c>
      <c r="G528" t="str">
        <f>"RENTAL-PARKING LOT"</f>
        <v>RENTAL-PARKING LOT</v>
      </c>
      <c r="H528" s="2">
        <v>500</v>
      </c>
      <c r="I528" t="str">
        <f>"RENTAL-PARKING LOT"</f>
        <v>RENTAL-PARKING LOT</v>
      </c>
    </row>
    <row r="529" spans="1:9" x14ac:dyDescent="0.3">
      <c r="A529" t="str">
        <f>"SCO"</f>
        <v>SCO</v>
      </c>
      <c r="B529" t="s">
        <v>136</v>
      </c>
      <c r="C529">
        <v>73994</v>
      </c>
      <c r="D529" s="2">
        <v>1772.42</v>
      </c>
      <c r="E529" s="1">
        <v>43068</v>
      </c>
      <c r="F529" t="str">
        <f>"201711296842"</f>
        <v>201711296842</v>
      </c>
      <c r="G529" t="str">
        <f>"ACCT#007-0000388-000/11202017"</f>
        <v>ACCT#007-0000388-000/11202017</v>
      </c>
      <c r="H529" s="2">
        <v>474.64</v>
      </c>
      <c r="I529" t="str">
        <f>"ACCT#007-0000388-000/11202017"</f>
        <v>ACCT#007-0000388-000/11202017</v>
      </c>
    </row>
    <row r="530" spans="1:9" x14ac:dyDescent="0.3">
      <c r="A530" t="str">
        <f>""</f>
        <v/>
      </c>
      <c r="F530" t="str">
        <f>"201711296843"</f>
        <v>201711296843</v>
      </c>
      <c r="G530" t="str">
        <f>"ACCT#007-0000389-000/11202017"</f>
        <v>ACCT#007-0000389-000/11202017</v>
      </c>
      <c r="H530" s="2">
        <v>48.39</v>
      </c>
      <c r="I530" t="str">
        <f>"ACCT#007-0000389-000/11202017"</f>
        <v>ACCT#007-0000389-000/11202017</v>
      </c>
    </row>
    <row r="531" spans="1:9" x14ac:dyDescent="0.3">
      <c r="A531" t="str">
        <f>""</f>
        <v/>
      </c>
      <c r="F531" t="str">
        <f>"201711296844"</f>
        <v>201711296844</v>
      </c>
      <c r="G531" t="str">
        <f>"ACCT#044-0001240-000/11202017"</f>
        <v>ACCT#044-0001240-000/11202017</v>
      </c>
      <c r="H531" s="2">
        <v>296.81</v>
      </c>
      <c r="I531" t="str">
        <f>"ACCT#044-0001240-000/11202017"</f>
        <v>ACCT#044-0001240-000/11202017</v>
      </c>
    </row>
    <row r="532" spans="1:9" x14ac:dyDescent="0.3">
      <c r="A532" t="str">
        <f>""</f>
        <v/>
      </c>
      <c r="F532" t="str">
        <f>"201711296845"</f>
        <v>201711296845</v>
      </c>
      <c r="G532" t="str">
        <f>"ACCT#044-0001250-000/11202017"</f>
        <v>ACCT#044-0001250-000/11202017</v>
      </c>
      <c r="H532" s="2">
        <v>100.16</v>
      </c>
      <c r="I532" t="str">
        <f>"ACCT#044-0001250-000/11202017"</f>
        <v>ACCT#044-0001250-000/11202017</v>
      </c>
    </row>
    <row r="533" spans="1:9" x14ac:dyDescent="0.3">
      <c r="A533" t="str">
        <f>""</f>
        <v/>
      </c>
      <c r="F533" t="str">
        <f>"201711296846"</f>
        <v>201711296846</v>
      </c>
      <c r="G533" t="str">
        <f>"ACCT#044-0001252-000/11202017"</f>
        <v>ACCT#044-0001252-000/11202017</v>
      </c>
      <c r="H533" s="2">
        <v>549.96</v>
      </c>
      <c r="I533" t="str">
        <f>"ACCT#044-0001252-000/11202017"</f>
        <v>ACCT#044-0001252-000/11202017</v>
      </c>
    </row>
    <row r="534" spans="1:9" x14ac:dyDescent="0.3">
      <c r="A534" t="str">
        <f>""</f>
        <v/>
      </c>
      <c r="F534" t="str">
        <f>"201711296847"</f>
        <v>201711296847</v>
      </c>
      <c r="G534" t="str">
        <f>"ACCT#044-0001253-000/11202017"</f>
        <v>ACCT#044-0001253-000/11202017</v>
      </c>
      <c r="H534" s="2">
        <v>302.45999999999998</v>
      </c>
      <c r="I534" t="str">
        <f>"ACCT#044-0001253-000/11202017"</f>
        <v>ACCT#044-0001253-000/11202017</v>
      </c>
    </row>
    <row r="535" spans="1:9" x14ac:dyDescent="0.3">
      <c r="A535" t="str">
        <f>"004376"</f>
        <v>004376</v>
      </c>
      <c r="B535" t="s">
        <v>137</v>
      </c>
      <c r="C535">
        <v>73530</v>
      </c>
      <c r="D535" s="2">
        <v>120</v>
      </c>
      <c r="E535" s="1">
        <v>43052</v>
      </c>
      <c r="F535" t="str">
        <f>"201711086382"</f>
        <v>201711086382</v>
      </c>
      <c r="G535" t="str">
        <f>"FERAL HOGS"</f>
        <v>FERAL HOGS</v>
      </c>
      <c r="H535" s="2">
        <v>120</v>
      </c>
      <c r="I535" t="str">
        <f>"FERAL HOGS"</f>
        <v>FERAL HOGS</v>
      </c>
    </row>
    <row r="536" spans="1:9" x14ac:dyDescent="0.3">
      <c r="A536" t="str">
        <f>"CPA"</f>
        <v>CPA</v>
      </c>
      <c r="B536" t="s">
        <v>138</v>
      </c>
      <c r="C536">
        <v>73531</v>
      </c>
      <c r="D536" s="2">
        <v>87.14</v>
      </c>
      <c r="E536" s="1">
        <v>43052</v>
      </c>
      <c r="F536" t="str">
        <f>"201711086499"</f>
        <v>201711086499</v>
      </c>
      <c r="G536" t="str">
        <f>"INDIGENT HEALTH"</f>
        <v>INDIGENT HEALTH</v>
      </c>
      <c r="H536" s="2">
        <v>87.14</v>
      </c>
      <c r="I536" t="str">
        <f>"INDIGENT HEALTH"</f>
        <v>INDIGENT HEALTH</v>
      </c>
    </row>
    <row r="537" spans="1:9" x14ac:dyDescent="0.3">
      <c r="A537" t="str">
        <f>"CLINIC"</f>
        <v>CLINIC</v>
      </c>
      <c r="B537" t="s">
        <v>139</v>
      </c>
      <c r="C537">
        <v>73532</v>
      </c>
      <c r="D537" s="2">
        <v>674.96</v>
      </c>
      <c r="E537" s="1">
        <v>43052</v>
      </c>
      <c r="F537" t="str">
        <f>"201709-0"</f>
        <v>201709-0</v>
      </c>
      <c r="G537" t="str">
        <f>"INV 201709-0"</f>
        <v>INV 201709-0</v>
      </c>
      <c r="H537" s="2">
        <v>224.48</v>
      </c>
      <c r="I537" t="str">
        <f>"INV 201709-0"</f>
        <v>INV 201709-0</v>
      </c>
    </row>
    <row r="538" spans="1:9" x14ac:dyDescent="0.3">
      <c r="A538" t="str">
        <f>""</f>
        <v/>
      </c>
      <c r="F538" t="str">
        <f>"201711076368"</f>
        <v>201711076368</v>
      </c>
      <c r="G538" t="str">
        <f>"INDIGENT HEALTH - JAIL"</f>
        <v>INDIGENT HEALTH - JAIL</v>
      </c>
      <c r="H538" s="2">
        <v>4.53</v>
      </c>
      <c r="I538" t="str">
        <f>"INDIGENT HEALTH - JAIL"</f>
        <v>INDIGENT HEALTH - JAIL</v>
      </c>
    </row>
    <row r="539" spans="1:9" x14ac:dyDescent="0.3">
      <c r="A539" t="str">
        <f>""</f>
        <v/>
      </c>
      <c r="F539" t="str">
        <f>"201711086501"</f>
        <v>201711086501</v>
      </c>
      <c r="G539" t="str">
        <f>"INDIGENT HEALTH"</f>
        <v>INDIGENT HEALTH</v>
      </c>
      <c r="H539" s="2">
        <v>427.26</v>
      </c>
      <c r="I539" t="str">
        <f>"INDIGENT HEALTH"</f>
        <v>INDIGENT HEALTH</v>
      </c>
    </row>
    <row r="540" spans="1:9" x14ac:dyDescent="0.3">
      <c r="A540" t="str">
        <f>""</f>
        <v/>
      </c>
      <c r="F540" t="str">
        <f>"201711086531"</f>
        <v>201711086531</v>
      </c>
      <c r="G540" t="str">
        <f>"INDIGENT HEALTH"</f>
        <v>INDIGENT HEALTH</v>
      </c>
      <c r="H540" s="2">
        <v>18.690000000000001</v>
      </c>
      <c r="I540" t="str">
        <f>"INDIGENT HEALTH"</f>
        <v>INDIGENT HEALTH</v>
      </c>
    </row>
    <row r="541" spans="1:9" x14ac:dyDescent="0.3">
      <c r="A541" t="str">
        <f>"CLINIC"</f>
        <v>CLINIC</v>
      </c>
      <c r="B541" t="s">
        <v>139</v>
      </c>
      <c r="C541">
        <v>73849</v>
      </c>
      <c r="D541" s="2">
        <v>1088.8900000000001</v>
      </c>
      <c r="E541" s="1">
        <v>43066</v>
      </c>
      <c r="F541" t="str">
        <f>"201704-0/06-0/08-0"</f>
        <v>201704-0/06-0/08-0</v>
      </c>
      <c r="G541" t="str">
        <f>"INV 201704-0"</f>
        <v>INV 201704-0</v>
      </c>
      <c r="H541" s="2">
        <v>869.28</v>
      </c>
      <c r="I541" t="str">
        <f>"INV 201704-0"</f>
        <v>INV 201704-0</v>
      </c>
    </row>
    <row r="542" spans="1:9" x14ac:dyDescent="0.3">
      <c r="A542" t="str">
        <f>""</f>
        <v/>
      </c>
      <c r="F542" t="str">
        <f>""</f>
        <v/>
      </c>
      <c r="G542" t="str">
        <f>""</f>
        <v/>
      </c>
      <c r="I542" t="str">
        <f>"INV 201706-0"</f>
        <v>INV 201706-0</v>
      </c>
    </row>
    <row r="543" spans="1:9" x14ac:dyDescent="0.3">
      <c r="A543" t="str">
        <f>""</f>
        <v/>
      </c>
      <c r="F543" t="str">
        <f>""</f>
        <v/>
      </c>
      <c r="G543" t="str">
        <f>""</f>
        <v/>
      </c>
      <c r="I543" t="str">
        <f>"INV 201708-0"</f>
        <v>INV 201708-0</v>
      </c>
    </row>
    <row r="544" spans="1:9" x14ac:dyDescent="0.3">
      <c r="A544" t="str">
        <f>""</f>
        <v/>
      </c>
      <c r="F544" t="str">
        <f>"201710-0"</f>
        <v>201710-0</v>
      </c>
      <c r="G544" t="str">
        <f>"INV 201710-0"</f>
        <v>INV 201710-0</v>
      </c>
      <c r="H544" s="2">
        <v>177.85</v>
      </c>
      <c r="I544" t="str">
        <f>"INV 201710-0"</f>
        <v>INV 201710-0</v>
      </c>
    </row>
    <row r="545" spans="1:9" x14ac:dyDescent="0.3">
      <c r="A545" t="str">
        <f>""</f>
        <v/>
      </c>
      <c r="F545" t="str">
        <f>"201711166648"</f>
        <v>201711166648</v>
      </c>
      <c r="G545" t="str">
        <f>"INDIGENT HEALTH"</f>
        <v>INDIGENT HEALTH</v>
      </c>
      <c r="H545" s="2">
        <v>41.76</v>
      </c>
      <c r="I545" t="str">
        <f>"INDIGENT HEALTH"</f>
        <v>INDIGENT HEALTH</v>
      </c>
    </row>
    <row r="546" spans="1:9" x14ac:dyDescent="0.3">
      <c r="A546" t="str">
        <f>"T8825"</f>
        <v>T8825</v>
      </c>
      <c r="B546" t="s">
        <v>140</v>
      </c>
      <c r="C546">
        <v>73850</v>
      </c>
      <c r="D546" s="2">
        <v>150</v>
      </c>
      <c r="E546" s="1">
        <v>43066</v>
      </c>
      <c r="F546" t="str">
        <f>"201711146559"</f>
        <v>201711146559</v>
      </c>
      <c r="G546" t="str">
        <f>"BOND#15528646-R. DAVIS"</f>
        <v>BOND#15528646-R. DAVIS</v>
      </c>
      <c r="H546" s="2">
        <v>50</v>
      </c>
      <c r="I546" t="str">
        <f>"BOND#15528646-R. DAVIS"</f>
        <v>BOND#15528646-R. DAVIS</v>
      </c>
    </row>
    <row r="547" spans="1:9" x14ac:dyDescent="0.3">
      <c r="A547" t="str">
        <f>""</f>
        <v/>
      </c>
      <c r="F547" t="str">
        <f>"201711146560"</f>
        <v>201711146560</v>
      </c>
      <c r="G547" t="str">
        <f>"BOND#15528644-B.GOERTZ"</f>
        <v>BOND#15528644-B.GOERTZ</v>
      </c>
      <c r="H547" s="2">
        <v>50</v>
      </c>
      <c r="I547" t="str">
        <f>"BOND#15528644-B.GOERTZ"</f>
        <v>BOND#15528644-B.GOERTZ</v>
      </c>
    </row>
    <row r="548" spans="1:9" x14ac:dyDescent="0.3">
      <c r="A548" t="str">
        <f>""</f>
        <v/>
      </c>
      <c r="F548" t="str">
        <f>"201711156620"</f>
        <v>201711156620</v>
      </c>
      <c r="G548" t="str">
        <f>"BOND#69447529-M. OLSON"</f>
        <v>BOND#69447529-M. OLSON</v>
      </c>
      <c r="H548" s="2">
        <v>50</v>
      </c>
      <c r="I548" t="str">
        <f>"BOND#69447529-M. OLSON"</f>
        <v>BOND#69447529-M. OLSON</v>
      </c>
    </row>
    <row r="549" spans="1:9" x14ac:dyDescent="0.3">
      <c r="A549" t="str">
        <f>"004905"</f>
        <v>004905</v>
      </c>
      <c r="B549" t="s">
        <v>141</v>
      </c>
      <c r="C549">
        <v>73533</v>
      </c>
      <c r="D549" s="2">
        <v>15</v>
      </c>
      <c r="E549" s="1">
        <v>43052</v>
      </c>
      <c r="F549" t="str">
        <f>"201711086383"</f>
        <v>201711086383</v>
      </c>
      <c r="G549" t="str">
        <f>"FERAL HOGS"</f>
        <v>FERAL HOGS</v>
      </c>
      <c r="H549" s="2">
        <v>15</v>
      </c>
      <c r="I549" t="str">
        <f>"FERAL HOGS"</f>
        <v>FERAL HOGS</v>
      </c>
    </row>
    <row r="550" spans="1:9" x14ac:dyDescent="0.3">
      <c r="A550" t="str">
        <f>"002480"</f>
        <v>002480</v>
      </c>
      <c r="B550" t="s">
        <v>142</v>
      </c>
      <c r="C550">
        <v>73534</v>
      </c>
      <c r="D550" s="2">
        <v>65</v>
      </c>
      <c r="E550" s="1">
        <v>43052</v>
      </c>
      <c r="F550" t="str">
        <f>"11979"</f>
        <v>11979</v>
      </c>
      <c r="G550" t="str">
        <f>"SERVICE  09/08/17"</f>
        <v>SERVICE  09/08/17</v>
      </c>
      <c r="H550" s="2">
        <v>65</v>
      </c>
      <c r="I550" t="str">
        <f>"SERVICE  09/08/17"</f>
        <v>SERVICE  09/08/17</v>
      </c>
    </row>
    <row r="551" spans="1:9" x14ac:dyDescent="0.3">
      <c r="A551" t="str">
        <f>"003768"</f>
        <v>003768</v>
      </c>
      <c r="B551" t="s">
        <v>143</v>
      </c>
      <c r="C551">
        <v>73535</v>
      </c>
      <c r="D551" s="2">
        <v>300</v>
      </c>
      <c r="E551" s="1">
        <v>43052</v>
      </c>
      <c r="F551" t="str">
        <f>"170411BCP"</f>
        <v>170411BCP</v>
      </c>
      <c r="G551" t="str">
        <f>"SIGN LANGUAGE INTERPRETER"</f>
        <v>SIGN LANGUAGE INTERPRETER</v>
      </c>
      <c r="H551" s="2">
        <v>300</v>
      </c>
      <c r="I551" t="str">
        <f>"SIGN LANGUAGE INTERPRETER"</f>
        <v>SIGN LANGUAGE INTERPRETER</v>
      </c>
    </row>
    <row r="552" spans="1:9" x14ac:dyDescent="0.3">
      <c r="A552" t="str">
        <f>"002809"</f>
        <v>002809</v>
      </c>
      <c r="B552" t="s">
        <v>144</v>
      </c>
      <c r="C552">
        <v>73536</v>
      </c>
      <c r="D552" s="2">
        <v>615</v>
      </c>
      <c r="E552" s="1">
        <v>43052</v>
      </c>
      <c r="F552" t="str">
        <f>"12457729878"</f>
        <v>12457729878</v>
      </c>
      <c r="G552" t="str">
        <f>"INV 12457729878"</f>
        <v>INV 12457729878</v>
      </c>
      <c r="H552" s="2">
        <v>615</v>
      </c>
      <c r="I552" t="str">
        <f>"INV 12457729878"</f>
        <v>INV 12457729878</v>
      </c>
    </row>
    <row r="553" spans="1:9" x14ac:dyDescent="0.3">
      <c r="A553" t="str">
        <f>"004778"</f>
        <v>004778</v>
      </c>
      <c r="B553" t="s">
        <v>145</v>
      </c>
      <c r="C553">
        <v>73537</v>
      </c>
      <c r="D553" s="2">
        <v>160</v>
      </c>
      <c r="E553" s="1">
        <v>43052</v>
      </c>
      <c r="F553" t="str">
        <f>"PER DIEM-C.BROWN"</f>
        <v>PER DIEM-C.BROWN</v>
      </c>
      <c r="G553" t="str">
        <f>"PER DIEM"</f>
        <v>PER DIEM</v>
      </c>
      <c r="H553" s="2">
        <v>160</v>
      </c>
      <c r="I553" t="str">
        <f>"PER DIEM"</f>
        <v>PER DIEM</v>
      </c>
    </row>
    <row r="554" spans="1:9" x14ac:dyDescent="0.3">
      <c r="A554" t="str">
        <f>"CONTEC"</f>
        <v>CONTEC</v>
      </c>
      <c r="B554" t="s">
        <v>146</v>
      </c>
      <c r="C554">
        <v>73538</v>
      </c>
      <c r="D554" s="2">
        <v>12017.5</v>
      </c>
      <c r="E554" s="1">
        <v>43052</v>
      </c>
      <c r="F554" t="str">
        <f>"15205182"</f>
        <v>15205182</v>
      </c>
      <c r="G554" t="str">
        <f>"ACCT#456023/REF#12167703SO"</f>
        <v>ACCT#456023/REF#12167703SO</v>
      </c>
      <c r="H554" s="2">
        <v>498</v>
      </c>
      <c r="I554" t="str">
        <f>"ACCT#456023/REF#12167703SO"</f>
        <v>ACCT#456023/REF#12167703SO</v>
      </c>
    </row>
    <row r="555" spans="1:9" x14ac:dyDescent="0.3">
      <c r="A555" t="str">
        <f>""</f>
        <v/>
      </c>
      <c r="F555" t="str">
        <f>"15785076"</f>
        <v>15785076</v>
      </c>
      <c r="G555" t="str">
        <f>"ACCT#434304/REF#12657247 SO"</f>
        <v>ACCT#434304/REF#12657247 SO</v>
      </c>
      <c r="H555" s="2">
        <v>8212</v>
      </c>
      <c r="I555" t="str">
        <f>"ACCT#434304/REF#12657247 SO"</f>
        <v>ACCT#434304/REF#12657247 SO</v>
      </c>
    </row>
    <row r="556" spans="1:9" x14ac:dyDescent="0.3">
      <c r="A556" t="str">
        <f>""</f>
        <v/>
      </c>
      <c r="F556" t="str">
        <f>"15827079"</f>
        <v>15827079</v>
      </c>
      <c r="G556" t="str">
        <f>"ACCT#434304/REF#12680549SO/P4"</f>
        <v>ACCT#434304/REF#12680549SO/P4</v>
      </c>
      <c r="H556" s="2">
        <v>3307.5</v>
      </c>
      <c r="I556" t="str">
        <f>"ACCT#434304/REF#12680549SO/P4"</f>
        <v>ACCT#434304/REF#12680549SO/P4</v>
      </c>
    </row>
    <row r="557" spans="1:9" x14ac:dyDescent="0.3">
      <c r="A557" t="str">
        <f>"CONTEC"</f>
        <v>CONTEC</v>
      </c>
      <c r="B557" t="s">
        <v>146</v>
      </c>
      <c r="C557">
        <v>73851</v>
      </c>
      <c r="D557" s="2">
        <v>4788</v>
      </c>
      <c r="E557" s="1">
        <v>43066</v>
      </c>
      <c r="F557" t="str">
        <f>"15840669"</f>
        <v>15840669</v>
      </c>
      <c r="G557" t="str">
        <f>"ACCT#434304/REF#12705778SO/P4"</f>
        <v>ACCT#434304/REF#12705778SO/P4</v>
      </c>
      <c r="H557" s="2">
        <v>288</v>
      </c>
      <c r="I557" t="str">
        <f>"ACCT#434304/REF#12705778SO/P4"</f>
        <v>ACCT#434304/REF#12705778SO/P4</v>
      </c>
    </row>
    <row r="558" spans="1:9" x14ac:dyDescent="0.3">
      <c r="A558" t="str">
        <f>""</f>
        <v/>
      </c>
      <c r="F558" t="str">
        <f>"15887442"</f>
        <v>15887442</v>
      </c>
      <c r="G558" t="str">
        <f>"REF#12734685SO/PCT#4"</f>
        <v>REF#12734685SO/PCT#4</v>
      </c>
      <c r="H558" s="2">
        <v>4320</v>
      </c>
      <c r="I558" t="str">
        <f>"REF#12734685SO/PCT#4"</f>
        <v>REF#12734685SO/PCT#4</v>
      </c>
    </row>
    <row r="559" spans="1:9" x14ac:dyDescent="0.3">
      <c r="A559" t="str">
        <f>""</f>
        <v/>
      </c>
      <c r="F559" t="str">
        <f>"15918841"</f>
        <v>15918841</v>
      </c>
      <c r="G559" t="str">
        <f>"ACCT#434304/PCT#4"</f>
        <v>ACCT#434304/PCT#4</v>
      </c>
      <c r="H559" s="2">
        <v>180</v>
      </c>
      <c r="I559" t="str">
        <f>"ACCT#434304/PCT#4"</f>
        <v>ACCT#434304/PCT#4</v>
      </c>
    </row>
    <row r="560" spans="1:9" x14ac:dyDescent="0.3">
      <c r="A560" t="str">
        <f>"003723"</f>
        <v>003723</v>
      </c>
      <c r="B560" t="s">
        <v>147</v>
      </c>
      <c r="C560">
        <v>73539</v>
      </c>
      <c r="D560" s="2">
        <v>2762.7</v>
      </c>
      <c r="E560" s="1">
        <v>43052</v>
      </c>
      <c r="F560" t="str">
        <f>"19477"</f>
        <v>19477</v>
      </c>
      <c r="G560" t="str">
        <f>"TROUBLESHOOT:ISSUE W/DATA CABL"</f>
        <v>TROUBLESHOOT:ISSUE W/DATA CABL</v>
      </c>
      <c r="H560" s="2">
        <v>240</v>
      </c>
      <c r="I560" t="str">
        <f>"TROUBLESHOOT:ISSUE W/DATA CABL"</f>
        <v>TROUBLESHOOT:ISSUE W/DATA CABL</v>
      </c>
    </row>
    <row r="561" spans="1:9" x14ac:dyDescent="0.3">
      <c r="A561" t="str">
        <f>""</f>
        <v/>
      </c>
      <c r="F561" t="str">
        <f>"19483"</f>
        <v>19483</v>
      </c>
      <c r="G561" t="str">
        <f>"MATERIALS"</f>
        <v>MATERIALS</v>
      </c>
      <c r="H561" s="2">
        <v>462</v>
      </c>
      <c r="I561" t="str">
        <f>"MATERIALS"</f>
        <v>MATERIALS</v>
      </c>
    </row>
    <row r="562" spans="1:9" x14ac:dyDescent="0.3">
      <c r="A562" t="str">
        <f>""</f>
        <v/>
      </c>
      <c r="F562" t="str">
        <f>"19492"</f>
        <v>19492</v>
      </c>
      <c r="G562" t="str">
        <f>"LABOR/10 HRS"</f>
        <v>LABOR/10 HRS</v>
      </c>
      <c r="H562" s="2">
        <v>400</v>
      </c>
      <c r="I562" t="str">
        <f>"LABOR/10 HRS"</f>
        <v>LABOR/10 HRS</v>
      </c>
    </row>
    <row r="563" spans="1:9" x14ac:dyDescent="0.3">
      <c r="A563" t="str">
        <f>""</f>
        <v/>
      </c>
      <c r="F563" t="str">
        <f>"19495"</f>
        <v>19495</v>
      </c>
      <c r="G563" t="str">
        <f>"MATERIALS"</f>
        <v>MATERIALS</v>
      </c>
      <c r="H563" s="2">
        <v>215.7</v>
      </c>
      <c r="I563" t="str">
        <f>"MATERIALS"</f>
        <v>MATERIALS</v>
      </c>
    </row>
    <row r="564" spans="1:9" x14ac:dyDescent="0.3">
      <c r="A564" t="str">
        <f>""</f>
        <v/>
      </c>
      <c r="F564" t="str">
        <f>"19514"</f>
        <v>19514</v>
      </c>
      <c r="G564" t="str">
        <f>"LABOR &amp; MATERIAL"</f>
        <v>LABOR &amp; MATERIAL</v>
      </c>
      <c r="H564" s="2">
        <v>1445</v>
      </c>
      <c r="I564" t="str">
        <f>"LABOR &amp; MATERIAL"</f>
        <v>LABOR &amp; MATERIAL</v>
      </c>
    </row>
    <row r="565" spans="1:9" x14ac:dyDescent="0.3">
      <c r="A565" t="str">
        <f>"005059"</f>
        <v>005059</v>
      </c>
      <c r="B565" t="s">
        <v>148</v>
      </c>
      <c r="C565">
        <v>73852</v>
      </c>
      <c r="D565" s="2">
        <v>100</v>
      </c>
      <c r="E565" s="1">
        <v>43066</v>
      </c>
      <c r="F565" t="str">
        <f>"838914"</f>
        <v>838914</v>
      </c>
      <c r="G565" t="str">
        <f>"INV 838914 / UNIT 3106"</f>
        <v>INV 838914 / UNIT 3106</v>
      </c>
      <c r="H565" s="2">
        <v>100</v>
      </c>
      <c r="I565" t="str">
        <f>"INV 838914 / UNIT 3106"</f>
        <v>INV 838914 / UNIT 3106</v>
      </c>
    </row>
    <row r="566" spans="1:9" x14ac:dyDescent="0.3">
      <c r="A566" t="str">
        <f>"CEC"</f>
        <v>CEC</v>
      </c>
      <c r="B566" t="s">
        <v>149</v>
      </c>
      <c r="C566">
        <v>999999</v>
      </c>
      <c r="D566" s="2">
        <v>221.31</v>
      </c>
      <c r="E566" s="1">
        <v>43053</v>
      </c>
      <c r="F566" t="str">
        <f>"IN45632"</f>
        <v>IN45632</v>
      </c>
      <c r="G566" t="str">
        <f>"ACCT#353/FREIGHT/PARTS/PCT#2"</f>
        <v>ACCT#353/FREIGHT/PARTS/PCT#2</v>
      </c>
      <c r="H566" s="2">
        <v>221.31</v>
      </c>
      <c r="I566" t="str">
        <f>"ACCT#353/FREIGHT/PARTS/PCT#2"</f>
        <v>ACCT#353/FREIGHT/PARTS/PCT#2</v>
      </c>
    </row>
    <row r="567" spans="1:9" x14ac:dyDescent="0.3">
      <c r="A567" t="str">
        <f>"001457"</f>
        <v>001457</v>
      </c>
      <c r="B567" t="s">
        <v>150</v>
      </c>
      <c r="C567">
        <v>73540</v>
      </c>
      <c r="D567" s="2">
        <v>3077.75</v>
      </c>
      <c r="E567" s="1">
        <v>43052</v>
      </c>
      <c r="F567" t="str">
        <f>"16407"</f>
        <v>16407</v>
      </c>
      <c r="G567" t="str">
        <f>"SERVICE LABOR/ELGIN TAX OFF."</f>
        <v>SERVICE LABOR/ELGIN TAX OFF.</v>
      </c>
      <c r="H567" s="2">
        <v>85</v>
      </c>
      <c r="I567" t="str">
        <f>"SERVICE LABOR/ELGIN TAX OFF."</f>
        <v>SERVICE LABOR/ELGIN TAX OFF.</v>
      </c>
    </row>
    <row r="568" spans="1:9" x14ac:dyDescent="0.3">
      <c r="A568" t="str">
        <f>""</f>
        <v/>
      </c>
      <c r="F568" t="str">
        <f>"16434"</f>
        <v>16434</v>
      </c>
      <c r="G568" t="str">
        <f>"CUST#2449/TROUBLESHOOT"</f>
        <v>CUST#2449/TROUBLESHOOT</v>
      </c>
      <c r="H568" s="2">
        <v>363.75</v>
      </c>
      <c r="I568" t="str">
        <f>"CUST#2449/TROUBLESHOOT"</f>
        <v>CUST#2449/TROUBLESHOOT</v>
      </c>
    </row>
    <row r="569" spans="1:9" x14ac:dyDescent="0.3">
      <c r="A569" t="str">
        <f>""</f>
        <v/>
      </c>
      <c r="F569" t="str">
        <f>"JCW-30070-01"</f>
        <v>JCW-30070-01</v>
      </c>
      <c r="G569" t="str">
        <f>"Inv# JCW-30070-01"</f>
        <v>Inv# JCW-30070-01</v>
      </c>
      <c r="H569" s="2">
        <v>2629</v>
      </c>
      <c r="I569" t="str">
        <f>"Inv# JCW-30070-01"</f>
        <v>Inv# JCW-30070-01</v>
      </c>
    </row>
    <row r="570" spans="1:9" x14ac:dyDescent="0.3">
      <c r="A570" t="str">
        <f>"T11708"</f>
        <v>T11708</v>
      </c>
      <c r="B570" t="s">
        <v>151</v>
      </c>
      <c r="C570">
        <v>73541</v>
      </c>
      <c r="D570" s="2">
        <v>150</v>
      </c>
      <c r="E570" s="1">
        <v>43052</v>
      </c>
      <c r="F570" t="str">
        <f>"201710266006"</f>
        <v>201710266006</v>
      </c>
      <c r="G570" t="str">
        <f>"CLEANING/OCT 6TH &amp; 20TH/PCT#2"</f>
        <v>CLEANING/OCT 6TH &amp; 20TH/PCT#2</v>
      </c>
      <c r="H570" s="2">
        <v>150</v>
      </c>
      <c r="I570" t="str">
        <f>"CLEANING/OCT 6TH &amp; 20TH/PCT#2"</f>
        <v>CLEANING/OCT 6TH &amp; 20TH/PCT#2</v>
      </c>
    </row>
    <row r="571" spans="1:9" x14ac:dyDescent="0.3">
      <c r="A571" t="str">
        <f>"T14023"</f>
        <v>T14023</v>
      </c>
      <c r="B571" t="s">
        <v>152</v>
      </c>
      <c r="C571">
        <v>73853</v>
      </c>
      <c r="D571" s="2">
        <v>100</v>
      </c>
      <c r="E571" s="1">
        <v>43066</v>
      </c>
      <c r="F571" t="str">
        <f>"201711206720"</f>
        <v>201711206720</v>
      </c>
      <c r="G571" t="str">
        <f>"RETAIL FOOD TRANINING"</f>
        <v>RETAIL FOOD TRANINING</v>
      </c>
      <c r="H571" s="2">
        <v>100</v>
      </c>
    </row>
    <row r="572" spans="1:9" x14ac:dyDescent="0.3">
      <c r="A572" t="str">
        <f>"003136"</f>
        <v>003136</v>
      </c>
      <c r="B572" t="s">
        <v>153</v>
      </c>
      <c r="C572">
        <v>73663</v>
      </c>
      <c r="D572" s="2">
        <v>17.16</v>
      </c>
      <c r="E572" s="1">
        <v>43052</v>
      </c>
      <c r="F572" t="str">
        <f>"RBF284"</f>
        <v>RBF284</v>
      </c>
      <c r="G572" t="str">
        <f>"PLATE#1273918/PCT#3"</f>
        <v>PLATE#1273918/PCT#3</v>
      </c>
      <c r="H572" s="2">
        <v>17.16</v>
      </c>
      <c r="I572" t="str">
        <f>"PLATE#1273918/PCT#3"</f>
        <v>PLATE#1273918/PCT#3</v>
      </c>
    </row>
    <row r="573" spans="1:9" x14ac:dyDescent="0.3">
      <c r="A573" t="str">
        <f>"003136"</f>
        <v>003136</v>
      </c>
      <c r="B573" t="s">
        <v>153</v>
      </c>
      <c r="C573">
        <v>73913</v>
      </c>
      <c r="D573" s="2">
        <v>98.57</v>
      </c>
      <c r="E573" s="1">
        <v>43066</v>
      </c>
      <c r="F573" t="str">
        <f>"TX TAG"</f>
        <v>TX TAG</v>
      </c>
      <c r="G573" t="str">
        <f>"Payment for Bills"</f>
        <v>Payment for Bills</v>
      </c>
      <c r="H573" s="2">
        <v>98.57</v>
      </c>
      <c r="I573" t="str">
        <f>"Reference ID: STI697"</f>
        <v>Reference ID: STI697</v>
      </c>
    </row>
    <row r="574" spans="1:9" x14ac:dyDescent="0.3">
      <c r="A574" t="str">
        <f>""</f>
        <v/>
      </c>
      <c r="F574" t="str">
        <f>""</f>
        <v/>
      </c>
      <c r="G574" t="str">
        <f>""</f>
        <v/>
      </c>
      <c r="I574" t="str">
        <f>"Reference ID: SGC394"</f>
        <v>Reference ID: SGC394</v>
      </c>
    </row>
    <row r="575" spans="1:9" x14ac:dyDescent="0.3">
      <c r="A575" t="str">
        <f>""</f>
        <v/>
      </c>
      <c r="F575" t="str">
        <f>""</f>
        <v/>
      </c>
      <c r="G575" t="str">
        <f>""</f>
        <v/>
      </c>
      <c r="I575" t="str">
        <f>"Reference ID: SQE788"</f>
        <v>Reference ID: SQE788</v>
      </c>
    </row>
    <row r="576" spans="1:9" x14ac:dyDescent="0.3">
      <c r="A576" t="str">
        <f>""</f>
        <v/>
      </c>
      <c r="F576" t="str">
        <f>""</f>
        <v/>
      </c>
      <c r="G576" t="str">
        <f>""</f>
        <v/>
      </c>
      <c r="I576" t="str">
        <f>"Reference ID: RBF284"</f>
        <v>Reference ID: RBF284</v>
      </c>
    </row>
    <row r="577" spans="1:10" x14ac:dyDescent="0.3">
      <c r="A577" t="str">
        <f>"T14390"</f>
        <v>T14390</v>
      </c>
      <c r="B577" t="s">
        <v>154</v>
      </c>
      <c r="C577">
        <v>73854</v>
      </c>
      <c r="D577" s="2">
        <v>335.05</v>
      </c>
      <c r="E577" s="1">
        <v>43066</v>
      </c>
      <c r="F577" t="str">
        <f>"GV08726-236145"</f>
        <v>GV08726-236145</v>
      </c>
      <c r="G577" t="str">
        <f>"ACCT0008726/QTRLY VALUATION"</f>
        <v>ACCT0008726/QTRLY VALUATION</v>
      </c>
      <c r="H577" s="2">
        <v>335.05</v>
      </c>
      <c r="I577" t="str">
        <f>"ACCT0008726/QTRLY VALUATION"</f>
        <v>ACCT0008726/QTRLY VALUATION</v>
      </c>
    </row>
    <row r="578" spans="1:10" x14ac:dyDescent="0.3">
      <c r="A578" t="str">
        <f>"T13909"</f>
        <v>T13909</v>
      </c>
      <c r="B578" t="s">
        <v>155</v>
      </c>
      <c r="C578">
        <v>73542</v>
      </c>
      <c r="D578" s="2">
        <v>4350</v>
      </c>
      <c r="E578" s="1">
        <v>43052</v>
      </c>
      <c r="F578" t="str">
        <f>"201711086471"</f>
        <v>201711086471</v>
      </c>
      <c r="G578" t="str">
        <f>"10 HRS EXCAVATOR/PCT#2"</f>
        <v>10 HRS EXCAVATOR/PCT#2</v>
      </c>
      <c r="H578" s="2">
        <v>1500</v>
      </c>
      <c r="I578" t="str">
        <f>"10 HRS EXCAVATOR/PCT#2"</f>
        <v>10 HRS EXCAVATOR/PCT#2</v>
      </c>
    </row>
    <row r="579" spans="1:10" x14ac:dyDescent="0.3">
      <c r="A579" t="str">
        <f>""</f>
        <v/>
      </c>
      <c r="F579" t="str">
        <f>""</f>
        <v/>
      </c>
      <c r="G579" t="str">
        <f>""</f>
        <v/>
      </c>
      <c r="I579" t="str">
        <f>"10 HRS EXCAVATOR/PCT#2"</f>
        <v>10 HRS EXCAVATOR/PCT#2</v>
      </c>
    </row>
    <row r="580" spans="1:10" x14ac:dyDescent="0.3">
      <c r="A580" t="str">
        <f>""</f>
        <v/>
      </c>
      <c r="F580" t="str">
        <f>"201711086472"</f>
        <v>201711086472</v>
      </c>
      <c r="G580" t="str">
        <f>"19 HRS EXCAVATOR/PCT#2"</f>
        <v>19 HRS EXCAVATOR/PCT#2</v>
      </c>
      <c r="H580" s="2">
        <v>2850</v>
      </c>
      <c r="I580" t="str">
        <f>"19 HRS EXCAVATOR/PCT#2"</f>
        <v>19 HRS EXCAVATOR/PCT#2</v>
      </c>
    </row>
    <row r="581" spans="1:10" x14ac:dyDescent="0.3">
      <c r="A581" t="str">
        <f>""</f>
        <v/>
      </c>
      <c r="F581" t="str">
        <f>""</f>
        <v/>
      </c>
      <c r="G581" t="str">
        <f>""</f>
        <v/>
      </c>
      <c r="I581" t="str">
        <f>"19 HRS EXCAVATOR/PCT#2"</f>
        <v>19 HRS EXCAVATOR/PCT#2</v>
      </c>
    </row>
    <row r="582" spans="1:10" x14ac:dyDescent="0.3">
      <c r="A582" t="str">
        <f>"T9280"</f>
        <v>T9280</v>
      </c>
      <c r="B582" t="s">
        <v>156</v>
      </c>
      <c r="C582">
        <v>73543</v>
      </c>
      <c r="D582" s="2">
        <v>2066.71</v>
      </c>
      <c r="E582" s="1">
        <v>43052</v>
      </c>
      <c r="F582" t="str">
        <f>"B323144"</f>
        <v>B323144</v>
      </c>
      <c r="G582" t="str">
        <f>"Sign Material"</f>
        <v>Sign Material</v>
      </c>
      <c r="H582" s="2">
        <v>2066.71</v>
      </c>
      <c r="I582" t="str">
        <f>"Yellow Delinators"</f>
        <v>Yellow Delinators</v>
      </c>
    </row>
    <row r="583" spans="1:10" x14ac:dyDescent="0.3">
      <c r="A583" t="str">
        <f>""</f>
        <v/>
      </c>
      <c r="F583" t="str">
        <f>""</f>
        <v/>
      </c>
      <c r="G583" t="str">
        <f>""</f>
        <v/>
      </c>
      <c r="I583" t="str">
        <f>"Green U-Channels"</f>
        <v>Green U-Channels</v>
      </c>
    </row>
    <row r="584" spans="1:10" x14ac:dyDescent="0.3">
      <c r="A584" t="str">
        <f>""</f>
        <v/>
      </c>
      <c r="F584" t="str">
        <f>""</f>
        <v/>
      </c>
      <c r="G584" t="str">
        <f>""</f>
        <v/>
      </c>
      <c r="I584" t="str">
        <f>"Shipping"</f>
        <v>Shipping</v>
      </c>
    </row>
    <row r="585" spans="1:10" x14ac:dyDescent="0.3">
      <c r="A585" t="str">
        <f>"004072"</f>
        <v>004072</v>
      </c>
      <c r="B585" t="s">
        <v>157</v>
      </c>
      <c r="C585">
        <v>73855</v>
      </c>
      <c r="D585" s="2">
        <v>173.44</v>
      </c>
      <c r="E585" s="1">
        <v>43066</v>
      </c>
      <c r="F585" t="str">
        <f>"IN1402994"</f>
        <v>IN1402994</v>
      </c>
      <c r="G585" t="str">
        <f>"ACCT#BC113:40R756"</f>
        <v>ACCT#BC113:40R756</v>
      </c>
      <c r="H585" s="2">
        <v>173.44</v>
      </c>
      <c r="I585" t="str">
        <f>"ACCT#BC113:40R756"</f>
        <v>ACCT#BC113:40R756</v>
      </c>
    </row>
    <row r="586" spans="1:10" x14ac:dyDescent="0.3">
      <c r="A586" t="str">
        <f>"002352"</f>
        <v>002352</v>
      </c>
      <c r="B586" t="s">
        <v>158</v>
      </c>
      <c r="C586">
        <v>73544</v>
      </c>
      <c r="D586" s="2">
        <v>845</v>
      </c>
      <c r="E586" s="1">
        <v>43052</v>
      </c>
      <c r="F586" t="s">
        <v>60</v>
      </c>
      <c r="G586" t="s">
        <v>61</v>
      </c>
      <c r="H586" s="2" t="str">
        <f>"SERVICE"</f>
        <v>SERVICE</v>
      </c>
      <c r="I586" t="str">
        <f>"995-4110"</f>
        <v>995-4110</v>
      </c>
      <c r="J586">
        <v>525</v>
      </c>
    </row>
    <row r="587" spans="1:10" x14ac:dyDescent="0.3">
      <c r="A587" t="str">
        <f>""</f>
        <v/>
      </c>
      <c r="F587" t="s">
        <v>64</v>
      </c>
      <c r="G587" t="s">
        <v>68</v>
      </c>
      <c r="H587" s="2" t="str">
        <f>"SERVICE  09/06/17"</f>
        <v>SERVICE  09/06/17</v>
      </c>
      <c r="I587" t="str">
        <f>"995-4110"</f>
        <v>995-4110</v>
      </c>
      <c r="J587">
        <v>80</v>
      </c>
    </row>
    <row r="588" spans="1:10" x14ac:dyDescent="0.3">
      <c r="A588" t="str">
        <f>""</f>
        <v/>
      </c>
      <c r="F588" t="str">
        <f>"12504"</f>
        <v>12504</v>
      </c>
      <c r="G588" t="str">
        <f>"SERVICE  09/13/17"</f>
        <v>SERVICE  09/13/17</v>
      </c>
      <c r="H588" s="2">
        <v>80</v>
      </c>
      <c r="I588" t="str">
        <f>"SERVICE  09/13/17"</f>
        <v>SERVICE  09/13/17</v>
      </c>
    </row>
    <row r="589" spans="1:10" x14ac:dyDescent="0.3">
      <c r="A589" t="str">
        <f>""</f>
        <v/>
      </c>
      <c r="F589" t="str">
        <f>"12619"</f>
        <v>12619</v>
      </c>
      <c r="G589" t="str">
        <f>"SERVICE  09/18/17"</f>
        <v>SERVICE  09/18/17</v>
      </c>
      <c r="H589" s="2">
        <v>80</v>
      </c>
      <c r="I589" t="str">
        <f>"SERVICE  09/18/17"</f>
        <v>SERVICE  09/18/17</v>
      </c>
    </row>
    <row r="590" spans="1:10" x14ac:dyDescent="0.3">
      <c r="A590" t="str">
        <f>""</f>
        <v/>
      </c>
      <c r="F590" t="str">
        <f>"12707"</f>
        <v>12707</v>
      </c>
      <c r="G590" t="str">
        <f>"SSERVICE  09/08/17"</f>
        <v>SSERVICE  09/08/17</v>
      </c>
      <c r="H590" s="2">
        <v>80</v>
      </c>
      <c r="I590" t="str">
        <f>"SSERVICE  09/08/17"</f>
        <v>SSERVICE  09/08/17</v>
      </c>
    </row>
    <row r="591" spans="1:10" x14ac:dyDescent="0.3">
      <c r="A591" t="str">
        <f>"002352"</f>
        <v>002352</v>
      </c>
      <c r="B591" t="s">
        <v>158</v>
      </c>
      <c r="C591">
        <v>73856</v>
      </c>
      <c r="D591" s="2">
        <v>395</v>
      </c>
      <c r="E591" s="1">
        <v>43066</v>
      </c>
      <c r="F591" t="s">
        <v>64</v>
      </c>
      <c r="G591" t="s">
        <v>70</v>
      </c>
      <c r="H591" s="2" t="str">
        <f>"SERVICE"</f>
        <v>SERVICE</v>
      </c>
      <c r="I591" t="str">
        <f>"995-4110"</f>
        <v>995-4110</v>
      </c>
      <c r="J591">
        <v>315</v>
      </c>
    </row>
    <row r="592" spans="1:10" x14ac:dyDescent="0.3">
      <c r="A592" t="str">
        <f>""</f>
        <v/>
      </c>
      <c r="F592" t="str">
        <f>"12298"</f>
        <v>12298</v>
      </c>
      <c r="G592" t="str">
        <f>"SERVICE"</f>
        <v>SERVICE</v>
      </c>
      <c r="H592" s="2">
        <v>80</v>
      </c>
      <c r="I592" t="str">
        <f>"SERVICE"</f>
        <v>SERVICE</v>
      </c>
    </row>
    <row r="593" spans="1:9" x14ac:dyDescent="0.3">
      <c r="A593" t="str">
        <f>"004330"</f>
        <v>004330</v>
      </c>
      <c r="B593" t="s">
        <v>159</v>
      </c>
      <c r="C593">
        <v>73545</v>
      </c>
      <c r="D593" s="2">
        <v>110</v>
      </c>
      <c r="E593" s="1">
        <v>43052</v>
      </c>
      <c r="F593" t="str">
        <f>"201711086384"</f>
        <v>201711086384</v>
      </c>
      <c r="G593" t="str">
        <f>"FERAL HOGS"</f>
        <v>FERAL HOGS</v>
      </c>
      <c r="H593" s="2">
        <v>110</v>
      </c>
      <c r="I593" t="str">
        <f>"FERAL HOGS"</f>
        <v>FERAL HOGS</v>
      </c>
    </row>
    <row r="594" spans="1:9" x14ac:dyDescent="0.3">
      <c r="A594" t="str">
        <f>"004018"</f>
        <v>004018</v>
      </c>
      <c r="B594" t="s">
        <v>160</v>
      </c>
      <c r="C594">
        <v>73546</v>
      </c>
      <c r="D594" s="2">
        <v>510</v>
      </c>
      <c r="E594" s="1">
        <v>43052</v>
      </c>
      <c r="F594" t="str">
        <f>"201711086385"</f>
        <v>201711086385</v>
      </c>
      <c r="G594" t="str">
        <f>"FERAL HOGS"</f>
        <v>FERAL HOGS</v>
      </c>
      <c r="H594" s="2">
        <v>510</v>
      </c>
      <c r="I594" t="str">
        <f>"FERAL HOGS"</f>
        <v>FERAL HOGS</v>
      </c>
    </row>
    <row r="595" spans="1:9" x14ac:dyDescent="0.3">
      <c r="A595" t="str">
        <f>"004302"</f>
        <v>004302</v>
      </c>
      <c r="B595" t="s">
        <v>161</v>
      </c>
      <c r="C595">
        <v>73547</v>
      </c>
      <c r="D595" s="2">
        <v>399</v>
      </c>
      <c r="E595" s="1">
        <v>43052</v>
      </c>
      <c r="F595" t="str">
        <f>"5260"</f>
        <v>5260</v>
      </c>
      <c r="G595" t="str">
        <f>"PROGRAM PURCH/INITIAL YR SETUP"</f>
        <v>PROGRAM PURCH/INITIAL YR SETUP</v>
      </c>
      <c r="H595" s="2">
        <v>399</v>
      </c>
      <c r="I595" t="str">
        <f>"PROGRAM PURCH/INITIAL YR SETUP"</f>
        <v>PROGRAM PURCH/INITIAL YR SETUP</v>
      </c>
    </row>
    <row r="596" spans="1:9" x14ac:dyDescent="0.3">
      <c r="A596" t="str">
        <f>"T13126"</f>
        <v>T13126</v>
      </c>
      <c r="B596" t="s">
        <v>162</v>
      </c>
      <c r="C596">
        <v>73548</v>
      </c>
      <c r="D596" s="2">
        <v>10</v>
      </c>
      <c r="E596" s="1">
        <v>43052</v>
      </c>
      <c r="F596" t="str">
        <f>"201711086386"</f>
        <v>201711086386</v>
      </c>
      <c r="G596" t="str">
        <f>"FERAL HOGS"</f>
        <v>FERAL HOGS</v>
      </c>
      <c r="H596" s="2">
        <v>10</v>
      </c>
      <c r="I596" t="str">
        <f>"FERAL HOGS"</f>
        <v>FERAL HOGS</v>
      </c>
    </row>
    <row r="597" spans="1:9" x14ac:dyDescent="0.3">
      <c r="A597" t="str">
        <f>"BROOKS"</f>
        <v>BROOKS</v>
      </c>
      <c r="B597" t="s">
        <v>163</v>
      </c>
      <c r="C597">
        <v>73549</v>
      </c>
      <c r="D597" s="2">
        <v>100</v>
      </c>
      <c r="E597" s="1">
        <v>43052</v>
      </c>
      <c r="F597" t="str">
        <f>"201711076351"</f>
        <v>201711076351</v>
      </c>
      <c r="G597" t="str">
        <f>"LEGAL CONSULT SVCS OCT2017"</f>
        <v>LEGAL CONSULT SVCS OCT2017</v>
      </c>
      <c r="H597" s="2">
        <v>100</v>
      </c>
      <c r="I597" t="str">
        <f>"LEGAL CONSULT SVCS OCT2017"</f>
        <v>LEGAL CONSULT SVCS OCT2017</v>
      </c>
    </row>
    <row r="598" spans="1:9" x14ac:dyDescent="0.3">
      <c r="A598" t="str">
        <f>"005018"</f>
        <v>005018</v>
      </c>
      <c r="B598" t="s">
        <v>164</v>
      </c>
      <c r="C598">
        <v>73550</v>
      </c>
      <c r="D598" s="2">
        <v>125</v>
      </c>
      <c r="E598" s="1">
        <v>43052</v>
      </c>
      <c r="F598" t="str">
        <f>"201711086387"</f>
        <v>201711086387</v>
      </c>
      <c r="G598" t="str">
        <f>"FERAL HOGS"</f>
        <v>FERAL HOGS</v>
      </c>
      <c r="H598" s="2">
        <v>55</v>
      </c>
      <c r="I598" t="str">
        <f>"FERAL HOGS"</f>
        <v>FERAL HOGS</v>
      </c>
    </row>
    <row r="599" spans="1:9" x14ac:dyDescent="0.3">
      <c r="A599" t="str">
        <f>""</f>
        <v/>
      </c>
      <c r="F599" t="str">
        <f>"201711086388"</f>
        <v>201711086388</v>
      </c>
      <c r="G599" t="str">
        <f>"FERAL HOGS"</f>
        <v>FERAL HOGS</v>
      </c>
      <c r="H599" s="2">
        <v>5</v>
      </c>
      <c r="I599" t="str">
        <f>"FERAL HOGS"</f>
        <v>FERAL HOGS</v>
      </c>
    </row>
    <row r="600" spans="1:9" x14ac:dyDescent="0.3">
      <c r="A600" t="str">
        <f>""</f>
        <v/>
      </c>
      <c r="F600" t="str">
        <f>"201711086389"</f>
        <v>201711086389</v>
      </c>
      <c r="G600" t="str">
        <f>"FERAL HOGS"</f>
        <v>FERAL HOGS</v>
      </c>
      <c r="H600" s="2">
        <v>65</v>
      </c>
      <c r="I600" t="str">
        <f>"FERAL HOGS"</f>
        <v>FERAL HOGS</v>
      </c>
    </row>
    <row r="601" spans="1:9" x14ac:dyDescent="0.3">
      <c r="A601" t="str">
        <f>"005280"</f>
        <v>005280</v>
      </c>
      <c r="B601" t="s">
        <v>165</v>
      </c>
      <c r="C601">
        <v>73551</v>
      </c>
      <c r="D601" s="2">
        <v>55</v>
      </c>
      <c r="E601" s="1">
        <v>43052</v>
      </c>
      <c r="F601" t="str">
        <f>"201711086390"</f>
        <v>201711086390</v>
      </c>
      <c r="G601" t="str">
        <f>"FERAL HOGS"</f>
        <v>FERAL HOGS</v>
      </c>
      <c r="H601" s="2">
        <v>55</v>
      </c>
      <c r="I601" t="str">
        <f>"FERAL HOGS"</f>
        <v>FERAL HOGS</v>
      </c>
    </row>
    <row r="602" spans="1:9" x14ac:dyDescent="0.3">
      <c r="A602" t="str">
        <f>"003335"</f>
        <v>003335</v>
      </c>
      <c r="B602" t="s">
        <v>166</v>
      </c>
      <c r="C602">
        <v>999999</v>
      </c>
      <c r="D602" s="2">
        <v>1470</v>
      </c>
      <c r="E602" s="1">
        <v>43053</v>
      </c>
      <c r="F602" t="str">
        <f>"201710255968"</f>
        <v>201710255968</v>
      </c>
      <c r="G602" t="str">
        <f>"423438"</f>
        <v>423438</v>
      </c>
      <c r="H602" s="2">
        <v>100</v>
      </c>
      <c r="I602" t="str">
        <f>"423438"</f>
        <v>423438</v>
      </c>
    </row>
    <row r="603" spans="1:9" x14ac:dyDescent="0.3">
      <c r="A603" t="str">
        <f>""</f>
        <v/>
      </c>
      <c r="F603" t="str">
        <f>"201711036146"</f>
        <v>201711036146</v>
      </c>
      <c r="G603" t="str">
        <f>"04-8785"</f>
        <v>04-8785</v>
      </c>
      <c r="H603" s="2">
        <v>100</v>
      </c>
      <c r="I603" t="str">
        <f>"04-8785"</f>
        <v>04-8785</v>
      </c>
    </row>
    <row r="604" spans="1:9" x14ac:dyDescent="0.3">
      <c r="A604" t="str">
        <f>""</f>
        <v/>
      </c>
      <c r="F604" t="str">
        <f>"201711036147"</f>
        <v>201711036147</v>
      </c>
      <c r="G604" t="str">
        <f>"15-17193"</f>
        <v>15-17193</v>
      </c>
      <c r="H604" s="2">
        <v>82.5</v>
      </c>
      <c r="I604" t="str">
        <f>"15-17193"</f>
        <v>15-17193</v>
      </c>
    </row>
    <row r="605" spans="1:9" x14ac:dyDescent="0.3">
      <c r="A605" t="str">
        <f>""</f>
        <v/>
      </c>
      <c r="F605" t="str">
        <f>"201711036148"</f>
        <v>201711036148</v>
      </c>
      <c r="G605" t="str">
        <f>"16-17591"</f>
        <v>16-17591</v>
      </c>
      <c r="H605" s="2">
        <v>75</v>
      </c>
      <c r="I605" t="str">
        <f>"16-17591"</f>
        <v>16-17591</v>
      </c>
    </row>
    <row r="606" spans="1:9" x14ac:dyDescent="0.3">
      <c r="A606" t="str">
        <f>""</f>
        <v/>
      </c>
      <c r="F606" t="str">
        <f>"201711036149"</f>
        <v>201711036149</v>
      </c>
      <c r="G606" t="str">
        <f>"17-18273"</f>
        <v>17-18273</v>
      </c>
      <c r="H606" s="2">
        <v>330</v>
      </c>
      <c r="I606" t="str">
        <f>"17-18273"</f>
        <v>17-18273</v>
      </c>
    </row>
    <row r="607" spans="1:9" x14ac:dyDescent="0.3">
      <c r="A607" t="str">
        <f>""</f>
        <v/>
      </c>
      <c r="F607" t="str">
        <f>"201711036150"</f>
        <v>201711036150</v>
      </c>
      <c r="G607" t="str">
        <f>"17-18636"</f>
        <v>17-18636</v>
      </c>
      <c r="H607" s="2">
        <v>90</v>
      </c>
      <c r="I607" t="str">
        <f>"17-18636"</f>
        <v>17-18636</v>
      </c>
    </row>
    <row r="608" spans="1:9" x14ac:dyDescent="0.3">
      <c r="A608" t="str">
        <f>""</f>
        <v/>
      </c>
      <c r="F608" t="str">
        <f>"201711036151"</f>
        <v>201711036151</v>
      </c>
      <c r="G608" t="str">
        <f>"17-18637"</f>
        <v>17-18637</v>
      </c>
      <c r="H608" s="2">
        <v>205</v>
      </c>
      <c r="I608" t="str">
        <f>"17-18637"</f>
        <v>17-18637</v>
      </c>
    </row>
    <row r="609" spans="1:9" x14ac:dyDescent="0.3">
      <c r="A609" t="str">
        <f>""</f>
        <v/>
      </c>
      <c r="F609" t="str">
        <f>"201711036152"</f>
        <v>201711036152</v>
      </c>
      <c r="G609" t="str">
        <f>"16-18043"</f>
        <v>16-18043</v>
      </c>
      <c r="H609" s="2">
        <v>487.5</v>
      </c>
      <c r="I609" t="str">
        <f>"16-18043"</f>
        <v>16-18043</v>
      </c>
    </row>
    <row r="610" spans="1:9" x14ac:dyDescent="0.3">
      <c r="A610" t="str">
        <f>"003335"</f>
        <v>003335</v>
      </c>
      <c r="B610" t="s">
        <v>166</v>
      </c>
      <c r="C610">
        <v>999999</v>
      </c>
      <c r="D610" s="2">
        <v>740.5</v>
      </c>
      <c r="E610" s="1">
        <v>43067</v>
      </c>
      <c r="F610" t="str">
        <f>"201711146568"</f>
        <v>201711146568</v>
      </c>
      <c r="G610" t="str">
        <f>"15-17398"</f>
        <v>15-17398</v>
      </c>
      <c r="H610" s="2">
        <v>220.5</v>
      </c>
      <c r="I610" t="str">
        <f>"15-17398"</f>
        <v>15-17398</v>
      </c>
    </row>
    <row r="611" spans="1:9" x14ac:dyDescent="0.3">
      <c r="A611" t="str">
        <f>""</f>
        <v/>
      </c>
      <c r="F611" t="str">
        <f>"201711146570"</f>
        <v>201711146570</v>
      </c>
      <c r="G611" t="str">
        <f>"16-18043"</f>
        <v>16-18043</v>
      </c>
      <c r="H611" s="2">
        <v>100</v>
      </c>
      <c r="I611" t="str">
        <f>"16-18043"</f>
        <v>16-18043</v>
      </c>
    </row>
    <row r="612" spans="1:9" x14ac:dyDescent="0.3">
      <c r="A612" t="str">
        <f>""</f>
        <v/>
      </c>
      <c r="F612" t="str">
        <f>"201711166678"</f>
        <v>201711166678</v>
      </c>
      <c r="G612" t="str">
        <f>"15-17193"</f>
        <v>15-17193</v>
      </c>
      <c r="H612" s="2">
        <v>15</v>
      </c>
      <c r="I612" t="str">
        <f>"15-17193"</f>
        <v>15-17193</v>
      </c>
    </row>
    <row r="613" spans="1:9" x14ac:dyDescent="0.3">
      <c r="A613" t="str">
        <f>""</f>
        <v/>
      </c>
      <c r="F613" t="str">
        <f>"201711166679"</f>
        <v>201711166679</v>
      </c>
      <c r="G613" t="str">
        <f>"16-17819"</f>
        <v>16-17819</v>
      </c>
      <c r="H613" s="2">
        <v>270</v>
      </c>
      <c r="I613" t="str">
        <f>"16-17819"</f>
        <v>16-17819</v>
      </c>
    </row>
    <row r="614" spans="1:9" x14ac:dyDescent="0.3">
      <c r="A614" t="str">
        <f>""</f>
        <v/>
      </c>
      <c r="F614" t="str">
        <f>"201711166680"</f>
        <v>201711166680</v>
      </c>
      <c r="G614" t="str">
        <f>"15-17513"</f>
        <v>15-17513</v>
      </c>
      <c r="H614" s="2">
        <v>135</v>
      </c>
      <c r="I614" t="str">
        <f>"15-17513"</f>
        <v>15-17513</v>
      </c>
    </row>
    <row r="615" spans="1:9" x14ac:dyDescent="0.3">
      <c r="A615" t="str">
        <f>"DELL"</f>
        <v>DELL</v>
      </c>
      <c r="B615" t="s">
        <v>167</v>
      </c>
      <c r="C615">
        <v>73552</v>
      </c>
      <c r="D615" s="2">
        <v>3407.28</v>
      </c>
      <c r="E615" s="1">
        <v>43052</v>
      </c>
      <c r="F615" t="str">
        <f>"10198011218"</f>
        <v>10198011218</v>
      </c>
      <c r="G615" t="str">
        <f>"Dell Premier Quote 101380"</f>
        <v>Dell Premier Quote 101380</v>
      </c>
      <c r="H615" s="2">
        <v>1703.64</v>
      </c>
      <c r="I615" t="str">
        <f>"P2217H  without stan"</f>
        <v>P2217H  without stan</v>
      </c>
    </row>
    <row r="616" spans="1:9" x14ac:dyDescent="0.3">
      <c r="A616" t="str">
        <f>""</f>
        <v/>
      </c>
      <c r="F616" t="str">
        <f>""</f>
        <v/>
      </c>
      <c r="G616" t="str">
        <f>""</f>
        <v/>
      </c>
      <c r="I616" t="str">
        <f>"Discount"</f>
        <v>Discount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"Latitude 5580"</f>
        <v>Latitude 5580</v>
      </c>
    </row>
    <row r="618" spans="1:9" x14ac:dyDescent="0.3">
      <c r="A618" t="str">
        <f>""</f>
        <v/>
      </c>
      <c r="F618" t="str">
        <f>""</f>
        <v/>
      </c>
      <c r="G618" t="str">
        <f>""</f>
        <v/>
      </c>
      <c r="I618" t="str">
        <f>"Discount"</f>
        <v>Discount</v>
      </c>
    </row>
    <row r="619" spans="1:9" x14ac:dyDescent="0.3">
      <c r="A619" t="str">
        <f>""</f>
        <v/>
      </c>
      <c r="F619" t="str">
        <f>""</f>
        <v/>
      </c>
      <c r="G619" t="str">
        <f>""</f>
        <v/>
      </c>
      <c r="I619" t="str">
        <f>"Monitor – P2217H"</f>
        <v>Monitor – P2217H</v>
      </c>
    </row>
    <row r="620" spans="1:9" x14ac:dyDescent="0.3">
      <c r="A620" t="str">
        <f>""</f>
        <v/>
      </c>
      <c r="F620" t="str">
        <f>""</f>
        <v/>
      </c>
      <c r="G620" t="str">
        <f>""</f>
        <v/>
      </c>
      <c r="I620" t="str">
        <f>"Discount"</f>
        <v>Discount</v>
      </c>
    </row>
    <row r="621" spans="1:9" x14ac:dyDescent="0.3">
      <c r="A621" t="str">
        <f>""</f>
        <v/>
      </c>
      <c r="F621" t="str">
        <f>""</f>
        <v/>
      </c>
      <c r="G621" t="str">
        <f>""</f>
        <v/>
      </c>
      <c r="I621" t="str">
        <f>"Dell Dock"</f>
        <v>Dell Dock</v>
      </c>
    </row>
    <row r="622" spans="1:9" x14ac:dyDescent="0.3">
      <c r="A622" t="str">
        <f>""</f>
        <v/>
      </c>
      <c r="F622" t="str">
        <f>""</f>
        <v/>
      </c>
      <c r="G622" t="str">
        <f>""</f>
        <v/>
      </c>
      <c r="I622" t="str">
        <f>"Discount"</f>
        <v>Discount</v>
      </c>
    </row>
    <row r="623" spans="1:9" x14ac:dyDescent="0.3">
      <c r="A623" t="str">
        <f>""</f>
        <v/>
      </c>
      <c r="F623" t="str">
        <f>""</f>
        <v/>
      </c>
      <c r="G623" t="str">
        <f>""</f>
        <v/>
      </c>
      <c r="I623" t="str">
        <f>"Soundbar"</f>
        <v>Soundbar</v>
      </c>
    </row>
    <row r="624" spans="1:9" x14ac:dyDescent="0.3">
      <c r="A624" t="str">
        <f>""</f>
        <v/>
      </c>
      <c r="F624" t="str">
        <f>""</f>
        <v/>
      </c>
      <c r="G624" t="str">
        <f>""</f>
        <v/>
      </c>
      <c r="I624" t="str">
        <f>"Discount"</f>
        <v>Discount</v>
      </c>
    </row>
    <row r="625" spans="1:9" x14ac:dyDescent="0.3">
      <c r="A625" t="str">
        <f>""</f>
        <v/>
      </c>
      <c r="F625" t="str">
        <f>""</f>
        <v/>
      </c>
      <c r="G625" t="str">
        <f>""</f>
        <v/>
      </c>
      <c r="I625" t="str">
        <f>"Overnight Shipping"</f>
        <v>Overnight Shipping</v>
      </c>
    </row>
    <row r="626" spans="1:9" x14ac:dyDescent="0.3">
      <c r="A626" t="str">
        <f>""</f>
        <v/>
      </c>
      <c r="F626" t="str">
        <f>"10198147812"</f>
        <v>10198147812</v>
      </c>
      <c r="G626" t="str">
        <f>"Quote 1013808646774"</f>
        <v>Quote 1013808646774</v>
      </c>
      <c r="H626" s="2">
        <v>1703.64</v>
      </c>
      <c r="I626" t="str">
        <f>"P2217H  without stan"</f>
        <v>P2217H  without stan</v>
      </c>
    </row>
    <row r="627" spans="1:9" x14ac:dyDescent="0.3">
      <c r="A627" t="str">
        <f>""</f>
        <v/>
      </c>
      <c r="F627" t="str">
        <f>""</f>
        <v/>
      </c>
      <c r="G627" t="str">
        <f>""</f>
        <v/>
      </c>
      <c r="I627" t="str">
        <f>"Discount"</f>
        <v>Discount</v>
      </c>
    </row>
    <row r="628" spans="1:9" x14ac:dyDescent="0.3">
      <c r="A628" t="str">
        <f>""</f>
        <v/>
      </c>
      <c r="F628" t="str">
        <f>""</f>
        <v/>
      </c>
      <c r="G628" t="str">
        <f>""</f>
        <v/>
      </c>
      <c r="I628" t="str">
        <f>"Latitude 5580"</f>
        <v>Latitude 5580</v>
      </c>
    </row>
    <row r="629" spans="1:9" x14ac:dyDescent="0.3">
      <c r="A629" t="str">
        <f>""</f>
        <v/>
      </c>
      <c r="F629" t="str">
        <f>""</f>
        <v/>
      </c>
      <c r="G629" t="str">
        <f>""</f>
        <v/>
      </c>
      <c r="I629" t="str">
        <f>"Discount"</f>
        <v>Discount</v>
      </c>
    </row>
    <row r="630" spans="1:9" x14ac:dyDescent="0.3">
      <c r="A630" t="str">
        <f>""</f>
        <v/>
      </c>
      <c r="F630" t="str">
        <f>""</f>
        <v/>
      </c>
      <c r="G630" t="str">
        <f>""</f>
        <v/>
      </c>
      <c r="I630" t="str">
        <f>"Dell Monitor"</f>
        <v>Dell Monitor</v>
      </c>
    </row>
    <row r="631" spans="1:9" x14ac:dyDescent="0.3">
      <c r="A631" t="str">
        <f>""</f>
        <v/>
      </c>
      <c r="F631" t="str">
        <f>""</f>
        <v/>
      </c>
      <c r="G631" t="str">
        <f>""</f>
        <v/>
      </c>
      <c r="I631" t="str">
        <f>"Discount"</f>
        <v>Discount</v>
      </c>
    </row>
    <row r="632" spans="1:9" x14ac:dyDescent="0.3">
      <c r="A632" t="str">
        <f>""</f>
        <v/>
      </c>
      <c r="F632" t="str">
        <f>""</f>
        <v/>
      </c>
      <c r="G632" t="str">
        <f>""</f>
        <v/>
      </c>
      <c r="I632" t="str">
        <f>"Monitor Stand"</f>
        <v>Monitor Stand</v>
      </c>
    </row>
    <row r="633" spans="1:9" x14ac:dyDescent="0.3">
      <c r="A633" t="str">
        <f>""</f>
        <v/>
      </c>
      <c r="F633" t="str">
        <f>""</f>
        <v/>
      </c>
      <c r="G633" t="str">
        <f>""</f>
        <v/>
      </c>
      <c r="I633" t="str">
        <f>"Discount"</f>
        <v>Discount</v>
      </c>
    </row>
    <row r="634" spans="1:9" x14ac:dyDescent="0.3">
      <c r="A634" t="str">
        <f>""</f>
        <v/>
      </c>
      <c r="F634" t="str">
        <f>""</f>
        <v/>
      </c>
      <c r="G634" t="str">
        <f>""</f>
        <v/>
      </c>
      <c r="I634" t="str">
        <f>"Soundbar"</f>
        <v>Soundbar</v>
      </c>
    </row>
    <row r="635" spans="1:9" x14ac:dyDescent="0.3">
      <c r="A635" t="str">
        <f>""</f>
        <v/>
      </c>
      <c r="F635" t="str">
        <f>""</f>
        <v/>
      </c>
      <c r="G635" t="str">
        <f>""</f>
        <v/>
      </c>
      <c r="I635" t="str">
        <f>"Discount"</f>
        <v>Discount</v>
      </c>
    </row>
    <row r="636" spans="1:9" x14ac:dyDescent="0.3">
      <c r="A636" t="str">
        <f>""</f>
        <v/>
      </c>
      <c r="F636" t="str">
        <f>""</f>
        <v/>
      </c>
      <c r="G636" t="str">
        <f>""</f>
        <v/>
      </c>
      <c r="I636" t="str">
        <f>"Next Day Shipping"</f>
        <v>Next Day Shipping</v>
      </c>
    </row>
    <row r="637" spans="1:9" x14ac:dyDescent="0.3">
      <c r="A637" t="str">
        <f>"DELL"</f>
        <v>DELL</v>
      </c>
      <c r="B637" t="s">
        <v>167</v>
      </c>
      <c r="C637">
        <v>73857</v>
      </c>
      <c r="D637" s="2">
        <v>1990.32</v>
      </c>
      <c r="E637" s="1">
        <v>43066</v>
      </c>
      <c r="F637" t="str">
        <f>"10202773763"</f>
        <v>10202773763</v>
      </c>
      <c r="G637" t="str">
        <f>"DELL"</f>
        <v>DELL</v>
      </c>
      <c r="H637" s="2">
        <v>1774.04</v>
      </c>
      <c r="I637" t="str">
        <f>"Monitor"</f>
        <v>Monitor</v>
      </c>
    </row>
    <row r="638" spans="1:9" x14ac:dyDescent="0.3">
      <c r="A638" t="str">
        <f>""</f>
        <v/>
      </c>
      <c r="F638" t="str">
        <f>""</f>
        <v/>
      </c>
      <c r="G638" t="str">
        <f>""</f>
        <v/>
      </c>
      <c r="I638" t="str">
        <f>"Latitude 5580 XCTO"</f>
        <v>Latitude 5580 XCTO</v>
      </c>
    </row>
    <row r="639" spans="1:9" x14ac:dyDescent="0.3">
      <c r="A639" t="str">
        <f>""</f>
        <v/>
      </c>
      <c r="F639" t="str">
        <f>"10202981144"</f>
        <v>10202981144</v>
      </c>
      <c r="G639" t="str">
        <f>"VisonTech Radeon"</f>
        <v>VisonTech Radeon</v>
      </c>
      <c r="H639" s="2">
        <v>175.28</v>
      </c>
      <c r="I639" t="str">
        <f>"VisonTech Radeon"</f>
        <v>VisonTech Radeon</v>
      </c>
    </row>
    <row r="640" spans="1:9" x14ac:dyDescent="0.3">
      <c r="A640" t="str">
        <f>""</f>
        <v/>
      </c>
      <c r="F640" t="str">
        <f>"3000018888045"</f>
        <v>3000018888045</v>
      </c>
      <c r="G640" t="str">
        <f>"NON RETURNED HARD DRIVES"</f>
        <v>NON RETURNED HARD DRIVES</v>
      </c>
      <c r="H640" s="2">
        <v>41</v>
      </c>
      <c r="I640" t="str">
        <f>"NON RETURNED HARD DRIVES"</f>
        <v>NON RETURNED HARD DRIVES</v>
      </c>
    </row>
    <row r="641" spans="1:10" x14ac:dyDescent="0.3">
      <c r="A641" t="str">
        <f>"US"</f>
        <v>US</v>
      </c>
      <c r="B641" t="s">
        <v>168</v>
      </c>
      <c r="C641">
        <v>73858</v>
      </c>
      <c r="D641" s="2">
        <v>4432</v>
      </c>
      <c r="E641" s="1">
        <v>43066</v>
      </c>
      <c r="F641" t="str">
        <f>"201711206722"</f>
        <v>201711206722</v>
      </c>
      <c r="G641" t="str">
        <f>"CASE#17-S-03859/ACCT#807104333"</f>
        <v>CASE#17-S-03859/ACCT#807104333</v>
      </c>
      <c r="H641" s="2">
        <v>858</v>
      </c>
      <c r="I641" t="str">
        <f>"CASE#17-S-03859/ACCT#807104333"</f>
        <v>CASE#17-S-03859/ACCT#807104333</v>
      </c>
    </row>
    <row r="642" spans="1:10" x14ac:dyDescent="0.3">
      <c r="A642" t="str">
        <f>""</f>
        <v/>
      </c>
      <c r="F642" t="str">
        <f>"201711206723"</f>
        <v>201711206723</v>
      </c>
      <c r="G642" t="str">
        <f>"CASE#17-S-05739/ACCT#807121341"</f>
        <v>CASE#17-S-05739/ACCT#807121341</v>
      </c>
      <c r="H642" s="2">
        <v>858</v>
      </c>
      <c r="I642" t="str">
        <f>"CASE#17-S-05739/ACCT#807121341"</f>
        <v>CASE#17-S-05739/ACCT#807121341</v>
      </c>
    </row>
    <row r="643" spans="1:10" x14ac:dyDescent="0.3">
      <c r="A643" t="str">
        <f>""</f>
        <v/>
      </c>
      <c r="F643" t="str">
        <f>"201711206724"</f>
        <v>201711206724</v>
      </c>
      <c r="G643" t="str">
        <f>"CASE#16-S-05396/ACCT#806854048"</f>
        <v>CASE#16-S-05396/ACCT#806854048</v>
      </c>
      <c r="H643" s="2">
        <v>858</v>
      </c>
      <c r="I643" t="str">
        <f>"CASE#16-S-05396/ACCT#806854048"</f>
        <v>CASE#16-S-05396/ACCT#806854048</v>
      </c>
    </row>
    <row r="644" spans="1:10" x14ac:dyDescent="0.3">
      <c r="A644" t="str">
        <f>""</f>
        <v/>
      </c>
      <c r="F644" t="str">
        <f>"201711206726"</f>
        <v>201711206726</v>
      </c>
      <c r="G644" t="str">
        <f>"CASE#16-S-004599/ACCT#80684411"</f>
        <v>CASE#16-S-004599/ACCT#80684411</v>
      </c>
      <c r="H644" s="2">
        <v>858</v>
      </c>
      <c r="I644" t="str">
        <f>"CASE#16-S-004599/ACCT#80684411"</f>
        <v>CASE#16-S-004599/ACCT#80684411</v>
      </c>
    </row>
    <row r="645" spans="1:10" x14ac:dyDescent="0.3">
      <c r="A645" t="str">
        <f>""</f>
        <v/>
      </c>
      <c r="F645" t="str">
        <f>"201711206727"</f>
        <v>201711206727</v>
      </c>
      <c r="G645" t="str">
        <f>"CASE#17-S-03002/ACCT#807033367"</f>
        <v>CASE#17-S-03002/ACCT#807033367</v>
      </c>
      <c r="H645" s="2">
        <v>1000</v>
      </c>
      <c r="I645" t="str">
        <f>"CASE#17-S-03002/ACCT#807033367"</f>
        <v>CASE#17-S-03002/ACCT#807033367</v>
      </c>
    </row>
    <row r="646" spans="1:10" x14ac:dyDescent="0.3">
      <c r="A646" t="str">
        <f>"005302"</f>
        <v>005302</v>
      </c>
      <c r="B646" t="s">
        <v>169</v>
      </c>
      <c r="C646">
        <v>73859</v>
      </c>
      <c r="D646" s="2">
        <v>62.91</v>
      </c>
      <c r="E646" s="1">
        <v>43066</v>
      </c>
      <c r="F646" t="str">
        <f>"REIMBURSE FOR FUEL"</f>
        <v>REIMBURSE FOR FUEL</v>
      </c>
      <c r="G646" t="str">
        <f>"REIMBURSE FOR FUEL"</f>
        <v>REIMBURSE FOR FUEL</v>
      </c>
      <c r="H646" s="2">
        <v>62.91</v>
      </c>
      <c r="I646" t="str">
        <f>"REIMBURSE FOR FUEL"</f>
        <v>REIMBURSE FOR FUEL</v>
      </c>
    </row>
    <row r="647" spans="1:10" x14ac:dyDescent="0.3">
      <c r="A647" t="str">
        <f>""</f>
        <v/>
      </c>
      <c r="F647" t="str">
        <f>""</f>
        <v/>
      </c>
      <c r="G647" t="str">
        <f>""</f>
        <v/>
      </c>
      <c r="I647" t="str">
        <f>"REIMBURSE FOR FUEL"</f>
        <v>REIMBURSE FOR FUEL</v>
      </c>
    </row>
    <row r="648" spans="1:10" x14ac:dyDescent="0.3">
      <c r="A648" t="str">
        <f>"003826"</f>
        <v>003826</v>
      </c>
      <c r="B648" t="s">
        <v>170</v>
      </c>
      <c r="C648">
        <v>73553</v>
      </c>
      <c r="D648" s="2">
        <v>15</v>
      </c>
      <c r="E648" s="1">
        <v>43052</v>
      </c>
      <c r="F648" t="str">
        <f>"201711086391"</f>
        <v>201711086391</v>
      </c>
      <c r="G648" t="str">
        <f>"FERAL HOGS"</f>
        <v>FERAL HOGS</v>
      </c>
      <c r="H648" s="2">
        <v>15</v>
      </c>
      <c r="I648" t="str">
        <f>"FERAL HOGS"</f>
        <v>FERAL HOGS</v>
      </c>
    </row>
    <row r="649" spans="1:10" x14ac:dyDescent="0.3">
      <c r="A649" t="str">
        <f>"T5686"</f>
        <v>T5686</v>
      </c>
      <c r="B649" t="s">
        <v>171</v>
      </c>
      <c r="C649">
        <v>73554</v>
      </c>
      <c r="D649" s="2">
        <v>34</v>
      </c>
      <c r="E649" s="1">
        <v>43052</v>
      </c>
      <c r="F649" t="str">
        <f>"23912"</f>
        <v>23912</v>
      </c>
      <c r="G649" t="str">
        <f>"DUPLICATE KEYS"</f>
        <v>DUPLICATE KEYS</v>
      </c>
      <c r="H649" s="2">
        <v>4</v>
      </c>
      <c r="I649" t="str">
        <f>"DUPLICATE KEYS"</f>
        <v>DUPLICATE KEYS</v>
      </c>
    </row>
    <row r="650" spans="1:10" x14ac:dyDescent="0.3">
      <c r="A650" t="str">
        <f>""</f>
        <v/>
      </c>
      <c r="F650" t="str">
        <f>"23919"</f>
        <v>23919</v>
      </c>
      <c r="G650" t="str">
        <f>"INV 23919"</f>
        <v>INV 23919</v>
      </c>
      <c r="H650" s="2">
        <v>18</v>
      </c>
      <c r="I650" t="str">
        <f>"INV 23919"</f>
        <v>INV 23919</v>
      </c>
    </row>
    <row r="651" spans="1:10" x14ac:dyDescent="0.3">
      <c r="A651" t="str">
        <f>""</f>
        <v/>
      </c>
      <c r="F651" t="str">
        <f>"23942"</f>
        <v>23942</v>
      </c>
      <c r="G651" t="str">
        <f>"DUPLICATE KEYS/AUDITORS OFFICE"</f>
        <v>DUPLICATE KEYS/AUDITORS OFFICE</v>
      </c>
      <c r="H651" s="2">
        <v>12</v>
      </c>
      <c r="I651" t="str">
        <f>"DUPLICATE KEYS/AUDITORS OFFICE"</f>
        <v>DUPLICATE KEYS/AUDITORS OFFICE</v>
      </c>
    </row>
    <row r="652" spans="1:10" x14ac:dyDescent="0.3">
      <c r="A652" t="str">
        <f>"T5686"</f>
        <v>T5686</v>
      </c>
      <c r="B652" t="s">
        <v>171</v>
      </c>
      <c r="C652">
        <v>73860</v>
      </c>
      <c r="D652" s="2">
        <v>191.6</v>
      </c>
      <c r="E652" s="1">
        <v>43066</v>
      </c>
      <c r="F652" t="str">
        <f>"23976"</f>
        <v>23976</v>
      </c>
      <c r="G652" t="str">
        <f>"DUP KEYS/GEN SVCS"</f>
        <v>DUP KEYS/GEN SVCS</v>
      </c>
      <c r="H652" s="2">
        <v>26.5</v>
      </c>
      <c r="I652" t="str">
        <f>"DUP KEYS/GEN SVCS"</f>
        <v>DUP KEYS/GEN SVCS</v>
      </c>
    </row>
    <row r="653" spans="1:10" x14ac:dyDescent="0.3">
      <c r="A653" t="str">
        <f>""</f>
        <v/>
      </c>
      <c r="F653" t="str">
        <f>"23983"</f>
        <v>23983</v>
      </c>
      <c r="G653" t="str">
        <f>"INV 23983"</f>
        <v>INV 23983</v>
      </c>
      <c r="H653" s="2">
        <v>58</v>
      </c>
      <c r="I653" t="str">
        <f>"INV 23983"</f>
        <v>INV 23983</v>
      </c>
    </row>
    <row r="654" spans="1:10" x14ac:dyDescent="0.3">
      <c r="A654" t="str">
        <f>""</f>
        <v/>
      </c>
      <c r="F654" t="str">
        <f>"23985"</f>
        <v>23985</v>
      </c>
      <c r="G654" t="str">
        <f>"KEYS/SNAP RINGS/PCT#1"</f>
        <v>KEYS/SNAP RINGS/PCT#1</v>
      </c>
      <c r="H654" s="2">
        <v>107.1</v>
      </c>
      <c r="I654" t="str">
        <f>"KEYS/SNAP RINGS/PCT#1"</f>
        <v>KEYS/SNAP RINGS/PCT#1</v>
      </c>
    </row>
    <row r="655" spans="1:10" x14ac:dyDescent="0.3">
      <c r="A655" t="str">
        <f>"002606"</f>
        <v>002606</v>
      </c>
      <c r="B655" t="s">
        <v>172</v>
      </c>
      <c r="C655">
        <v>73555</v>
      </c>
      <c r="D655" s="2">
        <v>150</v>
      </c>
      <c r="E655" s="1">
        <v>43052</v>
      </c>
      <c r="F655" t="s">
        <v>60</v>
      </c>
      <c r="G655" t="s">
        <v>62</v>
      </c>
      <c r="H655" s="2" t="str">
        <f>"SERVICE"</f>
        <v>SERVICE</v>
      </c>
      <c r="I655" t="str">
        <f>"995-4110"</f>
        <v>995-4110</v>
      </c>
      <c r="J655">
        <v>75</v>
      </c>
    </row>
    <row r="656" spans="1:10" x14ac:dyDescent="0.3">
      <c r="A656" t="str">
        <f>""</f>
        <v/>
      </c>
      <c r="F656" t="str">
        <f>"11736"</f>
        <v>11736</v>
      </c>
      <c r="G656" t="str">
        <f>"SERVICE  09/28/17"</f>
        <v>SERVICE  09/28/17</v>
      </c>
      <c r="H656" s="2">
        <v>75</v>
      </c>
      <c r="I656" t="str">
        <f>"SERVICE  09/28/17"</f>
        <v>SERVICE  09/28/17</v>
      </c>
    </row>
    <row r="657" spans="1:9" x14ac:dyDescent="0.3">
      <c r="A657" t="str">
        <f>"001911"</f>
        <v>001911</v>
      </c>
      <c r="B657" t="s">
        <v>173</v>
      </c>
      <c r="C657">
        <v>73556</v>
      </c>
      <c r="D657" s="2">
        <v>2370.8000000000002</v>
      </c>
      <c r="E657" s="1">
        <v>43052</v>
      </c>
      <c r="F657" t="str">
        <f>"18091119N"</f>
        <v>18091119N</v>
      </c>
      <c r="G657" t="str">
        <f>"CUST#PKE5000/SEP INVOICE"</f>
        <v>CUST#PKE5000/SEP INVOICE</v>
      </c>
      <c r="H657" s="2">
        <v>2370.8000000000002</v>
      </c>
      <c r="I657" t="str">
        <f>"CUST#PKE5000/SEP INVOICE"</f>
        <v>CUST#PKE5000/SEP INVOICE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"CUST#PKE5000/SEP INVOICE"</f>
        <v>CUST#PKE5000/SEP INVOICE</v>
      </c>
    </row>
    <row r="659" spans="1:9" x14ac:dyDescent="0.3">
      <c r="A659" t="str">
        <f>"002868"</f>
        <v>002868</v>
      </c>
      <c r="B659" t="s">
        <v>174</v>
      </c>
      <c r="C659">
        <v>73557</v>
      </c>
      <c r="D659" s="2">
        <v>790</v>
      </c>
      <c r="E659" s="1">
        <v>43052</v>
      </c>
      <c r="F659" t="str">
        <f>"201710255946"</f>
        <v>201710255946</v>
      </c>
      <c r="G659" t="str">
        <f>"ACCT#27917/REPAIRS"</f>
        <v>ACCT#27917/REPAIRS</v>
      </c>
      <c r="H659" s="2">
        <v>790</v>
      </c>
      <c r="I659" t="str">
        <f>"ACCT#27917/REPAIRS"</f>
        <v>ACCT#27917/REPAIRS</v>
      </c>
    </row>
    <row r="660" spans="1:9" x14ac:dyDescent="0.3">
      <c r="A660" t="str">
        <f>"004343"</f>
        <v>004343</v>
      </c>
      <c r="B660" t="s">
        <v>175</v>
      </c>
      <c r="C660">
        <v>73558</v>
      </c>
      <c r="D660" s="2">
        <v>180</v>
      </c>
      <c r="E660" s="1">
        <v>43052</v>
      </c>
      <c r="F660" t="str">
        <f>"201711086393"</f>
        <v>201711086393</v>
      </c>
      <c r="G660" t="str">
        <f>"FERAL HOGS"</f>
        <v>FERAL HOGS</v>
      </c>
      <c r="H660" s="2">
        <v>180</v>
      </c>
      <c r="I660" t="str">
        <f>"FERAL HOGS"</f>
        <v>FERAL HOGS</v>
      </c>
    </row>
    <row r="661" spans="1:9" x14ac:dyDescent="0.3">
      <c r="A661" t="str">
        <f>"004924"</f>
        <v>004924</v>
      </c>
      <c r="B661" t="s">
        <v>176</v>
      </c>
      <c r="C661">
        <v>73995</v>
      </c>
      <c r="D661" s="2">
        <v>749.4</v>
      </c>
      <c r="E661" s="1">
        <v>43068</v>
      </c>
      <c r="F661" t="str">
        <f>"201711296856"</f>
        <v>201711296856</v>
      </c>
      <c r="G661" t="str">
        <f>"ACCT#405900029213/12012017"</f>
        <v>ACCT#405900029213/12012017</v>
      </c>
      <c r="H661" s="2">
        <v>374.7</v>
      </c>
      <c r="I661" t="str">
        <f>"ACCT#405900029213/12012017"</f>
        <v>ACCT#405900029213/12012017</v>
      </c>
    </row>
    <row r="662" spans="1:9" x14ac:dyDescent="0.3">
      <c r="A662" t="str">
        <f>""</f>
        <v/>
      </c>
      <c r="F662" t="str">
        <f>"201711296857"</f>
        <v>201711296857</v>
      </c>
      <c r="G662" t="str">
        <f>"ACCT#405900029225/12012017"</f>
        <v>ACCT#405900029225/12012017</v>
      </c>
      <c r="H662" s="2">
        <v>187.35</v>
      </c>
      <c r="I662" t="str">
        <f>"ACCT#405900029225/12012017"</f>
        <v>ACCT#405900029225/12012017</v>
      </c>
    </row>
    <row r="663" spans="1:9" x14ac:dyDescent="0.3">
      <c r="A663" t="str">
        <f>""</f>
        <v/>
      </c>
      <c r="F663" t="str">
        <f>"201711296858"</f>
        <v>201711296858</v>
      </c>
      <c r="G663" t="str">
        <f>"ACCT#405900028789/12012017"</f>
        <v>ACCT#405900028789/12012017</v>
      </c>
      <c r="H663" s="2">
        <v>187.35</v>
      </c>
      <c r="I663" t="str">
        <f>"ACCT#405900028789/12012017"</f>
        <v>ACCT#405900028789/12012017</v>
      </c>
    </row>
    <row r="664" spans="1:9" x14ac:dyDescent="0.3">
      <c r="A664" t="str">
        <f>"005281"</f>
        <v>005281</v>
      </c>
      <c r="B664" t="s">
        <v>177</v>
      </c>
      <c r="C664">
        <v>73559</v>
      </c>
      <c r="D664" s="2">
        <v>5</v>
      </c>
      <c r="E664" s="1">
        <v>43052</v>
      </c>
      <c r="F664" t="str">
        <f>"201711086394"</f>
        <v>201711086394</v>
      </c>
      <c r="G664" t="str">
        <f>"FERAL HOGS"</f>
        <v>FERAL HOGS</v>
      </c>
      <c r="H664" s="2">
        <v>5</v>
      </c>
      <c r="I664" t="str">
        <f>"FERAL HOGS"</f>
        <v>FERAL HOGS</v>
      </c>
    </row>
    <row r="665" spans="1:9" x14ac:dyDescent="0.3">
      <c r="A665" t="str">
        <f>"005299"</f>
        <v>005299</v>
      </c>
      <c r="B665" t="s">
        <v>178</v>
      </c>
      <c r="C665">
        <v>73861</v>
      </c>
      <c r="D665" s="2">
        <v>592.45000000000005</v>
      </c>
      <c r="E665" s="1">
        <v>43066</v>
      </c>
      <c r="F665" t="str">
        <f>"27928B"</f>
        <v>27928B</v>
      </c>
      <c r="G665" t="str">
        <f>"INV 27928B"</f>
        <v>INV 27928B</v>
      </c>
      <c r="H665" s="2">
        <v>592.45000000000005</v>
      </c>
      <c r="I665" t="str">
        <f>"INV 27928B"</f>
        <v>INV 27928B</v>
      </c>
    </row>
    <row r="666" spans="1:9" x14ac:dyDescent="0.3">
      <c r="A666" t="str">
        <f>"003738"</f>
        <v>003738</v>
      </c>
      <c r="B666" t="s">
        <v>179</v>
      </c>
      <c r="C666">
        <v>73560</v>
      </c>
      <c r="D666" s="2">
        <v>522.24</v>
      </c>
      <c r="E666" s="1">
        <v>43052</v>
      </c>
      <c r="F666" t="str">
        <f>"201711036157"</f>
        <v>201711036157</v>
      </c>
      <c r="G666" t="str">
        <f>"REIMBURSEMENT MILEAGE/MEALS"</f>
        <v>REIMBURSEMENT MILEAGE/MEALS</v>
      </c>
      <c r="H666" s="2">
        <v>522.24</v>
      </c>
      <c r="I666" t="str">
        <f>"REIMBURSEMENT MILEAGE/MEALS"</f>
        <v>REIMBURSEMENT MILEAGE/MEALS</v>
      </c>
    </row>
    <row r="667" spans="1:9" x14ac:dyDescent="0.3">
      <c r="A667" t="str">
        <f>"T9323"</f>
        <v>T9323</v>
      </c>
      <c r="B667" t="s">
        <v>180</v>
      </c>
      <c r="C667">
        <v>999999</v>
      </c>
      <c r="D667" s="2">
        <v>2630</v>
      </c>
      <c r="E667" s="1">
        <v>43053</v>
      </c>
      <c r="F667" t="str">
        <f>"201710255983"</f>
        <v>201710255983</v>
      </c>
      <c r="G667" t="str">
        <f>"CH20160210D JP1-2116C CH201606"</f>
        <v>CH20160210D JP1-2116C CH201606</v>
      </c>
      <c r="H667" s="2">
        <v>800</v>
      </c>
      <c r="I667" t="str">
        <f>"CH20160210D JP1-2116C CH201606"</f>
        <v>CH20160210D JP1-2116C CH201606</v>
      </c>
    </row>
    <row r="668" spans="1:9" x14ac:dyDescent="0.3">
      <c r="A668" t="str">
        <f>""</f>
        <v/>
      </c>
      <c r="F668" t="str">
        <f>"201710255984"</f>
        <v>201710255984</v>
      </c>
      <c r="G668" t="str">
        <f>"15646"</f>
        <v>15646</v>
      </c>
      <c r="H668" s="2">
        <v>400</v>
      </c>
      <c r="I668" t="str">
        <f>"15646"</f>
        <v>15646</v>
      </c>
    </row>
    <row r="669" spans="1:9" x14ac:dyDescent="0.3">
      <c r="A669" t="str">
        <f>""</f>
        <v/>
      </c>
      <c r="F669" t="str">
        <f>"201710276019"</f>
        <v>201710276019</v>
      </c>
      <c r="G669" t="str">
        <f>"005785"</f>
        <v>005785</v>
      </c>
      <c r="H669" s="2">
        <v>100</v>
      </c>
      <c r="I669" t="str">
        <f>"005785"</f>
        <v>005785</v>
      </c>
    </row>
    <row r="670" spans="1:9" x14ac:dyDescent="0.3">
      <c r="A670" t="str">
        <f>""</f>
        <v/>
      </c>
      <c r="F670" t="str">
        <f>"201710306057"</f>
        <v>201710306057</v>
      </c>
      <c r="G670" t="str">
        <f>"423-5324"</f>
        <v>423-5324</v>
      </c>
      <c r="H670" s="2">
        <v>100</v>
      </c>
      <c r="I670" t="str">
        <f>"423-5324"</f>
        <v>423-5324</v>
      </c>
    </row>
    <row r="671" spans="1:9" x14ac:dyDescent="0.3">
      <c r="A671" t="str">
        <f>""</f>
        <v/>
      </c>
      <c r="F671" t="str">
        <f>"201711036139"</f>
        <v>201711036139</v>
      </c>
      <c r="G671" t="str">
        <f>"CH20160210C"</f>
        <v>CH20160210C</v>
      </c>
      <c r="H671" s="2">
        <v>250</v>
      </c>
      <c r="I671" t="str">
        <f>"CH20160210C"</f>
        <v>CH20160210C</v>
      </c>
    </row>
    <row r="672" spans="1:9" x14ac:dyDescent="0.3">
      <c r="A672" t="str">
        <f>""</f>
        <v/>
      </c>
      <c r="F672" t="str">
        <f>"201711036140"</f>
        <v>201711036140</v>
      </c>
      <c r="G672" t="str">
        <f>"17-18119"</f>
        <v>17-18119</v>
      </c>
      <c r="H672" s="2">
        <v>180</v>
      </c>
      <c r="I672" t="str">
        <f>"17-18119"</f>
        <v>17-18119</v>
      </c>
    </row>
    <row r="673" spans="1:9" x14ac:dyDescent="0.3">
      <c r="A673" t="str">
        <f>""</f>
        <v/>
      </c>
      <c r="F673" t="str">
        <f>"201711036141"</f>
        <v>201711036141</v>
      </c>
      <c r="G673" t="str">
        <f>"17-18629"</f>
        <v>17-18629</v>
      </c>
      <c r="H673" s="2">
        <v>140</v>
      </c>
      <c r="I673" t="str">
        <f>"17-18629"</f>
        <v>17-18629</v>
      </c>
    </row>
    <row r="674" spans="1:9" x14ac:dyDescent="0.3">
      <c r="A674" t="str">
        <f>""</f>
        <v/>
      </c>
      <c r="F674" t="str">
        <f>"201711036142"</f>
        <v>201711036142</v>
      </c>
      <c r="G674" t="str">
        <f>"17-18119"</f>
        <v>17-18119</v>
      </c>
      <c r="H674" s="2">
        <v>160</v>
      </c>
      <c r="I674" t="str">
        <f>"17-18119"</f>
        <v>17-18119</v>
      </c>
    </row>
    <row r="675" spans="1:9" x14ac:dyDescent="0.3">
      <c r="A675" t="str">
        <f>""</f>
        <v/>
      </c>
      <c r="F675" t="str">
        <f>"201711036143"</f>
        <v>201711036143</v>
      </c>
      <c r="G675" t="str">
        <f>"CH-20170809-A"</f>
        <v>CH-20170809-A</v>
      </c>
      <c r="H675" s="2">
        <v>100</v>
      </c>
      <c r="I675" t="str">
        <f>"CH-20170809-A"</f>
        <v>CH-20170809-A</v>
      </c>
    </row>
    <row r="676" spans="1:9" x14ac:dyDescent="0.3">
      <c r="A676" t="str">
        <f>""</f>
        <v/>
      </c>
      <c r="F676" t="str">
        <f>"201711036144"</f>
        <v>201711036144</v>
      </c>
      <c r="G676" t="str">
        <f>"CH-20170806-D"</f>
        <v>CH-20170806-D</v>
      </c>
      <c r="H676" s="2">
        <v>100</v>
      </c>
      <c r="I676" t="str">
        <f>"CH-20170806-D"</f>
        <v>CH-20170806-D</v>
      </c>
    </row>
    <row r="677" spans="1:9" x14ac:dyDescent="0.3">
      <c r="A677" t="str">
        <f>""</f>
        <v/>
      </c>
      <c r="F677" t="str">
        <f>"201711036145"</f>
        <v>201711036145</v>
      </c>
      <c r="G677" t="str">
        <f>"309292017J/K/L"</f>
        <v>309292017J/K/L</v>
      </c>
      <c r="H677" s="2">
        <v>300</v>
      </c>
      <c r="I677" t="str">
        <f>"309292017J/K/L"</f>
        <v>309292017J/K/L</v>
      </c>
    </row>
    <row r="678" spans="1:9" x14ac:dyDescent="0.3">
      <c r="A678" t="str">
        <f>"T9323"</f>
        <v>T9323</v>
      </c>
      <c r="B678" t="s">
        <v>180</v>
      </c>
      <c r="C678">
        <v>999999</v>
      </c>
      <c r="D678" s="2">
        <v>1550</v>
      </c>
      <c r="E678" s="1">
        <v>43067</v>
      </c>
      <c r="F678" t="str">
        <f>"201711146571"</f>
        <v>201711146571</v>
      </c>
      <c r="G678" t="str">
        <f>"17-18579"</f>
        <v>17-18579</v>
      </c>
      <c r="H678" s="2">
        <v>250</v>
      </c>
      <c r="I678" t="str">
        <f>"17-18579"</f>
        <v>17-18579</v>
      </c>
    </row>
    <row r="679" spans="1:9" x14ac:dyDescent="0.3">
      <c r="A679" t="str">
        <f>""</f>
        <v/>
      </c>
      <c r="F679" t="str">
        <f>"201711146572"</f>
        <v>201711146572</v>
      </c>
      <c r="G679" t="str">
        <f>"005785"</f>
        <v>005785</v>
      </c>
      <c r="H679" s="2">
        <v>100</v>
      </c>
      <c r="I679" t="str">
        <f>"005785"</f>
        <v>005785</v>
      </c>
    </row>
    <row r="680" spans="1:9" x14ac:dyDescent="0.3">
      <c r="A680" t="str">
        <f>""</f>
        <v/>
      </c>
      <c r="F680" t="str">
        <f>"201711146584"</f>
        <v>201711146584</v>
      </c>
      <c r="G680" t="str">
        <f>"16357"</f>
        <v>16357</v>
      </c>
      <c r="H680" s="2">
        <v>400</v>
      </c>
      <c r="I680" t="str">
        <f>"16357"</f>
        <v>16357</v>
      </c>
    </row>
    <row r="681" spans="1:9" x14ac:dyDescent="0.3">
      <c r="A681" t="str">
        <f>""</f>
        <v/>
      </c>
      <c r="F681" t="str">
        <f>"201711146585"</f>
        <v>201711146585</v>
      </c>
      <c r="G681" t="str">
        <f>"C170072   423-5353"</f>
        <v>C170072   423-5353</v>
      </c>
      <c r="H681" s="2">
        <v>100</v>
      </c>
      <c r="I681" t="str">
        <f>"C170072   423-5353"</f>
        <v>C170072   423-5353</v>
      </c>
    </row>
    <row r="682" spans="1:9" x14ac:dyDescent="0.3">
      <c r="A682" t="str">
        <f>""</f>
        <v/>
      </c>
      <c r="F682" t="str">
        <f>"201711146586"</f>
        <v>201711146586</v>
      </c>
      <c r="G682" t="str">
        <f>"CH-20170809-B  423-5346"</f>
        <v>CH-20170809-B  423-5346</v>
      </c>
      <c r="H682" s="2">
        <v>100</v>
      </c>
      <c r="I682" t="str">
        <f>"CH-20170809-B  423-5346"</f>
        <v>CH-20170809-B  423-5346</v>
      </c>
    </row>
    <row r="683" spans="1:9" x14ac:dyDescent="0.3">
      <c r="A683" t="str">
        <f>""</f>
        <v/>
      </c>
      <c r="F683" t="str">
        <f>"201711166636"</f>
        <v>201711166636</v>
      </c>
      <c r="G683" t="str">
        <f>"16254"</f>
        <v>16254</v>
      </c>
      <c r="H683" s="2">
        <v>200</v>
      </c>
      <c r="I683" t="str">
        <f>"16254"</f>
        <v>16254</v>
      </c>
    </row>
    <row r="684" spans="1:9" x14ac:dyDescent="0.3">
      <c r="A684" t="str">
        <f>""</f>
        <v/>
      </c>
      <c r="F684" t="str">
        <f>"201711166681"</f>
        <v>201711166681</v>
      </c>
      <c r="G684" t="str">
        <f>"17-18709 17-18710 17-18711"</f>
        <v>17-18709 17-18710 17-18711</v>
      </c>
      <c r="H684" s="2">
        <v>400</v>
      </c>
      <c r="I684" t="str">
        <f>"17-18709 17-18710 17-18711"</f>
        <v>17-18709 17-18710 17-18711</v>
      </c>
    </row>
    <row r="685" spans="1:9" x14ac:dyDescent="0.3">
      <c r="A685" t="str">
        <f>"003827"</f>
        <v>003827</v>
      </c>
      <c r="B685" t="s">
        <v>181</v>
      </c>
      <c r="C685">
        <v>73561</v>
      </c>
      <c r="D685" s="2">
        <v>120</v>
      </c>
      <c r="E685" s="1">
        <v>43052</v>
      </c>
      <c r="F685" t="str">
        <f>"201711086395"</f>
        <v>201711086395</v>
      </c>
      <c r="G685" t="str">
        <f>"FERAL HOGS"</f>
        <v>FERAL HOGS</v>
      </c>
      <c r="H685" s="2">
        <v>120</v>
      </c>
      <c r="I685" t="str">
        <f>"FERAL HOGS"</f>
        <v>FERAL HOGS</v>
      </c>
    </row>
    <row r="686" spans="1:9" x14ac:dyDescent="0.3">
      <c r="A686" t="str">
        <f>"005296"</f>
        <v>005296</v>
      </c>
      <c r="B686" t="s">
        <v>182</v>
      </c>
      <c r="C686">
        <v>73862</v>
      </c>
      <c r="D686" s="2">
        <v>3000</v>
      </c>
      <c r="E686" s="1">
        <v>43066</v>
      </c>
      <c r="F686" t="str">
        <f>"INV-17310"</f>
        <v>INV-17310</v>
      </c>
      <c r="G686" t="str">
        <f>"EASYCAMPAIGN FIN./TRAINING/IMP"</f>
        <v>EASYCAMPAIGN FIN./TRAINING/IMP</v>
      </c>
      <c r="H686" s="2">
        <v>3000</v>
      </c>
      <c r="I686" t="str">
        <f>"EASYCAMPAIGN FIN./TRAINING/IMP"</f>
        <v>EASYCAMPAIGN FIN./TRAINING/IMP</v>
      </c>
    </row>
    <row r="687" spans="1:9" x14ac:dyDescent="0.3">
      <c r="A687" t="str">
        <f>"ECOLAB"</f>
        <v>ECOLAB</v>
      </c>
      <c r="B687" t="s">
        <v>183</v>
      </c>
      <c r="C687">
        <v>999999</v>
      </c>
      <c r="D687" s="2">
        <v>2284.12</v>
      </c>
      <c r="E687" s="1">
        <v>43053</v>
      </c>
      <c r="F687" t="str">
        <f>"7188068"</f>
        <v>7188068</v>
      </c>
      <c r="G687" t="str">
        <f>"INV 7188068"</f>
        <v>INV 7188068</v>
      </c>
      <c r="H687" s="2">
        <v>512.29999999999995</v>
      </c>
      <c r="I687" t="str">
        <f>"INV 7188068"</f>
        <v>INV 7188068</v>
      </c>
    </row>
    <row r="688" spans="1:9" x14ac:dyDescent="0.3">
      <c r="A688" t="str">
        <f>""</f>
        <v/>
      </c>
      <c r="F688" t="str">
        <f>"7301695"</f>
        <v>7301695</v>
      </c>
      <c r="G688" t="str">
        <f>"INV 7301695"</f>
        <v>INV 7301695</v>
      </c>
      <c r="H688" s="2">
        <v>727.38</v>
      </c>
      <c r="I688" t="str">
        <f>"INV 7301695"</f>
        <v>INV 7301695</v>
      </c>
    </row>
    <row r="689" spans="1:10" x14ac:dyDescent="0.3">
      <c r="A689" t="str">
        <f>""</f>
        <v/>
      </c>
      <c r="F689" t="str">
        <f>"7468560"</f>
        <v>7468560</v>
      </c>
      <c r="G689" t="str">
        <f>"INV 7468560"</f>
        <v>INV 7468560</v>
      </c>
      <c r="H689" s="2">
        <v>990.36</v>
      </c>
      <c r="I689" t="str">
        <f>"INV 7468560"</f>
        <v>INV 7468560</v>
      </c>
    </row>
    <row r="690" spans="1:10" x14ac:dyDescent="0.3">
      <c r="A690" t="str">
        <f>""</f>
        <v/>
      </c>
      <c r="F690" t="str">
        <f>"95017175"</f>
        <v>95017175</v>
      </c>
      <c r="G690" t="str">
        <f>"INV 95017175"</f>
        <v>INV 95017175</v>
      </c>
      <c r="H690" s="2">
        <v>54.08</v>
      </c>
      <c r="I690" t="str">
        <f>"INV 95017175"</f>
        <v>INV 95017175</v>
      </c>
    </row>
    <row r="691" spans="1:10" x14ac:dyDescent="0.3">
      <c r="A691" t="str">
        <f>"005275"</f>
        <v>005275</v>
      </c>
      <c r="B691" t="s">
        <v>184</v>
      </c>
      <c r="C691">
        <v>73562</v>
      </c>
      <c r="D691" s="2">
        <v>2050</v>
      </c>
      <c r="E691" s="1">
        <v>43052</v>
      </c>
      <c r="F691" t="s">
        <v>64</v>
      </c>
      <c r="G691" t="s">
        <v>185</v>
      </c>
      <c r="H691" s="2" t="str">
        <f>"REFUND"</f>
        <v>REFUND</v>
      </c>
      <c r="I691" t="str">
        <f>"351-1000"</f>
        <v>351-1000</v>
      </c>
      <c r="J691">
        <v>2050</v>
      </c>
    </row>
    <row r="692" spans="1:10" x14ac:dyDescent="0.3">
      <c r="A692" t="str">
        <f>"T6190"</f>
        <v>T6190</v>
      </c>
      <c r="B692" t="s">
        <v>186</v>
      </c>
      <c r="C692">
        <v>73863</v>
      </c>
      <c r="D692" s="2">
        <v>9167.66</v>
      </c>
      <c r="E692" s="1">
        <v>43066</v>
      </c>
      <c r="F692" t="str">
        <f>"1024366"</f>
        <v>1024366</v>
      </c>
      <c r="G692" t="str">
        <f>"ACCT#B06875/ELECTIONS"</f>
        <v>ACCT#B06875/ELECTIONS</v>
      </c>
      <c r="H692" s="2">
        <v>9167.66</v>
      </c>
      <c r="I692" t="str">
        <f>"ACCT#B06875/ELECTIONS"</f>
        <v>ACCT#B06875/ELECTIONS</v>
      </c>
    </row>
    <row r="693" spans="1:10" x14ac:dyDescent="0.3">
      <c r="A693" t="str">
        <f>"004076"</f>
        <v>004076</v>
      </c>
      <c r="B693" t="s">
        <v>187</v>
      </c>
      <c r="C693">
        <v>73563</v>
      </c>
      <c r="D693" s="2">
        <v>160</v>
      </c>
      <c r="E693" s="1">
        <v>43052</v>
      </c>
      <c r="F693" t="str">
        <f>"PER DIEM-E.CADENA"</f>
        <v>PER DIEM-E.CADENA</v>
      </c>
      <c r="G693" t="str">
        <f>"PER DIEM"</f>
        <v>PER DIEM</v>
      </c>
      <c r="H693" s="2">
        <v>160</v>
      </c>
      <c r="I693" t="str">
        <f>"PER DIEM"</f>
        <v>PER DIEM</v>
      </c>
    </row>
    <row r="694" spans="1:10" x14ac:dyDescent="0.3">
      <c r="A694" t="str">
        <f>"T13343"</f>
        <v>T13343</v>
      </c>
      <c r="B694" t="s">
        <v>188</v>
      </c>
      <c r="C694">
        <v>73564</v>
      </c>
      <c r="D694" s="2">
        <v>26.99</v>
      </c>
      <c r="E694" s="1">
        <v>43052</v>
      </c>
      <c r="F694" t="str">
        <f>"710771"</f>
        <v>710771</v>
      </c>
      <c r="G694" t="str">
        <f>"STATEMENT#10898/PCT#4"</f>
        <v>STATEMENT#10898/PCT#4</v>
      </c>
      <c r="H694" s="2">
        <v>26.99</v>
      </c>
      <c r="I694" t="str">
        <f>"STATEMENT#10898/PCT#4"</f>
        <v>STATEMENT#10898/PCT#4</v>
      </c>
    </row>
    <row r="695" spans="1:10" x14ac:dyDescent="0.3">
      <c r="A695" t="str">
        <f>"002147"</f>
        <v>002147</v>
      </c>
      <c r="B695" t="s">
        <v>189</v>
      </c>
      <c r="C695">
        <v>73565</v>
      </c>
      <c r="D695" s="2">
        <v>1595</v>
      </c>
      <c r="E695" s="1">
        <v>43052</v>
      </c>
      <c r="F695" t="str">
        <f>"11-4516"</f>
        <v>11-4516</v>
      </c>
      <c r="G695" t="str">
        <f>"LANDSCAPE/PCT#4"</f>
        <v>LANDSCAPE/PCT#4</v>
      </c>
      <c r="H695" s="2">
        <v>1595</v>
      </c>
      <c r="I695" t="str">
        <f>"LANDSCAPE/PCT#4"</f>
        <v>LANDSCAPE/PCT#4</v>
      </c>
    </row>
    <row r="696" spans="1:10" x14ac:dyDescent="0.3">
      <c r="A696" t="str">
        <f>"EU"</f>
        <v>EU</v>
      </c>
      <c r="B696" t="s">
        <v>190</v>
      </c>
      <c r="C696">
        <v>73462</v>
      </c>
      <c r="D696" s="2">
        <v>1207.17</v>
      </c>
      <c r="E696" s="1">
        <v>43048</v>
      </c>
      <c r="F696" t="str">
        <f>"201711096532"</f>
        <v>201711096532</v>
      </c>
      <c r="G696" t="str">
        <f>"ACCT#007-0008410-002/10312017"</f>
        <v>ACCT#007-0008410-002/10312017</v>
      </c>
      <c r="H696" s="2">
        <v>162.97</v>
      </c>
      <c r="I696" t="str">
        <f>"CITY OF ELGIN UTILITIES"</f>
        <v>CITY OF ELGIN UTILITIES</v>
      </c>
    </row>
    <row r="697" spans="1:10" x14ac:dyDescent="0.3">
      <c r="A697" t="str">
        <f>""</f>
        <v/>
      </c>
      <c r="F697" t="str">
        <f>"201711096533"</f>
        <v>201711096533</v>
      </c>
      <c r="G697" t="str">
        <f>"ACCT#007-0011501-000/10312017"</f>
        <v>ACCT#007-0011501-000/10312017</v>
      </c>
      <c r="H697" s="2">
        <v>40.840000000000003</v>
      </c>
      <c r="I697" t="str">
        <f>"CITY OF ELGIN UTILITIES"</f>
        <v>CITY OF ELGIN UTILITIES</v>
      </c>
    </row>
    <row r="698" spans="1:10" x14ac:dyDescent="0.3">
      <c r="A698" t="str">
        <f>""</f>
        <v/>
      </c>
      <c r="F698" t="str">
        <f>"201711096534"</f>
        <v>201711096534</v>
      </c>
      <c r="G698" t="str">
        <f>"ACCT#007-0011510-000/10312017"</f>
        <v>ACCT#007-0011510-000/10312017</v>
      </c>
      <c r="H698" s="2">
        <v>279.43</v>
      </c>
      <c r="I698" t="str">
        <f>"ACCT#007-0011510-000/10312017"</f>
        <v>ACCT#007-0011510-000/10312017</v>
      </c>
    </row>
    <row r="699" spans="1:10" x14ac:dyDescent="0.3">
      <c r="A699" t="str">
        <f>""</f>
        <v/>
      </c>
      <c r="F699" t="str">
        <f>"201711096535"</f>
        <v>201711096535</v>
      </c>
      <c r="G699" t="str">
        <f>"ACCT#007-0011530-000/10312017"</f>
        <v>ACCT#007-0011530-000/10312017</v>
      </c>
      <c r="H699" s="2">
        <v>94.09</v>
      </c>
      <c r="I699" t="str">
        <f>"CITY OF ELGIN UTILITIES"</f>
        <v>CITY OF ELGIN UTILITIES</v>
      </c>
    </row>
    <row r="700" spans="1:10" x14ac:dyDescent="0.3">
      <c r="A700" t="str">
        <f>""</f>
        <v/>
      </c>
      <c r="F700" t="str">
        <f>"201711096536"</f>
        <v>201711096536</v>
      </c>
      <c r="G700" t="str">
        <f>"ACCT#007-0011534-001/10312017"</f>
        <v>ACCT#007-0011534-001/10312017</v>
      </c>
      <c r="H700" s="2">
        <v>145.81</v>
      </c>
      <c r="I700" t="str">
        <f>"CITY OF ELGIN UTILITIES"</f>
        <v>CITY OF ELGIN UTILITIES</v>
      </c>
    </row>
    <row r="701" spans="1:10" x14ac:dyDescent="0.3">
      <c r="A701" t="str">
        <f>""</f>
        <v/>
      </c>
      <c r="F701" t="str">
        <f>"201711096537"</f>
        <v>201711096537</v>
      </c>
      <c r="G701" t="str">
        <f>"ACCT#007-0011535-000/10312017"</f>
        <v>ACCT#007-0011535-000/10312017</v>
      </c>
      <c r="H701" s="2">
        <v>373.68</v>
      </c>
      <c r="I701" t="str">
        <f>"ACCT#007-0011535-000/10312017"</f>
        <v>ACCT#007-0011535-000/10312017</v>
      </c>
    </row>
    <row r="702" spans="1:10" x14ac:dyDescent="0.3">
      <c r="A702" t="str">
        <f>""</f>
        <v/>
      </c>
      <c r="F702" t="str">
        <f>"201711096538"</f>
        <v>201711096538</v>
      </c>
      <c r="G702" t="str">
        <f>"ACCT#007-0011544-001/10312017"</f>
        <v>ACCT#007-0011544-001/10312017</v>
      </c>
      <c r="H702" s="2">
        <v>106.34</v>
      </c>
      <c r="I702" t="str">
        <f>"ACCT#007-0011544-001/10312017"</f>
        <v>ACCT#007-0011544-001/10312017</v>
      </c>
    </row>
    <row r="703" spans="1:10" x14ac:dyDescent="0.3">
      <c r="A703" t="str">
        <f>""</f>
        <v/>
      </c>
      <c r="F703" t="str">
        <f>"201711096539"</f>
        <v>201711096539</v>
      </c>
      <c r="G703" t="str">
        <f>"ACCT#007-0071128-001/10312017"</f>
        <v>ACCT#007-0071128-001/10312017</v>
      </c>
      <c r="H703" s="2">
        <v>4.01</v>
      </c>
      <c r="I703" t="str">
        <f>"ACCT#007-0071128-001/10312017"</f>
        <v>ACCT#007-0071128-001/10312017</v>
      </c>
    </row>
    <row r="704" spans="1:10" x14ac:dyDescent="0.3">
      <c r="A704" t="str">
        <f>"003027"</f>
        <v>003027</v>
      </c>
      <c r="B704" t="s">
        <v>191</v>
      </c>
      <c r="C704">
        <v>73566</v>
      </c>
      <c r="D704" s="2">
        <v>963.44</v>
      </c>
      <c r="E704" s="1">
        <v>43052</v>
      </c>
      <c r="F704" t="str">
        <f>"145-10890-02"</f>
        <v>145-10890-02</v>
      </c>
      <c r="G704" t="str">
        <f>"INV 145-10890-02"</f>
        <v>INV 145-10890-02</v>
      </c>
      <c r="H704" s="2">
        <v>50.65</v>
      </c>
      <c r="I704" t="str">
        <f>"INV 145-10890-02"</f>
        <v>INV 145-10890-02</v>
      </c>
    </row>
    <row r="705" spans="1:9" x14ac:dyDescent="0.3">
      <c r="A705" t="str">
        <f>""</f>
        <v/>
      </c>
      <c r="F705" t="str">
        <f>"145-11316-01"</f>
        <v>145-11316-01</v>
      </c>
      <c r="G705" t="str">
        <f>"COURTHOUSE SIGN/ACCT#0888336"</f>
        <v>COURTHOUSE SIGN/ACCT#0888336</v>
      </c>
      <c r="H705" s="2">
        <v>912.79</v>
      </c>
      <c r="I705" t="str">
        <f>"COURTHOUSE SIGN/ACCT#0888336"</f>
        <v>COURTHOUSE SIGN/ACCT#0888336</v>
      </c>
    </row>
    <row r="706" spans="1:9" x14ac:dyDescent="0.3">
      <c r="A706" t="str">
        <f>"002497"</f>
        <v>002497</v>
      </c>
      <c r="B706" t="s">
        <v>192</v>
      </c>
      <c r="C706">
        <v>73567</v>
      </c>
      <c r="D706" s="2">
        <v>75.75</v>
      </c>
      <c r="E706" s="1">
        <v>43052</v>
      </c>
      <c r="F706" t="str">
        <f>"REIMBURSEMENT"</f>
        <v>REIMBURSEMENT</v>
      </c>
      <c r="G706" t="str">
        <f>"REIMBURSEMENT"</f>
        <v>REIMBURSEMENT</v>
      </c>
      <c r="H706" s="2">
        <v>75.75</v>
      </c>
      <c r="I706" t="str">
        <f>"REIMBURSE-BEST BUY"</f>
        <v>REIMBURSE-BEST BUY</v>
      </c>
    </row>
    <row r="707" spans="1:9" x14ac:dyDescent="0.3">
      <c r="A707" t="str">
        <f>""</f>
        <v/>
      </c>
      <c r="F707" t="str">
        <f>""</f>
        <v/>
      </c>
      <c r="G707" t="str">
        <f>""</f>
        <v/>
      </c>
      <c r="I707" t="str">
        <f>"REIMBURSE-BEST BUY"</f>
        <v>REIMBURSE-BEST BUY</v>
      </c>
    </row>
    <row r="708" spans="1:9" x14ac:dyDescent="0.3">
      <c r="A708" t="str">
        <f>"002424"</f>
        <v>002424</v>
      </c>
      <c r="B708" t="s">
        <v>193</v>
      </c>
      <c r="C708">
        <v>73568</v>
      </c>
      <c r="D708" s="2">
        <v>105.4</v>
      </c>
      <c r="E708" s="1">
        <v>43052</v>
      </c>
      <c r="F708" t="str">
        <f>"201711086502"</f>
        <v>201711086502</v>
      </c>
      <c r="G708" t="str">
        <f>"INDIGENT HEALTH"</f>
        <v>INDIGENT HEALTH</v>
      </c>
      <c r="H708" s="2">
        <v>105.4</v>
      </c>
      <c r="I708" t="str">
        <f>"INDIGENT HEALTH"</f>
        <v>INDIGENT HEALTH</v>
      </c>
    </row>
    <row r="709" spans="1:9" x14ac:dyDescent="0.3">
      <c r="A709" t="str">
        <f>"000589"</f>
        <v>000589</v>
      </c>
      <c r="B709" t="s">
        <v>194</v>
      </c>
      <c r="C709">
        <v>73569</v>
      </c>
      <c r="D709" s="2">
        <v>24455.05</v>
      </c>
      <c r="E709" s="1">
        <v>43052</v>
      </c>
      <c r="F709" t="str">
        <f>"9401724296"</f>
        <v>9401724296</v>
      </c>
      <c r="G709" t="str">
        <f>"ACCT#912922/HFRS-2P/PCT#1"</f>
        <v>ACCT#912922/HFRS-2P/PCT#1</v>
      </c>
      <c r="H709" s="2">
        <v>1955.35</v>
      </c>
      <c r="I709" t="str">
        <f>"ACCT#912922/HFRS-2P/PCT#1"</f>
        <v>ACCT#912922/HFRS-2P/PCT#1</v>
      </c>
    </row>
    <row r="710" spans="1:9" x14ac:dyDescent="0.3">
      <c r="A710" t="str">
        <f>""</f>
        <v/>
      </c>
      <c r="F710" t="str">
        <f>"9401731176"</f>
        <v>9401731176</v>
      </c>
      <c r="G710" t="str">
        <f>"ACCT#912922/BOL#21074/PCT#1"</f>
        <v>ACCT#912922/BOL#21074/PCT#1</v>
      </c>
      <c r="H710" s="2">
        <v>60</v>
      </c>
      <c r="I710" t="str">
        <f>"ACCT#912922/BOL#21074/PCT#1"</f>
        <v>ACCT#912922/BOL#21074/PCT#1</v>
      </c>
    </row>
    <row r="711" spans="1:9" x14ac:dyDescent="0.3">
      <c r="A711" t="str">
        <f>""</f>
        <v/>
      </c>
      <c r="F711" t="str">
        <f>"9401735230"</f>
        <v>9401735230</v>
      </c>
      <c r="G711" t="str">
        <f>"ACCT#912904/BOL#21258/PCT#2"</f>
        <v>ACCT#912904/BOL#21258/PCT#2</v>
      </c>
      <c r="H711" s="2">
        <v>12057.63</v>
      </c>
      <c r="I711" t="str">
        <f>"ACCT#912904/BOL#21258/PCT#2"</f>
        <v>ACCT#912904/BOL#21258/PCT#2</v>
      </c>
    </row>
    <row r="712" spans="1:9" x14ac:dyDescent="0.3">
      <c r="A712" t="str">
        <f>""</f>
        <v/>
      </c>
      <c r="F712" t="str">
        <f>"9401735997"</f>
        <v>9401735997</v>
      </c>
      <c r="G712" t="str">
        <f>"ACCT#912897/DEMURRAGE/PCT#3"</f>
        <v>ACCT#912897/DEMURRAGE/PCT#3</v>
      </c>
      <c r="H712" s="2">
        <v>320</v>
      </c>
      <c r="I712" t="str">
        <f>"ACCT#912897/DEMURRAGE/PCT#3"</f>
        <v>ACCT#912897/DEMURRAGE/PCT#3</v>
      </c>
    </row>
    <row r="713" spans="1:9" x14ac:dyDescent="0.3">
      <c r="A713" t="str">
        <f>""</f>
        <v/>
      </c>
      <c r="F713" t="str">
        <f>"9401739051"</f>
        <v>9401739051</v>
      </c>
      <c r="G713" t="str">
        <f>"ACCT#912904/BOL#21307/PCT#2"</f>
        <v>ACCT#912904/BOL#21307/PCT#2</v>
      </c>
      <c r="H713" s="2">
        <v>10062.07</v>
      </c>
      <c r="I713" t="str">
        <f>"ACCT#912904/BOL#21307/PCT#2"</f>
        <v>ACCT#912904/BOL#21307/PCT#2</v>
      </c>
    </row>
    <row r="714" spans="1:9" x14ac:dyDescent="0.3">
      <c r="A714" t="str">
        <f>"000589"</f>
        <v>000589</v>
      </c>
      <c r="B714" t="s">
        <v>194</v>
      </c>
      <c r="C714">
        <v>73864</v>
      </c>
      <c r="D714" s="2">
        <v>7133.75</v>
      </c>
      <c r="E714" s="1">
        <v>43066</v>
      </c>
      <c r="F714" t="str">
        <f>"9401743802"</f>
        <v>9401743802</v>
      </c>
      <c r="G714" t="str">
        <f>"BOL#21261/PCT#2"</f>
        <v>BOL#21261/PCT#2</v>
      </c>
      <c r="H714" s="2">
        <v>120</v>
      </c>
      <c r="I714" t="str">
        <f>"BOL#21261/PCT#2"</f>
        <v>BOL#21261/PCT#2</v>
      </c>
    </row>
    <row r="715" spans="1:9" x14ac:dyDescent="0.3">
      <c r="A715" t="str">
        <f>""</f>
        <v/>
      </c>
      <c r="F715" t="str">
        <f>"9401747744"</f>
        <v>9401747744</v>
      </c>
      <c r="G715" t="str">
        <f>"ACCT#912904/BOL#21402/PCT#2"</f>
        <v>ACCT#912904/BOL#21402/PCT#2</v>
      </c>
      <c r="H715" s="2">
        <v>7013.75</v>
      </c>
      <c r="I715" t="str">
        <f>"ACCT#912904/BOL#21402/PCT#2"</f>
        <v>ACCT#912904/BOL#21402/PCT#2</v>
      </c>
    </row>
    <row r="716" spans="1:9" x14ac:dyDescent="0.3">
      <c r="A716" t="str">
        <f>"T2788"</f>
        <v>T2788</v>
      </c>
      <c r="B716" t="s">
        <v>195</v>
      </c>
      <c r="C716">
        <v>999999</v>
      </c>
      <c r="D716" s="2">
        <v>9</v>
      </c>
      <c r="E716" s="1">
        <v>43053</v>
      </c>
      <c r="F716" t="str">
        <f>"3415545"</f>
        <v>3415545</v>
      </c>
      <c r="G716" t="str">
        <f>"ACCT#00405/PARTS/PCT#3"</f>
        <v>ACCT#00405/PARTS/PCT#3</v>
      </c>
      <c r="H716" s="2">
        <v>9</v>
      </c>
      <c r="I716" t="str">
        <f>"ACCT#00405/PARTS/PCT#3"</f>
        <v>ACCT#00405/PARTS/PCT#3</v>
      </c>
    </row>
    <row r="717" spans="1:9" x14ac:dyDescent="0.3">
      <c r="A717" t="str">
        <f>"003066"</f>
        <v>003066</v>
      </c>
      <c r="B717" t="s">
        <v>196</v>
      </c>
      <c r="C717">
        <v>73570</v>
      </c>
      <c r="D717" s="2">
        <v>149.38999999999999</v>
      </c>
      <c r="E717" s="1">
        <v>43052</v>
      </c>
      <c r="F717" t="str">
        <f>"201711086503"</f>
        <v>201711086503</v>
      </c>
      <c r="G717" t="str">
        <f>"INDIGENT HEALTH"</f>
        <v>INDIGENT HEALTH</v>
      </c>
      <c r="H717" s="2">
        <v>149.38999999999999</v>
      </c>
      <c r="I717" t="str">
        <f>"INDIGENT HEALTH"</f>
        <v>INDIGENT HEALTH</v>
      </c>
    </row>
    <row r="718" spans="1:9" x14ac:dyDescent="0.3">
      <c r="A718" t="str">
        <f>"003066"</f>
        <v>003066</v>
      </c>
      <c r="B718" t="s">
        <v>196</v>
      </c>
      <c r="C718">
        <v>73865</v>
      </c>
      <c r="D718" s="2">
        <v>33.270000000000003</v>
      </c>
      <c r="E718" s="1">
        <v>43066</v>
      </c>
      <c r="F718" t="str">
        <f>"201711166649"</f>
        <v>201711166649</v>
      </c>
      <c r="G718" t="str">
        <f>"INDIGENT HEALTH"</f>
        <v>INDIGENT HEALTH</v>
      </c>
      <c r="H718" s="2">
        <v>33.270000000000003</v>
      </c>
      <c r="I718" t="str">
        <f>"INDIGENT HEALTH"</f>
        <v>INDIGENT HEALTH</v>
      </c>
    </row>
    <row r="719" spans="1:9" x14ac:dyDescent="0.3">
      <c r="A719" t="str">
        <f>"000700"</f>
        <v>000700</v>
      </c>
      <c r="B719" t="s">
        <v>197</v>
      </c>
      <c r="C719">
        <v>73866</v>
      </c>
      <c r="D719" s="2">
        <v>125</v>
      </c>
      <c r="E719" s="1">
        <v>43066</v>
      </c>
      <c r="F719" t="str">
        <f>"201711166650"</f>
        <v>201711166650</v>
      </c>
      <c r="G719" t="str">
        <f>"INDIGENT HEALTH"</f>
        <v>INDIGENT HEALTH</v>
      </c>
      <c r="H719" s="2">
        <v>125</v>
      </c>
      <c r="I719" t="str">
        <f>"INDIGENT HEALTH"</f>
        <v>INDIGENT HEALTH</v>
      </c>
    </row>
    <row r="720" spans="1:9" x14ac:dyDescent="0.3">
      <c r="A720" t="str">
        <f>"T526"</f>
        <v>T526</v>
      </c>
      <c r="B720" t="s">
        <v>198</v>
      </c>
      <c r="C720">
        <v>73571</v>
      </c>
      <c r="D720" s="2">
        <v>57.37</v>
      </c>
      <c r="E720" s="1">
        <v>43052</v>
      </c>
      <c r="F720" t="str">
        <f>"5-966-20318"</f>
        <v>5-966-20318</v>
      </c>
      <c r="G720" t="str">
        <f>"INV 5-966-20318"</f>
        <v>INV 5-966-20318</v>
      </c>
      <c r="H720" s="2">
        <v>57.37</v>
      </c>
      <c r="I720" t="str">
        <f>"INV 5-966-20318"</f>
        <v>INV 5-966-20318</v>
      </c>
    </row>
    <row r="721" spans="1:10" x14ac:dyDescent="0.3">
      <c r="A721" t="str">
        <f>"T9733"</f>
        <v>T9733</v>
      </c>
      <c r="B721" t="s">
        <v>199</v>
      </c>
      <c r="C721">
        <v>73572</v>
      </c>
      <c r="D721" s="2">
        <v>50</v>
      </c>
      <c r="E721" s="1">
        <v>43052</v>
      </c>
      <c r="F721" t="s">
        <v>200</v>
      </c>
      <c r="G721" t="s">
        <v>201</v>
      </c>
      <c r="H721" s="2" t="str">
        <f>"RESTITUTION-F.GREER"</f>
        <v>RESTITUTION-F.GREER</v>
      </c>
      <c r="I721" t="str">
        <f>"210-0000"</f>
        <v>210-0000</v>
      </c>
      <c r="J721">
        <v>50</v>
      </c>
    </row>
    <row r="722" spans="1:10" x14ac:dyDescent="0.3">
      <c r="A722" t="str">
        <f>"004691"</f>
        <v>004691</v>
      </c>
      <c r="B722" t="s">
        <v>202</v>
      </c>
      <c r="C722">
        <v>73573</v>
      </c>
      <c r="D722" s="2">
        <v>24873.49</v>
      </c>
      <c r="E722" s="1">
        <v>43052</v>
      </c>
      <c r="F722" t="str">
        <f>"NP51617563"</f>
        <v>NP51617563</v>
      </c>
      <c r="G722" t="str">
        <f>"INV NP51617563"</f>
        <v>INV NP51617563</v>
      </c>
      <c r="H722" s="2">
        <v>11713.5</v>
      </c>
      <c r="I722" t="str">
        <f>"INV NP51617563"</f>
        <v>INV NP51617563</v>
      </c>
    </row>
    <row r="723" spans="1:10" x14ac:dyDescent="0.3">
      <c r="A723" t="str">
        <f>""</f>
        <v/>
      </c>
      <c r="F723" t="str">
        <f>"NP51687707"</f>
        <v>NP51687707</v>
      </c>
      <c r="G723" t="str">
        <f>"STMT# NP51687707"</f>
        <v>STMT# NP51687707</v>
      </c>
      <c r="H723" s="2">
        <v>792.55</v>
      </c>
      <c r="I723" t="str">
        <f>"General Services"</f>
        <v>General Services</v>
      </c>
    </row>
    <row r="724" spans="1:10" x14ac:dyDescent="0.3">
      <c r="A724" t="str">
        <f>""</f>
        <v/>
      </c>
      <c r="F724" t="str">
        <f>""</f>
        <v/>
      </c>
      <c r="G724" t="str">
        <f>""</f>
        <v/>
      </c>
      <c r="I724" t="str">
        <f>"Sign Shop"</f>
        <v>Sign Shop</v>
      </c>
    </row>
    <row r="725" spans="1:10" x14ac:dyDescent="0.3">
      <c r="A725" t="str">
        <f>""</f>
        <v/>
      </c>
      <c r="F725" t="str">
        <f>""</f>
        <v/>
      </c>
      <c r="G725" t="str">
        <f>""</f>
        <v/>
      </c>
      <c r="I725" t="str">
        <f>"Habitat Conservation"</f>
        <v>Habitat Conservation</v>
      </c>
    </row>
    <row r="726" spans="1:10" x14ac:dyDescent="0.3">
      <c r="A726" t="str">
        <f>""</f>
        <v/>
      </c>
      <c r="F726" t="str">
        <f>""</f>
        <v/>
      </c>
      <c r="G726" t="str">
        <f>""</f>
        <v/>
      </c>
      <c r="I726" t="str">
        <f>"Ag Extension"</f>
        <v>Ag Extension</v>
      </c>
    </row>
    <row r="727" spans="1:10" x14ac:dyDescent="0.3">
      <c r="A727" t="str">
        <f>""</f>
        <v/>
      </c>
      <c r="F727" t="str">
        <f>""</f>
        <v/>
      </c>
      <c r="G727" t="str">
        <f>""</f>
        <v/>
      </c>
      <c r="I727" t="str">
        <f>"PCT 1"</f>
        <v>PCT 1</v>
      </c>
    </row>
    <row r="728" spans="1:10" x14ac:dyDescent="0.3">
      <c r="A728" t="str">
        <f>""</f>
        <v/>
      </c>
      <c r="F728" t="str">
        <f>"NP51687892"</f>
        <v>NP51687892</v>
      </c>
      <c r="G728" t="str">
        <f>"INV NP51687892"</f>
        <v>INV NP51687892</v>
      </c>
      <c r="H728" s="2">
        <v>11902.61</v>
      </c>
      <c r="I728" t="str">
        <f>"INV NP51687892"</f>
        <v>INV NP51687892</v>
      </c>
    </row>
    <row r="729" spans="1:10" x14ac:dyDescent="0.3">
      <c r="A729" t="str">
        <f>""</f>
        <v/>
      </c>
      <c r="F729" t="str">
        <f>"NP51687921"</f>
        <v>NP51687921</v>
      </c>
      <c r="G729" t="str">
        <f>"Stmt# NP51687921"</f>
        <v>Stmt# NP51687921</v>
      </c>
      <c r="H729" s="2">
        <v>464.83</v>
      </c>
      <c r="I729" t="str">
        <f>"Payment"</f>
        <v>Payment</v>
      </c>
    </row>
    <row r="730" spans="1:10" x14ac:dyDescent="0.3">
      <c r="A730" t="str">
        <f>"004691"</f>
        <v>004691</v>
      </c>
      <c r="B730" t="s">
        <v>202</v>
      </c>
      <c r="C730">
        <v>73867</v>
      </c>
      <c r="D730" s="2">
        <v>12330.72</v>
      </c>
      <c r="E730" s="1">
        <v>43066</v>
      </c>
      <c r="F730" t="str">
        <f>"NP51842277"</f>
        <v>NP51842277</v>
      </c>
      <c r="G730" t="str">
        <f>"Stmt# NP51842277"</f>
        <v>Stmt# NP51842277</v>
      </c>
      <c r="H730" s="2">
        <v>513.47</v>
      </c>
      <c r="I730" t="str">
        <f>"General Services"</f>
        <v>General Services</v>
      </c>
    </row>
    <row r="731" spans="1:10" x14ac:dyDescent="0.3">
      <c r="A731" t="str">
        <f>""</f>
        <v/>
      </c>
      <c r="F731" t="str">
        <f>""</f>
        <v/>
      </c>
      <c r="G731" t="str">
        <f>""</f>
        <v/>
      </c>
      <c r="I731" t="str">
        <f>"Sign Shop"</f>
        <v>Sign Shop</v>
      </c>
    </row>
    <row r="732" spans="1:10" x14ac:dyDescent="0.3">
      <c r="A732" t="str">
        <f>""</f>
        <v/>
      </c>
      <c r="F732" t="str">
        <f>""</f>
        <v/>
      </c>
      <c r="G732" t="str">
        <f>""</f>
        <v/>
      </c>
      <c r="I732" t="str">
        <f>"Pct 1"</f>
        <v>Pct 1</v>
      </c>
    </row>
    <row r="733" spans="1:10" x14ac:dyDescent="0.3">
      <c r="A733" t="str">
        <f>""</f>
        <v/>
      </c>
      <c r="F733" t="str">
        <f>"NP51842460"</f>
        <v>NP51842460</v>
      </c>
      <c r="G733" t="str">
        <f>"INV NP51842460"</f>
        <v>INV NP51842460</v>
      </c>
      <c r="H733" s="2">
        <v>11303.42</v>
      </c>
      <c r="I733" t="str">
        <f>"INV NP51842460"</f>
        <v>INV NP51842460</v>
      </c>
    </row>
    <row r="734" spans="1:10" x14ac:dyDescent="0.3">
      <c r="A734" t="str">
        <f>""</f>
        <v/>
      </c>
      <c r="F734" t="str">
        <f>"NP51842491"</f>
        <v>NP51842491</v>
      </c>
      <c r="G734" t="str">
        <f>"Stmt# NP51842491"</f>
        <v>Stmt# NP51842491</v>
      </c>
      <c r="H734" s="2">
        <v>513.83000000000004</v>
      </c>
      <c r="I734" t="str">
        <f>"Stmt# NP51842491"</f>
        <v>Stmt# NP51842491</v>
      </c>
    </row>
    <row r="735" spans="1:10" x14ac:dyDescent="0.3">
      <c r="A735" t="str">
        <f>"T5062"</f>
        <v>T5062</v>
      </c>
      <c r="B735" t="s">
        <v>203</v>
      </c>
      <c r="C735">
        <v>73574</v>
      </c>
      <c r="D735" s="2">
        <v>128.49</v>
      </c>
      <c r="E735" s="1">
        <v>43052</v>
      </c>
      <c r="F735" t="str">
        <f>"88234442"</f>
        <v>88234442</v>
      </c>
      <c r="G735" t="str">
        <f>"ACCT#80975/PCT#4"</f>
        <v>ACCT#80975/PCT#4</v>
      </c>
      <c r="H735" s="2">
        <v>-59.9</v>
      </c>
      <c r="I735" t="str">
        <f>"ACCT#80975/PCT#4"</f>
        <v>ACCT#80975/PCT#4</v>
      </c>
    </row>
    <row r="736" spans="1:10" x14ac:dyDescent="0.3">
      <c r="A736" t="str">
        <f>""</f>
        <v/>
      </c>
      <c r="F736" t="str">
        <f>"88233798"</f>
        <v>88233798</v>
      </c>
      <c r="G736" t="str">
        <f>"ACCT#80975/PCT#4"</f>
        <v>ACCT#80975/PCT#4</v>
      </c>
      <c r="H736" s="2">
        <v>94.56</v>
      </c>
      <c r="I736" t="str">
        <f>"ACCT#80975/PCT#4"</f>
        <v>ACCT#80975/PCT#4</v>
      </c>
    </row>
    <row r="737" spans="1:9" x14ac:dyDescent="0.3">
      <c r="A737" t="str">
        <f>""</f>
        <v/>
      </c>
      <c r="F737" t="str">
        <f>"88260647"</f>
        <v>88260647</v>
      </c>
      <c r="G737" t="str">
        <f>"ACCT#80975-001/PART#289714N/P3"</f>
        <v>ACCT#80975-001/PART#289714N/P3</v>
      </c>
      <c r="H737" s="2">
        <v>93.83</v>
      </c>
      <c r="I737" t="str">
        <f>"ACCT#80975-001/PART#289714N/P3"</f>
        <v>ACCT#80975-001/PART#289714N/P3</v>
      </c>
    </row>
    <row r="738" spans="1:9" x14ac:dyDescent="0.3">
      <c r="A738" t="str">
        <f>"T5062"</f>
        <v>T5062</v>
      </c>
      <c r="B738" t="s">
        <v>203</v>
      </c>
      <c r="C738">
        <v>73868</v>
      </c>
      <c r="D738" s="2">
        <v>333.24</v>
      </c>
      <c r="E738" s="1">
        <v>43066</v>
      </c>
      <c r="F738" t="str">
        <f>"88531325"</f>
        <v>88531325</v>
      </c>
      <c r="G738" t="str">
        <f>"ACCT#80975-001/PCT#2"</f>
        <v>ACCT#80975-001/PCT#2</v>
      </c>
      <c r="H738" s="2">
        <v>153</v>
      </c>
      <c r="I738" t="str">
        <f>"ACCT#80975-001/PCT#2"</f>
        <v>ACCT#80975-001/PCT#2</v>
      </c>
    </row>
    <row r="739" spans="1:9" x14ac:dyDescent="0.3">
      <c r="A739" t="str">
        <f>""</f>
        <v/>
      </c>
      <c r="F739" t="str">
        <f>"88531414"</f>
        <v>88531414</v>
      </c>
      <c r="G739" t="str">
        <f>"ACCT#80975-001/PCT#2"</f>
        <v>ACCT#80975-001/PCT#2</v>
      </c>
      <c r="H739" s="2">
        <v>6.01</v>
      </c>
      <c r="I739" t="str">
        <f>"ACCT#80975-001/PCT#2"</f>
        <v>ACCT#80975-001/PCT#2</v>
      </c>
    </row>
    <row r="740" spans="1:9" x14ac:dyDescent="0.3">
      <c r="A740" t="str">
        <f>""</f>
        <v/>
      </c>
      <c r="F740" t="str">
        <f>"88779183"</f>
        <v>88779183</v>
      </c>
      <c r="G740" t="str">
        <f>"RADIO/PCT#1"</f>
        <v>RADIO/PCT#1</v>
      </c>
      <c r="H740" s="2">
        <v>174.23</v>
      </c>
      <c r="I740" t="str">
        <f>"RADIO/PCT#1"</f>
        <v>RADIO/PCT#1</v>
      </c>
    </row>
    <row r="741" spans="1:9" x14ac:dyDescent="0.3">
      <c r="A741" t="str">
        <f>"FLS"</f>
        <v>FLS</v>
      </c>
      <c r="B741" t="s">
        <v>204</v>
      </c>
      <c r="C741">
        <v>999999</v>
      </c>
      <c r="D741" s="2">
        <v>1400</v>
      </c>
      <c r="E741" s="1">
        <v>43053</v>
      </c>
      <c r="F741" t="str">
        <f>"201710255956"</f>
        <v>201710255956</v>
      </c>
      <c r="G741" t="str">
        <f>"N/A"</f>
        <v>N/A</v>
      </c>
      <c r="H741" s="2">
        <v>100</v>
      </c>
      <c r="I741" t="str">
        <f>"N/A"</f>
        <v>N/A</v>
      </c>
    </row>
    <row r="742" spans="1:9" x14ac:dyDescent="0.3">
      <c r="A742" t="str">
        <f>""</f>
        <v/>
      </c>
      <c r="F742" t="str">
        <f>"201710255985"</f>
        <v>201710255985</v>
      </c>
      <c r="G742" t="str">
        <f>"16 273"</f>
        <v>16 273</v>
      </c>
      <c r="H742" s="2">
        <v>400</v>
      </c>
      <c r="I742" t="str">
        <f>"16 273"</f>
        <v>16 273</v>
      </c>
    </row>
    <row r="743" spans="1:9" x14ac:dyDescent="0.3">
      <c r="A743" t="str">
        <f>""</f>
        <v/>
      </c>
      <c r="F743" t="str">
        <f>"201711036135"</f>
        <v>201711036135</v>
      </c>
      <c r="G743" t="str">
        <f>"CH20160220A"</f>
        <v>CH20160220A</v>
      </c>
      <c r="H743" s="2">
        <v>250</v>
      </c>
      <c r="I743" t="str">
        <f>"CH20160220A"</f>
        <v>CH20160220A</v>
      </c>
    </row>
    <row r="744" spans="1:9" x14ac:dyDescent="0.3">
      <c r="A744" t="str">
        <f>""</f>
        <v/>
      </c>
      <c r="F744" t="str">
        <f>"201711036166"</f>
        <v>201711036166</v>
      </c>
      <c r="G744" t="str">
        <f>"55 230"</f>
        <v>55 230</v>
      </c>
      <c r="H744" s="2">
        <v>250</v>
      </c>
      <c r="I744" t="str">
        <f>"55 230"</f>
        <v>55 230</v>
      </c>
    </row>
    <row r="745" spans="1:9" x14ac:dyDescent="0.3">
      <c r="A745" t="str">
        <f>""</f>
        <v/>
      </c>
      <c r="F745" t="str">
        <f>"201711086374"</f>
        <v>201711086374</v>
      </c>
      <c r="G745" t="str">
        <f>"16 327"</f>
        <v>16 327</v>
      </c>
      <c r="H745" s="2">
        <v>400</v>
      </c>
      <c r="I745" t="str">
        <f>"16 327"</f>
        <v>16 327</v>
      </c>
    </row>
    <row r="746" spans="1:9" x14ac:dyDescent="0.3">
      <c r="A746" t="str">
        <f>"FLS"</f>
        <v>FLS</v>
      </c>
      <c r="B746" t="s">
        <v>204</v>
      </c>
      <c r="C746">
        <v>999999</v>
      </c>
      <c r="D746" s="2">
        <v>650</v>
      </c>
      <c r="E746" s="1">
        <v>43067</v>
      </c>
      <c r="F746" t="str">
        <f>"201711146563"</f>
        <v>201711146563</v>
      </c>
      <c r="G746" t="str">
        <f>"N/A"</f>
        <v>N/A</v>
      </c>
      <c r="H746" s="2">
        <v>250</v>
      </c>
      <c r="I746" t="str">
        <f>"N/A"</f>
        <v>N/A</v>
      </c>
    </row>
    <row r="747" spans="1:9" x14ac:dyDescent="0.3">
      <c r="A747" t="str">
        <f>""</f>
        <v/>
      </c>
      <c r="F747" t="str">
        <f>"201711166635"</f>
        <v>201711166635</v>
      </c>
      <c r="G747" t="str">
        <f>"14 967"</f>
        <v>14 967</v>
      </c>
      <c r="H747" s="2">
        <v>400</v>
      </c>
      <c r="I747" t="str">
        <f>"14 967"</f>
        <v>14 967</v>
      </c>
    </row>
    <row r="748" spans="1:9" x14ac:dyDescent="0.3">
      <c r="A748" t="str">
        <f>"PPLAN"</f>
        <v>PPLAN</v>
      </c>
      <c r="B748" t="s">
        <v>205</v>
      </c>
      <c r="C748">
        <v>73575</v>
      </c>
      <c r="D748" s="2">
        <v>958.96</v>
      </c>
      <c r="E748" s="1">
        <v>43052</v>
      </c>
      <c r="F748" t="str">
        <f>"P53642/P54709"</f>
        <v>P53642/P54709</v>
      </c>
      <c r="G748" t="str">
        <f>"ACCT#8850283308/PCT#3"</f>
        <v>ACCT#8850283308/PCT#3</v>
      </c>
      <c r="H748" s="2">
        <v>329.93</v>
      </c>
      <c r="I748" t="str">
        <f>"ACCT#8850283308/PCT#3"</f>
        <v>ACCT#8850283308/PCT#3</v>
      </c>
    </row>
    <row r="749" spans="1:9" x14ac:dyDescent="0.3">
      <c r="A749" t="str">
        <f>""</f>
        <v/>
      </c>
      <c r="F749" t="str">
        <f>"P54025"</f>
        <v>P54025</v>
      </c>
      <c r="G749" t="str">
        <f>"ACCT#8850283308/PCT#1"</f>
        <v>ACCT#8850283308/PCT#1</v>
      </c>
      <c r="H749" s="2">
        <v>251.38</v>
      </c>
      <c r="I749" t="str">
        <f>"ACCT#8850283308/PCT#1"</f>
        <v>ACCT#8850283308/PCT#1</v>
      </c>
    </row>
    <row r="750" spans="1:9" x14ac:dyDescent="0.3">
      <c r="A750" t="str">
        <f>""</f>
        <v/>
      </c>
      <c r="F750" t="str">
        <f>"P54388"</f>
        <v>P54388</v>
      </c>
      <c r="G750" t="str">
        <f>"ACCT#8850283308/PCT#2"</f>
        <v>ACCT#8850283308/PCT#2</v>
      </c>
      <c r="H750" s="2">
        <v>377.65</v>
      </c>
      <c r="I750" t="str">
        <f>"ACCT#8850283308/PCT#2"</f>
        <v>ACCT#8850283308/PCT#2</v>
      </c>
    </row>
    <row r="751" spans="1:9" x14ac:dyDescent="0.3">
      <c r="A751" t="str">
        <f>"AT&amp;EI"</f>
        <v>AT&amp;EI</v>
      </c>
      <c r="B751" t="s">
        <v>206</v>
      </c>
      <c r="C751">
        <v>73576</v>
      </c>
      <c r="D751" s="2">
        <v>753.8</v>
      </c>
      <c r="E751" s="1">
        <v>43052</v>
      </c>
      <c r="F751" t="str">
        <f>"AP353464"</f>
        <v>AP353464</v>
      </c>
      <c r="G751" t="str">
        <f>"CUST#3325/FUEL FILTER/PCT#2"</f>
        <v>CUST#3325/FUEL FILTER/PCT#2</v>
      </c>
      <c r="H751" s="2">
        <v>69.56</v>
      </c>
      <c r="I751" t="str">
        <f>"CUST#3325/FUEL FILTER/PCT#2"</f>
        <v>CUST#3325/FUEL FILTER/PCT#2</v>
      </c>
    </row>
    <row r="752" spans="1:9" x14ac:dyDescent="0.3">
      <c r="A752" t="str">
        <f>""</f>
        <v/>
      </c>
      <c r="F752" t="str">
        <f>"AS66564"</f>
        <v>AS66564</v>
      </c>
      <c r="G752" t="str">
        <f>"ACCT#3323/PCT#4"</f>
        <v>ACCT#3323/PCT#4</v>
      </c>
      <c r="H752" s="2">
        <v>195</v>
      </c>
      <c r="I752" t="str">
        <f>"ACCT#3323/PCT#4"</f>
        <v>ACCT#3323/PCT#4</v>
      </c>
    </row>
    <row r="753" spans="1:9" x14ac:dyDescent="0.3">
      <c r="A753" t="str">
        <f>""</f>
        <v/>
      </c>
      <c r="F753" t="str">
        <f>"FB1019"</f>
        <v>FB1019</v>
      </c>
      <c r="G753" t="str">
        <f t="shared" ref="G753:G758" si="8">"ACCT#3325/PCT#2"</f>
        <v>ACCT#3325/PCT#2</v>
      </c>
      <c r="H753" s="2">
        <v>489.24</v>
      </c>
      <c r="I753" t="str">
        <f t="shared" ref="I753:I758" si="9">"ACCT#3325/PCT#2"</f>
        <v>ACCT#3325/PCT#2</v>
      </c>
    </row>
    <row r="754" spans="1:9" x14ac:dyDescent="0.3">
      <c r="A754" t="str">
        <f>"AT&amp;EI"</f>
        <v>AT&amp;EI</v>
      </c>
      <c r="B754" t="s">
        <v>206</v>
      </c>
      <c r="C754">
        <v>73869</v>
      </c>
      <c r="D754" s="2">
        <v>2263.44</v>
      </c>
      <c r="E754" s="1">
        <v>43066</v>
      </c>
      <c r="F754" t="str">
        <f>"AP354484"</f>
        <v>AP354484</v>
      </c>
      <c r="G754" t="str">
        <f t="shared" si="8"/>
        <v>ACCT#3325/PCT#2</v>
      </c>
      <c r="H754" s="2">
        <v>902.05</v>
      </c>
      <c r="I754" t="str">
        <f t="shared" si="9"/>
        <v>ACCT#3325/PCT#2</v>
      </c>
    </row>
    <row r="755" spans="1:9" x14ac:dyDescent="0.3">
      <c r="A755" t="str">
        <f>""</f>
        <v/>
      </c>
      <c r="F755" t="str">
        <f>"AP354933"</f>
        <v>AP354933</v>
      </c>
      <c r="G755" t="str">
        <f t="shared" si="8"/>
        <v>ACCT#3325/PCT#2</v>
      </c>
      <c r="H755" s="2">
        <v>24.6</v>
      </c>
      <c r="I755" t="str">
        <f t="shared" si="9"/>
        <v>ACCT#3325/PCT#2</v>
      </c>
    </row>
    <row r="756" spans="1:9" x14ac:dyDescent="0.3">
      <c r="A756" t="str">
        <f>""</f>
        <v/>
      </c>
      <c r="F756" t="str">
        <f>"AP355068"</f>
        <v>AP355068</v>
      </c>
      <c r="G756" t="str">
        <f t="shared" si="8"/>
        <v>ACCT#3325/PCT#2</v>
      </c>
      <c r="H756" s="2">
        <v>180.25</v>
      </c>
      <c r="I756" t="str">
        <f t="shared" si="9"/>
        <v>ACCT#3325/PCT#2</v>
      </c>
    </row>
    <row r="757" spans="1:9" x14ac:dyDescent="0.3">
      <c r="A757" t="str">
        <f>""</f>
        <v/>
      </c>
      <c r="F757" t="str">
        <f>"AP355395"</f>
        <v>AP355395</v>
      </c>
      <c r="G757" t="str">
        <f t="shared" si="8"/>
        <v>ACCT#3325/PCT#2</v>
      </c>
      <c r="H757" s="2">
        <v>984.11</v>
      </c>
      <c r="I757" t="str">
        <f t="shared" si="9"/>
        <v>ACCT#3325/PCT#2</v>
      </c>
    </row>
    <row r="758" spans="1:9" x14ac:dyDescent="0.3">
      <c r="A758" t="str">
        <f>""</f>
        <v/>
      </c>
      <c r="F758" t="str">
        <f>"AP355437"</f>
        <v>AP355437</v>
      </c>
      <c r="G758" t="str">
        <f t="shared" si="8"/>
        <v>ACCT#3325/PCT#2</v>
      </c>
      <c r="H758" s="2">
        <v>172.43</v>
      </c>
      <c r="I758" t="str">
        <f t="shared" si="9"/>
        <v>ACCT#3325/PCT#2</v>
      </c>
    </row>
    <row r="759" spans="1:9" x14ac:dyDescent="0.3">
      <c r="A759" t="str">
        <f>"004138"</f>
        <v>004138</v>
      </c>
      <c r="B759" t="s">
        <v>207</v>
      </c>
      <c r="C759">
        <v>73870</v>
      </c>
      <c r="D759" s="2">
        <v>810</v>
      </c>
      <c r="E759" s="1">
        <v>43066</v>
      </c>
      <c r="F759" t="str">
        <f>"TOWING"</f>
        <v>TOWING</v>
      </c>
      <c r="G759" t="str">
        <f>"1HGCM81614A016194"</f>
        <v>1HGCM81614A016194</v>
      </c>
      <c r="H759" s="2">
        <v>240</v>
      </c>
      <c r="I759" t="str">
        <f>"1HGCM81614A016194"</f>
        <v>1HGCM81614A016194</v>
      </c>
    </row>
    <row r="760" spans="1:9" x14ac:dyDescent="0.3">
      <c r="A760" t="str">
        <f>""</f>
        <v/>
      </c>
      <c r="F760" t="str">
        <f>"TOWING SERVICES"</f>
        <v>TOWING SERVICES</v>
      </c>
      <c r="G760" t="str">
        <f>"5NPE24AF6GH387855"</f>
        <v>5NPE24AF6GH387855</v>
      </c>
      <c r="H760" s="2">
        <v>570</v>
      </c>
      <c r="I760" t="str">
        <f>"TO BCSO"</f>
        <v>TO BCSO</v>
      </c>
    </row>
    <row r="761" spans="1:9" x14ac:dyDescent="0.3">
      <c r="A761" t="str">
        <f>""</f>
        <v/>
      </c>
      <c r="F761" t="str">
        <f>""</f>
        <v/>
      </c>
      <c r="G761" t="str">
        <f>""</f>
        <v/>
      </c>
      <c r="I761" t="str">
        <f>"TO DPS LAB"</f>
        <v>TO DPS LAB</v>
      </c>
    </row>
    <row r="762" spans="1:9" x14ac:dyDescent="0.3">
      <c r="A762" t="str">
        <f>""</f>
        <v/>
      </c>
      <c r="F762" t="str">
        <f>""</f>
        <v/>
      </c>
      <c r="G762" t="str">
        <f>""</f>
        <v/>
      </c>
      <c r="I762" t="str">
        <f>"BACK TO BCSO"</f>
        <v>BACK TO BCSO</v>
      </c>
    </row>
    <row r="763" spans="1:9" x14ac:dyDescent="0.3">
      <c r="A763" t="str">
        <f>"002544"</f>
        <v>002544</v>
      </c>
      <c r="B763" t="s">
        <v>208</v>
      </c>
      <c r="C763">
        <v>73577</v>
      </c>
      <c r="D763" s="2">
        <v>80</v>
      </c>
      <c r="E763" s="1">
        <v>43052</v>
      </c>
      <c r="F763" t="str">
        <f>"12504"</f>
        <v>12504</v>
      </c>
      <c r="G763" t="str">
        <f>"SERVICE  09/13/17"</f>
        <v>SERVICE  09/13/17</v>
      </c>
      <c r="H763" s="2">
        <v>80</v>
      </c>
      <c r="I763" t="str">
        <f>"SERVICE  09/13/17"</f>
        <v>SERVICE  09/13/17</v>
      </c>
    </row>
    <row r="764" spans="1:9" x14ac:dyDescent="0.3">
      <c r="A764" t="str">
        <f>"004298"</f>
        <v>004298</v>
      </c>
      <c r="B764" t="s">
        <v>209</v>
      </c>
      <c r="C764">
        <v>73871</v>
      </c>
      <c r="D764" s="2">
        <v>100</v>
      </c>
      <c r="E764" s="1">
        <v>43066</v>
      </c>
      <c r="F764" t="str">
        <f>"201711156611"</f>
        <v>201711156611</v>
      </c>
      <c r="G764" t="str">
        <f>"EXHIBITOR BOOTH FEE"</f>
        <v>EXHIBITOR BOOTH FEE</v>
      </c>
      <c r="H764" s="2">
        <v>100</v>
      </c>
      <c r="I764" t="str">
        <f>"EXHIBITOR BOOTH FEE"</f>
        <v>EXHIBITOR BOOTH FEE</v>
      </c>
    </row>
    <row r="765" spans="1:9" x14ac:dyDescent="0.3">
      <c r="A765" t="str">
        <f>"G&amp;C"</f>
        <v>G&amp;C</v>
      </c>
      <c r="B765" t="s">
        <v>210</v>
      </c>
      <c r="C765">
        <v>999999</v>
      </c>
      <c r="D765" s="2">
        <v>1456.84</v>
      </c>
      <c r="E765" s="1">
        <v>43053</v>
      </c>
      <c r="F765" t="str">
        <f>"103330"</f>
        <v>103330</v>
      </c>
      <c r="G765" t="str">
        <f>"INV 103330"</f>
        <v>INV 103330</v>
      </c>
      <c r="H765" s="2">
        <v>367.32</v>
      </c>
      <c r="I765" t="str">
        <f>"INV 103330"</f>
        <v>INV 103330</v>
      </c>
    </row>
    <row r="766" spans="1:9" x14ac:dyDescent="0.3">
      <c r="A766" t="str">
        <f>""</f>
        <v/>
      </c>
      <c r="F766" t="str">
        <f>"103369"</f>
        <v>103369</v>
      </c>
      <c r="G766" t="str">
        <f>"PRE WARRANT/PAST DUE NOTICES"</f>
        <v>PRE WARRANT/PAST DUE NOTICES</v>
      </c>
      <c r="H766" s="2">
        <v>125.04</v>
      </c>
      <c r="I766" t="str">
        <f>"PRE WARRANT/PAST DUE NOTICES"</f>
        <v>PRE WARRANT/PAST DUE NOTICES</v>
      </c>
    </row>
    <row r="767" spans="1:9" x14ac:dyDescent="0.3">
      <c r="A767" t="str">
        <f>""</f>
        <v/>
      </c>
      <c r="F767" t="str">
        <f>"103479"</f>
        <v>103479</v>
      </c>
      <c r="G767" t="str">
        <f>"INV 103479"</f>
        <v>INV 103479</v>
      </c>
      <c r="H767" s="2">
        <v>301.22000000000003</v>
      </c>
      <c r="I767" t="str">
        <f>"INV 103479"</f>
        <v>INV 103479</v>
      </c>
    </row>
    <row r="768" spans="1:9" x14ac:dyDescent="0.3">
      <c r="A768" t="str">
        <f>""</f>
        <v/>
      </c>
      <c r="F768" t="str">
        <f>"103480"</f>
        <v>103480</v>
      </c>
      <c r="G768" t="str">
        <f>"INV 103480"</f>
        <v>INV 103480</v>
      </c>
      <c r="H768" s="2">
        <v>40.96</v>
      </c>
      <c r="I768" t="str">
        <f>"INV 103480"</f>
        <v>INV 103480</v>
      </c>
    </row>
    <row r="769" spans="1:9" x14ac:dyDescent="0.3">
      <c r="A769" t="str">
        <f>""</f>
        <v/>
      </c>
      <c r="F769" t="str">
        <f>"103481"</f>
        <v>103481</v>
      </c>
      <c r="G769" t="str">
        <f>"INV 103481"</f>
        <v>INV 103481</v>
      </c>
      <c r="H769" s="2">
        <v>40.96</v>
      </c>
      <c r="I769" t="str">
        <f>"INV 103481"</f>
        <v>INV 103481</v>
      </c>
    </row>
    <row r="770" spans="1:9" x14ac:dyDescent="0.3">
      <c r="A770" t="str">
        <f>""</f>
        <v/>
      </c>
      <c r="F770" t="str">
        <f>"103482"</f>
        <v>103482</v>
      </c>
      <c r="G770" t="str">
        <f>"INV 103482"</f>
        <v>INV 103482</v>
      </c>
      <c r="H770" s="2">
        <v>81.92</v>
      </c>
      <c r="I770" t="str">
        <f>"INV 103482"</f>
        <v>INV 103482</v>
      </c>
    </row>
    <row r="771" spans="1:9" x14ac:dyDescent="0.3">
      <c r="A771" t="str">
        <f>""</f>
        <v/>
      </c>
      <c r="F771" t="str">
        <f>"103484"</f>
        <v>103484</v>
      </c>
      <c r="G771" t="str">
        <f>"ENVELOPES/BUSINESS CRDS/H&amp;S"</f>
        <v>ENVELOPES/BUSINESS CRDS/H&amp;S</v>
      </c>
      <c r="H771" s="2">
        <v>499.42</v>
      </c>
      <c r="I771" t="str">
        <f>"ENVELOPES/BUSINESS CRDS/H&amp;S"</f>
        <v>ENVELOPES/BUSINESS CRDS/H&amp;S</v>
      </c>
    </row>
    <row r="772" spans="1:9" x14ac:dyDescent="0.3">
      <c r="A772" t="str">
        <f>"G&amp;C"</f>
        <v>G&amp;C</v>
      </c>
      <c r="B772" t="s">
        <v>210</v>
      </c>
      <c r="C772">
        <v>999999</v>
      </c>
      <c r="D772" s="2">
        <v>1436.5</v>
      </c>
      <c r="E772" s="1">
        <v>43067</v>
      </c>
      <c r="F772" t="str">
        <f>"102954"</f>
        <v>102954</v>
      </c>
      <c r="G772" t="str">
        <f>"INV 102954"</f>
        <v>INV 102954</v>
      </c>
      <c r="H772" s="2">
        <v>8.9499999999999993</v>
      </c>
      <c r="I772" t="str">
        <f>"INV 102954"</f>
        <v>INV 102954</v>
      </c>
    </row>
    <row r="773" spans="1:9" x14ac:dyDescent="0.3">
      <c r="A773" t="str">
        <f>""</f>
        <v/>
      </c>
      <c r="F773" t="str">
        <f>"103567"</f>
        <v>103567</v>
      </c>
      <c r="G773" t="str">
        <f>"OFFICE SUPPLIES/ANIMAL SVCS"</f>
        <v>OFFICE SUPPLIES/ANIMAL SVCS</v>
      </c>
      <c r="H773" s="2">
        <v>782.17</v>
      </c>
      <c r="I773" t="str">
        <f>"OFFICE SUPPLIES/ANIMAL SVCS"</f>
        <v>OFFICE SUPPLIES/ANIMAL SVCS</v>
      </c>
    </row>
    <row r="774" spans="1:9" x14ac:dyDescent="0.3">
      <c r="A774" t="str">
        <f>""</f>
        <v/>
      </c>
      <c r="F774" t="str">
        <f>"103570"</f>
        <v>103570</v>
      </c>
      <c r="G774" t="str">
        <f>"INV GC 103570"</f>
        <v>INV GC 103570</v>
      </c>
      <c r="H774" s="2">
        <v>371.78</v>
      </c>
      <c r="I774" t="str">
        <f>"INV GC 103570"</f>
        <v>INV GC 103570</v>
      </c>
    </row>
    <row r="775" spans="1:9" x14ac:dyDescent="0.3">
      <c r="A775" t="str">
        <f>""</f>
        <v/>
      </c>
      <c r="F775" t="str">
        <f>"103622"</f>
        <v>103622</v>
      </c>
      <c r="G775" t="str">
        <f>"OFFICE SUPPLIES/EXTENSION OFF"</f>
        <v>OFFICE SUPPLIES/EXTENSION OFF</v>
      </c>
      <c r="H775" s="2">
        <v>229.35</v>
      </c>
      <c r="I775" t="str">
        <f>"OFFICE SUPPLIES/EXTENSION OFF"</f>
        <v>OFFICE SUPPLIES/EXTENSION OFF</v>
      </c>
    </row>
    <row r="776" spans="1:9" x14ac:dyDescent="0.3">
      <c r="A776" t="str">
        <f>""</f>
        <v/>
      </c>
      <c r="F776" t="str">
        <f>"GC103641"</f>
        <v>GC103641</v>
      </c>
      <c r="G776" t="str">
        <f>"INV GC 103641"</f>
        <v>INV GC 103641</v>
      </c>
      <c r="H776" s="2">
        <v>44.25</v>
      </c>
      <c r="I776" t="str">
        <f>"INV GC 103641"</f>
        <v>INV GC 103641</v>
      </c>
    </row>
    <row r="777" spans="1:9" x14ac:dyDescent="0.3">
      <c r="A777" t="str">
        <f>"002605"</f>
        <v>002605</v>
      </c>
      <c r="B777" t="s">
        <v>211</v>
      </c>
      <c r="C777">
        <v>73872</v>
      </c>
      <c r="D777" s="2">
        <v>505.78</v>
      </c>
      <c r="E777" s="1">
        <v>43066</v>
      </c>
      <c r="F777" t="str">
        <f>"201711156607"</f>
        <v>201711156607</v>
      </c>
      <c r="G777" t="str">
        <f>"CUST#2179855/PCT#3"</f>
        <v>CUST#2179855/PCT#3</v>
      </c>
      <c r="H777" s="2">
        <v>505.78</v>
      </c>
      <c r="I777" t="str">
        <f>"CUST#2179855/PCT#3"</f>
        <v>CUST#2179855/PCT#3</v>
      </c>
    </row>
    <row r="778" spans="1:9" x14ac:dyDescent="0.3">
      <c r="A778" t="str">
        <f>"T3839"</f>
        <v>T3839</v>
      </c>
      <c r="B778" t="s">
        <v>212</v>
      </c>
      <c r="C778">
        <v>73578</v>
      </c>
      <c r="D778" s="2">
        <v>407.5</v>
      </c>
      <c r="E778" s="1">
        <v>43052</v>
      </c>
      <c r="F778" t="str">
        <f>"008411882"</f>
        <v>008411882</v>
      </c>
      <c r="G778" t="str">
        <f>"INV 008411882"</f>
        <v>INV 008411882</v>
      </c>
      <c r="H778" s="2">
        <v>407.5</v>
      </c>
      <c r="I778" t="str">
        <f>"INV 008411882"</f>
        <v>INV 008411882</v>
      </c>
    </row>
    <row r="779" spans="1:9" x14ac:dyDescent="0.3">
      <c r="A779" t="str">
        <f>"000147"</f>
        <v>000147</v>
      </c>
      <c r="B779" t="s">
        <v>213</v>
      </c>
      <c r="C779">
        <v>73579</v>
      </c>
      <c r="D779" s="2">
        <v>920</v>
      </c>
      <c r="E779" s="1">
        <v>43052</v>
      </c>
      <c r="F779" t="str">
        <f>"CONFERENCE"</f>
        <v>CONFERENCE</v>
      </c>
      <c r="G779" t="str">
        <f>"LODGING"</f>
        <v>LODGING</v>
      </c>
      <c r="H779" s="2">
        <v>920</v>
      </c>
      <c r="I779" t="str">
        <f>"ELENA CADENA - ROOM"</f>
        <v>ELENA CADENA - ROOM</v>
      </c>
    </row>
    <row r="780" spans="1:9" x14ac:dyDescent="0.3">
      <c r="A780" t="str">
        <f>""</f>
        <v/>
      </c>
      <c r="F780" t="str">
        <f>""</f>
        <v/>
      </c>
      <c r="G780" t="str">
        <f>""</f>
        <v/>
      </c>
      <c r="I780" t="str">
        <f>"CONOR BROWN - ROOM"</f>
        <v>CONOR BROWN - ROOM</v>
      </c>
    </row>
    <row r="781" spans="1:9" x14ac:dyDescent="0.3">
      <c r="A781" t="str">
        <f>"004055"</f>
        <v>004055</v>
      </c>
      <c r="B781" t="s">
        <v>214</v>
      </c>
      <c r="C781">
        <v>73873</v>
      </c>
      <c r="D781" s="2">
        <v>1702.08</v>
      </c>
      <c r="E781" s="1">
        <v>43066</v>
      </c>
      <c r="F781" t="str">
        <f>"1144"</f>
        <v>1144</v>
      </c>
      <c r="G781" t="str">
        <f>"INV 1144;"</f>
        <v>INV 1144;</v>
      </c>
      <c r="H781" s="2">
        <v>588.32000000000005</v>
      </c>
      <c r="I781" t="str">
        <f>"INV 1144"</f>
        <v>INV 1144</v>
      </c>
    </row>
    <row r="782" spans="1:9" x14ac:dyDescent="0.3">
      <c r="A782" t="str">
        <f>""</f>
        <v/>
      </c>
      <c r="F782" t="str">
        <f>"1145/1146"</f>
        <v>1145/1146</v>
      </c>
      <c r="G782" t="str">
        <f>"INV 1146"</f>
        <v>INV 1146</v>
      </c>
      <c r="H782" s="2">
        <v>93.26</v>
      </c>
      <c r="I782" t="str">
        <f>"INV 1146"</f>
        <v>INV 1146</v>
      </c>
    </row>
    <row r="783" spans="1:9" x14ac:dyDescent="0.3">
      <c r="A783" t="str">
        <f>""</f>
        <v/>
      </c>
      <c r="F783" t="str">
        <f>""</f>
        <v/>
      </c>
      <c r="G783" t="str">
        <f>""</f>
        <v/>
      </c>
      <c r="I783" t="str">
        <f>"INV 1145"</f>
        <v>INV 1145</v>
      </c>
    </row>
    <row r="784" spans="1:9" x14ac:dyDescent="0.3">
      <c r="A784" t="str">
        <f>""</f>
        <v/>
      </c>
      <c r="F784" t="str">
        <f>"1147"</f>
        <v>1147</v>
      </c>
      <c r="G784" t="str">
        <f>"INV 1147"</f>
        <v>INV 1147</v>
      </c>
      <c r="H784" s="2">
        <v>1020.5</v>
      </c>
      <c r="I784" t="str">
        <f>"INV 1147"</f>
        <v>INV 1147</v>
      </c>
    </row>
    <row r="785" spans="1:9" x14ac:dyDescent="0.3">
      <c r="A785" t="str">
        <f>"T5794"</f>
        <v>T5794</v>
      </c>
      <c r="B785" t="s">
        <v>215</v>
      </c>
      <c r="C785">
        <v>999999</v>
      </c>
      <c r="D785" s="2">
        <v>332.28</v>
      </c>
      <c r="E785" s="1">
        <v>43067</v>
      </c>
      <c r="F785" t="str">
        <f>"N50034"</f>
        <v>N50034</v>
      </c>
      <c r="G785" t="str">
        <f>"INV N50034"</f>
        <v>INV N50034</v>
      </c>
      <c r="H785" s="2">
        <v>332.28</v>
      </c>
      <c r="I785" t="str">
        <f>"INV N50034"</f>
        <v>INV N50034</v>
      </c>
    </row>
    <row r="786" spans="1:9" x14ac:dyDescent="0.3">
      <c r="A786" t="str">
        <f>"004906"</f>
        <v>004906</v>
      </c>
      <c r="B786" t="s">
        <v>216</v>
      </c>
      <c r="C786">
        <v>73580</v>
      </c>
      <c r="D786" s="2">
        <v>100</v>
      </c>
      <c r="E786" s="1">
        <v>43052</v>
      </c>
      <c r="F786" t="str">
        <f>"201711086396"</f>
        <v>201711086396</v>
      </c>
      <c r="G786" t="str">
        <f>"FERAL HOGS"</f>
        <v>FERAL HOGS</v>
      </c>
      <c r="H786" s="2">
        <v>90</v>
      </c>
      <c r="I786" t="str">
        <f>"FERAL HOGS"</f>
        <v>FERAL HOGS</v>
      </c>
    </row>
    <row r="787" spans="1:9" x14ac:dyDescent="0.3">
      <c r="A787" t="str">
        <f>""</f>
        <v/>
      </c>
      <c r="F787" t="str">
        <f>"201711086397"</f>
        <v>201711086397</v>
      </c>
      <c r="G787" t="str">
        <f>"FERAL HOGS"</f>
        <v>FERAL HOGS</v>
      </c>
      <c r="H787" s="2">
        <v>5</v>
      </c>
      <c r="I787" t="str">
        <f>"FERAL HOGS"</f>
        <v>FERAL HOGS</v>
      </c>
    </row>
    <row r="788" spans="1:9" x14ac:dyDescent="0.3">
      <c r="A788" t="str">
        <f>""</f>
        <v/>
      </c>
      <c r="F788" t="str">
        <f>"201711086398"</f>
        <v>201711086398</v>
      </c>
      <c r="G788" t="str">
        <f>"FERAL HOGS"</f>
        <v>FERAL HOGS</v>
      </c>
      <c r="H788" s="2">
        <v>5</v>
      </c>
      <c r="I788" t="str">
        <f>"FERAL HOGS"</f>
        <v>FERAL HOGS</v>
      </c>
    </row>
    <row r="789" spans="1:9" x14ac:dyDescent="0.3">
      <c r="A789" t="str">
        <f>"GCR"</f>
        <v>GCR</v>
      </c>
      <c r="B789" t="s">
        <v>217</v>
      </c>
      <c r="C789">
        <v>73581</v>
      </c>
      <c r="D789" s="2">
        <v>697.2</v>
      </c>
      <c r="E789" s="1">
        <v>43052</v>
      </c>
      <c r="F789" t="str">
        <f>"625-92354"</f>
        <v>625-92354</v>
      </c>
      <c r="G789" t="str">
        <f>"CUST#535539/ORD#95287/PCT#3"</f>
        <v>CUST#535539/ORD#95287/PCT#3</v>
      </c>
      <c r="H789" s="2">
        <v>697.2</v>
      </c>
      <c r="I789" t="str">
        <f>"CUST#535539/ORD#95287/PCT#3"</f>
        <v>CUST#535539/ORD#95287/PCT#3</v>
      </c>
    </row>
    <row r="790" spans="1:9" x14ac:dyDescent="0.3">
      <c r="A790" t="str">
        <f>"T10301"</f>
        <v>T10301</v>
      </c>
      <c r="B790" t="s">
        <v>218</v>
      </c>
      <c r="C790">
        <v>73874</v>
      </c>
      <c r="D790" s="2">
        <v>9091.08</v>
      </c>
      <c r="E790" s="1">
        <v>43066</v>
      </c>
      <c r="F790" t="str">
        <f>"201711166633"</f>
        <v>201711166633</v>
      </c>
      <c r="G790" t="str">
        <f>"15 914"</f>
        <v>15 914</v>
      </c>
      <c r="H790" s="2">
        <v>9091.08</v>
      </c>
      <c r="I790" t="str">
        <f>"15 914"</f>
        <v>15 914</v>
      </c>
    </row>
    <row r="791" spans="1:9" x14ac:dyDescent="0.3">
      <c r="A791" t="str">
        <f>"000790"</f>
        <v>000790</v>
      </c>
      <c r="B791" t="s">
        <v>219</v>
      </c>
      <c r="C791">
        <v>999999</v>
      </c>
      <c r="D791" s="2">
        <v>770.75</v>
      </c>
      <c r="E791" s="1">
        <v>43053</v>
      </c>
      <c r="F791" t="str">
        <f>"280369"</f>
        <v>280369</v>
      </c>
      <c r="G791" t="str">
        <f>"Dolly  and Pallet Jack"</f>
        <v>Dolly  and Pallet Jack</v>
      </c>
      <c r="H791" s="2">
        <v>770.75</v>
      </c>
      <c r="I791" t="str">
        <f>"Item Number: WG16803"</f>
        <v>Item Number: WG16803</v>
      </c>
    </row>
    <row r="792" spans="1:9" x14ac:dyDescent="0.3">
      <c r="A792" t="str">
        <f>""</f>
        <v/>
      </c>
      <c r="F792" t="str">
        <f>""</f>
        <v/>
      </c>
      <c r="G792" t="str">
        <f>""</f>
        <v/>
      </c>
      <c r="I792" t="str">
        <f>"Item Number: WG24166"</f>
        <v>Item Number: WG24166</v>
      </c>
    </row>
    <row r="793" spans="1:9" x14ac:dyDescent="0.3">
      <c r="A793" t="str">
        <f>""</f>
        <v/>
      </c>
      <c r="F793" t="str">
        <f>""</f>
        <v/>
      </c>
      <c r="G793" t="str">
        <f>""</f>
        <v/>
      </c>
      <c r="I793" t="str">
        <f>"Item Number: WG24166"</f>
        <v>Item Number: WG24166</v>
      </c>
    </row>
    <row r="794" spans="1:9" x14ac:dyDescent="0.3">
      <c r="A794" t="str">
        <f>""</f>
        <v/>
      </c>
      <c r="F794" t="str">
        <f>""</f>
        <v/>
      </c>
      <c r="G794" t="str">
        <f>""</f>
        <v/>
      </c>
      <c r="I794" t="str">
        <f>"Freight"</f>
        <v>Freight</v>
      </c>
    </row>
    <row r="795" spans="1:9" x14ac:dyDescent="0.3">
      <c r="A795" t="str">
        <f>"000790"</f>
        <v>000790</v>
      </c>
      <c r="B795" t="s">
        <v>219</v>
      </c>
      <c r="C795">
        <v>999999</v>
      </c>
      <c r="D795" s="2">
        <v>865.39</v>
      </c>
      <c r="E795" s="1">
        <v>43067</v>
      </c>
      <c r="F795" t="str">
        <f>"111782590"</f>
        <v>111782590</v>
      </c>
      <c r="G795" t="str">
        <f>"Motorola RMU2040 Radio"</f>
        <v>Motorola RMU2040 Radio</v>
      </c>
      <c r="H795" s="2">
        <v>865.39</v>
      </c>
      <c r="I795" t="str">
        <f>"Motorola RMU2040 Radio"</f>
        <v>Motorola RMU2040 Radio</v>
      </c>
    </row>
    <row r="796" spans="1:9" x14ac:dyDescent="0.3">
      <c r="A796" t="str">
        <f>""</f>
        <v/>
      </c>
      <c r="F796" t="str">
        <f>""</f>
        <v/>
      </c>
      <c r="G796" t="str">
        <f>""</f>
        <v/>
      </c>
      <c r="I796" t="str">
        <f>"Freight"</f>
        <v>Freight</v>
      </c>
    </row>
    <row r="797" spans="1:9" x14ac:dyDescent="0.3">
      <c r="A797" t="str">
        <f>"004204"</f>
        <v>004204</v>
      </c>
      <c r="B797" t="s">
        <v>220</v>
      </c>
      <c r="C797">
        <v>73582</v>
      </c>
      <c r="D797" s="2">
        <v>161.6</v>
      </c>
      <c r="E797" s="1">
        <v>43052</v>
      </c>
      <c r="F797" t="str">
        <f>"80919"</f>
        <v>80919</v>
      </c>
      <c r="G797" t="str">
        <f>"INV 80919"</f>
        <v>INV 80919</v>
      </c>
      <c r="H797" s="2">
        <v>161.6</v>
      </c>
      <c r="I797" t="str">
        <f>"INV 80919"</f>
        <v>INV 80919</v>
      </c>
    </row>
    <row r="798" spans="1:9" x14ac:dyDescent="0.3">
      <c r="A798" t="str">
        <f>"005117"</f>
        <v>005117</v>
      </c>
      <c r="B798" t="s">
        <v>221</v>
      </c>
      <c r="C798">
        <v>73875</v>
      </c>
      <c r="D798" s="2">
        <v>1199</v>
      </c>
      <c r="E798" s="1">
        <v>43066</v>
      </c>
      <c r="F798" t="str">
        <f>"ASPHALT PATCHING"</f>
        <v>ASPHALT PATCHING</v>
      </c>
      <c r="G798" t="str">
        <f>"Asphalt Patching Compound"</f>
        <v>Asphalt Patching Compound</v>
      </c>
      <c r="H798" s="2">
        <v>1199</v>
      </c>
      <c r="I798" t="str">
        <f>"Asphalt Patching Compound"</f>
        <v>Asphalt Patching Compound</v>
      </c>
    </row>
    <row r="799" spans="1:9" x14ac:dyDescent="0.3">
      <c r="A799" t="str">
        <f>"WWGI"</f>
        <v>WWGI</v>
      </c>
      <c r="B799" t="s">
        <v>222</v>
      </c>
      <c r="C799">
        <v>73583</v>
      </c>
      <c r="D799" s="2">
        <v>340.11</v>
      </c>
      <c r="E799" s="1">
        <v>43052</v>
      </c>
      <c r="F799" t="str">
        <f>"9592921531"</f>
        <v>9592921531</v>
      </c>
      <c r="G799" t="str">
        <f>"INV 9592921531"</f>
        <v>INV 9592921531</v>
      </c>
      <c r="H799" s="2">
        <v>95.56</v>
      </c>
      <c r="I799" t="str">
        <f>"INV 9592921531"</f>
        <v>INV 9592921531</v>
      </c>
    </row>
    <row r="800" spans="1:9" x14ac:dyDescent="0.3">
      <c r="A800" t="str">
        <f>""</f>
        <v/>
      </c>
      <c r="F800" t="str">
        <f>"9597529214/426163"</f>
        <v>9597529214/426163</v>
      </c>
      <c r="G800" t="str">
        <f>"INV 9597529214/9597426163"</f>
        <v>INV 9597529214/9597426163</v>
      </c>
      <c r="H800" s="2">
        <v>244.55</v>
      </c>
      <c r="I800" t="str">
        <f>"INV 9597529214"</f>
        <v>INV 9597529214</v>
      </c>
    </row>
    <row r="801" spans="1:10" x14ac:dyDescent="0.3">
      <c r="A801" t="str">
        <f>""</f>
        <v/>
      </c>
      <c r="F801" t="str">
        <f>""</f>
        <v/>
      </c>
      <c r="G801" t="str">
        <f>""</f>
        <v/>
      </c>
      <c r="I801" t="str">
        <f>"INV 9597426163"</f>
        <v>INV 9597426163</v>
      </c>
    </row>
    <row r="802" spans="1:10" x14ac:dyDescent="0.3">
      <c r="A802" t="str">
        <f>"003416"</f>
        <v>003416</v>
      </c>
      <c r="B802" t="s">
        <v>223</v>
      </c>
      <c r="C802">
        <v>73584</v>
      </c>
      <c r="D802" s="2">
        <v>300</v>
      </c>
      <c r="E802" s="1">
        <v>43052</v>
      </c>
      <c r="F802" t="s">
        <v>60</v>
      </c>
      <c r="G802" t="s">
        <v>61</v>
      </c>
      <c r="H802" s="2" t="str">
        <f>"SERVICE"</f>
        <v>SERVICE</v>
      </c>
      <c r="I802" t="str">
        <f>"995-4110"</f>
        <v>995-4110</v>
      </c>
      <c r="J802">
        <v>300</v>
      </c>
    </row>
    <row r="803" spans="1:10" x14ac:dyDescent="0.3">
      <c r="A803" t="str">
        <f>"002141"</f>
        <v>002141</v>
      </c>
      <c r="B803" t="s">
        <v>224</v>
      </c>
      <c r="C803">
        <v>73876</v>
      </c>
      <c r="D803" s="2">
        <v>1882.6</v>
      </c>
      <c r="E803" s="1">
        <v>43066</v>
      </c>
      <c r="F803" t="str">
        <f>"198654"</f>
        <v>198654</v>
      </c>
      <c r="G803" t="str">
        <f>"ORD#184491"</f>
        <v>ORD#184491</v>
      </c>
      <c r="H803" s="2">
        <v>1882.6</v>
      </c>
      <c r="I803" t="str">
        <f>"ORD#184491"</f>
        <v>ORD#184491</v>
      </c>
    </row>
    <row r="804" spans="1:10" x14ac:dyDescent="0.3">
      <c r="A804" t="str">
        <f>"GTDI"</f>
        <v>GTDI</v>
      </c>
      <c r="B804" t="s">
        <v>225</v>
      </c>
      <c r="C804">
        <v>73877</v>
      </c>
      <c r="D804" s="2">
        <v>2612.15</v>
      </c>
      <c r="E804" s="1">
        <v>43066</v>
      </c>
      <c r="F804" t="str">
        <f>"HOLSTERS"</f>
        <v>HOLSTERS</v>
      </c>
      <c r="G804" t="str">
        <f>"QTE 0072009"</f>
        <v>QTE 0072009</v>
      </c>
      <c r="H804" s="2">
        <v>2612.15</v>
      </c>
      <c r="I804" t="str">
        <f>"INV0634762"</f>
        <v>INV0634762</v>
      </c>
    </row>
    <row r="805" spans="1:10" x14ac:dyDescent="0.3">
      <c r="A805" t="str">
        <f>""</f>
        <v/>
      </c>
      <c r="F805" t="str">
        <f>""</f>
        <v/>
      </c>
      <c r="G805" t="str">
        <f>""</f>
        <v/>
      </c>
      <c r="I805" t="str">
        <f>"INV0635540"</f>
        <v>INV0635540</v>
      </c>
    </row>
    <row r="806" spans="1:10" x14ac:dyDescent="0.3">
      <c r="A806" t="str">
        <f>""</f>
        <v/>
      </c>
      <c r="F806" t="str">
        <f>""</f>
        <v/>
      </c>
      <c r="G806" t="str">
        <f>""</f>
        <v/>
      </c>
      <c r="I806" t="str">
        <f>"QTE 0072009"</f>
        <v>QTE 0072009</v>
      </c>
    </row>
    <row r="807" spans="1:10" x14ac:dyDescent="0.3">
      <c r="A807" t="str">
        <f>""</f>
        <v/>
      </c>
      <c r="F807" t="str">
        <f>""</f>
        <v/>
      </c>
      <c r="G807" t="str">
        <f>""</f>
        <v/>
      </c>
      <c r="I807" t="str">
        <f>"QTE 0072009"</f>
        <v>QTE 0072009</v>
      </c>
    </row>
    <row r="808" spans="1:10" x14ac:dyDescent="0.3">
      <c r="A808" t="str">
        <f>""</f>
        <v/>
      </c>
      <c r="F808" t="str">
        <f>""</f>
        <v/>
      </c>
      <c r="G808" t="str">
        <f>""</f>
        <v/>
      </c>
      <c r="I808" t="str">
        <f>"SHIPPING"</f>
        <v>SHIPPING</v>
      </c>
    </row>
    <row r="809" spans="1:10" x14ac:dyDescent="0.3">
      <c r="A809" t="str">
        <f>"002838"</f>
        <v>002838</v>
      </c>
      <c r="B809" t="s">
        <v>226</v>
      </c>
      <c r="C809">
        <v>73585</v>
      </c>
      <c r="D809" s="2">
        <v>75</v>
      </c>
      <c r="E809" s="1">
        <v>43052</v>
      </c>
      <c r="F809" t="str">
        <f>"12078"</f>
        <v>12078</v>
      </c>
      <c r="G809" t="str">
        <f>"SERVICE  08/30/17"</f>
        <v>SERVICE  08/30/17</v>
      </c>
      <c r="H809" s="2">
        <v>75</v>
      </c>
      <c r="I809" t="str">
        <f>"SERVICE  08/30/17"</f>
        <v>SERVICE  08/30/17</v>
      </c>
    </row>
    <row r="810" spans="1:10" x14ac:dyDescent="0.3">
      <c r="A810" t="str">
        <f>"T3667"</f>
        <v>T3667</v>
      </c>
      <c r="B810" t="s">
        <v>227</v>
      </c>
      <c r="C810">
        <v>73586</v>
      </c>
      <c r="D810" s="2">
        <v>606.64</v>
      </c>
      <c r="E810" s="1">
        <v>43052</v>
      </c>
      <c r="F810" t="str">
        <f>"1401542"</f>
        <v>1401542</v>
      </c>
      <c r="G810" t="str">
        <f>"CUST#01/0007014928/ORD#LG3R6/0"</f>
        <v>CUST#01/0007014928/ORD#LG3R6/0</v>
      </c>
      <c r="H810" s="2">
        <v>606.64</v>
      </c>
      <c r="I810" t="str">
        <f>"CUST#01/0007014928/ORD#LG3R6/0"</f>
        <v>CUST#01/0007014928/ORD#LG3R6/0</v>
      </c>
    </row>
    <row r="811" spans="1:10" x14ac:dyDescent="0.3">
      <c r="A811" t="str">
        <f>"T3667"</f>
        <v>T3667</v>
      </c>
      <c r="B811" t="s">
        <v>227</v>
      </c>
      <c r="C811">
        <v>73878</v>
      </c>
      <c r="D811" s="2">
        <v>3800.89</v>
      </c>
      <c r="E811" s="1">
        <v>43066</v>
      </c>
      <c r="F811" t="str">
        <f>"1409072"</f>
        <v>1409072</v>
      </c>
      <c r="G811" t="str">
        <f>"CUST#0007014928/ORD#LG3R6/01"</f>
        <v>CUST#0007014928/ORD#LG3R6/01</v>
      </c>
      <c r="H811" s="2">
        <v>190.61</v>
      </c>
      <c r="I811" t="str">
        <f>"CUST#0007014928/ORD#LG3R6/01"</f>
        <v>CUST#0007014928/ORD#LG3R6/01</v>
      </c>
    </row>
    <row r="812" spans="1:10" x14ac:dyDescent="0.3">
      <c r="A812" t="str">
        <f>""</f>
        <v/>
      </c>
      <c r="F812" t="str">
        <f>"1409073"</f>
        <v>1409073</v>
      </c>
      <c r="G812" t="str">
        <f>"CUST#0007014928/ORD#LK0K0/00"</f>
        <v>CUST#0007014928/ORD#LK0K0/00</v>
      </c>
      <c r="H812" s="2">
        <v>237.2</v>
      </c>
      <c r="I812" t="str">
        <f>"CUST#0007014928/ORD#LK0K0/00"</f>
        <v>CUST#0007014928/ORD#LK0K0/00</v>
      </c>
    </row>
    <row r="813" spans="1:10" x14ac:dyDescent="0.3">
      <c r="A813" t="str">
        <f>""</f>
        <v/>
      </c>
      <c r="F813" t="str">
        <f>"1409075"</f>
        <v>1409075</v>
      </c>
      <c r="G813" t="str">
        <f>"INV 1409075"</f>
        <v>INV 1409075</v>
      </c>
      <c r="H813" s="2">
        <v>2383.9</v>
      </c>
      <c r="I813" t="str">
        <f>"INV 1409075"</f>
        <v>INV 1409075</v>
      </c>
    </row>
    <row r="814" spans="1:10" x14ac:dyDescent="0.3">
      <c r="A814" t="str">
        <f>""</f>
        <v/>
      </c>
      <c r="F814" t="str">
        <f>"1409160/1390142"</f>
        <v>1409160/1390142</v>
      </c>
      <c r="G814" t="str">
        <f>"INV 1409160"</f>
        <v>INV 1409160</v>
      </c>
      <c r="H814" s="2">
        <v>524.85</v>
      </c>
      <c r="I814" t="str">
        <f>"INV 1409160"</f>
        <v>INV 1409160</v>
      </c>
    </row>
    <row r="815" spans="1:10" x14ac:dyDescent="0.3">
      <c r="A815" t="str">
        <f>""</f>
        <v/>
      </c>
      <c r="F815" t="str">
        <f>""</f>
        <v/>
      </c>
      <c r="G815" t="str">
        <f>""</f>
        <v/>
      </c>
      <c r="I815" t="str">
        <f>"INV 1390142"</f>
        <v>INV 1390142</v>
      </c>
    </row>
    <row r="816" spans="1:10" x14ac:dyDescent="0.3">
      <c r="A816" t="str">
        <f>""</f>
        <v/>
      </c>
      <c r="F816" t="str">
        <f>"1412858"</f>
        <v>1412858</v>
      </c>
      <c r="G816" t="str">
        <f>"INV 1412858"</f>
        <v>INV 1412858</v>
      </c>
      <c r="H816" s="2">
        <v>73.260000000000005</v>
      </c>
      <c r="I816" t="str">
        <f>"INV 1412858"</f>
        <v>INV 1412858</v>
      </c>
    </row>
    <row r="817" spans="1:10" x14ac:dyDescent="0.3">
      <c r="A817" t="str">
        <f>""</f>
        <v/>
      </c>
      <c r="F817" t="str">
        <f>"1412864"</f>
        <v>1412864</v>
      </c>
      <c r="G817" t="str">
        <f>"CUST#0007014928/ORD#LL5P4/00"</f>
        <v>CUST#0007014928/ORD#LL5P4/00</v>
      </c>
      <c r="H817" s="2">
        <v>391.07</v>
      </c>
      <c r="I817" t="str">
        <f>"CUST#0007014928/ORD#LL5P4/00"</f>
        <v>CUST#0007014928/ORD#LL5P4/00</v>
      </c>
    </row>
    <row r="818" spans="1:10" x14ac:dyDescent="0.3">
      <c r="A818" t="str">
        <f>"005295"</f>
        <v>005295</v>
      </c>
      <c r="B818" t="s">
        <v>228</v>
      </c>
      <c r="C818">
        <v>73879</v>
      </c>
      <c r="D818" s="2">
        <v>5415.47</v>
      </c>
      <c r="E818" s="1">
        <v>43066</v>
      </c>
      <c r="F818" t="str">
        <f>"625911"</f>
        <v>625911</v>
      </c>
      <c r="G818" t="str">
        <f>"INV 625911 / LUTHER 98638"</f>
        <v>INV 625911 / LUTHER 98638</v>
      </c>
      <c r="H818" s="2">
        <v>5415.47</v>
      </c>
      <c r="I818" t="str">
        <f>"INV 625911 / LUTHER 98638"</f>
        <v>INV 625911 / LUTHER 98638</v>
      </c>
    </row>
    <row r="819" spans="1:10" x14ac:dyDescent="0.3">
      <c r="A819" t="str">
        <f>"T10755"</f>
        <v>T10755</v>
      </c>
      <c r="B819" t="s">
        <v>229</v>
      </c>
      <c r="C819">
        <v>73467</v>
      </c>
      <c r="D819" s="2">
        <v>136</v>
      </c>
      <c r="E819" s="1">
        <v>43048</v>
      </c>
      <c r="F819" t="str">
        <f>"201711096549"</f>
        <v>201711096549</v>
      </c>
      <c r="G819" t="str">
        <f>"REIMBURSE EMERGENCY PURCHASE"</f>
        <v>REIMBURSE EMERGENCY PURCHASE</v>
      </c>
      <c r="H819" s="2">
        <v>136</v>
      </c>
      <c r="I819" t="str">
        <f>"REIMBURSE EMERGENCY PURCHASE"</f>
        <v>REIMBURSE EMERGENCY PURCHASE</v>
      </c>
    </row>
    <row r="820" spans="1:10" x14ac:dyDescent="0.3">
      <c r="A820" t="str">
        <f>"T14120"</f>
        <v>T14120</v>
      </c>
      <c r="B820" t="s">
        <v>230</v>
      </c>
      <c r="C820">
        <v>999999</v>
      </c>
      <c r="D820" s="2">
        <v>85</v>
      </c>
      <c r="E820" s="1">
        <v>43067</v>
      </c>
      <c r="F820" t="str">
        <f>"296980"</f>
        <v>296980</v>
      </c>
      <c r="G820" t="str">
        <f>"ORD#387875/PCT#3"</f>
        <v>ORD#387875/PCT#3</v>
      </c>
      <c r="H820" s="2">
        <v>85</v>
      </c>
      <c r="I820" t="str">
        <f>"ORD#387875/PCT#3"</f>
        <v>ORD#387875/PCT#3</v>
      </c>
    </row>
    <row r="821" spans="1:10" x14ac:dyDescent="0.3">
      <c r="A821" t="str">
        <f>"004816"</f>
        <v>004816</v>
      </c>
      <c r="B821" t="s">
        <v>231</v>
      </c>
      <c r="C821">
        <v>73587</v>
      </c>
      <c r="D821" s="2">
        <v>35</v>
      </c>
      <c r="E821" s="1">
        <v>43052</v>
      </c>
      <c r="F821" t="str">
        <f>"201711086399"</f>
        <v>201711086399</v>
      </c>
      <c r="G821" t="str">
        <f>"FERAL HOGS"</f>
        <v>FERAL HOGS</v>
      </c>
      <c r="H821" s="2">
        <v>30</v>
      </c>
      <c r="I821" t="str">
        <f>"FERAL HOGS"</f>
        <v>FERAL HOGS</v>
      </c>
    </row>
    <row r="822" spans="1:10" x14ac:dyDescent="0.3">
      <c r="A822" t="str">
        <f>""</f>
        <v/>
      </c>
      <c r="F822" t="str">
        <f>"201711086400"</f>
        <v>201711086400</v>
      </c>
      <c r="G822" t="str">
        <f>"FERAL HOGS"</f>
        <v>FERAL HOGS</v>
      </c>
      <c r="H822" s="2">
        <v>5</v>
      </c>
      <c r="I822" t="str">
        <f>"FERAL HOGS"</f>
        <v>FERAL HOGS</v>
      </c>
    </row>
    <row r="823" spans="1:10" x14ac:dyDescent="0.3">
      <c r="A823" t="str">
        <f>"T13876"</f>
        <v>T13876</v>
      </c>
      <c r="B823" t="s">
        <v>232</v>
      </c>
      <c r="C823">
        <v>73880</v>
      </c>
      <c r="D823" s="2">
        <v>216881.26</v>
      </c>
      <c r="E823" s="1">
        <v>43066</v>
      </c>
      <c r="F823" t="str">
        <f>"00006220"</f>
        <v>00006220</v>
      </c>
      <c r="G823" t="str">
        <f>"PROJ#030601.000/BASCO FPP/TWDB"</f>
        <v>PROJ#030601.000/BASCO FPP/TWDB</v>
      </c>
      <c r="H823" s="2">
        <v>216881.26</v>
      </c>
      <c r="I823" t="str">
        <f>"PROJ#030601.000/BASCO FPP/TWDB"</f>
        <v>PROJ#030601.000/BASCO FPP/TWDB</v>
      </c>
    </row>
    <row r="824" spans="1:10" x14ac:dyDescent="0.3">
      <c r="A824" t="str">
        <f>"005207"</f>
        <v>005207</v>
      </c>
      <c r="B824" t="s">
        <v>233</v>
      </c>
      <c r="C824">
        <v>73588</v>
      </c>
      <c r="D824" s="2">
        <v>189.55</v>
      </c>
      <c r="E824" s="1">
        <v>43052</v>
      </c>
      <c r="F824" t="str">
        <f>"201710316083"</f>
        <v>201710316083</v>
      </c>
      <c r="G824" t="str">
        <f>"MILEAGE/OCT 17-19/PCT#2"</f>
        <v>MILEAGE/OCT 17-19/PCT#2</v>
      </c>
      <c r="H824" s="2">
        <v>189.55</v>
      </c>
      <c r="I824" t="str">
        <f>"MILEAGE/OCT 17-19/PCT#2"</f>
        <v>MILEAGE/OCT 17-19/PCT#2</v>
      </c>
    </row>
    <row r="825" spans="1:10" x14ac:dyDescent="0.3">
      <c r="A825" t="str">
        <f>"HEC"</f>
        <v>HEC</v>
      </c>
      <c r="B825" t="s">
        <v>234</v>
      </c>
      <c r="C825">
        <v>73589</v>
      </c>
      <c r="D825" s="2">
        <v>647.78</v>
      </c>
      <c r="E825" s="1">
        <v>43052</v>
      </c>
      <c r="F825" t="str">
        <f>"261018"</f>
        <v>261018</v>
      </c>
      <c r="G825" t="str">
        <f>"ACCT#BAS001/IT#0622010330/PCT3"</f>
        <v>ACCT#BAS001/IT#0622010330/PCT3</v>
      </c>
      <c r="H825" s="2">
        <v>647.78</v>
      </c>
      <c r="I825" t="str">
        <f>"ACCT#BAS001/IT#0622010330/PCT3"</f>
        <v>ACCT#BAS001/IT#0622010330/PCT3</v>
      </c>
    </row>
    <row r="826" spans="1:10" x14ac:dyDescent="0.3">
      <c r="A826" t="str">
        <f>"003170"</f>
        <v>003170</v>
      </c>
      <c r="B826" t="s">
        <v>235</v>
      </c>
      <c r="C826">
        <v>73590</v>
      </c>
      <c r="D826" s="2">
        <v>525</v>
      </c>
      <c r="E826" s="1">
        <v>43052</v>
      </c>
      <c r="F826" t="s">
        <v>60</v>
      </c>
      <c r="G826" t="s">
        <v>62</v>
      </c>
      <c r="H826" s="2" t="str">
        <f>"SERVICE"</f>
        <v>SERVICE</v>
      </c>
      <c r="I826" t="str">
        <f>"995-4110"</f>
        <v>995-4110</v>
      </c>
      <c r="J826">
        <v>75</v>
      </c>
    </row>
    <row r="827" spans="1:10" x14ac:dyDescent="0.3">
      <c r="A827" t="str">
        <f>""</f>
        <v/>
      </c>
      <c r="F827" t="str">
        <f>"11736"</f>
        <v>11736</v>
      </c>
      <c r="G827" t="str">
        <f>"SERVICE  09/28/17"</f>
        <v>SERVICE  09/28/17</v>
      </c>
      <c r="H827" s="2">
        <v>75</v>
      </c>
      <c r="I827" t="str">
        <f>"SERVICE  09/28/17"</f>
        <v>SERVICE  09/28/17</v>
      </c>
    </row>
    <row r="828" spans="1:10" x14ac:dyDescent="0.3">
      <c r="A828" t="str">
        <f>""</f>
        <v/>
      </c>
      <c r="F828" t="str">
        <f>"11865"</f>
        <v>11865</v>
      </c>
      <c r="G828" t="str">
        <f>"SERVICE  08/30/17"</f>
        <v>SERVICE  08/30/17</v>
      </c>
      <c r="H828" s="2">
        <v>75</v>
      </c>
      <c r="I828" t="str">
        <f>"SERVICE  08/30/17"</f>
        <v>SERVICE  08/30/17</v>
      </c>
    </row>
    <row r="829" spans="1:10" x14ac:dyDescent="0.3">
      <c r="A829" t="str">
        <f>""</f>
        <v/>
      </c>
      <c r="F829" t="s">
        <v>64</v>
      </c>
      <c r="G829" t="s">
        <v>68</v>
      </c>
      <c r="H829" s="2" t="str">
        <f>"SERVICE  09/06/17"</f>
        <v>SERVICE  09/06/17</v>
      </c>
      <c r="I829" t="str">
        <f>"995-4110"</f>
        <v>995-4110</v>
      </c>
      <c r="J829">
        <v>150</v>
      </c>
    </row>
    <row r="830" spans="1:10" x14ac:dyDescent="0.3">
      <c r="A830" t="str">
        <f>""</f>
        <v/>
      </c>
      <c r="F830" t="str">
        <f>"12267"</f>
        <v>12267</v>
      </c>
      <c r="G830" t="str">
        <f>"SERVICE  08/30/17"</f>
        <v>SERVICE  08/30/17</v>
      </c>
      <c r="H830" s="2">
        <v>75</v>
      </c>
      <c r="I830" t="str">
        <f>"SERVICE  08/30/17"</f>
        <v>SERVICE  08/30/17</v>
      </c>
    </row>
    <row r="831" spans="1:10" x14ac:dyDescent="0.3">
      <c r="A831" t="str">
        <f>""</f>
        <v/>
      </c>
      <c r="F831" t="str">
        <f>"12716"</f>
        <v>12716</v>
      </c>
      <c r="G831" t="str">
        <f>"SERVICE  09/11/17"</f>
        <v>SERVICE  09/11/17</v>
      </c>
      <c r="H831" s="2">
        <v>75</v>
      </c>
      <c r="I831" t="str">
        <f>"SERVICE  09/11/17"</f>
        <v>SERVICE  09/11/17</v>
      </c>
    </row>
    <row r="832" spans="1:10" x14ac:dyDescent="0.3">
      <c r="A832" t="str">
        <f>"003170"</f>
        <v>003170</v>
      </c>
      <c r="B832" t="s">
        <v>235</v>
      </c>
      <c r="C832">
        <v>73881</v>
      </c>
      <c r="D832" s="2">
        <v>70</v>
      </c>
      <c r="E832" s="1">
        <v>43066</v>
      </c>
      <c r="F832" t="str">
        <f>"5275"</f>
        <v>5275</v>
      </c>
      <c r="G832" t="str">
        <f>"SERVICE"</f>
        <v>SERVICE</v>
      </c>
      <c r="H832" s="2">
        <v>70</v>
      </c>
      <c r="I832" t="str">
        <f>"SERVICE"</f>
        <v>SERVICE</v>
      </c>
    </row>
    <row r="833" spans="1:9" x14ac:dyDescent="0.3">
      <c r="A833" t="str">
        <f>"002470"</f>
        <v>002470</v>
      </c>
      <c r="B833" t="s">
        <v>236</v>
      </c>
      <c r="C833">
        <v>73882</v>
      </c>
      <c r="D833" s="2">
        <v>75</v>
      </c>
      <c r="E833" s="1">
        <v>43066</v>
      </c>
      <c r="F833" t="str">
        <f>"12784"</f>
        <v>12784</v>
      </c>
      <c r="G833" t="str">
        <f>"SERVICE"</f>
        <v>SERVICE</v>
      </c>
      <c r="H833" s="2">
        <v>75</v>
      </c>
      <c r="I833" t="str">
        <f>"SERVICE"</f>
        <v>SERVICE</v>
      </c>
    </row>
    <row r="834" spans="1:9" x14ac:dyDescent="0.3">
      <c r="A834" t="str">
        <f>"001798"</f>
        <v>001798</v>
      </c>
      <c r="B834" t="s">
        <v>237</v>
      </c>
      <c r="C834">
        <v>73591</v>
      </c>
      <c r="D834" s="2">
        <v>302.07</v>
      </c>
      <c r="E834" s="1">
        <v>43052</v>
      </c>
      <c r="F834" t="str">
        <f>"51071"</f>
        <v>51071</v>
      </c>
      <c r="G834" t="str">
        <f>"Quote# 101617-03"</f>
        <v>Quote# 101617-03</v>
      </c>
      <c r="H834" s="2">
        <v>302.07</v>
      </c>
      <c r="I834" t="str">
        <f>"1HW710"</f>
        <v>1HW710</v>
      </c>
    </row>
    <row r="835" spans="1:9" x14ac:dyDescent="0.3">
      <c r="A835" t="str">
        <f>""</f>
        <v/>
      </c>
      <c r="F835" t="str">
        <f>""</f>
        <v/>
      </c>
      <c r="G835" t="str">
        <f>""</f>
        <v/>
      </c>
      <c r="I835" t="str">
        <f>"727708-01"</f>
        <v>727708-01</v>
      </c>
    </row>
    <row r="836" spans="1:9" x14ac:dyDescent="0.3">
      <c r="A836" t="str">
        <f>""</f>
        <v/>
      </c>
      <c r="F836" t="str">
        <f>""</f>
        <v/>
      </c>
      <c r="G836" t="str">
        <f>""</f>
        <v/>
      </c>
      <c r="I836" t="str">
        <f>"Freight"</f>
        <v>Freight</v>
      </c>
    </row>
    <row r="837" spans="1:9" x14ac:dyDescent="0.3">
      <c r="A837" t="str">
        <f>"005221"</f>
        <v>005221</v>
      </c>
      <c r="B837" t="s">
        <v>238</v>
      </c>
      <c r="C837">
        <v>73592</v>
      </c>
      <c r="D837" s="2">
        <v>1446.22</v>
      </c>
      <c r="E837" s="1">
        <v>43052</v>
      </c>
      <c r="F837" t="str">
        <f>"21810"</f>
        <v>21810</v>
      </c>
      <c r="G837" t="str">
        <f>"TICKET#84345/84404/84474/PCT#3"</f>
        <v>TICKET#84345/84404/84474/PCT#3</v>
      </c>
      <c r="H837" s="2">
        <v>871.63</v>
      </c>
      <c r="I837" t="str">
        <f>"TICKET#84345/84404/84474/PCT#3"</f>
        <v>TICKET#84345/84404/84474/PCT#3</v>
      </c>
    </row>
    <row r="838" spans="1:9" x14ac:dyDescent="0.3">
      <c r="A838" t="str">
        <f>""</f>
        <v/>
      </c>
      <c r="F838" t="str">
        <f>"21861"</f>
        <v>21861</v>
      </c>
      <c r="G838" t="str">
        <f>"TICKET#85139/85172/PCT#3"</f>
        <v>TICKET#85139/85172/PCT#3</v>
      </c>
      <c r="H838" s="2">
        <v>574.59</v>
      </c>
      <c r="I838" t="str">
        <f>"TICKET#85139/85172/PCT#3"</f>
        <v>TICKET#85139/85172/PCT#3</v>
      </c>
    </row>
    <row r="839" spans="1:9" x14ac:dyDescent="0.3">
      <c r="A839" t="str">
        <f>"005221"</f>
        <v>005221</v>
      </c>
      <c r="B839" t="s">
        <v>238</v>
      </c>
      <c r="C839">
        <v>73883</v>
      </c>
      <c r="D839" s="2">
        <v>254.4</v>
      </c>
      <c r="E839" s="1">
        <v>43066</v>
      </c>
      <c r="F839" t="str">
        <f>"21905"</f>
        <v>21905</v>
      </c>
      <c r="G839" t="str">
        <f>"TICKET#85748//ORD#9194/PCT#3"</f>
        <v>TICKET#85748//ORD#9194/PCT#3</v>
      </c>
      <c r="H839" s="2">
        <v>254.4</v>
      </c>
      <c r="I839" t="str">
        <f>"TICKET#85748//ORD#9194/PCT#3"</f>
        <v>TICKET#85748//ORD#9194/PCT#3</v>
      </c>
    </row>
    <row r="840" spans="1:9" x14ac:dyDescent="0.3">
      <c r="A840" t="str">
        <f>"000061"</f>
        <v>000061</v>
      </c>
      <c r="B840" t="s">
        <v>239</v>
      </c>
      <c r="C840">
        <v>73593</v>
      </c>
      <c r="D840" s="2">
        <v>772.97</v>
      </c>
      <c r="E840" s="1">
        <v>43052</v>
      </c>
      <c r="F840" t="str">
        <f>"293194"</f>
        <v>293194</v>
      </c>
      <c r="G840" t="str">
        <f>"ACCT#002628/PARTS/PCT#2"</f>
        <v>ACCT#002628/PARTS/PCT#2</v>
      </c>
      <c r="H840" s="2">
        <v>508.06</v>
      </c>
      <c r="I840" t="str">
        <f>"ACCT#002628/PARTS/PCT#2"</f>
        <v>ACCT#002628/PARTS/PCT#2</v>
      </c>
    </row>
    <row r="841" spans="1:9" x14ac:dyDescent="0.3">
      <c r="A841" t="str">
        <f>""</f>
        <v/>
      </c>
      <c r="F841" t="str">
        <f>"293236"</f>
        <v>293236</v>
      </c>
      <c r="G841" t="str">
        <f>"ACCT#002628/CAP/GASK/PCT#2"</f>
        <v>ACCT#002628/CAP/GASK/PCT#2</v>
      </c>
      <c r="H841" s="2">
        <v>264.91000000000003</v>
      </c>
      <c r="I841" t="str">
        <f>"HENNA CHEVROLET"</f>
        <v>HENNA CHEVROLET</v>
      </c>
    </row>
    <row r="842" spans="1:9" x14ac:dyDescent="0.3">
      <c r="A842" t="str">
        <f>"000061"</f>
        <v>000061</v>
      </c>
      <c r="B842" t="s">
        <v>239</v>
      </c>
      <c r="C842">
        <v>73884</v>
      </c>
      <c r="D842" s="2">
        <v>1640.8</v>
      </c>
      <c r="E842" s="1">
        <v>43066</v>
      </c>
      <c r="F842" t="str">
        <f>"294707"</f>
        <v>294707</v>
      </c>
      <c r="G842" t="str">
        <f>"ACCT#002628/PARTS/PCT#2"</f>
        <v>ACCT#002628/PARTS/PCT#2</v>
      </c>
      <c r="H842" s="2">
        <v>401.36</v>
      </c>
      <c r="I842" t="str">
        <f>"ACCT#002628/PARTS/PCT#2"</f>
        <v>ACCT#002628/PARTS/PCT#2</v>
      </c>
    </row>
    <row r="843" spans="1:9" x14ac:dyDescent="0.3">
      <c r="A843" t="str">
        <f>""</f>
        <v/>
      </c>
      <c r="F843" t="str">
        <f>"296043"</f>
        <v>296043</v>
      </c>
      <c r="G843" t="str">
        <f>"ACCT#002628/PARTS/PCT#2"</f>
        <v>ACCT#002628/PARTS/PCT#2</v>
      </c>
      <c r="H843" s="2">
        <v>988.74</v>
      </c>
      <c r="I843" t="str">
        <f>"ACCT#002628/PARTS/PCT#2"</f>
        <v>ACCT#002628/PARTS/PCT#2</v>
      </c>
    </row>
    <row r="844" spans="1:9" x14ac:dyDescent="0.3">
      <c r="A844" t="str">
        <f>""</f>
        <v/>
      </c>
      <c r="F844" t="str">
        <f>"296071"</f>
        <v>296071</v>
      </c>
      <c r="G844" t="str">
        <f>"ACCT#000061/PARTS/PCT#2"</f>
        <v>ACCT#000061/PARTS/PCT#2</v>
      </c>
      <c r="H844" s="2">
        <v>250.7</v>
      </c>
      <c r="I844" t="str">
        <f>"ACCT#000061/PARTS/PCT#2"</f>
        <v>ACCT#000061/PARTS/PCT#2</v>
      </c>
    </row>
    <row r="845" spans="1:9" x14ac:dyDescent="0.3">
      <c r="A845" t="str">
        <f>"STEEN"</f>
        <v>STEEN</v>
      </c>
      <c r="B845" t="s">
        <v>240</v>
      </c>
      <c r="C845">
        <v>73885</v>
      </c>
      <c r="D845" s="2">
        <v>380</v>
      </c>
      <c r="E845" s="1">
        <v>43066</v>
      </c>
      <c r="F845" t="str">
        <f>"8866"</f>
        <v>8866</v>
      </c>
      <c r="G845" t="str">
        <f>"SERVICE-$180 &amp; ABST FEE-$200"</f>
        <v>SERVICE-$180 &amp; ABST FEE-$200</v>
      </c>
      <c r="H845" s="2">
        <v>380</v>
      </c>
      <c r="I845" t="str">
        <f>"SERVICE-$180 &amp; ABST FEE-$200"</f>
        <v>SERVICE-$180 &amp; ABST FEE-$200</v>
      </c>
    </row>
    <row r="846" spans="1:9" x14ac:dyDescent="0.3">
      <c r="A846" t="str">
        <f>"004327"</f>
        <v>004327</v>
      </c>
      <c r="B846" t="s">
        <v>241</v>
      </c>
      <c r="C846">
        <v>73594</v>
      </c>
      <c r="D846" s="2">
        <v>55</v>
      </c>
      <c r="E846" s="1">
        <v>43052</v>
      </c>
      <c r="F846" t="str">
        <f>"201711086404"</f>
        <v>201711086404</v>
      </c>
      <c r="G846" t="str">
        <f>"FERAL HOGS"</f>
        <v>FERAL HOGS</v>
      </c>
      <c r="H846" s="2">
        <v>55</v>
      </c>
      <c r="I846" t="str">
        <f>"FERAL HOGS"</f>
        <v>FERAL HOGS</v>
      </c>
    </row>
    <row r="847" spans="1:9" x14ac:dyDescent="0.3">
      <c r="A847" t="str">
        <f>"004368"</f>
        <v>004368</v>
      </c>
      <c r="B847" t="s">
        <v>242</v>
      </c>
      <c r="C847">
        <v>73595</v>
      </c>
      <c r="D847" s="2">
        <v>185</v>
      </c>
      <c r="E847" s="1">
        <v>43052</v>
      </c>
      <c r="F847" t="str">
        <f>"201711086401"</f>
        <v>201711086401</v>
      </c>
      <c r="G847" t="str">
        <f>"FERAL HOGS"</f>
        <v>FERAL HOGS</v>
      </c>
      <c r="H847" s="2">
        <v>50</v>
      </c>
      <c r="I847" t="str">
        <f>"FERAL HOGS"</f>
        <v>FERAL HOGS</v>
      </c>
    </row>
    <row r="848" spans="1:9" x14ac:dyDescent="0.3">
      <c r="A848" t="str">
        <f>""</f>
        <v/>
      </c>
      <c r="F848" t="str">
        <f>"201711086402"</f>
        <v>201711086402</v>
      </c>
      <c r="G848" t="str">
        <f>"FERAL HOGS"</f>
        <v>FERAL HOGS</v>
      </c>
      <c r="H848" s="2">
        <v>45</v>
      </c>
      <c r="I848" t="str">
        <f>"FERAL HOGS"</f>
        <v>FERAL HOGS</v>
      </c>
    </row>
    <row r="849" spans="1:10" x14ac:dyDescent="0.3">
      <c r="A849" t="str">
        <f>""</f>
        <v/>
      </c>
      <c r="F849" t="str">
        <f>"201711086403"</f>
        <v>201711086403</v>
      </c>
      <c r="G849" t="str">
        <f>"FERAL HOGS"</f>
        <v>FERAL HOGS</v>
      </c>
      <c r="H849" s="2">
        <v>90</v>
      </c>
      <c r="I849" t="str">
        <f>"FERAL HOGS"</f>
        <v>FERAL HOGS</v>
      </c>
    </row>
    <row r="850" spans="1:10" x14ac:dyDescent="0.3">
      <c r="A850" t="str">
        <f>"004624"</f>
        <v>004624</v>
      </c>
      <c r="B850" t="s">
        <v>243</v>
      </c>
      <c r="C850">
        <v>73596</v>
      </c>
      <c r="D850" s="2">
        <v>100</v>
      </c>
      <c r="E850" s="1">
        <v>43052</v>
      </c>
      <c r="F850" t="s">
        <v>107</v>
      </c>
      <c r="G850" t="s">
        <v>244</v>
      </c>
      <c r="H850" s="2" t="str">
        <f>"RESTITUTION-M. FELTS"</f>
        <v>RESTITUTION-M. FELTS</v>
      </c>
      <c r="I850" t="str">
        <f>"210-0000"</f>
        <v>210-0000</v>
      </c>
      <c r="J850">
        <v>100</v>
      </c>
    </row>
    <row r="851" spans="1:10" x14ac:dyDescent="0.3">
      <c r="A851" t="str">
        <f>"HPC"</f>
        <v>HPC</v>
      </c>
      <c r="B851" t="s">
        <v>245</v>
      </c>
      <c r="C851">
        <v>999999</v>
      </c>
      <c r="D851" s="2">
        <v>650</v>
      </c>
      <c r="E851" s="1">
        <v>43053</v>
      </c>
      <c r="F851" t="str">
        <f>"PEST CONTROL-NOV"</f>
        <v>PEST CONTROL-NOV</v>
      </c>
      <c r="G851" t="str">
        <f>"BASCOM L HODGES JR"</f>
        <v>BASCOM L HODGES JR</v>
      </c>
      <c r="H851" s="2">
        <v>650</v>
      </c>
      <c r="I851" t="str">
        <f>""</f>
        <v/>
      </c>
    </row>
    <row r="852" spans="1:10" x14ac:dyDescent="0.3">
      <c r="A852" t="str">
        <f>"ECKEL"</f>
        <v>ECKEL</v>
      </c>
      <c r="B852" t="s">
        <v>246</v>
      </c>
      <c r="C852">
        <v>73597</v>
      </c>
      <c r="D852" s="2">
        <v>212.5</v>
      </c>
      <c r="E852" s="1">
        <v>43052</v>
      </c>
      <c r="F852" t="str">
        <f>"201710276023"</f>
        <v>201710276023</v>
      </c>
      <c r="G852" t="str">
        <f>"17-18114"</f>
        <v>17-18114</v>
      </c>
      <c r="H852" s="2">
        <v>212.5</v>
      </c>
      <c r="I852" t="str">
        <f>"17-18114"</f>
        <v>17-18114</v>
      </c>
    </row>
    <row r="853" spans="1:10" x14ac:dyDescent="0.3">
      <c r="A853" t="str">
        <f>"ECKEL"</f>
        <v>ECKEL</v>
      </c>
      <c r="B853" t="s">
        <v>246</v>
      </c>
      <c r="C853">
        <v>73886</v>
      </c>
      <c r="D853" s="2">
        <v>425</v>
      </c>
      <c r="E853" s="1">
        <v>43066</v>
      </c>
      <c r="F853" t="str">
        <f>"201711146583"</f>
        <v>201711146583</v>
      </c>
      <c r="G853" t="str">
        <f>"17-18535"</f>
        <v>17-18535</v>
      </c>
      <c r="H853" s="2">
        <v>175</v>
      </c>
      <c r="I853" t="str">
        <f>"17-18535"</f>
        <v>17-18535</v>
      </c>
    </row>
    <row r="854" spans="1:10" x14ac:dyDescent="0.3">
      <c r="A854" t="str">
        <f>""</f>
        <v/>
      </c>
      <c r="F854" t="str">
        <f>"201711166683"</f>
        <v>201711166683</v>
      </c>
      <c r="G854" t="str">
        <f>"55 371"</f>
        <v>55 371</v>
      </c>
      <c r="H854" s="2">
        <v>250</v>
      </c>
      <c r="I854" t="str">
        <f>"55 371"</f>
        <v>55 371</v>
      </c>
    </row>
    <row r="855" spans="1:10" x14ac:dyDescent="0.3">
      <c r="A855" t="str">
        <f>"HM"</f>
        <v>HM</v>
      </c>
      <c r="B855" t="s">
        <v>247</v>
      </c>
      <c r="C855">
        <v>73598</v>
      </c>
      <c r="D855" s="2">
        <v>5365.44</v>
      </c>
      <c r="E855" s="1">
        <v>43052</v>
      </c>
      <c r="F855" t="str">
        <f>"PIMA0273911"</f>
        <v>PIMA0273911</v>
      </c>
      <c r="G855" t="str">
        <f>"CUST#0129150/PARTS/PCT#3"</f>
        <v>CUST#0129150/PARTS/PCT#3</v>
      </c>
      <c r="H855" s="2">
        <v>290.95999999999998</v>
      </c>
      <c r="I855" t="str">
        <f>"CUST#0129150/PARTS/PCT#3"</f>
        <v>CUST#0129150/PARTS/PCT#3</v>
      </c>
    </row>
    <row r="856" spans="1:10" x14ac:dyDescent="0.3">
      <c r="A856" t="str">
        <f>""</f>
        <v/>
      </c>
      <c r="F856" t="str">
        <f>"PIMP0255855"</f>
        <v>PIMP0255855</v>
      </c>
      <c r="G856" t="str">
        <f>"CUST#0129200/PCT#4"</f>
        <v>CUST#0129200/PCT#4</v>
      </c>
      <c r="H856" s="2">
        <v>189.28</v>
      </c>
      <c r="I856" t="str">
        <f>"CUST#0129200/PCT#4"</f>
        <v>CUST#0129200/PCT#4</v>
      </c>
    </row>
    <row r="857" spans="1:10" x14ac:dyDescent="0.3">
      <c r="A857" t="str">
        <f>""</f>
        <v/>
      </c>
      <c r="F857" t="str">
        <f>"PIMP0255863"</f>
        <v>PIMP0255863</v>
      </c>
      <c r="G857" t="str">
        <f>"CUST#0129200/PCT#4"</f>
        <v>CUST#0129200/PCT#4</v>
      </c>
      <c r="H857" s="2">
        <v>216.32</v>
      </c>
      <c r="I857" t="str">
        <f>"CUST#0129200/PCT#4"</f>
        <v>CUST#0129200/PCT#4</v>
      </c>
    </row>
    <row r="858" spans="1:10" x14ac:dyDescent="0.3">
      <c r="A858" t="str">
        <f>""</f>
        <v/>
      </c>
      <c r="F858" t="str">
        <f>"PIMS0544197"</f>
        <v>PIMS0544197</v>
      </c>
      <c r="G858" t="str">
        <f>"CUST#0129150/PARTS/PCT#3"</f>
        <v>CUST#0129150/PARTS/PCT#3</v>
      </c>
      <c r="H858" s="2">
        <v>271.48</v>
      </c>
      <c r="I858" t="str">
        <f>"CUST#0129150/PARTS/PCT#3"</f>
        <v>CUST#0129150/PARTS/PCT#3</v>
      </c>
    </row>
    <row r="859" spans="1:10" x14ac:dyDescent="0.3">
      <c r="A859" t="str">
        <f>""</f>
        <v/>
      </c>
      <c r="F859" t="str">
        <f>"WIMA0097741"</f>
        <v>WIMA0097741</v>
      </c>
      <c r="G859" t="str">
        <f>"CUST#0129150/PCT#3"</f>
        <v>CUST#0129150/PCT#3</v>
      </c>
      <c r="H859" s="2">
        <v>4397.3999999999996</v>
      </c>
      <c r="I859" t="str">
        <f>"CUST#0129150/PCT#3"</f>
        <v>CUST#0129150/PCT#3</v>
      </c>
    </row>
    <row r="860" spans="1:10" x14ac:dyDescent="0.3">
      <c r="A860" t="str">
        <f>"HM"</f>
        <v>HM</v>
      </c>
      <c r="B860" t="s">
        <v>247</v>
      </c>
      <c r="C860">
        <v>73887</v>
      </c>
      <c r="D860" s="2">
        <v>721.4</v>
      </c>
      <c r="E860" s="1">
        <v>43066</v>
      </c>
      <c r="F860" t="str">
        <f>"PIKP0071498"</f>
        <v>PIKP0071498</v>
      </c>
      <c r="G860" t="str">
        <f>"CUST#0129100/PCT#2"</f>
        <v>CUST#0129100/PCT#2</v>
      </c>
      <c r="H860" s="2">
        <v>15.62</v>
      </c>
      <c r="I860" t="str">
        <f>"CUST#0129100/PCT#2"</f>
        <v>CUST#0129100/PCT#2</v>
      </c>
    </row>
    <row r="861" spans="1:10" x14ac:dyDescent="0.3">
      <c r="A861" t="str">
        <f>""</f>
        <v/>
      </c>
      <c r="F861" t="str">
        <f>"PIMA0263813"</f>
        <v>PIMA0263813</v>
      </c>
      <c r="G861" t="str">
        <f>"CUST#0129100/PCT#2"</f>
        <v>CUST#0129100/PCT#2</v>
      </c>
      <c r="H861" s="2">
        <v>24</v>
      </c>
      <c r="I861" t="str">
        <f>"CUST#0129100/PCT#2"</f>
        <v>CUST#0129100/PCT#2</v>
      </c>
    </row>
    <row r="862" spans="1:10" x14ac:dyDescent="0.3">
      <c r="A862" t="str">
        <f>""</f>
        <v/>
      </c>
      <c r="F862" t="str">
        <f>"PIMA0266736"</f>
        <v>PIMA0266736</v>
      </c>
      <c r="G862" t="str">
        <f>"CUST#0129100/PCT#2"</f>
        <v>CUST#0129100/PCT#2</v>
      </c>
      <c r="H862" s="2">
        <v>195.96</v>
      </c>
      <c r="I862" t="str">
        <f>"CUST#0129100/PCT#2"</f>
        <v>CUST#0129100/PCT#2</v>
      </c>
    </row>
    <row r="863" spans="1:10" x14ac:dyDescent="0.3">
      <c r="A863" t="str">
        <f>""</f>
        <v/>
      </c>
      <c r="F863" t="str">
        <f>"PIMA0275158"</f>
        <v>PIMA0275158</v>
      </c>
      <c r="G863" t="str">
        <f>"CUST#0129150/PARTS/PCT#3"</f>
        <v>CUST#0129150/PARTS/PCT#3</v>
      </c>
      <c r="H863" s="2">
        <v>220.28</v>
      </c>
      <c r="I863" t="str">
        <f>"CUST#0129150/PARTS/PCT#3"</f>
        <v>CUST#0129150/PARTS/PCT#3</v>
      </c>
    </row>
    <row r="864" spans="1:10" x14ac:dyDescent="0.3">
      <c r="A864" t="str">
        <f>""</f>
        <v/>
      </c>
      <c r="F864" t="str">
        <f>"PIMA0275159"</f>
        <v>PIMA0275159</v>
      </c>
      <c r="G864" t="str">
        <f>"CUST#0129150/PARTS/PCT#3"</f>
        <v>CUST#0129150/PARTS/PCT#3</v>
      </c>
      <c r="H864" s="2">
        <v>265.54000000000002</v>
      </c>
      <c r="I864" t="str">
        <f>"CUST#0129150/PARTS/PCT#3"</f>
        <v>CUST#0129150/PARTS/PCT#3</v>
      </c>
    </row>
    <row r="865" spans="1:9" x14ac:dyDescent="0.3">
      <c r="A865" t="str">
        <f>"T8869"</f>
        <v>T8869</v>
      </c>
      <c r="B865" t="s">
        <v>248</v>
      </c>
      <c r="C865">
        <v>73599</v>
      </c>
      <c r="D865" s="2">
        <v>1154.28</v>
      </c>
      <c r="E865" s="1">
        <v>43052</v>
      </c>
      <c r="F865" t="str">
        <f>"6035322531933780"</f>
        <v>6035322531933780</v>
      </c>
      <c r="G865" t="str">
        <f>"Acct# 6035322531933780"</f>
        <v>Acct# 6035322531933780</v>
      </c>
      <c r="H865" s="2">
        <v>164.38</v>
      </c>
      <c r="I865" t="str">
        <f>"Inv# 2013456"</f>
        <v>Inv# 2013456</v>
      </c>
    </row>
    <row r="866" spans="1:9" x14ac:dyDescent="0.3">
      <c r="A866" t="str">
        <f>""</f>
        <v/>
      </c>
      <c r="F866" t="str">
        <f>""</f>
        <v/>
      </c>
      <c r="G866" t="str">
        <f>""</f>
        <v/>
      </c>
      <c r="I866" t="str">
        <f>"Inv# 1013579"</f>
        <v>Inv# 1013579</v>
      </c>
    </row>
    <row r="867" spans="1:9" x14ac:dyDescent="0.3">
      <c r="A867" t="str">
        <f>""</f>
        <v/>
      </c>
      <c r="F867" t="str">
        <f>""</f>
        <v/>
      </c>
      <c r="G867" t="str">
        <f>""</f>
        <v/>
      </c>
      <c r="I867" t="str">
        <f>"Inv# 1570413"</f>
        <v>Inv# 1570413</v>
      </c>
    </row>
    <row r="868" spans="1:9" x14ac:dyDescent="0.3">
      <c r="A868" t="str">
        <f>""</f>
        <v/>
      </c>
      <c r="F868" t="str">
        <f>""</f>
        <v/>
      </c>
      <c r="G868" t="str">
        <f>""</f>
        <v/>
      </c>
      <c r="I868" t="str">
        <f>"Inv# 1570400"</f>
        <v>Inv# 1570400</v>
      </c>
    </row>
    <row r="869" spans="1:9" x14ac:dyDescent="0.3">
      <c r="A869" t="str">
        <f>""</f>
        <v/>
      </c>
      <c r="F869" t="str">
        <f>"STATEMENT 10/27/17"</f>
        <v>STATEMENT 10/27/17</v>
      </c>
      <c r="G869" t="str">
        <f>"Acct# 6035322531933780"</f>
        <v>Acct# 6035322531933780</v>
      </c>
      <c r="H869" s="2">
        <v>989.9</v>
      </c>
      <c r="I869" t="str">
        <f>"Inv# 4570809"</f>
        <v>Inv# 4570809</v>
      </c>
    </row>
    <row r="870" spans="1:9" x14ac:dyDescent="0.3">
      <c r="A870" t="str">
        <f>""</f>
        <v/>
      </c>
      <c r="F870" t="str">
        <f>""</f>
        <v/>
      </c>
      <c r="G870" t="str">
        <f>""</f>
        <v/>
      </c>
      <c r="I870" t="str">
        <f>"Inv# 2581178"</f>
        <v>Inv# 2581178</v>
      </c>
    </row>
    <row r="871" spans="1:9" x14ac:dyDescent="0.3">
      <c r="A871" t="str">
        <f>""</f>
        <v/>
      </c>
      <c r="F871" t="str">
        <f>""</f>
        <v/>
      </c>
      <c r="G871" t="str">
        <f>""</f>
        <v/>
      </c>
      <c r="I871" t="str">
        <f>"Inv# 2581178"</f>
        <v>Inv# 2581178</v>
      </c>
    </row>
    <row r="872" spans="1:9" x14ac:dyDescent="0.3">
      <c r="A872" t="str">
        <f>""</f>
        <v/>
      </c>
      <c r="F872" t="str">
        <f>""</f>
        <v/>
      </c>
      <c r="G872" t="str">
        <f>""</f>
        <v/>
      </c>
      <c r="I872" t="str">
        <f>"Inv# 4570809"</f>
        <v>Inv# 4570809</v>
      </c>
    </row>
    <row r="873" spans="1:9" x14ac:dyDescent="0.3">
      <c r="A873" t="str">
        <f>""</f>
        <v/>
      </c>
      <c r="F873" t="str">
        <f>""</f>
        <v/>
      </c>
      <c r="G873" t="str">
        <f>""</f>
        <v/>
      </c>
      <c r="I873" t="str">
        <f>"Inv# 7013955"</f>
        <v>Inv# 7013955</v>
      </c>
    </row>
    <row r="874" spans="1:9" x14ac:dyDescent="0.3">
      <c r="A874" t="str">
        <f>""</f>
        <v/>
      </c>
      <c r="F874" t="str">
        <f>""</f>
        <v/>
      </c>
      <c r="G874" t="str">
        <f>""</f>
        <v/>
      </c>
      <c r="I874" t="str">
        <f>"Inv# 14594"</f>
        <v>Inv# 14594</v>
      </c>
    </row>
    <row r="875" spans="1:9" x14ac:dyDescent="0.3">
      <c r="A875" t="str">
        <f>""</f>
        <v/>
      </c>
      <c r="F875" t="str">
        <f>""</f>
        <v/>
      </c>
      <c r="G875" t="str">
        <f>""</f>
        <v/>
      </c>
      <c r="I875" t="str">
        <f>"Inv# 590667"</f>
        <v>Inv# 590667</v>
      </c>
    </row>
    <row r="876" spans="1:9" x14ac:dyDescent="0.3">
      <c r="A876" t="str">
        <f>""</f>
        <v/>
      </c>
      <c r="F876" t="str">
        <f>""</f>
        <v/>
      </c>
      <c r="G876" t="str">
        <f>""</f>
        <v/>
      </c>
      <c r="I876" t="str">
        <f>"Inv# 1570413"</f>
        <v>Inv# 1570413</v>
      </c>
    </row>
    <row r="877" spans="1:9" x14ac:dyDescent="0.3">
      <c r="A877" t="str">
        <f>""</f>
        <v/>
      </c>
      <c r="F877" t="str">
        <f>""</f>
        <v/>
      </c>
      <c r="G877" t="str">
        <f>""</f>
        <v/>
      </c>
      <c r="I877" t="str">
        <f>"Inv# 8020430"</f>
        <v>Inv# 8020430</v>
      </c>
    </row>
    <row r="878" spans="1:9" x14ac:dyDescent="0.3">
      <c r="A878" t="str">
        <f>""</f>
        <v/>
      </c>
      <c r="F878" t="str">
        <f>""</f>
        <v/>
      </c>
      <c r="G878" t="str">
        <f>""</f>
        <v/>
      </c>
      <c r="I878" t="str">
        <f>"Inv# 7020511"</f>
        <v>Inv# 7020511</v>
      </c>
    </row>
    <row r="879" spans="1:9" x14ac:dyDescent="0.3">
      <c r="A879" t="str">
        <f>""</f>
        <v/>
      </c>
      <c r="F879" t="str">
        <f>""</f>
        <v/>
      </c>
      <c r="G879" t="str">
        <f>""</f>
        <v/>
      </c>
      <c r="I879" t="str">
        <f>"Inv# 5572192"</f>
        <v>Inv# 5572192</v>
      </c>
    </row>
    <row r="880" spans="1:9" x14ac:dyDescent="0.3">
      <c r="A880" t="str">
        <f>""</f>
        <v/>
      </c>
      <c r="F880" t="str">
        <f>""</f>
        <v/>
      </c>
      <c r="G880" t="str">
        <f>""</f>
        <v/>
      </c>
      <c r="I880" t="str">
        <f>"Inv# 4591086"</f>
        <v>Inv# 4591086</v>
      </c>
    </row>
    <row r="881" spans="1:9" x14ac:dyDescent="0.3">
      <c r="A881" t="str">
        <f>""</f>
        <v/>
      </c>
      <c r="F881" t="str">
        <f>""</f>
        <v/>
      </c>
      <c r="G881" t="str">
        <f>""</f>
        <v/>
      </c>
      <c r="I881" t="str">
        <f>"Inv# 4020938"</f>
        <v>Inv# 4020938</v>
      </c>
    </row>
    <row r="882" spans="1:9" x14ac:dyDescent="0.3">
      <c r="A882" t="str">
        <f>""</f>
        <v/>
      </c>
      <c r="F882" t="str">
        <f>""</f>
        <v/>
      </c>
      <c r="G882" t="str">
        <f>""</f>
        <v/>
      </c>
      <c r="I882" t="str">
        <f>"Inv# 7020562"</f>
        <v>Inv# 7020562</v>
      </c>
    </row>
    <row r="883" spans="1:9" x14ac:dyDescent="0.3">
      <c r="A883" t="str">
        <f>""</f>
        <v/>
      </c>
      <c r="F883" t="str">
        <f>""</f>
        <v/>
      </c>
      <c r="G883" t="str">
        <f>""</f>
        <v/>
      </c>
      <c r="I883" t="str">
        <f>"Inv# 4164033"</f>
        <v>Inv# 4164033</v>
      </c>
    </row>
    <row r="884" spans="1:9" x14ac:dyDescent="0.3">
      <c r="A884" t="str">
        <f>""</f>
        <v/>
      </c>
      <c r="F884" t="str">
        <f>""</f>
        <v/>
      </c>
      <c r="G884" t="str">
        <f>""</f>
        <v/>
      </c>
      <c r="I884" t="str">
        <f>"Inv# 8160177"</f>
        <v>Inv# 8160177</v>
      </c>
    </row>
    <row r="885" spans="1:9" x14ac:dyDescent="0.3">
      <c r="A885" t="str">
        <f>""</f>
        <v/>
      </c>
      <c r="F885" t="str">
        <f>""</f>
        <v/>
      </c>
      <c r="G885" t="str">
        <f>""</f>
        <v/>
      </c>
      <c r="I885" t="str">
        <f>"Inv# 8573913"</f>
        <v>Inv# 8573913</v>
      </c>
    </row>
    <row r="886" spans="1:9" x14ac:dyDescent="0.3">
      <c r="A886" t="str">
        <f>""</f>
        <v/>
      </c>
      <c r="F886" t="str">
        <f>""</f>
        <v/>
      </c>
      <c r="G886" t="str">
        <f>""</f>
        <v/>
      </c>
      <c r="I886" t="str">
        <f>"Inv# 7010721"</f>
        <v>Inv# 7010721</v>
      </c>
    </row>
    <row r="887" spans="1:9" x14ac:dyDescent="0.3">
      <c r="A887" t="str">
        <f>""</f>
        <v/>
      </c>
      <c r="F887" t="str">
        <f>""</f>
        <v/>
      </c>
      <c r="G887" t="str">
        <f>""</f>
        <v/>
      </c>
      <c r="I887" t="str">
        <f>"Inv# 7160215"</f>
        <v>Inv# 7160215</v>
      </c>
    </row>
    <row r="888" spans="1:9" x14ac:dyDescent="0.3">
      <c r="A888" t="str">
        <f>""</f>
        <v/>
      </c>
      <c r="F888" t="str">
        <f>""</f>
        <v/>
      </c>
      <c r="G888" t="str">
        <f>""</f>
        <v/>
      </c>
      <c r="I888" t="str">
        <f>"Inv# 5020788"</f>
        <v>Inv# 5020788</v>
      </c>
    </row>
    <row r="889" spans="1:9" x14ac:dyDescent="0.3">
      <c r="A889" t="str">
        <f>"003342"</f>
        <v>003342</v>
      </c>
      <c r="B889" t="s">
        <v>249</v>
      </c>
      <c r="C889">
        <v>73600</v>
      </c>
      <c r="D889" s="2">
        <v>10</v>
      </c>
      <c r="E889" s="1">
        <v>43052</v>
      </c>
      <c r="F889" t="str">
        <f>"201711086405"</f>
        <v>201711086405</v>
      </c>
      <c r="G889" t="str">
        <f>"FERAL HOGS"</f>
        <v>FERAL HOGS</v>
      </c>
      <c r="H889" s="2">
        <v>10</v>
      </c>
      <c r="I889" t="str">
        <f>"FERAL HOGS"</f>
        <v>FERAL HOGS</v>
      </c>
    </row>
    <row r="890" spans="1:9" x14ac:dyDescent="0.3">
      <c r="A890" t="str">
        <f>"003653"</f>
        <v>003653</v>
      </c>
      <c r="B890" t="s">
        <v>250</v>
      </c>
      <c r="C890">
        <v>73463</v>
      </c>
      <c r="D890" s="2">
        <v>1791.87</v>
      </c>
      <c r="E890" s="1">
        <v>43048</v>
      </c>
      <c r="F890" t="str">
        <f>"S1711020001-00035"</f>
        <v>S1711020001-00035</v>
      </c>
      <c r="G890" t="str">
        <f>"ACCT#100402264 / 11/02/2017"</f>
        <v>ACCT#100402264 / 11/02/2017</v>
      </c>
      <c r="H890" s="2">
        <v>1791.87</v>
      </c>
      <c r="I890" t="str">
        <f>"ACCT#100402264 / 11/02/2017"</f>
        <v>ACCT#100402264 / 11/02/2017</v>
      </c>
    </row>
    <row r="891" spans="1:9" x14ac:dyDescent="0.3">
      <c r="A891" t="str">
        <f>""</f>
        <v/>
      </c>
      <c r="F891" t="str">
        <f>""</f>
        <v/>
      </c>
      <c r="G891" t="str">
        <f>""</f>
        <v/>
      </c>
      <c r="I891" t="str">
        <f>"ACCT#100402264 / 11/02/2017"</f>
        <v>ACCT#100402264 / 11/02/2017</v>
      </c>
    </row>
    <row r="892" spans="1:9" x14ac:dyDescent="0.3">
      <c r="A892" t="str">
        <f>""</f>
        <v/>
      </c>
      <c r="F892" t="str">
        <f>""</f>
        <v/>
      </c>
      <c r="G892" t="str">
        <f>""</f>
        <v/>
      </c>
      <c r="I892" t="str">
        <f>"ACCT#100402264 / 11/02/2017"</f>
        <v>ACCT#100402264 / 11/02/2017</v>
      </c>
    </row>
    <row r="893" spans="1:9" x14ac:dyDescent="0.3">
      <c r="A893" t="str">
        <f>"T6791"</f>
        <v>T6791</v>
      </c>
      <c r="B893" t="s">
        <v>251</v>
      </c>
      <c r="C893">
        <v>73601</v>
      </c>
      <c r="D893" s="2">
        <v>1195</v>
      </c>
      <c r="E893" s="1">
        <v>43052</v>
      </c>
      <c r="F893" t="str">
        <f>"0195773-IN"</f>
        <v>0195773-IN</v>
      </c>
      <c r="G893" t="str">
        <f>"ORD#0195773/CUST#195773"</f>
        <v>ORD#0195773/CUST#195773</v>
      </c>
      <c r="H893" s="2">
        <v>1195</v>
      </c>
      <c r="I893" t="str">
        <f>"ORD#0195773/CUST#195773"</f>
        <v>ORD#0195773/CUST#195773</v>
      </c>
    </row>
    <row r="894" spans="1:9" x14ac:dyDescent="0.3">
      <c r="A894" t="str">
        <f>"004973"</f>
        <v>004973</v>
      </c>
      <c r="B894" t="s">
        <v>252</v>
      </c>
      <c r="C894">
        <v>73602</v>
      </c>
      <c r="D894" s="2">
        <v>1060</v>
      </c>
      <c r="E894" s="1">
        <v>43052</v>
      </c>
      <c r="F894" t="str">
        <f>"201711086406"</f>
        <v>201711086406</v>
      </c>
      <c r="G894" t="str">
        <f>"FERAL HOGS"</f>
        <v>FERAL HOGS</v>
      </c>
      <c r="H894" s="2">
        <v>150</v>
      </c>
      <c r="I894" t="str">
        <f>"FERAL HOGS"</f>
        <v>FERAL HOGS</v>
      </c>
    </row>
    <row r="895" spans="1:9" x14ac:dyDescent="0.3">
      <c r="A895" t="str">
        <f>""</f>
        <v/>
      </c>
      <c r="F895" t="str">
        <f>"201711086407"</f>
        <v>201711086407</v>
      </c>
      <c r="G895" t="str">
        <f>"FERAL HOGS"</f>
        <v>FERAL HOGS</v>
      </c>
      <c r="H895" s="2">
        <v>190</v>
      </c>
      <c r="I895" t="str">
        <f>"FERAL HOGS"</f>
        <v>FERAL HOGS</v>
      </c>
    </row>
    <row r="896" spans="1:9" x14ac:dyDescent="0.3">
      <c r="A896" t="str">
        <f>""</f>
        <v/>
      </c>
      <c r="F896" t="str">
        <f>"201711086408"</f>
        <v>201711086408</v>
      </c>
      <c r="G896" t="str">
        <f>"FERAL HOGS"</f>
        <v>FERAL HOGS</v>
      </c>
      <c r="H896" s="2">
        <v>515</v>
      </c>
      <c r="I896" t="str">
        <f>"FERAL HOGS"</f>
        <v>FERAL HOGS</v>
      </c>
    </row>
    <row r="897" spans="1:9" x14ac:dyDescent="0.3">
      <c r="A897" t="str">
        <f>""</f>
        <v/>
      </c>
      <c r="F897" t="str">
        <f>"201711086409"</f>
        <v>201711086409</v>
      </c>
      <c r="G897" t="str">
        <f>"FERAL HOGS"</f>
        <v>FERAL HOGS</v>
      </c>
      <c r="H897" s="2">
        <v>205</v>
      </c>
      <c r="I897" t="str">
        <f>"FERAL HOGS"</f>
        <v>FERAL HOGS</v>
      </c>
    </row>
    <row r="898" spans="1:9" x14ac:dyDescent="0.3">
      <c r="A898" t="str">
        <f>"003545"</f>
        <v>003545</v>
      </c>
      <c r="B898" t="s">
        <v>253</v>
      </c>
      <c r="C898">
        <v>73603</v>
      </c>
      <c r="D898" s="2">
        <v>1052.25</v>
      </c>
      <c r="E898" s="1">
        <v>43052</v>
      </c>
      <c r="F898" t="str">
        <f>"101014"</f>
        <v>101014</v>
      </c>
      <c r="G898" t="str">
        <f>"CYL REPAIR/PCT#3"</f>
        <v>CYL REPAIR/PCT#3</v>
      </c>
      <c r="H898" s="2">
        <v>960</v>
      </c>
      <c r="I898" t="str">
        <f>"CYL REPAIR/PCT#3"</f>
        <v>CYL REPAIR/PCT#3</v>
      </c>
    </row>
    <row r="899" spans="1:9" x14ac:dyDescent="0.3">
      <c r="A899" t="str">
        <f>""</f>
        <v/>
      </c>
      <c r="F899" t="str">
        <f>"101020"</f>
        <v>101020</v>
      </c>
      <c r="G899" t="str">
        <f>"WIRE BRAID HOSE/PCT#3"</f>
        <v>WIRE BRAID HOSE/PCT#3</v>
      </c>
      <c r="H899" s="2">
        <v>92.25</v>
      </c>
      <c r="I899" t="str">
        <f>"WIRE BRAID HOSE/PCT#3"</f>
        <v>WIRE BRAID HOSE/PCT#3</v>
      </c>
    </row>
    <row r="900" spans="1:9" x14ac:dyDescent="0.3">
      <c r="A900" t="str">
        <f>"003545"</f>
        <v>003545</v>
      </c>
      <c r="B900" t="s">
        <v>253</v>
      </c>
      <c r="C900">
        <v>73888</v>
      </c>
      <c r="D900" s="2">
        <v>78.64</v>
      </c>
      <c r="E900" s="1">
        <v>43066</v>
      </c>
      <c r="F900" t="str">
        <f>"101081"</f>
        <v>101081</v>
      </c>
      <c r="G900" t="str">
        <f>"WIRE BRAID HOSE/PCT#3"</f>
        <v>WIRE BRAID HOSE/PCT#3</v>
      </c>
      <c r="H900" s="2">
        <v>78.64</v>
      </c>
      <c r="I900" t="str">
        <f>"WIRE BRAID HOSE/PCT#3"</f>
        <v>WIRE BRAID HOSE/PCT#3</v>
      </c>
    </row>
    <row r="901" spans="1:9" x14ac:dyDescent="0.3">
      <c r="A901" t="str">
        <f>"004716"</f>
        <v>004716</v>
      </c>
      <c r="B901" t="s">
        <v>254</v>
      </c>
      <c r="C901">
        <v>73604</v>
      </c>
      <c r="D901" s="2">
        <v>114.04</v>
      </c>
      <c r="E901" s="1">
        <v>43052</v>
      </c>
      <c r="F901" t="str">
        <f>"201711086493"</f>
        <v>201711086493</v>
      </c>
      <c r="G901" t="str">
        <f>"INDIGENT HEALTH"</f>
        <v>INDIGENT HEALTH</v>
      </c>
      <c r="H901" s="2">
        <v>114.04</v>
      </c>
      <c r="I901" t="str">
        <f>"INDIGENT HEALTH"</f>
        <v>INDIGENT HEALTH</v>
      </c>
    </row>
    <row r="902" spans="1:9" x14ac:dyDescent="0.3">
      <c r="A902" t="str">
        <f>"T11576"</f>
        <v>T11576</v>
      </c>
      <c r="B902" t="s">
        <v>255</v>
      </c>
      <c r="C902">
        <v>999999</v>
      </c>
      <c r="D902" s="2">
        <v>2430</v>
      </c>
      <c r="E902" s="1">
        <v>43067</v>
      </c>
      <c r="F902" t="str">
        <f>"64932"</f>
        <v>64932</v>
      </c>
      <c r="G902" t="str">
        <f>"PROFESSIONAL SVCS-DECEMBER2017"</f>
        <v>PROFESSIONAL SVCS-DECEMBER2017</v>
      </c>
      <c r="H902" s="2">
        <v>2430</v>
      </c>
      <c r="I902" t="str">
        <f>"PROFESSIONAL SVCS-DECEMBER2017"</f>
        <v>PROFESSIONAL SVCS-DECEMBER2017</v>
      </c>
    </row>
    <row r="903" spans="1:9" x14ac:dyDescent="0.3">
      <c r="A903" t="str">
        <f>""</f>
        <v/>
      </c>
      <c r="F903" t="str">
        <f>""</f>
        <v/>
      </c>
      <c r="G903" t="str">
        <f>""</f>
        <v/>
      </c>
      <c r="I903" t="str">
        <f>"PROFESSIONAL SVCS-DECEMBER2017"</f>
        <v>PROFESSIONAL SVCS-DECEMBER2017</v>
      </c>
    </row>
    <row r="904" spans="1:9" x14ac:dyDescent="0.3">
      <c r="A904" t="str">
        <f>"005163"</f>
        <v>005163</v>
      </c>
      <c r="B904" t="s">
        <v>256</v>
      </c>
      <c r="C904">
        <v>73605</v>
      </c>
      <c r="D904" s="2">
        <v>1382.1</v>
      </c>
      <c r="E904" s="1">
        <v>43052</v>
      </c>
      <c r="F904" t="str">
        <f>"201710255957"</f>
        <v>201710255957</v>
      </c>
      <c r="G904" t="str">
        <f>"REIMBURSE-CCL SALARY/MILEAGE"</f>
        <v>REIMBURSE-CCL SALARY/MILEAGE</v>
      </c>
      <c r="H904" s="2">
        <v>1382.1</v>
      </c>
      <c r="I904" t="str">
        <f>"REIMBURSE-CCL SALARY/MILEAGE"</f>
        <v>REIMBURSE-CCL SALARY/MILEAGE</v>
      </c>
    </row>
    <row r="905" spans="1:9" x14ac:dyDescent="0.3">
      <c r="A905" t="str">
        <f>"005163"</f>
        <v>005163</v>
      </c>
      <c r="B905" t="s">
        <v>256</v>
      </c>
      <c r="C905">
        <v>73889</v>
      </c>
      <c r="D905" s="2">
        <v>349.02</v>
      </c>
      <c r="E905" s="1">
        <v>43066</v>
      </c>
      <c r="F905" t="str">
        <f>"201711146554"</f>
        <v>201711146554</v>
      </c>
      <c r="G905" t="str">
        <f>"MILEAGE REIMBURSEMENT"</f>
        <v>MILEAGE REIMBURSEMENT</v>
      </c>
      <c r="H905" s="2">
        <v>87.31</v>
      </c>
      <c r="I905" t="str">
        <f>"MILEAGE REIMBURSEMENT"</f>
        <v>MILEAGE REIMBURSEMENT</v>
      </c>
    </row>
    <row r="906" spans="1:9" x14ac:dyDescent="0.3">
      <c r="A906" t="str">
        <f>""</f>
        <v/>
      </c>
      <c r="F906" t="str">
        <f>"201711166684"</f>
        <v>201711166684</v>
      </c>
      <c r="G906" t="str">
        <f>"MILEAGE"</f>
        <v>MILEAGE</v>
      </c>
      <c r="H906" s="2">
        <v>174.4</v>
      </c>
      <c r="I906" t="str">
        <f>"MILEAGE/SALARY"</f>
        <v>MILEAGE/SALARY</v>
      </c>
    </row>
    <row r="907" spans="1:9" x14ac:dyDescent="0.3">
      <c r="A907" t="str">
        <f>""</f>
        <v/>
      </c>
      <c r="F907" t="str">
        <f>"201711166685"</f>
        <v>201711166685</v>
      </c>
      <c r="G907" t="str">
        <f>"MILEAGE"</f>
        <v>MILEAGE</v>
      </c>
      <c r="H907" s="2">
        <v>87.31</v>
      </c>
      <c r="I907" t="str">
        <f>"MILEAGE"</f>
        <v>MILEAGE</v>
      </c>
    </row>
    <row r="908" spans="1:9" x14ac:dyDescent="0.3">
      <c r="A908" t="str">
        <f>"T7585"</f>
        <v>T7585</v>
      </c>
      <c r="B908" t="s">
        <v>257</v>
      </c>
      <c r="C908">
        <v>999999</v>
      </c>
      <c r="D908" s="2">
        <v>440</v>
      </c>
      <c r="E908" s="1">
        <v>43053</v>
      </c>
      <c r="F908" t="str">
        <f>"14391"</f>
        <v>14391</v>
      </c>
      <c r="G908" t="str">
        <f>"CONSTRUCTION UNIT RENTAL"</f>
        <v>CONSTRUCTION UNIT RENTAL</v>
      </c>
      <c r="H908" s="2">
        <v>260</v>
      </c>
      <c r="I908" t="str">
        <f>"CONSTRUCTION UNIT RENTAL"</f>
        <v>CONSTRUCTION UNIT RENTAL</v>
      </c>
    </row>
    <row r="909" spans="1:9" x14ac:dyDescent="0.3">
      <c r="A909" t="str">
        <f>""</f>
        <v/>
      </c>
      <c r="F909" t="str">
        <f>"14451"</f>
        <v>14451</v>
      </c>
      <c r="G909" t="str">
        <f>"CONSTRUCTION/FUEL CHRG/PCT4"</f>
        <v>CONSTRUCTION/FUEL CHRG/PCT4</v>
      </c>
      <c r="H909" s="2">
        <v>180</v>
      </c>
      <c r="I909" t="str">
        <f>"CONSTRUCTION/FUEL CHRG/PCT4"</f>
        <v>CONSTRUCTION/FUEL CHRG/PCT4</v>
      </c>
    </row>
    <row r="910" spans="1:9" x14ac:dyDescent="0.3">
      <c r="A910" t="str">
        <f>"T5361"</f>
        <v>T5361</v>
      </c>
      <c r="B910" t="s">
        <v>258</v>
      </c>
      <c r="C910">
        <v>73606</v>
      </c>
      <c r="D910" s="2">
        <v>10</v>
      </c>
      <c r="E910" s="1">
        <v>43052</v>
      </c>
      <c r="F910" t="str">
        <f>"201711086410"</f>
        <v>201711086410</v>
      </c>
      <c r="G910" t="str">
        <f>"FERAL HOGS"</f>
        <v>FERAL HOGS</v>
      </c>
      <c r="H910" s="2">
        <v>10</v>
      </c>
      <c r="I910" t="str">
        <f>"FERAL HOGS"</f>
        <v>FERAL HOGS</v>
      </c>
    </row>
    <row r="911" spans="1:9" x14ac:dyDescent="0.3">
      <c r="A911" t="str">
        <f>"002310"</f>
        <v>002310</v>
      </c>
      <c r="B911" t="s">
        <v>259</v>
      </c>
      <c r="C911">
        <v>73607</v>
      </c>
      <c r="D911" s="2">
        <v>60</v>
      </c>
      <c r="E911" s="1">
        <v>43052</v>
      </c>
      <c r="F911" t="str">
        <f>"201711086423"</f>
        <v>201711086423</v>
      </c>
      <c r="G911" t="str">
        <f>"PER DIEM-IT CONFERENCE"</f>
        <v>PER DIEM-IT CONFERENCE</v>
      </c>
      <c r="H911" s="2">
        <v>60</v>
      </c>
      <c r="I911" t="str">
        <f>"TRAVEL ADVANCE-IT CONFERENCE"</f>
        <v>TRAVEL ADVANCE-IT CONFERENCE</v>
      </c>
    </row>
    <row r="912" spans="1:9" x14ac:dyDescent="0.3">
      <c r="A912" t="str">
        <f>"005135"</f>
        <v>005135</v>
      </c>
      <c r="B912" t="s">
        <v>260</v>
      </c>
      <c r="C912">
        <v>73609</v>
      </c>
      <c r="D912" s="2">
        <v>90.2</v>
      </c>
      <c r="E912" s="1">
        <v>43052</v>
      </c>
      <c r="F912" t="str">
        <f>"201710255972"</f>
        <v>201710255972</v>
      </c>
      <c r="G912" t="str">
        <f>"MILEAGE REIMBURSEMENT"</f>
        <v>MILEAGE REIMBURSEMENT</v>
      </c>
      <c r="H912" s="2">
        <v>90.2</v>
      </c>
      <c r="I912" t="str">
        <f>"MILEAGE REIMBURSEMENT"</f>
        <v>MILEAGE REIMBURSEMENT</v>
      </c>
    </row>
    <row r="913" spans="1:10" x14ac:dyDescent="0.3">
      <c r="A913" t="str">
        <f>"005135"</f>
        <v>005135</v>
      </c>
      <c r="B913" t="s">
        <v>260</v>
      </c>
      <c r="C913">
        <v>73891</v>
      </c>
      <c r="D913" s="2">
        <v>90.2</v>
      </c>
      <c r="E913" s="1">
        <v>43066</v>
      </c>
      <c r="F913" t="str">
        <f>"201711146553"</f>
        <v>201711146553</v>
      </c>
      <c r="G913" t="str">
        <f>"MILEAGE REIMBURSEMENT"</f>
        <v>MILEAGE REIMBURSEMENT</v>
      </c>
      <c r="H913" s="2">
        <v>90.2</v>
      </c>
      <c r="I913" t="str">
        <f>"MILEAGE REIMBURSEMENT"</f>
        <v>MILEAGE REIMBURSEMENT</v>
      </c>
    </row>
    <row r="914" spans="1:10" x14ac:dyDescent="0.3">
      <c r="A914" t="str">
        <f>"005229"</f>
        <v>005229</v>
      </c>
      <c r="B914" t="s">
        <v>261</v>
      </c>
      <c r="C914">
        <v>73890</v>
      </c>
      <c r="D914" s="2">
        <v>300</v>
      </c>
      <c r="E914" s="1">
        <v>43066</v>
      </c>
      <c r="F914" t="str">
        <f>"201711146561"</f>
        <v>201711146561</v>
      </c>
      <c r="G914" t="str">
        <f>"CAUSE#16015"</f>
        <v>CAUSE#16015</v>
      </c>
      <c r="H914" s="2">
        <v>300</v>
      </c>
      <c r="I914" t="str">
        <f>"CAUSE#16015"</f>
        <v>CAUSE#16015</v>
      </c>
    </row>
    <row r="915" spans="1:10" x14ac:dyDescent="0.3">
      <c r="A915" t="str">
        <f>"JOB"</f>
        <v>JOB</v>
      </c>
      <c r="B915" t="s">
        <v>262</v>
      </c>
      <c r="C915">
        <v>73608</v>
      </c>
      <c r="D915" s="2">
        <v>500</v>
      </c>
      <c r="E915" s="1">
        <v>43052</v>
      </c>
      <c r="F915" t="str">
        <f>"201710276020"</f>
        <v>201710276020</v>
      </c>
      <c r="G915" t="str">
        <f>"48 330"</f>
        <v>48 330</v>
      </c>
      <c r="H915" s="2">
        <v>250</v>
      </c>
      <c r="I915" t="str">
        <f>"48 330"</f>
        <v>48 330</v>
      </c>
    </row>
    <row r="916" spans="1:10" x14ac:dyDescent="0.3">
      <c r="A916" t="str">
        <f>""</f>
        <v/>
      </c>
      <c r="F916" t="str">
        <f>"201710276021"</f>
        <v>201710276021</v>
      </c>
      <c r="G916" t="str">
        <f>"54 321"</f>
        <v>54 321</v>
      </c>
      <c r="H916" s="2">
        <v>250</v>
      </c>
      <c r="I916" t="str">
        <f>"54 321"</f>
        <v>54 321</v>
      </c>
    </row>
    <row r="917" spans="1:10" x14ac:dyDescent="0.3">
      <c r="A917" t="str">
        <f>"005291"</f>
        <v>005291</v>
      </c>
      <c r="B917" t="s">
        <v>263</v>
      </c>
      <c r="C917">
        <v>73610</v>
      </c>
      <c r="D917" s="2">
        <v>80</v>
      </c>
      <c r="E917" s="1">
        <v>43052</v>
      </c>
      <c r="F917" t="str">
        <f>"201711086530"</f>
        <v>201711086530</v>
      </c>
      <c r="G917" t="str">
        <f>"TRAVEL REIMBURSEMENT"</f>
        <v>TRAVEL REIMBURSEMENT</v>
      </c>
      <c r="H917" s="2">
        <v>80</v>
      </c>
      <c r="I917" t="str">
        <f>"TRAVEL REIMBURSEMENT"</f>
        <v>TRAVEL REIMBURSEMENT</v>
      </c>
    </row>
    <row r="918" spans="1:10" x14ac:dyDescent="0.3">
      <c r="A918" t="str">
        <f>"T7860"</f>
        <v>T7860</v>
      </c>
      <c r="B918" t="s">
        <v>264</v>
      </c>
      <c r="C918">
        <v>999999</v>
      </c>
      <c r="D918" s="2">
        <v>2900</v>
      </c>
      <c r="E918" s="1">
        <v>43053</v>
      </c>
      <c r="F918" t="s">
        <v>60</v>
      </c>
      <c r="G918" t="s">
        <v>61</v>
      </c>
      <c r="H918" s="2" t="str">
        <f>"AD LITEM FEE"</f>
        <v>AD LITEM FEE</v>
      </c>
      <c r="I918" t="str">
        <f>"995-4110"</f>
        <v>995-4110</v>
      </c>
      <c r="J918">
        <v>150</v>
      </c>
    </row>
    <row r="919" spans="1:10" x14ac:dyDescent="0.3">
      <c r="A919" t="str">
        <f>""</f>
        <v/>
      </c>
      <c r="F919" t="s">
        <v>60</v>
      </c>
      <c r="G919" t="s">
        <v>62</v>
      </c>
      <c r="H919" s="2" t="str">
        <f>"AD LITEM FEE"</f>
        <v>AD LITEM FEE</v>
      </c>
      <c r="I919" t="str">
        <f>"995-4110"</f>
        <v>995-4110</v>
      </c>
      <c r="J919">
        <v>150</v>
      </c>
    </row>
    <row r="920" spans="1:10" x14ac:dyDescent="0.3">
      <c r="A920" t="str">
        <f>""</f>
        <v/>
      </c>
      <c r="F920" t="str">
        <f>"11651"</f>
        <v>11651</v>
      </c>
      <c r="G920" t="str">
        <f>"AD LITEM FEE  09/29/17"</f>
        <v>AD LITEM FEE  09/29/17</v>
      </c>
      <c r="H920" s="2">
        <v>150</v>
      </c>
      <c r="I920" t="str">
        <f>"AD LITEM FEE  09/29/17"</f>
        <v>AD LITEM FEE  09/29/17</v>
      </c>
    </row>
    <row r="921" spans="1:10" x14ac:dyDescent="0.3">
      <c r="A921" t="str">
        <f>""</f>
        <v/>
      </c>
      <c r="F921" t="str">
        <f>"11736"</f>
        <v>11736</v>
      </c>
      <c r="G921" t="str">
        <f>"AD LITEM FEE  09/28/17"</f>
        <v>AD LITEM FEE  09/28/17</v>
      </c>
      <c r="H921" s="2">
        <v>150</v>
      </c>
      <c r="I921" t="str">
        <f>"AD LITEM FEE  09/28/17"</f>
        <v>AD LITEM FEE  09/28/17</v>
      </c>
    </row>
    <row r="922" spans="1:10" x14ac:dyDescent="0.3">
      <c r="A922" t="str">
        <f>""</f>
        <v/>
      </c>
      <c r="F922" t="str">
        <f>"11852"</f>
        <v>11852</v>
      </c>
      <c r="G922" t="str">
        <f>"AD LITEM FEE"</f>
        <v>AD LITEM FEE</v>
      </c>
      <c r="H922" s="2">
        <v>50</v>
      </c>
      <c r="I922" t="str">
        <f>"AD LITEM FEE"</f>
        <v>AD LITEM FEE</v>
      </c>
    </row>
    <row r="923" spans="1:10" x14ac:dyDescent="0.3">
      <c r="A923" t="str">
        <f>""</f>
        <v/>
      </c>
      <c r="F923" t="str">
        <f>"11865"</f>
        <v>11865</v>
      </c>
      <c r="G923" t="str">
        <f>"AD LITEM  08/30/17"</f>
        <v>AD LITEM  08/30/17</v>
      </c>
      <c r="H923" s="2">
        <v>150</v>
      </c>
      <c r="I923" t="str">
        <f>"AD LITEM  08/30/17"</f>
        <v>AD LITEM  08/30/17</v>
      </c>
    </row>
    <row r="924" spans="1:10" x14ac:dyDescent="0.3">
      <c r="A924" t="str">
        <f>""</f>
        <v/>
      </c>
      <c r="F924" t="str">
        <f>"12078"</f>
        <v>12078</v>
      </c>
      <c r="G924" t="str">
        <f>"AD LITEM FEE  08/30/17"</f>
        <v>AD LITEM FEE  08/30/17</v>
      </c>
      <c r="H924" s="2">
        <v>150</v>
      </c>
      <c r="I924" t="str">
        <f>"AD LITEM FEE  08/30/17"</f>
        <v>AD LITEM FEE  08/30/17</v>
      </c>
    </row>
    <row r="925" spans="1:10" x14ac:dyDescent="0.3">
      <c r="A925" t="str">
        <f>""</f>
        <v/>
      </c>
      <c r="F925" t="str">
        <f>"12235"</f>
        <v>12235</v>
      </c>
      <c r="G925" t="str">
        <f>"AD LITEM FEE"</f>
        <v>AD LITEM FEE</v>
      </c>
      <c r="H925" s="2">
        <v>150</v>
      </c>
      <c r="I925" t="str">
        <f>"AD LITEM FEE"</f>
        <v>AD LITEM FEE</v>
      </c>
    </row>
    <row r="926" spans="1:10" x14ac:dyDescent="0.3">
      <c r="A926" t="str">
        <f>""</f>
        <v/>
      </c>
      <c r="F926" t="str">
        <f>"12311"</f>
        <v>12311</v>
      </c>
      <c r="G926" t="str">
        <f>"AD LITEM FEE  09/15/17"</f>
        <v>AD LITEM FEE  09/15/17</v>
      </c>
      <c r="H926" s="2">
        <v>150</v>
      </c>
      <c r="I926" t="str">
        <f>"AD LITEM FEE  09/15/17"</f>
        <v>AD LITEM FEE  09/15/17</v>
      </c>
    </row>
    <row r="927" spans="1:10" x14ac:dyDescent="0.3">
      <c r="A927" t="str">
        <f>""</f>
        <v/>
      </c>
      <c r="F927" t="str">
        <f>"12500"</f>
        <v>12500</v>
      </c>
      <c r="G927" t="str">
        <f>"AD LITEM FEE  08/30/17"</f>
        <v>AD LITEM FEE  08/30/17</v>
      </c>
      <c r="H927" s="2">
        <v>150</v>
      </c>
      <c r="I927" t="str">
        <f>"AD LITEM FEE  08/30/17"</f>
        <v>AD LITEM FEE  08/30/17</v>
      </c>
    </row>
    <row r="928" spans="1:10" x14ac:dyDescent="0.3">
      <c r="A928" t="str">
        <f>""</f>
        <v/>
      </c>
      <c r="F928" t="str">
        <f>"17-18119"</f>
        <v>17-18119</v>
      </c>
      <c r="G928" t="str">
        <f>"17-18119"</f>
        <v>17-18119</v>
      </c>
      <c r="H928" s="2">
        <v>100</v>
      </c>
      <c r="I928" t="str">
        <f>"17-18119"</f>
        <v>17-18119</v>
      </c>
    </row>
    <row r="929" spans="1:10" x14ac:dyDescent="0.3">
      <c r="A929" t="str">
        <f>""</f>
        <v/>
      </c>
      <c r="F929" t="str">
        <f>"201710276024"</f>
        <v>201710276024</v>
      </c>
      <c r="G929" t="str">
        <f>"16-18016"</f>
        <v>16-18016</v>
      </c>
      <c r="H929" s="2">
        <v>100</v>
      </c>
      <c r="I929" t="str">
        <f>"16-18016"</f>
        <v>16-18016</v>
      </c>
    </row>
    <row r="930" spans="1:10" x14ac:dyDescent="0.3">
      <c r="A930" t="str">
        <f>""</f>
        <v/>
      </c>
      <c r="F930" t="str">
        <f>"201710276025"</f>
        <v>201710276025</v>
      </c>
      <c r="G930" t="str">
        <f>"17-18579"</f>
        <v>17-18579</v>
      </c>
      <c r="H930" s="2">
        <v>100</v>
      </c>
      <c r="I930" t="str">
        <f>"17-18579"</f>
        <v>17-18579</v>
      </c>
    </row>
    <row r="931" spans="1:10" x14ac:dyDescent="0.3">
      <c r="A931" t="str">
        <f>""</f>
        <v/>
      </c>
      <c r="F931" t="str">
        <f>"201711036131"</f>
        <v>201711036131</v>
      </c>
      <c r="G931" t="str">
        <f>"1JP 52917A/TRN#925345 7996"</f>
        <v>1JP 52917A/TRN#925345 7996</v>
      </c>
      <c r="H931" s="2">
        <v>250</v>
      </c>
      <c r="I931" t="str">
        <f>"1JP 52917A/TRN#925345 7996"</f>
        <v>1JP 52917A/TRN#925345 7996</v>
      </c>
    </row>
    <row r="932" spans="1:10" x14ac:dyDescent="0.3">
      <c r="A932" t="str">
        <f>""</f>
        <v/>
      </c>
      <c r="F932" t="str">
        <f>"201711036132"</f>
        <v>201711036132</v>
      </c>
      <c r="G932" t="str">
        <f>"17-18579"</f>
        <v>17-18579</v>
      </c>
      <c r="H932" s="2">
        <v>100</v>
      </c>
      <c r="I932" t="str">
        <f>"17-18579"</f>
        <v>17-18579</v>
      </c>
    </row>
    <row r="933" spans="1:10" x14ac:dyDescent="0.3">
      <c r="A933" t="str">
        <f>""</f>
        <v/>
      </c>
      <c r="F933" t="str">
        <f>"201711036133"</f>
        <v>201711036133</v>
      </c>
      <c r="G933" t="str">
        <f>"16-18043"</f>
        <v>16-18043</v>
      </c>
      <c r="H933" s="2">
        <v>250</v>
      </c>
      <c r="I933" t="str">
        <f>"16-18043"</f>
        <v>16-18043</v>
      </c>
    </row>
    <row r="934" spans="1:10" x14ac:dyDescent="0.3">
      <c r="A934" t="str">
        <f>""</f>
        <v/>
      </c>
      <c r="F934" t="str">
        <f>"201711036134"</f>
        <v>201711036134</v>
      </c>
      <c r="G934" t="str">
        <f>"V. SHAW-JUVENILE DETENTION"</f>
        <v>V. SHAW-JUVENILE DETENTION</v>
      </c>
      <c r="H934" s="2">
        <v>100</v>
      </c>
      <c r="I934" t="str">
        <f>"V. SHAW-JUVENILE DETENTION"</f>
        <v>V. SHAW-JUVENILE DETENTION</v>
      </c>
    </row>
    <row r="935" spans="1:10" x14ac:dyDescent="0.3">
      <c r="A935" t="str">
        <f>""</f>
        <v/>
      </c>
      <c r="F935" t="str">
        <f>"201711036169"</f>
        <v>201711036169</v>
      </c>
      <c r="G935" t="str">
        <f>"55 443"</f>
        <v>55 443</v>
      </c>
      <c r="H935" s="2">
        <v>250</v>
      </c>
      <c r="I935" t="str">
        <f>"55 443"</f>
        <v>55 443</v>
      </c>
    </row>
    <row r="936" spans="1:10" x14ac:dyDescent="0.3">
      <c r="A936" t="str">
        <f>""</f>
        <v/>
      </c>
      <c r="F936" t="str">
        <f>"201711036170"</f>
        <v>201711036170</v>
      </c>
      <c r="G936" t="str">
        <f>"53 061"</f>
        <v>53 061</v>
      </c>
      <c r="H936" s="2">
        <v>250</v>
      </c>
      <c r="I936" t="str">
        <f>"53 061"</f>
        <v>53 061</v>
      </c>
    </row>
    <row r="937" spans="1:10" x14ac:dyDescent="0.3">
      <c r="A937" t="str">
        <f>"T7860"</f>
        <v>T7860</v>
      </c>
      <c r="B937" t="s">
        <v>264</v>
      </c>
      <c r="C937">
        <v>999999</v>
      </c>
      <c r="D937" s="2">
        <v>2225</v>
      </c>
      <c r="E937" s="1">
        <v>43067</v>
      </c>
      <c r="F937" t="str">
        <f>"10756  10/20/17"</f>
        <v>10756  10/20/17</v>
      </c>
      <c r="G937" t="str">
        <f>"AD LITEM FEE"</f>
        <v>AD LITEM FEE</v>
      </c>
      <c r="H937" s="2">
        <v>25</v>
      </c>
      <c r="I937" t="str">
        <f>"AD LITEM FEE"</f>
        <v>AD LITEM FEE</v>
      </c>
    </row>
    <row r="938" spans="1:10" x14ac:dyDescent="0.3">
      <c r="A938" t="str">
        <f>""</f>
        <v/>
      </c>
      <c r="F938" t="str">
        <f>"11313"</f>
        <v>11313</v>
      </c>
      <c r="G938" t="str">
        <f>"AD LITEM FEE"</f>
        <v>AD LITEM FEE</v>
      </c>
      <c r="H938" s="2">
        <v>150</v>
      </c>
      <c r="I938" t="str">
        <f>"AD LITEM FEE"</f>
        <v>AD LITEM FEE</v>
      </c>
    </row>
    <row r="939" spans="1:10" x14ac:dyDescent="0.3">
      <c r="A939" t="str">
        <f>""</f>
        <v/>
      </c>
      <c r="F939" t="s">
        <v>64</v>
      </c>
      <c r="G939" t="s">
        <v>70</v>
      </c>
      <c r="H939" s="2" t="str">
        <f>"AD LITEM FEE"</f>
        <v>AD LITEM FEE</v>
      </c>
      <c r="I939" t="str">
        <f>"995-4110"</f>
        <v>995-4110</v>
      </c>
      <c r="J939">
        <v>150</v>
      </c>
    </row>
    <row r="940" spans="1:10" x14ac:dyDescent="0.3">
      <c r="A940" t="str">
        <f>""</f>
        <v/>
      </c>
      <c r="F940" t="str">
        <f>"12151"</f>
        <v>12151</v>
      </c>
      <c r="G940" t="str">
        <f>"AD LITEM FEE"</f>
        <v>AD LITEM FEE</v>
      </c>
      <c r="H940" s="2">
        <v>150</v>
      </c>
      <c r="I940" t="str">
        <f>"AD LITEM FEE"</f>
        <v>AD LITEM FEE</v>
      </c>
    </row>
    <row r="941" spans="1:10" x14ac:dyDescent="0.3">
      <c r="A941" t="str">
        <f>""</f>
        <v/>
      </c>
      <c r="F941" t="str">
        <f>"12200"</f>
        <v>12200</v>
      </c>
      <c r="G941" t="str">
        <f>"AD LITEM FEE"</f>
        <v>AD LITEM FEE</v>
      </c>
      <c r="H941" s="2">
        <v>150</v>
      </c>
      <c r="I941" t="str">
        <f>"AD LITEM FEE"</f>
        <v>AD LITEM FEE</v>
      </c>
    </row>
    <row r="942" spans="1:10" x14ac:dyDescent="0.3">
      <c r="A942" t="str">
        <f>""</f>
        <v/>
      </c>
      <c r="F942" t="str">
        <f>"12381"</f>
        <v>12381</v>
      </c>
      <c r="G942" t="str">
        <f>"AD LITEM FEE"</f>
        <v>AD LITEM FEE</v>
      </c>
      <c r="H942" s="2">
        <v>150</v>
      </c>
      <c r="I942" t="str">
        <f>"AD LITEM FEE"</f>
        <v>AD LITEM FEE</v>
      </c>
    </row>
    <row r="943" spans="1:10" x14ac:dyDescent="0.3">
      <c r="A943" t="str">
        <f>""</f>
        <v/>
      </c>
      <c r="F943" t="str">
        <f>"201711166627"</f>
        <v>201711166627</v>
      </c>
      <c r="G943" t="str">
        <f>"16-17913"</f>
        <v>16-17913</v>
      </c>
      <c r="H943" s="2">
        <v>100</v>
      </c>
      <c r="I943" t="str">
        <f>"16-17913"</f>
        <v>16-17913</v>
      </c>
    </row>
    <row r="944" spans="1:10" x14ac:dyDescent="0.3">
      <c r="A944" t="str">
        <f>""</f>
        <v/>
      </c>
      <c r="F944" t="str">
        <f>"201711166628"</f>
        <v>201711166628</v>
      </c>
      <c r="G944" t="str">
        <f>"16-18043"</f>
        <v>16-18043</v>
      </c>
      <c r="H944" s="2">
        <v>100</v>
      </c>
      <c r="I944" t="str">
        <f>"16-18043"</f>
        <v>16-18043</v>
      </c>
    </row>
    <row r="945" spans="1:10" x14ac:dyDescent="0.3">
      <c r="A945" t="str">
        <f>""</f>
        <v/>
      </c>
      <c r="F945" t="str">
        <f>"201711166686"</f>
        <v>201711166686</v>
      </c>
      <c r="G945" t="str">
        <f>"55 499 AC-2017-0331B"</f>
        <v>55 499 AC-2017-0331B</v>
      </c>
      <c r="H945" s="2">
        <v>500</v>
      </c>
      <c r="I945" t="str">
        <f>"55 499 AC-2017-0331B"</f>
        <v>55 499 AC-2017-0331B</v>
      </c>
    </row>
    <row r="946" spans="1:10" x14ac:dyDescent="0.3">
      <c r="A946" t="str">
        <f>""</f>
        <v/>
      </c>
      <c r="F946" t="str">
        <f>"201711166687"</f>
        <v>201711166687</v>
      </c>
      <c r="G946" t="str">
        <f>"55 355"</f>
        <v>55 355</v>
      </c>
      <c r="H946" s="2">
        <v>250</v>
      </c>
      <c r="I946" t="str">
        <f>"55 355"</f>
        <v>55 355</v>
      </c>
    </row>
    <row r="947" spans="1:10" x14ac:dyDescent="0.3">
      <c r="A947" t="str">
        <f>""</f>
        <v/>
      </c>
      <c r="F947" t="str">
        <f>"201711166688"</f>
        <v>201711166688</v>
      </c>
      <c r="G947" t="str">
        <f>"55 213"</f>
        <v>55 213</v>
      </c>
      <c r="H947" s="2">
        <v>250</v>
      </c>
      <c r="I947" t="str">
        <f>"55 213"</f>
        <v>55 213</v>
      </c>
    </row>
    <row r="948" spans="1:10" x14ac:dyDescent="0.3">
      <c r="A948" t="str">
        <f>""</f>
        <v/>
      </c>
      <c r="F948" t="str">
        <f>"201711176689"</f>
        <v>201711176689</v>
      </c>
      <c r="G948" t="str">
        <f>"54 279"</f>
        <v>54 279</v>
      </c>
      <c r="H948" s="2">
        <v>250</v>
      </c>
      <c r="I948" t="str">
        <f>"54 279"</f>
        <v>54 279</v>
      </c>
    </row>
    <row r="949" spans="1:10" x14ac:dyDescent="0.3">
      <c r="A949" t="str">
        <f>"003979"</f>
        <v>003979</v>
      </c>
      <c r="B949" t="s">
        <v>265</v>
      </c>
      <c r="C949">
        <v>73892</v>
      </c>
      <c r="D949" s="2">
        <v>125</v>
      </c>
      <c r="E949" s="1">
        <v>43066</v>
      </c>
      <c r="F949" t="str">
        <f>"PER DIEM"</f>
        <v>PER DIEM</v>
      </c>
      <c r="G949" t="str">
        <f>"PER DIEM"</f>
        <v>PER DIEM</v>
      </c>
      <c r="H949" s="2">
        <v>125</v>
      </c>
      <c r="I949" t="str">
        <f>"PER DIEM"</f>
        <v>PER DIEM</v>
      </c>
    </row>
    <row r="950" spans="1:10" x14ac:dyDescent="0.3">
      <c r="A950" t="str">
        <f>"004891"</f>
        <v>004891</v>
      </c>
      <c r="B950" t="s">
        <v>266</v>
      </c>
      <c r="C950">
        <v>73611</v>
      </c>
      <c r="D950" s="2">
        <v>50</v>
      </c>
      <c r="E950" s="1">
        <v>43052</v>
      </c>
      <c r="F950" t="s">
        <v>267</v>
      </c>
      <c r="G950" t="s">
        <v>268</v>
      </c>
      <c r="H950" s="2" t="str">
        <f>"RESTITUTION-M. ALMS"</f>
        <v>RESTITUTION-M. ALMS</v>
      </c>
      <c r="I950" t="str">
        <f>"210-0000"</f>
        <v>210-0000</v>
      </c>
      <c r="J950">
        <v>50</v>
      </c>
    </row>
    <row r="951" spans="1:10" x14ac:dyDescent="0.3">
      <c r="A951" t="str">
        <f>"004448"</f>
        <v>004448</v>
      </c>
      <c r="B951" t="s">
        <v>269</v>
      </c>
      <c r="C951">
        <v>73612</v>
      </c>
      <c r="D951" s="2">
        <v>20</v>
      </c>
      <c r="E951" s="1">
        <v>43052</v>
      </c>
      <c r="F951" t="str">
        <f>"201711086411"</f>
        <v>201711086411</v>
      </c>
      <c r="G951" t="str">
        <f t="shared" ref="G951:G957" si="10">"FERAL HOGS"</f>
        <v>FERAL HOGS</v>
      </c>
      <c r="H951" s="2">
        <v>20</v>
      </c>
      <c r="I951" t="str">
        <f t="shared" ref="I951:I957" si="11">"FERAL HOGS"</f>
        <v>FERAL HOGS</v>
      </c>
    </row>
    <row r="952" spans="1:10" x14ac:dyDescent="0.3">
      <c r="A952" t="str">
        <f>"002183"</f>
        <v>002183</v>
      </c>
      <c r="B952" t="s">
        <v>270</v>
      </c>
      <c r="C952">
        <v>73613</v>
      </c>
      <c r="D952" s="2">
        <v>310</v>
      </c>
      <c r="E952" s="1">
        <v>43052</v>
      </c>
      <c r="F952" t="str">
        <f>"201711086412"</f>
        <v>201711086412</v>
      </c>
      <c r="G952" t="str">
        <f t="shared" si="10"/>
        <v>FERAL HOGS</v>
      </c>
      <c r="H952" s="2">
        <v>45</v>
      </c>
      <c r="I952" t="str">
        <f t="shared" si="11"/>
        <v>FERAL HOGS</v>
      </c>
    </row>
    <row r="953" spans="1:10" x14ac:dyDescent="0.3">
      <c r="A953" t="str">
        <f>""</f>
        <v/>
      </c>
      <c r="F953" t="str">
        <f>"201711086418"</f>
        <v>201711086418</v>
      </c>
      <c r="G953" t="str">
        <f t="shared" si="10"/>
        <v>FERAL HOGS</v>
      </c>
      <c r="H953" s="2">
        <v>45</v>
      </c>
      <c r="I953" t="str">
        <f t="shared" si="11"/>
        <v>FERAL HOGS</v>
      </c>
    </row>
    <row r="954" spans="1:10" x14ac:dyDescent="0.3">
      <c r="A954" t="str">
        <f>""</f>
        <v/>
      </c>
      <c r="F954" t="str">
        <f>"201711086419"</f>
        <v>201711086419</v>
      </c>
      <c r="G954" t="str">
        <f t="shared" si="10"/>
        <v>FERAL HOGS</v>
      </c>
      <c r="H954" s="2">
        <v>85</v>
      </c>
      <c r="I954" t="str">
        <f t="shared" si="11"/>
        <v>FERAL HOGS</v>
      </c>
    </row>
    <row r="955" spans="1:10" x14ac:dyDescent="0.3">
      <c r="A955" t="str">
        <f>""</f>
        <v/>
      </c>
      <c r="F955" t="str">
        <f>"201711086421"</f>
        <v>201711086421</v>
      </c>
      <c r="G955" t="str">
        <f t="shared" si="10"/>
        <v>FERAL HOGS</v>
      </c>
      <c r="H955" s="2">
        <v>135</v>
      </c>
      <c r="I955" t="str">
        <f t="shared" si="11"/>
        <v>FERAL HOGS</v>
      </c>
    </row>
    <row r="956" spans="1:10" x14ac:dyDescent="0.3">
      <c r="A956" t="str">
        <f>"003886"</f>
        <v>003886</v>
      </c>
      <c r="B956" t="s">
        <v>271</v>
      </c>
      <c r="C956">
        <v>73614</v>
      </c>
      <c r="D956" s="2">
        <v>215</v>
      </c>
      <c r="E956" s="1">
        <v>43052</v>
      </c>
      <c r="F956" t="str">
        <f>"201711086422"</f>
        <v>201711086422</v>
      </c>
      <c r="G956" t="str">
        <f t="shared" si="10"/>
        <v>FERAL HOGS</v>
      </c>
      <c r="H956" s="2">
        <v>85</v>
      </c>
      <c r="I956" t="str">
        <f t="shared" si="11"/>
        <v>FERAL HOGS</v>
      </c>
    </row>
    <row r="957" spans="1:10" x14ac:dyDescent="0.3">
      <c r="A957" t="str">
        <f>""</f>
        <v/>
      </c>
      <c r="F957" t="str">
        <f>"201711086424"</f>
        <v>201711086424</v>
      </c>
      <c r="G957" t="str">
        <f t="shared" si="10"/>
        <v>FERAL HOGS</v>
      </c>
      <c r="H957" s="2">
        <v>130</v>
      </c>
      <c r="I957" t="str">
        <f t="shared" si="11"/>
        <v>FERAL HOGS</v>
      </c>
    </row>
    <row r="958" spans="1:10" x14ac:dyDescent="0.3">
      <c r="A958" t="str">
        <f>"003848"</f>
        <v>003848</v>
      </c>
      <c r="B958" t="s">
        <v>272</v>
      </c>
      <c r="C958">
        <v>999999</v>
      </c>
      <c r="D958" s="2">
        <v>800</v>
      </c>
      <c r="E958" s="1">
        <v>43053</v>
      </c>
      <c r="F958" t="str">
        <f>"201710255969"</f>
        <v>201710255969</v>
      </c>
      <c r="G958" t="str">
        <f>"15949"</f>
        <v>15949</v>
      </c>
      <c r="H958" s="2">
        <v>800</v>
      </c>
      <c r="I958" t="str">
        <f>"15949"</f>
        <v>15949</v>
      </c>
    </row>
    <row r="959" spans="1:10" x14ac:dyDescent="0.3">
      <c r="A959" t="str">
        <f>"003848"</f>
        <v>003848</v>
      </c>
      <c r="B959" t="s">
        <v>272</v>
      </c>
      <c r="C959">
        <v>999999</v>
      </c>
      <c r="D959" s="2">
        <v>400</v>
      </c>
      <c r="E959" s="1">
        <v>43067</v>
      </c>
      <c r="F959" t="str">
        <f>"201711166641"</f>
        <v>201711166641</v>
      </c>
      <c r="G959" t="str">
        <f>"16282"</f>
        <v>16282</v>
      </c>
      <c r="H959" s="2">
        <v>400</v>
      </c>
      <c r="I959" t="str">
        <f>"16282"</f>
        <v>16282</v>
      </c>
    </row>
    <row r="960" spans="1:10" x14ac:dyDescent="0.3">
      <c r="A960" t="str">
        <f>"003698"</f>
        <v>003698</v>
      </c>
      <c r="B960" t="s">
        <v>273</v>
      </c>
      <c r="C960">
        <v>73615</v>
      </c>
      <c r="D960" s="2">
        <v>9340.27</v>
      </c>
      <c r="E960" s="1">
        <v>43052</v>
      </c>
      <c r="F960" t="str">
        <f>"115988332"</f>
        <v>115988332</v>
      </c>
      <c r="G960" t="str">
        <f>"John Deere Mower"</f>
        <v>John Deere Mower</v>
      </c>
      <c r="H960" s="2">
        <v>9340.27</v>
      </c>
      <c r="I960" t="str">
        <f>"John Deere Mower"</f>
        <v>John Deere Mower</v>
      </c>
    </row>
    <row r="961" spans="1:10" x14ac:dyDescent="0.3">
      <c r="A961" t="str">
        <f>"T12640"</f>
        <v>T12640</v>
      </c>
      <c r="B961" t="s">
        <v>274</v>
      </c>
      <c r="C961">
        <v>73616</v>
      </c>
      <c r="D961" s="2">
        <v>575</v>
      </c>
      <c r="E961" s="1">
        <v>43052</v>
      </c>
      <c r="F961" t="str">
        <f>"TRAINING-R.CARVIN"</f>
        <v>TRAINING-R.CARVIN</v>
      </c>
      <c r="G961" t="str">
        <f>"ROBERT CARVIN 01/16/2018"</f>
        <v>ROBERT CARVIN 01/16/2018</v>
      </c>
      <c r="H961" s="2">
        <v>575</v>
      </c>
      <c r="I961" t="str">
        <f>"ROBERT CARVIN 01/16/2018"</f>
        <v>ROBERT CARVIN 01/16/2018</v>
      </c>
    </row>
    <row r="962" spans="1:10" x14ac:dyDescent="0.3">
      <c r="A962" t="str">
        <f>"005269"</f>
        <v>005269</v>
      </c>
      <c r="B962" t="s">
        <v>275</v>
      </c>
      <c r="C962">
        <v>45954</v>
      </c>
      <c r="D962" s="2">
        <v>3687.31</v>
      </c>
      <c r="E962" s="1">
        <v>43045</v>
      </c>
      <c r="F962" t="str">
        <f>"45954110617"</f>
        <v>45954110617</v>
      </c>
      <c r="G962" t="str">
        <f>"John Tepke Benef Dustin Tepke"</f>
        <v>John Tepke Benef Dustin Tepke</v>
      </c>
      <c r="H962" s="2">
        <v>3687.31</v>
      </c>
      <c r="I962" t="str">
        <f>"JOHN TEPKE PCT 3"</f>
        <v>JOHN TEPKE PCT 3</v>
      </c>
    </row>
    <row r="963" spans="1:10" x14ac:dyDescent="0.3">
      <c r="A963" t="str">
        <f>""</f>
        <v/>
      </c>
      <c r="F963" t="str">
        <f>""</f>
        <v/>
      </c>
      <c r="G963" t="str">
        <f>""</f>
        <v/>
      </c>
      <c r="I963" t="str">
        <f>"JOHN TEPKE PCT 3"</f>
        <v>JOHN TEPKE PCT 3</v>
      </c>
    </row>
    <row r="964" spans="1:10" x14ac:dyDescent="0.3">
      <c r="A964" t="str">
        <f>"005282"</f>
        <v>005282</v>
      </c>
      <c r="B964" t="s">
        <v>276</v>
      </c>
      <c r="C964">
        <v>73617</v>
      </c>
      <c r="D964" s="2">
        <v>100</v>
      </c>
      <c r="E964" s="1">
        <v>43052</v>
      </c>
      <c r="F964" t="str">
        <f>"201711086425"</f>
        <v>201711086425</v>
      </c>
      <c r="G964" t="str">
        <f>"FERAL HOGS"</f>
        <v>FERAL HOGS</v>
      </c>
      <c r="H964" s="2">
        <v>100</v>
      </c>
      <c r="I964" t="str">
        <f>"FERAL HOGS"</f>
        <v>FERAL HOGS</v>
      </c>
    </row>
    <row r="965" spans="1:10" x14ac:dyDescent="0.3">
      <c r="A965" t="str">
        <f>"005274"</f>
        <v>005274</v>
      </c>
      <c r="B965" t="s">
        <v>277</v>
      </c>
      <c r="C965">
        <v>73618</v>
      </c>
      <c r="D965" s="2">
        <v>125</v>
      </c>
      <c r="E965" s="1">
        <v>43052</v>
      </c>
      <c r="F965" t="s">
        <v>60</v>
      </c>
      <c r="G965" t="s">
        <v>61</v>
      </c>
      <c r="H965" s="2" t="str">
        <f>"SERVICE  10/02/17"</f>
        <v>SERVICE  10/02/17</v>
      </c>
      <c r="I965" t="str">
        <f>"995-4110"</f>
        <v>995-4110</v>
      </c>
      <c r="J965">
        <v>125</v>
      </c>
    </row>
    <row r="966" spans="1:10" x14ac:dyDescent="0.3">
      <c r="A966" t="str">
        <f>"001889"</f>
        <v>001889</v>
      </c>
      <c r="B966" t="s">
        <v>278</v>
      </c>
      <c r="C966">
        <v>999999</v>
      </c>
      <c r="D966" s="2">
        <v>200</v>
      </c>
      <c r="E966" s="1">
        <v>43067</v>
      </c>
      <c r="F966" t="str">
        <f>"341901"</f>
        <v>341901</v>
      </c>
      <c r="G966" t="str">
        <f>"LANDSCAPE MAINT/RADIO TOW/OEM"</f>
        <v>LANDSCAPE MAINT/RADIO TOW/OEM</v>
      </c>
      <c r="H966" s="2">
        <v>200</v>
      </c>
      <c r="I966" t="str">
        <f>"LANDSCAPE MAINT/OEM"</f>
        <v>LANDSCAPE MAINT/OEM</v>
      </c>
    </row>
    <row r="967" spans="1:10" x14ac:dyDescent="0.3">
      <c r="A967" t="str">
        <f>"T14548"</f>
        <v>T14548</v>
      </c>
      <c r="B967" t="s">
        <v>279</v>
      </c>
      <c r="C967">
        <v>999999</v>
      </c>
      <c r="D967" s="2">
        <v>2075</v>
      </c>
      <c r="E967" s="1">
        <v>43053</v>
      </c>
      <c r="F967" t="str">
        <f>"201710255953"</f>
        <v>201710255953</v>
      </c>
      <c r="G967" t="str">
        <f>"JP152517AZ"</f>
        <v>JP152517AZ</v>
      </c>
      <c r="H967" s="2">
        <v>400</v>
      </c>
      <c r="I967" t="str">
        <f>"JP152517AZ"</f>
        <v>JP152517AZ</v>
      </c>
    </row>
    <row r="968" spans="1:10" x14ac:dyDescent="0.3">
      <c r="A968" t="str">
        <f>""</f>
        <v/>
      </c>
      <c r="F968" t="str">
        <f>"201710255954"</f>
        <v>201710255954</v>
      </c>
      <c r="G968" t="str">
        <f>"13103"</f>
        <v>13103</v>
      </c>
      <c r="H968" s="2">
        <v>400</v>
      </c>
      <c r="I968" t="str">
        <f>"13103"</f>
        <v>13103</v>
      </c>
    </row>
    <row r="969" spans="1:10" x14ac:dyDescent="0.3">
      <c r="A969" t="str">
        <f>""</f>
        <v/>
      </c>
      <c r="F969" t="str">
        <f>"201710255955"</f>
        <v>201710255955</v>
      </c>
      <c r="G969" t="str">
        <f>"15856"</f>
        <v>15856</v>
      </c>
      <c r="H969" s="2">
        <v>400</v>
      </c>
      <c r="I969" t="str">
        <f>"15856"</f>
        <v>15856</v>
      </c>
    </row>
    <row r="970" spans="1:10" x14ac:dyDescent="0.3">
      <c r="A970" t="str">
        <f>""</f>
        <v/>
      </c>
      <c r="F970" t="str">
        <f>"201711026107"</f>
        <v>201711026107</v>
      </c>
      <c r="G970" t="str">
        <f>"16307"</f>
        <v>16307</v>
      </c>
      <c r="H970" s="2">
        <v>400</v>
      </c>
      <c r="I970" t="str">
        <f>"16307"</f>
        <v>16307</v>
      </c>
    </row>
    <row r="971" spans="1:10" x14ac:dyDescent="0.3">
      <c r="A971" t="str">
        <f>""</f>
        <v/>
      </c>
      <c r="F971" t="str">
        <f>"201711036119"</f>
        <v>201711036119</v>
      </c>
      <c r="G971" t="str">
        <f>"55227  CH-20170111-D"</f>
        <v>55227  CH-20170111-D</v>
      </c>
      <c r="H971" s="2">
        <v>375</v>
      </c>
      <c r="I971" t="str">
        <f>"55227  CH-20170111-D"</f>
        <v>55227  CH-20170111-D</v>
      </c>
    </row>
    <row r="972" spans="1:10" x14ac:dyDescent="0.3">
      <c r="A972" t="str">
        <f>""</f>
        <v/>
      </c>
      <c r="F972" t="str">
        <f>"201711036120"</f>
        <v>201711036120</v>
      </c>
      <c r="G972" t="str">
        <f>"17-18679"</f>
        <v>17-18679</v>
      </c>
      <c r="H972" s="2">
        <v>100</v>
      </c>
      <c r="I972" t="str">
        <f>"17-18679"</f>
        <v>17-18679</v>
      </c>
    </row>
    <row r="973" spans="1:10" x14ac:dyDescent="0.3">
      <c r="A973" t="str">
        <f>"T14548"</f>
        <v>T14548</v>
      </c>
      <c r="B973" t="s">
        <v>279</v>
      </c>
      <c r="C973">
        <v>999999</v>
      </c>
      <c r="D973" s="2">
        <v>2175</v>
      </c>
      <c r="E973" s="1">
        <v>43067</v>
      </c>
      <c r="F973" t="str">
        <f>"201711166639"</f>
        <v>201711166639</v>
      </c>
      <c r="G973" t="str">
        <f>"16383"</f>
        <v>16383</v>
      </c>
      <c r="H973" s="2">
        <v>400</v>
      </c>
      <c r="I973" t="str">
        <f>"16383"</f>
        <v>16383</v>
      </c>
    </row>
    <row r="974" spans="1:10" x14ac:dyDescent="0.3">
      <c r="A974" t="str">
        <f>""</f>
        <v/>
      </c>
      <c r="F974" t="str">
        <f>"201711166640"</f>
        <v>201711166640</v>
      </c>
      <c r="G974" t="str">
        <f>"16390"</f>
        <v>16390</v>
      </c>
      <c r="H974" s="2">
        <v>400</v>
      </c>
      <c r="I974" t="str">
        <f>"16390"</f>
        <v>16390</v>
      </c>
    </row>
    <row r="975" spans="1:10" x14ac:dyDescent="0.3">
      <c r="A975" t="str">
        <f>""</f>
        <v/>
      </c>
      <c r="F975" t="str">
        <f>"201711176690"</f>
        <v>201711176690</v>
      </c>
      <c r="G975" t="str">
        <f>"55140  401287-3"</f>
        <v>55140  401287-3</v>
      </c>
      <c r="H975" s="2">
        <v>375</v>
      </c>
      <c r="I975" t="str">
        <f>"55140  401287-3"</f>
        <v>55140  401287-3</v>
      </c>
    </row>
    <row r="976" spans="1:10" x14ac:dyDescent="0.3">
      <c r="A976" t="str">
        <f>""</f>
        <v/>
      </c>
      <c r="F976" t="str">
        <f>"201711176691"</f>
        <v>201711176691</v>
      </c>
      <c r="G976" t="str">
        <f>"55584"</f>
        <v>55584</v>
      </c>
      <c r="H976" s="2">
        <v>250</v>
      </c>
      <c r="I976" t="str">
        <f>"55584"</f>
        <v>55584</v>
      </c>
    </row>
    <row r="977" spans="1:10" x14ac:dyDescent="0.3">
      <c r="A977" t="str">
        <f>""</f>
        <v/>
      </c>
      <c r="F977" t="str">
        <f>"201711176692"</f>
        <v>201711176692</v>
      </c>
      <c r="G977" t="str">
        <f>"55006"</f>
        <v>55006</v>
      </c>
      <c r="H977" s="2">
        <v>250</v>
      </c>
      <c r="I977" t="str">
        <f>"55006"</f>
        <v>55006</v>
      </c>
    </row>
    <row r="978" spans="1:10" x14ac:dyDescent="0.3">
      <c r="A978" t="str">
        <f>""</f>
        <v/>
      </c>
      <c r="F978" t="str">
        <f>"201711176693"</f>
        <v>201711176693</v>
      </c>
      <c r="G978" t="str">
        <f>"55583"</f>
        <v>55583</v>
      </c>
      <c r="H978" s="2">
        <v>250</v>
      </c>
      <c r="I978" t="str">
        <f>"55583"</f>
        <v>55583</v>
      </c>
    </row>
    <row r="979" spans="1:10" x14ac:dyDescent="0.3">
      <c r="A979" t="str">
        <f>""</f>
        <v/>
      </c>
      <c r="F979" t="str">
        <f>"201711176694"</f>
        <v>201711176694</v>
      </c>
      <c r="G979" t="str">
        <f>"54 638"</f>
        <v>54 638</v>
      </c>
      <c r="H979" s="2">
        <v>250</v>
      </c>
      <c r="I979" t="str">
        <f>"54 638"</f>
        <v>54 638</v>
      </c>
    </row>
    <row r="980" spans="1:10" x14ac:dyDescent="0.3">
      <c r="A980" t="str">
        <f>"004892"</f>
        <v>004892</v>
      </c>
      <c r="B980" t="s">
        <v>280</v>
      </c>
      <c r="C980">
        <v>73619</v>
      </c>
      <c r="D980" s="2">
        <v>25</v>
      </c>
      <c r="E980" s="1">
        <v>43052</v>
      </c>
      <c r="F980" t="s">
        <v>281</v>
      </c>
      <c r="G980" t="s">
        <v>282</v>
      </c>
      <c r="H980" s="2" t="str">
        <f>"RESTITUTION-J. HOFFMAN"</f>
        <v>RESTITUTION-J. HOFFMAN</v>
      </c>
      <c r="I980" t="str">
        <f>"210-0000"</f>
        <v>210-0000</v>
      </c>
      <c r="J980">
        <v>25</v>
      </c>
    </row>
    <row r="981" spans="1:10" x14ac:dyDescent="0.3">
      <c r="A981" t="str">
        <f>"003677"</f>
        <v>003677</v>
      </c>
      <c r="B981" t="s">
        <v>283</v>
      </c>
      <c r="C981">
        <v>73620</v>
      </c>
      <c r="D981" s="2">
        <v>25</v>
      </c>
      <c r="E981" s="1">
        <v>43052</v>
      </c>
      <c r="F981" t="s">
        <v>107</v>
      </c>
      <c r="G981" t="s">
        <v>284</v>
      </c>
      <c r="H981" s="2" t="str">
        <f>"RESTITUTION-D. SPURK"</f>
        <v>RESTITUTION-D. SPURK</v>
      </c>
      <c r="I981" t="str">
        <f>"210-0000"</f>
        <v>210-0000</v>
      </c>
      <c r="J981">
        <v>25</v>
      </c>
    </row>
    <row r="982" spans="1:10" x14ac:dyDescent="0.3">
      <c r="A982" t="str">
        <f>"003957"</f>
        <v>003957</v>
      </c>
      <c r="B982" t="s">
        <v>285</v>
      </c>
      <c r="C982">
        <v>73893</v>
      </c>
      <c r="D982" s="2">
        <v>125</v>
      </c>
      <c r="E982" s="1">
        <v>43066</v>
      </c>
      <c r="F982" t="str">
        <f>"PER DIEM"</f>
        <v>PER DIEM</v>
      </c>
      <c r="G982" t="str">
        <f>"PER DIEM"</f>
        <v>PER DIEM</v>
      </c>
      <c r="H982" s="2">
        <v>125</v>
      </c>
      <c r="I982" t="str">
        <f>"PER DIEM"</f>
        <v>PER DIEM</v>
      </c>
    </row>
    <row r="983" spans="1:10" x14ac:dyDescent="0.3">
      <c r="A983" t="str">
        <f>"005276"</f>
        <v>005276</v>
      </c>
      <c r="B983" t="s">
        <v>286</v>
      </c>
      <c r="C983">
        <v>73621</v>
      </c>
      <c r="D983" s="2">
        <v>8894.25</v>
      </c>
      <c r="E983" s="1">
        <v>43052</v>
      </c>
      <c r="F983" t="str">
        <f>"201711076366"</f>
        <v>201711076366</v>
      </c>
      <c r="G983" t="str">
        <f>"15-914"</f>
        <v>15-914</v>
      </c>
      <c r="H983" s="2">
        <v>8894.25</v>
      </c>
      <c r="I983" t="str">
        <f>"15-914"</f>
        <v>15-914</v>
      </c>
    </row>
    <row r="984" spans="1:10" x14ac:dyDescent="0.3">
      <c r="A984" t="str">
        <f>"KMPC"</f>
        <v>KMPC</v>
      </c>
      <c r="B984" t="s">
        <v>287</v>
      </c>
      <c r="C984">
        <v>73622</v>
      </c>
      <c r="D984" s="2">
        <v>287.74</v>
      </c>
      <c r="E984" s="1">
        <v>43052</v>
      </c>
      <c r="F984" t="str">
        <f>"1520-00000132896"</f>
        <v>1520-00000132896</v>
      </c>
      <c r="G984" t="str">
        <f>"INV 1520-00000132896"</f>
        <v>INV 1520-00000132896</v>
      </c>
      <c r="H984" s="2">
        <v>143.87</v>
      </c>
      <c r="I984" t="str">
        <f>"INV 1520-00000132896"</f>
        <v>INV 1520-00000132896</v>
      </c>
    </row>
    <row r="985" spans="1:10" x14ac:dyDescent="0.3">
      <c r="A985" t="str">
        <f>""</f>
        <v/>
      </c>
      <c r="F985" t="str">
        <f>"1520-00000133098"</f>
        <v>1520-00000133098</v>
      </c>
      <c r="G985" t="str">
        <f>"INV 1520-00000133098"</f>
        <v>INV 1520-00000133098</v>
      </c>
      <c r="H985" s="2">
        <v>143.87</v>
      </c>
      <c r="I985" t="str">
        <f>"INV 1520-00000133098"</f>
        <v>INV 1520-00000133098</v>
      </c>
    </row>
    <row r="986" spans="1:10" x14ac:dyDescent="0.3">
      <c r="A986" t="str">
        <f>"004042"</f>
        <v>004042</v>
      </c>
      <c r="B986" t="s">
        <v>288</v>
      </c>
      <c r="C986">
        <v>73623</v>
      </c>
      <c r="D986" s="2">
        <v>330</v>
      </c>
      <c r="E986" s="1">
        <v>43052</v>
      </c>
      <c r="F986" t="str">
        <f>"336522"</f>
        <v>336522</v>
      </c>
      <c r="G986" t="str">
        <f>"LANDSCAPING SVCS/PCT#1"</f>
        <v>LANDSCAPING SVCS/PCT#1</v>
      </c>
      <c r="H986" s="2">
        <v>330</v>
      </c>
      <c r="I986" t="str">
        <f>"LANDSCAPING SVCS/PCT#1"</f>
        <v>LANDSCAPING SVCS/PCT#1</v>
      </c>
    </row>
    <row r="987" spans="1:10" x14ac:dyDescent="0.3">
      <c r="A987" t="str">
        <f>"KBTRI"</f>
        <v>KBTRI</v>
      </c>
      <c r="B987" t="s">
        <v>289</v>
      </c>
      <c r="C987">
        <v>73624</v>
      </c>
      <c r="D987" s="2">
        <v>2617</v>
      </c>
      <c r="E987" s="1">
        <v>43052</v>
      </c>
      <c r="F987" t="str">
        <f>"3"</f>
        <v>3</v>
      </c>
      <c r="G987" t="str">
        <f>"TOWER RENT"</f>
        <v>TOWER RENT</v>
      </c>
      <c r="H987" s="2">
        <v>2617</v>
      </c>
      <c r="I987" t="str">
        <f>"TOWER RENT"</f>
        <v>TOWER RENT</v>
      </c>
    </row>
    <row r="988" spans="1:10" x14ac:dyDescent="0.3">
      <c r="A988" t="str">
        <f>"T7006"</f>
        <v>T7006</v>
      </c>
      <c r="B988" t="s">
        <v>290</v>
      </c>
      <c r="C988">
        <v>73625</v>
      </c>
      <c r="D988" s="2">
        <v>1165</v>
      </c>
      <c r="E988" s="1">
        <v>43052</v>
      </c>
      <c r="F988" t="str">
        <f>"18477"</f>
        <v>18477</v>
      </c>
      <c r="G988" t="str">
        <f>"INV 18477"</f>
        <v>INV 18477</v>
      </c>
      <c r="H988" s="2">
        <v>1165</v>
      </c>
      <c r="I988" t="str">
        <f>"INV 18477"</f>
        <v>INV 18477</v>
      </c>
    </row>
    <row r="989" spans="1:10" x14ac:dyDescent="0.3">
      <c r="A989" t="str">
        <f>"KFT"</f>
        <v>KFT</v>
      </c>
      <c r="B989" t="s">
        <v>291</v>
      </c>
      <c r="C989">
        <v>73626</v>
      </c>
      <c r="D989" s="2">
        <v>302.39999999999998</v>
      </c>
      <c r="E989" s="1">
        <v>43052</v>
      </c>
      <c r="F989" t="str">
        <f>"246161"</f>
        <v>246161</v>
      </c>
      <c r="G989" t="str">
        <f>"ACCT#BASCO3/PCT#3"</f>
        <v>ACCT#BASCO3/PCT#3</v>
      </c>
      <c r="H989" s="2">
        <v>302.39999999999998</v>
      </c>
      <c r="I989" t="str">
        <f>"ACCT#BASCO3/PCT#3"</f>
        <v>ACCT#BASCO3/PCT#3</v>
      </c>
    </row>
    <row r="990" spans="1:10" x14ac:dyDescent="0.3">
      <c r="A990" t="str">
        <f>"T9229"</f>
        <v>T9229</v>
      </c>
      <c r="B990" t="s">
        <v>292</v>
      </c>
      <c r="C990">
        <v>73627</v>
      </c>
      <c r="D990" s="2">
        <v>458.28</v>
      </c>
      <c r="E990" s="1">
        <v>43052</v>
      </c>
      <c r="F990" t="str">
        <f>"201710255948"</f>
        <v>201710255948</v>
      </c>
      <c r="G990" t="str">
        <f>"REIMBURSE-MILEAGE"</f>
        <v>REIMBURSE-MILEAGE</v>
      </c>
      <c r="H990" s="2">
        <v>458.28</v>
      </c>
      <c r="I990" t="str">
        <f>"REIMBURSE-MILEAGE"</f>
        <v>REIMBURSE-MILEAGE</v>
      </c>
    </row>
    <row r="991" spans="1:10" x14ac:dyDescent="0.3">
      <c r="A991" t="str">
        <f>"004319"</f>
        <v>004319</v>
      </c>
      <c r="B991" t="s">
        <v>293</v>
      </c>
      <c r="C991">
        <v>73628</v>
      </c>
      <c r="D991" s="2">
        <v>160</v>
      </c>
      <c r="E991" s="1">
        <v>43052</v>
      </c>
      <c r="F991" t="str">
        <f>"201711086426"</f>
        <v>201711086426</v>
      </c>
      <c r="G991" t="str">
        <f>"FERAL HOGS"</f>
        <v>FERAL HOGS</v>
      </c>
      <c r="H991" s="2">
        <v>160</v>
      </c>
      <c r="I991" t="str">
        <f>"FERAL HOGS"</f>
        <v>FERAL HOGS</v>
      </c>
    </row>
    <row r="992" spans="1:10" x14ac:dyDescent="0.3">
      <c r="A992" t="str">
        <f>"004130"</f>
        <v>004130</v>
      </c>
      <c r="B992" t="s">
        <v>294</v>
      </c>
      <c r="C992">
        <v>73894</v>
      </c>
      <c r="D992" s="2">
        <v>182.9</v>
      </c>
      <c r="E992" s="1">
        <v>43066</v>
      </c>
      <c r="F992" t="str">
        <f>"FOCS137823"</f>
        <v>FOCS137823</v>
      </c>
      <c r="G992" t="str">
        <f>"INV FOCS137823 / UNIT 163"</f>
        <v>INV FOCS137823 / UNIT 163</v>
      </c>
      <c r="H992" s="2">
        <v>182.9</v>
      </c>
      <c r="I992" t="str">
        <f>"INV FOCS137823"</f>
        <v>INV FOCS137823</v>
      </c>
    </row>
    <row r="993" spans="1:10" x14ac:dyDescent="0.3">
      <c r="A993" t="str">
        <f>"001722"</f>
        <v>001722</v>
      </c>
      <c r="B993" t="s">
        <v>295</v>
      </c>
      <c r="C993">
        <v>73629</v>
      </c>
      <c r="D993" s="2">
        <v>3112.6</v>
      </c>
      <c r="E993" s="1">
        <v>43052</v>
      </c>
      <c r="F993" t="str">
        <f>"10180280 10259378"</f>
        <v>10180280 10259378</v>
      </c>
      <c r="G993" t="str">
        <f>"INV 10180280"</f>
        <v>INV 10180280</v>
      </c>
      <c r="H993" s="2">
        <v>1937.5</v>
      </c>
      <c r="I993" t="str">
        <f>"INV 10180280"</f>
        <v>INV 10180280</v>
      </c>
    </row>
    <row r="994" spans="1:10" x14ac:dyDescent="0.3">
      <c r="A994" t="str">
        <f>""</f>
        <v/>
      </c>
      <c r="F994" t="str">
        <f>""</f>
        <v/>
      </c>
      <c r="G994" t="str">
        <f>""</f>
        <v/>
      </c>
      <c r="I994" t="str">
        <f>"INV 10259378"</f>
        <v>INV 10259378</v>
      </c>
    </row>
    <row r="995" spans="1:10" x14ac:dyDescent="0.3">
      <c r="A995" t="str">
        <f>""</f>
        <v/>
      </c>
      <c r="F995" t="str">
        <f>"11018134"</f>
        <v>11018134</v>
      </c>
      <c r="G995" t="str">
        <f>"INV 11018134"</f>
        <v>INV 11018134</v>
      </c>
      <c r="H995" s="2">
        <v>1175.0999999999999</v>
      </c>
      <c r="I995" t="str">
        <f>"INV 11018134"</f>
        <v>INV 11018134</v>
      </c>
    </row>
    <row r="996" spans="1:10" x14ac:dyDescent="0.3">
      <c r="A996" t="str">
        <f>"001722"</f>
        <v>001722</v>
      </c>
      <c r="B996" t="s">
        <v>295</v>
      </c>
      <c r="C996">
        <v>73895</v>
      </c>
      <c r="D996" s="2">
        <v>1099.25</v>
      </c>
      <c r="E996" s="1">
        <v>43066</v>
      </c>
      <c r="F996" t="str">
        <f>"11087610"</f>
        <v>11087610</v>
      </c>
      <c r="G996" t="str">
        <f>"INV 11087610"</f>
        <v>INV 11087610</v>
      </c>
      <c r="H996" s="2">
        <v>1099.25</v>
      </c>
      <c r="I996" t="str">
        <f>"INV 11087610"</f>
        <v>INV 11087610</v>
      </c>
    </row>
    <row r="997" spans="1:10" x14ac:dyDescent="0.3">
      <c r="A997" t="str">
        <f>"003806"</f>
        <v>003806</v>
      </c>
      <c r="B997" t="s">
        <v>296</v>
      </c>
      <c r="C997">
        <v>73896</v>
      </c>
      <c r="D997" s="2">
        <v>126.17</v>
      </c>
      <c r="E997" s="1">
        <v>43066</v>
      </c>
      <c r="F997" t="str">
        <f>"201711166651"</f>
        <v>201711166651</v>
      </c>
      <c r="G997" t="str">
        <f>"INDIGENT HEALTH"</f>
        <v>INDIGENT HEALTH</v>
      </c>
      <c r="H997" s="2">
        <v>126.17</v>
      </c>
      <c r="I997" t="str">
        <f>"INDIGENT HEALTH"</f>
        <v>INDIGENT HEALTH</v>
      </c>
    </row>
    <row r="998" spans="1:10" x14ac:dyDescent="0.3">
      <c r="A998" t="str">
        <f>"005283"</f>
        <v>005283</v>
      </c>
      <c r="B998" t="s">
        <v>297</v>
      </c>
      <c r="C998">
        <v>73630</v>
      </c>
      <c r="D998" s="2">
        <v>35</v>
      </c>
      <c r="E998" s="1">
        <v>43052</v>
      </c>
      <c r="F998" t="str">
        <f>"201711086428"</f>
        <v>201711086428</v>
      </c>
      <c r="G998" t="str">
        <f>"FERAL HOGS"</f>
        <v>FERAL HOGS</v>
      </c>
      <c r="H998" s="2">
        <v>35</v>
      </c>
      <c r="I998" t="str">
        <f>"FERAL HOGS"</f>
        <v>FERAL HOGS</v>
      </c>
    </row>
    <row r="999" spans="1:10" x14ac:dyDescent="0.3">
      <c r="A999" t="str">
        <f>"005271"</f>
        <v>005271</v>
      </c>
      <c r="B999" t="s">
        <v>298</v>
      </c>
      <c r="C999">
        <v>73631</v>
      </c>
      <c r="D999" s="2">
        <v>2250</v>
      </c>
      <c r="E999" s="1">
        <v>43052</v>
      </c>
      <c r="F999" t="str">
        <f>"2064"</f>
        <v>2064</v>
      </c>
      <c r="G999" t="str">
        <f>"ENGINEERING SVCS/GENERAL SVCS"</f>
        <v>ENGINEERING SVCS/GENERAL SVCS</v>
      </c>
      <c r="H999" s="2">
        <v>2250</v>
      </c>
      <c r="I999" t="str">
        <f>"ENGINEERING SVCS/GENERAL SVCS"</f>
        <v>ENGINEERING SVCS/GENERAL SVCS</v>
      </c>
    </row>
    <row r="1000" spans="1:10" x14ac:dyDescent="0.3">
      <c r="A1000" t="str">
        <f>"000900"</f>
        <v>000900</v>
      </c>
      <c r="B1000" t="s">
        <v>299</v>
      </c>
      <c r="C1000">
        <v>73897</v>
      </c>
      <c r="D1000" s="2">
        <v>2658</v>
      </c>
      <c r="E1000" s="1">
        <v>43066</v>
      </c>
      <c r="F1000" t="str">
        <f>"269528"</f>
        <v>269528</v>
      </c>
      <c r="G1000" t="str">
        <f>"CUST#BASCOU/PCT#2"</f>
        <v>CUST#BASCOU/PCT#2</v>
      </c>
      <c r="H1000" s="2">
        <v>2658</v>
      </c>
      <c r="I1000" t="str">
        <f>"CUST#BASCOU/PCT#2"</f>
        <v>CUST#BASCOU/PCT#2</v>
      </c>
    </row>
    <row r="1001" spans="1:10" x14ac:dyDescent="0.3">
      <c r="A1001" t="str">
        <f>"005293"</f>
        <v>005293</v>
      </c>
      <c r="B1001" t="s">
        <v>300</v>
      </c>
      <c r="C1001">
        <v>73786</v>
      </c>
      <c r="D1001" s="2">
        <v>10989.39</v>
      </c>
      <c r="E1001" s="1">
        <v>43052</v>
      </c>
      <c r="F1001" t="str">
        <f>"201711136552"</f>
        <v>201711136552</v>
      </c>
      <c r="G1001" t="str">
        <f>"ANN WILSON WRIT OF EXEC"</f>
        <v>ANN WILSON WRIT OF EXEC</v>
      </c>
      <c r="H1001" s="2">
        <v>10989.39</v>
      </c>
      <c r="I1001" t="str">
        <f>"ANN WILSON WRIT OF EXEC"</f>
        <v>ANN WILSON WRIT OF EXEC</v>
      </c>
    </row>
    <row r="1002" spans="1:10" x14ac:dyDescent="0.3">
      <c r="A1002" t="str">
        <f>"002349"</f>
        <v>002349</v>
      </c>
      <c r="B1002" t="s">
        <v>301</v>
      </c>
      <c r="C1002">
        <v>73632</v>
      </c>
      <c r="D1002" s="2">
        <v>150</v>
      </c>
      <c r="E1002" s="1">
        <v>43052</v>
      </c>
      <c r="F1002" t="s">
        <v>64</v>
      </c>
      <c r="G1002" t="s">
        <v>67</v>
      </c>
      <c r="H1002" s="2" t="str">
        <f>"SERVICE  09/05/17"</f>
        <v>SERVICE  09/05/17</v>
      </c>
      <c r="I1002" t="str">
        <f>"995-4110"</f>
        <v>995-4110</v>
      </c>
      <c r="J1002">
        <v>150</v>
      </c>
    </row>
    <row r="1003" spans="1:10" x14ac:dyDescent="0.3">
      <c r="A1003" t="str">
        <f>"T9279"</f>
        <v>T9279</v>
      </c>
      <c r="B1003" t="s">
        <v>302</v>
      </c>
      <c r="C1003">
        <v>73464</v>
      </c>
      <c r="D1003" s="2">
        <v>100.5</v>
      </c>
      <c r="E1003" s="1">
        <v>43048</v>
      </c>
      <c r="F1003" t="str">
        <f>"201711096546"</f>
        <v>201711096546</v>
      </c>
      <c r="G1003" t="str">
        <f>"ACCT#1-09-00072-02 / 10252017"</f>
        <v>ACCT#1-09-00072-02 / 10252017</v>
      </c>
      <c r="H1003" s="2">
        <v>50.25</v>
      </c>
      <c r="I1003" t="str">
        <f>"ACCT#1-09-00072-02 / 10252017"</f>
        <v>ACCT#1-09-00072-02 / 10252017</v>
      </c>
    </row>
    <row r="1004" spans="1:10" x14ac:dyDescent="0.3">
      <c r="A1004" t="str">
        <f>""</f>
        <v/>
      </c>
      <c r="F1004" t="str">
        <f>"201711096547"</f>
        <v>201711096547</v>
      </c>
      <c r="G1004" t="str">
        <f>"ACCT#3-09-00175-03 / 10252017"</f>
        <v>ACCT#3-09-00175-03 / 10252017</v>
      </c>
      <c r="H1004" s="2">
        <v>50.25</v>
      </c>
      <c r="I1004" t="str">
        <f>"LEE COUNTY WATER SUPPLY CORP"</f>
        <v>LEE COUNTY WATER SUPPLY CORP</v>
      </c>
    </row>
    <row r="1005" spans="1:10" x14ac:dyDescent="0.3">
      <c r="A1005" t="str">
        <f>"T9279"</f>
        <v>T9279</v>
      </c>
      <c r="B1005" t="s">
        <v>302</v>
      </c>
      <c r="C1005">
        <v>73996</v>
      </c>
      <c r="D1005" s="2">
        <v>100.5</v>
      </c>
      <c r="E1005" s="1">
        <v>43068</v>
      </c>
      <c r="F1005" t="str">
        <f>"201711286833"</f>
        <v>201711286833</v>
      </c>
      <c r="G1005" t="str">
        <f>"ACCT# 1-09-00072-02 / 11212017"</f>
        <v>ACCT# 1-09-00072-02 / 11212017</v>
      </c>
      <c r="H1005" s="2">
        <v>50.25</v>
      </c>
      <c r="I1005" t="str">
        <f>"ACCT# 1-09-00072-02 / 11212017"</f>
        <v>ACCT# 1-09-00072-02 / 11212017</v>
      </c>
    </row>
    <row r="1006" spans="1:10" x14ac:dyDescent="0.3">
      <c r="A1006" t="str">
        <f>""</f>
        <v/>
      </c>
      <c r="F1006" t="str">
        <f>"201711286834"</f>
        <v>201711286834</v>
      </c>
      <c r="G1006" t="str">
        <f>"ACCT#3-09-00175-03 / 11212017"</f>
        <v>ACCT#3-09-00175-03 / 11212017</v>
      </c>
      <c r="H1006" s="2">
        <v>50.25</v>
      </c>
      <c r="I1006" t="str">
        <f>"ACCT#3-09-00175-03 / 11212017"</f>
        <v>ACCT#3-09-00175-03 / 11212017</v>
      </c>
    </row>
    <row r="1007" spans="1:10" x14ac:dyDescent="0.3">
      <c r="A1007" t="str">
        <f>"002900"</f>
        <v>002900</v>
      </c>
      <c r="B1007" t="s">
        <v>303</v>
      </c>
      <c r="C1007">
        <v>73633</v>
      </c>
      <c r="D1007" s="2">
        <v>818.74</v>
      </c>
      <c r="E1007" s="1">
        <v>43052</v>
      </c>
      <c r="F1007" t="str">
        <f>"553048810"</f>
        <v>553048810</v>
      </c>
      <c r="G1007" t="str">
        <f>"INV 553048810"</f>
        <v>INV 553048810</v>
      </c>
      <c r="H1007" s="2">
        <v>702.46</v>
      </c>
      <c r="I1007" t="str">
        <f>"INV 553048810"</f>
        <v>INV 553048810</v>
      </c>
    </row>
    <row r="1008" spans="1:10" x14ac:dyDescent="0.3">
      <c r="A1008" t="str">
        <f>""</f>
        <v/>
      </c>
      <c r="F1008" t="str">
        <f>"553093380"</f>
        <v>553093380</v>
      </c>
      <c r="G1008" t="str">
        <f>"INV 553093380"</f>
        <v>INV 553093380</v>
      </c>
      <c r="H1008" s="2">
        <v>116.28</v>
      </c>
      <c r="I1008" t="str">
        <f>"INV 553093380"</f>
        <v>INV 553093380</v>
      </c>
    </row>
    <row r="1009" spans="1:9" x14ac:dyDescent="0.3">
      <c r="A1009" t="str">
        <f>"001530"</f>
        <v>001530</v>
      </c>
      <c r="B1009" t="s">
        <v>304</v>
      </c>
      <c r="C1009">
        <v>73634</v>
      </c>
      <c r="D1009" s="2">
        <v>303.89999999999998</v>
      </c>
      <c r="E1009" s="1">
        <v>43052</v>
      </c>
      <c r="F1009" t="str">
        <f>"1361725-20171031"</f>
        <v>1361725-20171031</v>
      </c>
      <c r="G1009" t="str">
        <f>"BILLING#1361725/INDIGENT HLTH"</f>
        <v>BILLING#1361725/INDIGENT HLTH</v>
      </c>
      <c r="H1009" s="2">
        <v>120.65</v>
      </c>
      <c r="I1009" t="str">
        <f>"BILLING#1361725/INDIGENT HLTH"</f>
        <v>BILLING#1361725/INDIGENT HLTH</v>
      </c>
    </row>
    <row r="1010" spans="1:9" x14ac:dyDescent="0.3">
      <c r="A1010" t="str">
        <f>""</f>
        <v/>
      </c>
      <c r="F1010" t="str">
        <f>"1394645-20171031"</f>
        <v>1394645-20171031</v>
      </c>
      <c r="G1010" t="str">
        <f>"PUBLIC RECORDS/TREASURER/CC"</f>
        <v>PUBLIC RECORDS/TREASURER/CC</v>
      </c>
      <c r="H1010" s="2">
        <v>76.75</v>
      </c>
      <c r="I1010" t="str">
        <f>"PUBLIC RECORDS/TREASURER/CC"</f>
        <v>PUBLIC RECORDS/TREASURER/CC</v>
      </c>
    </row>
    <row r="1011" spans="1:9" x14ac:dyDescent="0.3">
      <c r="A1011" t="str">
        <f>""</f>
        <v/>
      </c>
      <c r="F1011" t="str">
        <f>""</f>
        <v/>
      </c>
      <c r="G1011" t="str">
        <f>""</f>
        <v/>
      </c>
      <c r="I1011" t="str">
        <f>"PUBLIC RECORDS/TREASURER/CC"</f>
        <v>PUBLIC RECORDS/TREASURER/CC</v>
      </c>
    </row>
    <row r="1012" spans="1:9" x14ac:dyDescent="0.3">
      <c r="A1012" t="str">
        <f>""</f>
        <v/>
      </c>
      <c r="F1012" t="str">
        <f>"1420944-20171031"</f>
        <v>1420944-20171031</v>
      </c>
      <c r="G1012" t="str">
        <f>"BILLING ID#1420944/SHER. OFFIC"</f>
        <v>BILLING ID#1420944/SHER. OFFIC</v>
      </c>
      <c r="H1012" s="2">
        <v>6.5</v>
      </c>
      <c r="I1012" t="str">
        <f>"BILLING ID#1420944/SHER. OFFIC"</f>
        <v>BILLING ID#1420944/SHER. OFFIC</v>
      </c>
    </row>
    <row r="1013" spans="1:9" x14ac:dyDescent="0.3">
      <c r="A1013" t="str">
        <f>""</f>
        <v/>
      </c>
      <c r="F1013" t="str">
        <f>"1489870-20171031"</f>
        <v>1489870-20171031</v>
      </c>
      <c r="G1013" t="str">
        <f>"BILLING ID#1489870/DIST CLERK"</f>
        <v>BILLING ID#1489870/DIST CLERK</v>
      </c>
      <c r="H1013" s="2">
        <v>100</v>
      </c>
      <c r="I1013" t="str">
        <f>"BILLING ID#1489870/DIST CLERK"</f>
        <v>BILLING ID#1489870/DIST CLERK</v>
      </c>
    </row>
    <row r="1014" spans="1:9" x14ac:dyDescent="0.3">
      <c r="A1014" t="str">
        <f>"001530"</f>
        <v>001530</v>
      </c>
      <c r="B1014" t="s">
        <v>304</v>
      </c>
      <c r="C1014">
        <v>73898</v>
      </c>
      <c r="D1014" s="2">
        <v>364</v>
      </c>
      <c r="E1014" s="1">
        <v>43066</v>
      </c>
      <c r="F1014" t="str">
        <f>"1420944-20171031C"</f>
        <v>1420944-20171031C</v>
      </c>
      <c r="G1014" t="str">
        <f>"BILLING ID:1420944/SHERIFF OFF"</f>
        <v>BILLING ID:1420944/SHERIFF OFF</v>
      </c>
      <c r="H1014" s="2">
        <v>301</v>
      </c>
      <c r="I1014" t="str">
        <f>"BILLING ID:1420944/SHERIFF OFF"</f>
        <v>BILLING ID:1420944/SHERIFF OFF</v>
      </c>
    </row>
    <row r="1015" spans="1:9" x14ac:dyDescent="0.3">
      <c r="A1015" t="str">
        <f>""</f>
        <v/>
      </c>
      <c r="F1015" t="str">
        <f>"1489870-20171031C"</f>
        <v>1489870-20171031C</v>
      </c>
      <c r="G1015" t="str">
        <f>"BILLING ID#1489870/DIST CLERK"</f>
        <v>BILLING ID#1489870/DIST CLERK</v>
      </c>
      <c r="H1015" s="2">
        <v>63</v>
      </c>
      <c r="I1015" t="str">
        <f>"BILLING ID#1489870/DIST CLERK"</f>
        <v>BILLING ID#1489870/DIST CLERK</v>
      </c>
    </row>
    <row r="1016" spans="1:9" x14ac:dyDescent="0.3">
      <c r="A1016" t="str">
        <f>"000684"</f>
        <v>000684</v>
      </c>
      <c r="B1016" t="s">
        <v>305</v>
      </c>
      <c r="C1016">
        <v>73635</v>
      </c>
      <c r="D1016" s="2">
        <v>706.82</v>
      </c>
      <c r="E1016" s="1">
        <v>43052</v>
      </c>
      <c r="F1016" t="str">
        <f>"1234258"</f>
        <v>1234258</v>
      </c>
      <c r="G1016" t="str">
        <f>"ACCT#15717/TIRE SVCS"</f>
        <v>ACCT#15717/TIRE SVCS</v>
      </c>
      <c r="H1016" s="2">
        <v>401.16</v>
      </c>
      <c r="I1016" t="str">
        <f>"ACCT#15717/TIRE SVCS"</f>
        <v>ACCT#15717/TIRE SVCS</v>
      </c>
    </row>
    <row r="1017" spans="1:9" x14ac:dyDescent="0.3">
      <c r="A1017" t="str">
        <f>""</f>
        <v/>
      </c>
      <c r="F1017" t="str">
        <f>"1237278"</f>
        <v>1237278</v>
      </c>
      <c r="G1017" t="str">
        <f>"ACCT#15717/RD&amp; BRIDGE/BULL RUN"</f>
        <v>ACCT#15717/RD&amp; BRIDGE/BULL RUN</v>
      </c>
      <c r="H1017" s="2">
        <v>305.66000000000003</v>
      </c>
      <c r="I1017" t="str">
        <f>"ACCT#15717/RD&amp; BRIDGE/BULL RUN"</f>
        <v>ACCT#15717/RD&amp; BRIDGE/BULL RUN</v>
      </c>
    </row>
    <row r="1018" spans="1:9" x14ac:dyDescent="0.3">
      <c r="A1018" t="str">
        <f>"000684"</f>
        <v>000684</v>
      </c>
      <c r="B1018" t="s">
        <v>305</v>
      </c>
      <c r="C1018">
        <v>73899</v>
      </c>
      <c r="D1018" s="2">
        <v>551.91999999999996</v>
      </c>
      <c r="E1018" s="1">
        <v>43066</v>
      </c>
      <c r="F1018" t="str">
        <f>"1246053"</f>
        <v>1246053</v>
      </c>
      <c r="G1018" t="str">
        <f>"ACCT#15717/TIRE SVCS"</f>
        <v>ACCT#15717/TIRE SVCS</v>
      </c>
      <c r="H1018" s="2">
        <v>551.91999999999996</v>
      </c>
      <c r="I1018" t="str">
        <f>"ACCT#15717/TIRE SVCS"</f>
        <v>ACCT#15717/TIRE SVCS</v>
      </c>
    </row>
    <row r="1019" spans="1:9" x14ac:dyDescent="0.3">
      <c r="A1019" t="str">
        <f>"T11113"</f>
        <v>T11113</v>
      </c>
      <c r="B1019" t="s">
        <v>306</v>
      </c>
      <c r="C1019">
        <v>999999</v>
      </c>
      <c r="D1019" s="2">
        <v>97</v>
      </c>
      <c r="E1019" s="1">
        <v>43053</v>
      </c>
      <c r="F1019" t="str">
        <f>"201710306079"</f>
        <v>201710306079</v>
      </c>
      <c r="G1019" t="str">
        <f>"1999 &amp; 2016 TRAILER REG/S O"</f>
        <v>1999 &amp; 2016 TRAILER REG/S O</v>
      </c>
      <c r="H1019" s="2">
        <v>7.5</v>
      </c>
      <c r="I1019" t="str">
        <f>"1999 &amp; 2016 TRAILER REG/S O"</f>
        <v>1999 &amp; 2016 TRAILER REG/S O</v>
      </c>
    </row>
    <row r="1020" spans="1:9" x14ac:dyDescent="0.3">
      <c r="A1020" t="str">
        <f>""</f>
        <v/>
      </c>
      <c r="F1020" t="str">
        <f>"201710306080"</f>
        <v>201710306080</v>
      </c>
      <c r="G1020" t="str">
        <f>"2017 CHEV REGISTRATION/BCAS"</f>
        <v>2017 CHEV REGISTRATION/BCAS</v>
      </c>
      <c r="H1020" s="2">
        <v>7.5</v>
      </c>
      <c r="I1020" t="str">
        <f>"2017 CHEV REGISTRATION/BCAS"</f>
        <v>2017 CHEV REGISTRATION/BCAS</v>
      </c>
    </row>
    <row r="1021" spans="1:9" x14ac:dyDescent="0.3">
      <c r="A1021" t="str">
        <f>""</f>
        <v/>
      </c>
      <c r="F1021" t="str">
        <f>"201711016098"</f>
        <v>201711016098</v>
      </c>
      <c r="G1021" t="str">
        <f>"TITLE &amp; REGISTRATION/BCSO"</f>
        <v>TITLE &amp; REGISTRATION/BCSO</v>
      </c>
      <c r="H1021" s="2">
        <v>67</v>
      </c>
      <c r="I1021" t="str">
        <f>"TITLE &amp; REGISTRATION/BCSO"</f>
        <v>TITLE &amp; REGISTRATION/BCSO</v>
      </c>
    </row>
    <row r="1022" spans="1:9" x14ac:dyDescent="0.3">
      <c r="A1022" t="str">
        <f>""</f>
        <v/>
      </c>
      <c r="F1022" t="str">
        <f>"201711076349"</f>
        <v>201711076349</v>
      </c>
      <c r="G1022" t="str">
        <f>"REGISTRATION '99 FORD/GEN SVCS"</f>
        <v>REGISTRATION '99 FORD/GEN SVCS</v>
      </c>
      <c r="H1022" s="2">
        <v>7.5</v>
      </c>
      <c r="I1022" t="str">
        <f>"REGISTRATION '99 FORD/GEN SVCS"</f>
        <v>REGISTRATION '99 FORD/GEN SVCS</v>
      </c>
    </row>
    <row r="1023" spans="1:9" x14ac:dyDescent="0.3">
      <c r="A1023" t="str">
        <f>""</f>
        <v/>
      </c>
      <c r="F1023" t="str">
        <f>"201711086413"</f>
        <v>201711086413</v>
      </c>
      <c r="G1023" t="str">
        <f>"2011 FORD PK REGISTRATION/SO"</f>
        <v>2011 FORD PK REGISTRATION/SO</v>
      </c>
      <c r="H1023" s="2">
        <v>7.5</v>
      </c>
      <c r="I1023" t="str">
        <f>"2011 FORD PK REGISTRATION/SO"</f>
        <v>2011 FORD PK REGISTRATION/SO</v>
      </c>
    </row>
    <row r="1024" spans="1:9" x14ac:dyDescent="0.3">
      <c r="A1024" t="str">
        <f>"T11113"</f>
        <v>T11113</v>
      </c>
      <c r="B1024" t="s">
        <v>306</v>
      </c>
      <c r="C1024">
        <v>999999</v>
      </c>
      <c r="D1024" s="2">
        <v>61.25</v>
      </c>
      <c r="E1024" s="1">
        <v>43067</v>
      </c>
      <c r="F1024" t="str">
        <f>"201711146592"</f>
        <v>201711146592</v>
      </c>
      <c r="G1024" t="str">
        <f>"2000 FRHT/PCT#3"</f>
        <v>2000 FRHT/PCT#3</v>
      </c>
      <c r="H1024" s="2">
        <v>7.5</v>
      </c>
      <c r="I1024" t="str">
        <f>"2000 FRHT/PCT#3"</f>
        <v>2000 FRHT/PCT#3</v>
      </c>
    </row>
    <row r="1025" spans="1:9" x14ac:dyDescent="0.3">
      <c r="A1025" t="str">
        <f>""</f>
        <v/>
      </c>
      <c r="F1025" t="str">
        <f>"201711156604"</f>
        <v>201711156604</v>
      </c>
      <c r="G1025" t="str">
        <f>"REG. FOR 2001 FORD PK/GEN SVCS"</f>
        <v>REG. FOR 2001 FORD PK/GEN SVCS</v>
      </c>
      <c r="H1025" s="2">
        <v>7.5</v>
      </c>
      <c r="I1025" t="str">
        <f>"REG. FOR 2001 FORD PK/GEN SVCS"</f>
        <v>REG. FOR 2001 FORD PK/GEN SVCS</v>
      </c>
    </row>
    <row r="1026" spans="1:9" x14ac:dyDescent="0.3">
      <c r="A1026" t="str">
        <f>""</f>
        <v/>
      </c>
      <c r="F1026" t="str">
        <f>"201711156606"</f>
        <v>201711156606</v>
      </c>
      <c r="G1026" t="str">
        <f>"REG. FOR 2004 GMC PK/PCT#2"</f>
        <v>REG. FOR 2004 GMC PK/PCT#2</v>
      </c>
      <c r="H1026" s="2">
        <v>7.5</v>
      </c>
      <c r="I1026" t="str">
        <f>"REG. FOR 2004 GMC PK/PCT#2"</f>
        <v>REG. FOR 2004 GMC PK/PCT#2</v>
      </c>
    </row>
    <row r="1027" spans="1:9" x14ac:dyDescent="0.3">
      <c r="A1027" t="str">
        <f>""</f>
        <v/>
      </c>
      <c r="F1027" t="str">
        <f>"201711156610"</f>
        <v>201711156610</v>
      </c>
      <c r="G1027" t="str">
        <f>"REG. FOR 2004 FORD PK/PCT#4"</f>
        <v>REG. FOR 2004 FORD PK/PCT#4</v>
      </c>
      <c r="H1027" s="2">
        <v>22</v>
      </c>
      <c r="I1027" t="str">
        <f>"REG. FOR 2004 FORD PK/PCT#4"</f>
        <v>REG. FOR 2004 FORD PK/PCT#4</v>
      </c>
    </row>
    <row r="1028" spans="1:9" x14ac:dyDescent="0.3">
      <c r="A1028" t="str">
        <f>""</f>
        <v/>
      </c>
      <c r="F1028" t="str">
        <f>"201711176708"</f>
        <v>201711176708</v>
      </c>
      <c r="G1028" t="str">
        <f>"TITLE PAPERWORK-SHERIFF'S OFF"</f>
        <v>TITLE PAPERWORK-SHERIFF'S OFF</v>
      </c>
      <c r="H1028" s="2">
        <v>16.75</v>
      </c>
      <c r="I1028" t="str">
        <f>"TITLE PAPERWORK-SHERIFF'S OFF"</f>
        <v>TITLE PAPERWORK-SHERIFF'S OFF</v>
      </c>
    </row>
    <row r="1029" spans="1:9" x14ac:dyDescent="0.3">
      <c r="A1029" t="str">
        <f>"T1082"</f>
        <v>T1082</v>
      </c>
      <c r="B1029" t="s">
        <v>307</v>
      </c>
      <c r="C1029">
        <v>73636</v>
      </c>
      <c r="D1029" s="2">
        <v>35.979999999999997</v>
      </c>
      <c r="E1029" s="1">
        <v>43052</v>
      </c>
      <c r="F1029" t="str">
        <f>"REIMBURSEMENT"</f>
        <v>REIMBURSEMENT</v>
      </c>
      <c r="G1029" t="str">
        <f>"REIMBURSEMENT"</f>
        <v>REIMBURSEMENT</v>
      </c>
      <c r="H1029" s="2">
        <v>35.979999999999997</v>
      </c>
      <c r="I1029" t="str">
        <f>"REIMBURSEMENT"</f>
        <v>REIMBURSEMENT</v>
      </c>
    </row>
    <row r="1030" spans="1:9" x14ac:dyDescent="0.3">
      <c r="A1030" t="str">
        <f>"T12652"</f>
        <v>T12652</v>
      </c>
      <c r="B1030" t="s">
        <v>308</v>
      </c>
      <c r="C1030">
        <v>73900</v>
      </c>
      <c r="D1030" s="2">
        <v>3757.5</v>
      </c>
      <c r="E1030" s="1">
        <v>43066</v>
      </c>
      <c r="F1030" t="str">
        <f>"201711176695"</f>
        <v>201711176695</v>
      </c>
      <c r="G1030" t="str">
        <f>"15-17 513"</f>
        <v>15-17 513</v>
      </c>
      <c r="H1030" s="2">
        <v>3757.5</v>
      </c>
      <c r="I1030" t="str">
        <f>"15-17 513"</f>
        <v>15-17 513</v>
      </c>
    </row>
    <row r="1031" spans="1:9" x14ac:dyDescent="0.3">
      <c r="A1031" t="str">
        <f>"000785"</f>
        <v>000785</v>
      </c>
      <c r="B1031" t="s">
        <v>309</v>
      </c>
      <c r="C1031">
        <v>999999</v>
      </c>
      <c r="D1031" s="2">
        <v>92.02</v>
      </c>
      <c r="E1031" s="1">
        <v>43053</v>
      </c>
      <c r="F1031" t="str">
        <f>"201711076346"</f>
        <v>201711076346</v>
      </c>
      <c r="G1031" t="str">
        <f>"MILEAGE REIMBURSEMENT"</f>
        <v>MILEAGE REIMBURSEMENT</v>
      </c>
      <c r="H1031" s="2">
        <v>92.02</v>
      </c>
      <c r="I1031" t="str">
        <f>"MILEAGE REIMBURSEMENT"</f>
        <v>MILEAGE REIMBURSEMENT</v>
      </c>
    </row>
    <row r="1032" spans="1:9" x14ac:dyDescent="0.3">
      <c r="A1032" t="str">
        <f>"T7299"</f>
        <v>T7299</v>
      </c>
      <c r="B1032" t="s">
        <v>310</v>
      </c>
      <c r="C1032">
        <v>73637</v>
      </c>
      <c r="D1032" s="2">
        <v>637.4</v>
      </c>
      <c r="E1032" s="1">
        <v>43052</v>
      </c>
      <c r="F1032" t="str">
        <f>"201711016089"</f>
        <v>201711016089</v>
      </c>
      <c r="G1032" t="str">
        <f>"REIMBURSE MEALS/LODGING"</f>
        <v>REIMBURSE MEALS/LODGING</v>
      </c>
      <c r="H1032" s="2">
        <v>637.4</v>
      </c>
      <c r="I1032" t="str">
        <f>"REIMBURSE MEALS/LODGING"</f>
        <v>REIMBURSE MEALS/LODGING</v>
      </c>
    </row>
    <row r="1033" spans="1:9" x14ac:dyDescent="0.3">
      <c r="A1033" t="str">
        <f>"003434"</f>
        <v>003434</v>
      </c>
      <c r="B1033" t="s">
        <v>311</v>
      </c>
      <c r="C1033">
        <v>73638</v>
      </c>
      <c r="D1033" s="2">
        <v>90</v>
      </c>
      <c r="E1033" s="1">
        <v>43052</v>
      </c>
      <c r="F1033" t="str">
        <f>"201711086429"</f>
        <v>201711086429</v>
      </c>
      <c r="G1033" t="str">
        <f>"FERAL HOGS"</f>
        <v>FERAL HOGS</v>
      </c>
      <c r="H1033" s="2">
        <v>90</v>
      </c>
      <c r="I1033" t="str">
        <f>"FERAL HOGS"</f>
        <v>FERAL HOGS</v>
      </c>
    </row>
    <row r="1034" spans="1:9" x14ac:dyDescent="0.3">
      <c r="A1034" t="str">
        <f>"004851"</f>
        <v>004851</v>
      </c>
      <c r="B1034" t="s">
        <v>312</v>
      </c>
      <c r="C1034">
        <v>73639</v>
      </c>
      <c r="D1034" s="2">
        <v>1027.6099999999999</v>
      </c>
      <c r="E1034" s="1">
        <v>43052</v>
      </c>
      <c r="F1034" t="str">
        <f>"201711086508"</f>
        <v>201711086508</v>
      </c>
      <c r="G1034" t="str">
        <f>"INDIGENT HEALTH"</f>
        <v>INDIGENT HEALTH</v>
      </c>
      <c r="H1034" s="2">
        <v>256.07</v>
      </c>
      <c r="I1034" t="str">
        <f>"INDIGENT HEALTH"</f>
        <v>INDIGENT HEALTH</v>
      </c>
    </row>
    <row r="1035" spans="1:9" x14ac:dyDescent="0.3">
      <c r="A1035" t="str">
        <f>""</f>
        <v/>
      </c>
      <c r="F1035" t="str">
        <f>"201711086509"</f>
        <v>201711086509</v>
      </c>
      <c r="G1035" t="str">
        <f>"INDIGENT HEALTH"</f>
        <v>INDIGENT HEALTH</v>
      </c>
      <c r="H1035" s="2">
        <v>761.15</v>
      </c>
      <c r="I1035" t="str">
        <f>"INDIGENT HEALTH"</f>
        <v>INDIGENT HEALTH</v>
      </c>
    </row>
    <row r="1036" spans="1:9" x14ac:dyDescent="0.3">
      <c r="A1036" t="str">
        <f>""</f>
        <v/>
      </c>
      <c r="F1036" t="str">
        <f>"201711086510"</f>
        <v>201711086510</v>
      </c>
      <c r="G1036" t="str">
        <f>"INDIGENT HEALTH"</f>
        <v>INDIGENT HEALTH</v>
      </c>
      <c r="H1036" s="2">
        <v>10.39</v>
      </c>
      <c r="I1036" t="str">
        <f>"INDIGENT HEALTH"</f>
        <v>INDIGENT HEALTH</v>
      </c>
    </row>
    <row r="1037" spans="1:9" x14ac:dyDescent="0.3">
      <c r="A1037" t="str">
        <f>"004557"</f>
        <v>004557</v>
      </c>
      <c r="B1037" t="s">
        <v>313</v>
      </c>
      <c r="C1037">
        <v>999999</v>
      </c>
      <c r="D1037" s="2">
        <v>5135.7</v>
      </c>
      <c r="E1037" s="1">
        <v>43053</v>
      </c>
      <c r="F1037" t="str">
        <f>"LS-0120-BCSO"</f>
        <v>LS-0120-BCSO</v>
      </c>
      <c r="G1037" t="str">
        <f>"INV LS-0120-BCSO"</f>
        <v>INV LS-0120-BCSO</v>
      </c>
      <c r="H1037" s="2">
        <v>516.5</v>
      </c>
      <c r="I1037" t="str">
        <f>"INV LS-0120-BCSO"</f>
        <v>INV LS-0120-BCSO</v>
      </c>
    </row>
    <row r="1038" spans="1:9" x14ac:dyDescent="0.3">
      <c r="A1038" t="str">
        <f>""</f>
        <v/>
      </c>
      <c r="F1038" t="str">
        <f>"LS-09F150-BCSO"</f>
        <v>LS-09F150-BCSO</v>
      </c>
      <c r="G1038" t="str">
        <f>"INV LS-09F150-BCSO"</f>
        <v>INV LS-09F150-BCSO</v>
      </c>
      <c r="H1038" s="2">
        <v>4419.2</v>
      </c>
      <c r="I1038" t="str">
        <f>"INV LS-09F150-BCSO"</f>
        <v>INV LS-09F150-BCSO</v>
      </c>
    </row>
    <row r="1039" spans="1:9" x14ac:dyDescent="0.3">
      <c r="A1039" t="str">
        <f>""</f>
        <v/>
      </c>
      <c r="F1039" t="str">
        <f>"LS-16-EXP-BCSO"</f>
        <v>LS-16-EXP-BCSO</v>
      </c>
      <c r="G1039" t="str">
        <f>"INV LS-16-EXP-BCSO"</f>
        <v>INV LS-16-EXP-BCSO</v>
      </c>
      <c r="H1039" s="2">
        <v>200</v>
      </c>
      <c r="I1039" t="str">
        <f>"INV LS-16-EXP-BCSO"</f>
        <v>INV LS-16-EXP-BCSO</v>
      </c>
    </row>
    <row r="1040" spans="1:9" x14ac:dyDescent="0.3">
      <c r="A1040" t="str">
        <f>"004109"</f>
        <v>004109</v>
      </c>
      <c r="B1040" t="s">
        <v>314</v>
      </c>
      <c r="C1040">
        <v>73640</v>
      </c>
      <c r="D1040" s="2">
        <v>471.77</v>
      </c>
      <c r="E1040" s="1">
        <v>43052</v>
      </c>
      <c r="F1040" t="str">
        <f>"201711086506"</f>
        <v>201711086506</v>
      </c>
      <c r="G1040" t="str">
        <f>"INDIGENT HEALTH"</f>
        <v>INDIGENT HEALTH</v>
      </c>
      <c r="H1040" s="2">
        <v>299.69</v>
      </c>
      <c r="I1040" t="str">
        <f>"INDIGENT HEALTH"</f>
        <v>INDIGENT HEALTH</v>
      </c>
    </row>
    <row r="1041" spans="1:9" x14ac:dyDescent="0.3">
      <c r="A1041" t="str">
        <f>""</f>
        <v/>
      </c>
      <c r="F1041" t="str">
        <f>"201711086507"</f>
        <v>201711086507</v>
      </c>
      <c r="G1041" t="str">
        <f>"INDIGENT HEALTH"</f>
        <v>INDIGENT HEALTH</v>
      </c>
      <c r="H1041" s="2">
        <v>172.08</v>
      </c>
      <c r="I1041" t="str">
        <f>"INDIGENT HEALTH"</f>
        <v>INDIGENT HEALTH</v>
      </c>
    </row>
    <row r="1042" spans="1:9" x14ac:dyDescent="0.3">
      <c r="A1042" t="str">
        <f>"004109"</f>
        <v>004109</v>
      </c>
      <c r="B1042" t="s">
        <v>314</v>
      </c>
      <c r="C1042">
        <v>73901</v>
      </c>
      <c r="D1042" s="2">
        <v>105.4</v>
      </c>
      <c r="E1042" s="1">
        <v>43066</v>
      </c>
      <c r="F1042" t="str">
        <f>"201711166652"</f>
        <v>201711166652</v>
      </c>
      <c r="G1042" t="str">
        <f>"INDIGENT HEALTH"</f>
        <v>INDIGENT HEALTH</v>
      </c>
      <c r="H1042" s="2">
        <v>105.4</v>
      </c>
      <c r="I1042" t="str">
        <f>"INDIGENT HEALTH"</f>
        <v>INDIGENT HEALTH</v>
      </c>
    </row>
    <row r="1043" spans="1:9" x14ac:dyDescent="0.3">
      <c r="A1043" t="str">
        <f>"LIE"</f>
        <v>LIE</v>
      </c>
      <c r="B1043" t="s">
        <v>315</v>
      </c>
      <c r="C1043">
        <v>73641</v>
      </c>
      <c r="D1043" s="2">
        <v>236.03</v>
      </c>
      <c r="E1043" s="1">
        <v>43052</v>
      </c>
      <c r="F1043" t="str">
        <f>"1018766"</f>
        <v>1018766</v>
      </c>
      <c r="G1043" t="str">
        <f>"ACCT#4358/PART#2514656C91/PCT1"</f>
        <v>ACCT#4358/PART#2514656C91/PCT1</v>
      </c>
      <c r="H1043" s="2">
        <v>54.53</v>
      </c>
      <c r="I1043" t="str">
        <f>"ACCT#4358/PART#2514656C91/PCT1"</f>
        <v>ACCT#4358/PART#2514656C91/PCT1</v>
      </c>
    </row>
    <row r="1044" spans="1:9" x14ac:dyDescent="0.3">
      <c r="A1044" t="str">
        <f>""</f>
        <v/>
      </c>
      <c r="F1044" t="str">
        <f>"1025481"</f>
        <v>1025481</v>
      </c>
      <c r="G1044" t="str">
        <f>"ACCT#4360/ALTERNATOR/PCT#2"</f>
        <v>ACCT#4360/ALTERNATOR/PCT#2</v>
      </c>
      <c r="H1044" s="2">
        <v>181.5</v>
      </c>
      <c r="I1044" t="str">
        <f>"ACCT#4360/ALTERNATOR/PCT#2"</f>
        <v>ACCT#4360/ALTERNATOR/PCT#2</v>
      </c>
    </row>
    <row r="1045" spans="1:9" x14ac:dyDescent="0.3">
      <c r="A1045" t="str">
        <f>"LIE"</f>
        <v>LIE</v>
      </c>
      <c r="B1045" t="s">
        <v>315</v>
      </c>
      <c r="C1045">
        <v>73902</v>
      </c>
      <c r="D1045" s="2">
        <v>1234.3800000000001</v>
      </c>
      <c r="E1045" s="1">
        <v>43066</v>
      </c>
      <c r="F1045" t="str">
        <f>"201711156624"</f>
        <v>201711156624</v>
      </c>
      <c r="G1045" t="str">
        <f>"ACCT#4358/PCT#1"</f>
        <v>ACCT#4358/PCT#1</v>
      </c>
      <c r="H1045" s="2">
        <v>891.84</v>
      </c>
      <c r="I1045" t="str">
        <f>"ACCT#4358/PCT#1"</f>
        <v>ACCT#4358/PCT#1</v>
      </c>
    </row>
    <row r="1046" spans="1:9" x14ac:dyDescent="0.3">
      <c r="A1046" t="str">
        <f>""</f>
        <v/>
      </c>
      <c r="F1046" t="str">
        <f>"314885"</f>
        <v>314885</v>
      </c>
      <c r="G1046" t="str">
        <f>"CUST#4358/UNIT#446132/PCT#1"</f>
        <v>CUST#4358/UNIT#446132/PCT#1</v>
      </c>
      <c r="H1046" s="2">
        <v>342.54</v>
      </c>
      <c r="I1046" t="str">
        <f>"CUST#4358/UNIT#446132/PCT#1"</f>
        <v>CUST#4358/UNIT#446132/PCT#1</v>
      </c>
    </row>
    <row r="1047" spans="1:9" x14ac:dyDescent="0.3">
      <c r="A1047" t="str">
        <f>"T13085"</f>
        <v>T13085</v>
      </c>
      <c r="B1047" t="s">
        <v>316</v>
      </c>
      <c r="C1047">
        <v>999999</v>
      </c>
      <c r="D1047" s="2">
        <v>368</v>
      </c>
      <c r="E1047" s="1">
        <v>43053</v>
      </c>
      <c r="F1047" t="str">
        <f>"INV 10-000095"</f>
        <v>INV 10-000095</v>
      </c>
      <c r="G1047" t="str">
        <f>"INV 10-000095"</f>
        <v>INV 10-000095</v>
      </c>
      <c r="H1047" s="2">
        <v>368</v>
      </c>
      <c r="I1047" t="str">
        <f>"INV 10-000095"</f>
        <v>INV 10-000095</v>
      </c>
    </row>
    <row r="1048" spans="1:9" x14ac:dyDescent="0.3">
      <c r="A1048" t="str">
        <f>"005041"</f>
        <v>005041</v>
      </c>
      <c r="B1048" t="s">
        <v>317</v>
      </c>
      <c r="C1048">
        <v>73903</v>
      </c>
      <c r="D1048" s="2">
        <v>395</v>
      </c>
      <c r="E1048" s="1">
        <v>43066</v>
      </c>
      <c r="F1048" t="str">
        <f>"BC-BB5522"</f>
        <v>BC-BB5522</v>
      </c>
      <c r="G1048" t="str">
        <f>"2010 FRHT REPAIRS/PCT#3"</f>
        <v>2010 FRHT REPAIRS/PCT#3</v>
      </c>
      <c r="H1048" s="2">
        <v>395</v>
      </c>
      <c r="I1048" t="str">
        <f>"2010 FRHT REPAIRS/PCT#3"</f>
        <v>2010 FRHT REPAIRS/PCT#3</v>
      </c>
    </row>
    <row r="1049" spans="1:9" x14ac:dyDescent="0.3">
      <c r="A1049" t="str">
        <f>"000888"</f>
        <v>000888</v>
      </c>
      <c r="B1049" t="s">
        <v>318</v>
      </c>
      <c r="C1049">
        <v>73904</v>
      </c>
      <c r="D1049" s="2">
        <v>5659.59</v>
      </c>
      <c r="E1049" s="1">
        <v>43066</v>
      </c>
      <c r="F1049" t="str">
        <f>"9906938692"</f>
        <v>9906938692</v>
      </c>
      <c r="G1049" t="str">
        <f>"Acct# 9906938692"</f>
        <v>Acct# 9906938692</v>
      </c>
      <c r="H1049" s="2">
        <v>5659.59</v>
      </c>
      <c r="I1049" t="str">
        <f>"Inv# 910453"</f>
        <v>Inv# 910453</v>
      </c>
    </row>
    <row r="1050" spans="1:9" x14ac:dyDescent="0.3">
      <c r="A1050" t="str">
        <f>""</f>
        <v/>
      </c>
      <c r="F1050" t="str">
        <f>""</f>
        <v/>
      </c>
      <c r="G1050" t="str">
        <f>""</f>
        <v/>
      </c>
      <c r="I1050" t="str">
        <f>"Inv# 914243"</f>
        <v>Inv# 914243</v>
      </c>
    </row>
    <row r="1051" spans="1:9" x14ac:dyDescent="0.3">
      <c r="A1051" t="str">
        <f>""</f>
        <v/>
      </c>
      <c r="F1051" t="str">
        <f>""</f>
        <v/>
      </c>
      <c r="G1051" t="str">
        <f>""</f>
        <v/>
      </c>
      <c r="I1051" t="str">
        <f>"Inv# 910895"</f>
        <v>Inv# 910895</v>
      </c>
    </row>
    <row r="1052" spans="1:9" x14ac:dyDescent="0.3">
      <c r="A1052" t="str">
        <f>""</f>
        <v/>
      </c>
      <c r="F1052" t="str">
        <f>""</f>
        <v/>
      </c>
      <c r="G1052" t="str">
        <f>""</f>
        <v/>
      </c>
      <c r="I1052" t="str">
        <f>"Inv# 910010"</f>
        <v>Inv# 910010</v>
      </c>
    </row>
    <row r="1053" spans="1:9" x14ac:dyDescent="0.3">
      <c r="A1053" t="str">
        <f>""</f>
        <v/>
      </c>
      <c r="F1053" t="str">
        <f>""</f>
        <v/>
      </c>
      <c r="G1053" t="str">
        <f>""</f>
        <v/>
      </c>
      <c r="I1053" t="str">
        <f>"Inv# 910904"</f>
        <v>Inv# 910904</v>
      </c>
    </row>
    <row r="1054" spans="1:9" x14ac:dyDescent="0.3">
      <c r="A1054" t="str">
        <f>""</f>
        <v/>
      </c>
      <c r="F1054" t="str">
        <f>""</f>
        <v/>
      </c>
      <c r="G1054" t="str">
        <f>""</f>
        <v/>
      </c>
      <c r="I1054" t="str">
        <f>"Inv# 917785"</f>
        <v>Inv# 917785</v>
      </c>
    </row>
    <row r="1055" spans="1:9" x14ac:dyDescent="0.3">
      <c r="A1055" t="str">
        <f>""</f>
        <v/>
      </c>
      <c r="F1055" t="str">
        <f>""</f>
        <v/>
      </c>
      <c r="G1055" t="str">
        <f>""</f>
        <v/>
      </c>
      <c r="I1055" t="str">
        <f>"Inv# 914187"</f>
        <v>Inv# 914187</v>
      </c>
    </row>
    <row r="1056" spans="1:9" x14ac:dyDescent="0.3">
      <c r="A1056" t="str">
        <f>""</f>
        <v/>
      </c>
      <c r="F1056" t="str">
        <f>""</f>
        <v/>
      </c>
      <c r="G1056" t="str">
        <f>""</f>
        <v/>
      </c>
      <c r="I1056" t="str">
        <f>"Inv# 914560"</f>
        <v>Inv# 914560</v>
      </c>
    </row>
    <row r="1057" spans="1:9" x14ac:dyDescent="0.3">
      <c r="A1057" t="str">
        <f>""</f>
        <v/>
      </c>
      <c r="F1057" t="str">
        <f>""</f>
        <v/>
      </c>
      <c r="G1057" t="str">
        <f>""</f>
        <v/>
      </c>
      <c r="I1057" t="str">
        <f>"Inv# 901556"</f>
        <v>Inv# 901556</v>
      </c>
    </row>
    <row r="1058" spans="1:9" x14ac:dyDescent="0.3">
      <c r="A1058" t="str">
        <f>""</f>
        <v/>
      </c>
      <c r="F1058" t="str">
        <f>""</f>
        <v/>
      </c>
      <c r="G1058" t="str">
        <f>""</f>
        <v/>
      </c>
      <c r="I1058" t="str">
        <f>"Inv# 901557"</f>
        <v>Inv# 901557</v>
      </c>
    </row>
    <row r="1059" spans="1:9" x14ac:dyDescent="0.3">
      <c r="A1059" t="str">
        <f>""</f>
        <v/>
      </c>
      <c r="F1059" t="str">
        <f>""</f>
        <v/>
      </c>
      <c r="G1059" t="str">
        <f>""</f>
        <v/>
      </c>
      <c r="I1059" t="str">
        <f>"Inv# 910797"</f>
        <v>Inv# 910797</v>
      </c>
    </row>
    <row r="1060" spans="1:9" x14ac:dyDescent="0.3">
      <c r="A1060" t="str">
        <f>""</f>
        <v/>
      </c>
      <c r="F1060" t="str">
        <f>""</f>
        <v/>
      </c>
      <c r="G1060" t="str">
        <f>""</f>
        <v/>
      </c>
      <c r="I1060" t="str">
        <f>"Inv# 914058"</f>
        <v>Inv# 914058</v>
      </c>
    </row>
    <row r="1061" spans="1:9" x14ac:dyDescent="0.3">
      <c r="A1061" t="str">
        <f>""</f>
        <v/>
      </c>
      <c r="F1061" t="str">
        <f>""</f>
        <v/>
      </c>
      <c r="G1061" t="str">
        <f>""</f>
        <v/>
      </c>
      <c r="I1061" t="str">
        <f>"Inv# 914128"</f>
        <v>Inv# 914128</v>
      </c>
    </row>
    <row r="1062" spans="1:9" x14ac:dyDescent="0.3">
      <c r="A1062" t="str">
        <f>""</f>
        <v/>
      </c>
      <c r="F1062" t="str">
        <f>""</f>
        <v/>
      </c>
      <c r="G1062" t="str">
        <f>""</f>
        <v/>
      </c>
      <c r="I1062" t="str">
        <f>"Inv# 914958"</f>
        <v>Inv# 914958</v>
      </c>
    </row>
    <row r="1063" spans="1:9" x14ac:dyDescent="0.3">
      <c r="A1063" t="str">
        <f>""</f>
        <v/>
      </c>
      <c r="F1063" t="str">
        <f>""</f>
        <v/>
      </c>
      <c r="G1063" t="str">
        <f>""</f>
        <v/>
      </c>
      <c r="I1063" t="str">
        <f>"Inv# 914273"</f>
        <v>Inv# 914273</v>
      </c>
    </row>
    <row r="1064" spans="1:9" x14ac:dyDescent="0.3">
      <c r="A1064" t="str">
        <f>""</f>
        <v/>
      </c>
      <c r="F1064" t="str">
        <f>""</f>
        <v/>
      </c>
      <c r="G1064" t="str">
        <f>""</f>
        <v/>
      </c>
      <c r="I1064" t="str">
        <f>"Inv# 915298"</f>
        <v>Inv# 915298</v>
      </c>
    </row>
    <row r="1065" spans="1:9" x14ac:dyDescent="0.3">
      <c r="A1065" t="str">
        <f>""</f>
        <v/>
      </c>
      <c r="F1065" t="str">
        <f>""</f>
        <v/>
      </c>
      <c r="G1065" t="str">
        <f>""</f>
        <v/>
      </c>
      <c r="I1065" t="str">
        <f>"Inv# 914400"</f>
        <v>Inv# 914400</v>
      </c>
    </row>
    <row r="1066" spans="1:9" x14ac:dyDescent="0.3">
      <c r="A1066" t="str">
        <f>""</f>
        <v/>
      </c>
      <c r="F1066" t="str">
        <f>""</f>
        <v/>
      </c>
      <c r="G1066" t="str">
        <f>""</f>
        <v/>
      </c>
      <c r="I1066" t="str">
        <f>"Inv# 914456"</f>
        <v>Inv# 914456</v>
      </c>
    </row>
    <row r="1067" spans="1:9" x14ac:dyDescent="0.3">
      <c r="A1067" t="str">
        <f>""</f>
        <v/>
      </c>
      <c r="F1067" t="str">
        <f>""</f>
        <v/>
      </c>
      <c r="G1067" t="str">
        <f>""</f>
        <v/>
      </c>
      <c r="I1067" t="str">
        <f>"Inv# 914461"</f>
        <v>Inv# 914461</v>
      </c>
    </row>
    <row r="1068" spans="1:9" x14ac:dyDescent="0.3">
      <c r="A1068" t="str">
        <f>""</f>
        <v/>
      </c>
      <c r="F1068" t="str">
        <f>""</f>
        <v/>
      </c>
      <c r="G1068" t="str">
        <f>""</f>
        <v/>
      </c>
      <c r="I1068" t="str">
        <f>"Inv# 914681"</f>
        <v>Inv# 914681</v>
      </c>
    </row>
    <row r="1069" spans="1:9" x14ac:dyDescent="0.3">
      <c r="A1069" t="str">
        <f>""</f>
        <v/>
      </c>
      <c r="F1069" t="str">
        <f>""</f>
        <v/>
      </c>
      <c r="G1069" t="str">
        <f>""</f>
        <v/>
      </c>
      <c r="I1069" t="str">
        <f>"Inv# 902447"</f>
        <v>Inv# 902447</v>
      </c>
    </row>
    <row r="1070" spans="1:9" x14ac:dyDescent="0.3">
      <c r="A1070" t="str">
        <f>""</f>
        <v/>
      </c>
      <c r="F1070" t="str">
        <f>""</f>
        <v/>
      </c>
      <c r="G1070" t="str">
        <f>""</f>
        <v/>
      </c>
      <c r="I1070" t="str">
        <f>"Inv# 911312"</f>
        <v>Inv# 911312</v>
      </c>
    </row>
    <row r="1071" spans="1:9" x14ac:dyDescent="0.3">
      <c r="A1071" t="str">
        <f>""</f>
        <v/>
      </c>
      <c r="F1071" t="str">
        <f>""</f>
        <v/>
      </c>
      <c r="G1071" t="str">
        <f>""</f>
        <v/>
      </c>
      <c r="I1071" t="str">
        <f>"Inv# 914460"</f>
        <v>Inv# 914460</v>
      </c>
    </row>
    <row r="1072" spans="1:9" x14ac:dyDescent="0.3">
      <c r="A1072" t="str">
        <f>""</f>
        <v/>
      </c>
      <c r="F1072" t="str">
        <f>""</f>
        <v/>
      </c>
      <c r="G1072" t="str">
        <f>""</f>
        <v/>
      </c>
      <c r="I1072" t="str">
        <f>"Inv# 913848"</f>
        <v>Inv# 913848</v>
      </c>
    </row>
    <row r="1073" spans="1:9" x14ac:dyDescent="0.3">
      <c r="A1073" t="str">
        <f>""</f>
        <v/>
      </c>
      <c r="F1073" t="str">
        <f>""</f>
        <v/>
      </c>
      <c r="G1073" t="str">
        <f>""</f>
        <v/>
      </c>
      <c r="I1073" t="str">
        <f>"Inv# 920593"</f>
        <v>Inv# 920593</v>
      </c>
    </row>
    <row r="1074" spans="1:9" x14ac:dyDescent="0.3">
      <c r="A1074" t="str">
        <f>""</f>
        <v/>
      </c>
      <c r="F1074" t="str">
        <f>""</f>
        <v/>
      </c>
      <c r="G1074" t="str">
        <f>""</f>
        <v/>
      </c>
      <c r="I1074" t="str">
        <f>"Inv# 910123"</f>
        <v>Inv# 910123</v>
      </c>
    </row>
    <row r="1075" spans="1:9" x14ac:dyDescent="0.3">
      <c r="A1075" t="str">
        <f>""</f>
        <v/>
      </c>
      <c r="F1075" t="str">
        <f>""</f>
        <v/>
      </c>
      <c r="G1075" t="str">
        <f>""</f>
        <v/>
      </c>
      <c r="I1075" t="str">
        <f>"Inv# 909635"</f>
        <v>Inv# 909635</v>
      </c>
    </row>
    <row r="1076" spans="1:9" x14ac:dyDescent="0.3">
      <c r="A1076" t="str">
        <f>""</f>
        <v/>
      </c>
      <c r="F1076" t="str">
        <f>""</f>
        <v/>
      </c>
      <c r="G1076" t="str">
        <f>""</f>
        <v/>
      </c>
      <c r="I1076" t="str">
        <f>"Inv# 913848"</f>
        <v>Inv# 913848</v>
      </c>
    </row>
    <row r="1077" spans="1:9" x14ac:dyDescent="0.3">
      <c r="A1077" t="str">
        <f>""</f>
        <v/>
      </c>
      <c r="F1077" t="str">
        <f>""</f>
        <v/>
      </c>
      <c r="G1077" t="str">
        <f>""</f>
        <v/>
      </c>
      <c r="I1077" t="str">
        <f>"Inv# 913698"</f>
        <v>Inv# 913698</v>
      </c>
    </row>
    <row r="1078" spans="1:9" x14ac:dyDescent="0.3">
      <c r="A1078" t="str">
        <f>""</f>
        <v/>
      </c>
      <c r="F1078" t="str">
        <f>""</f>
        <v/>
      </c>
      <c r="G1078" t="str">
        <f>""</f>
        <v/>
      </c>
      <c r="I1078" t="str">
        <f>"Inv# 918579"</f>
        <v>Inv# 918579</v>
      </c>
    </row>
    <row r="1079" spans="1:9" x14ac:dyDescent="0.3">
      <c r="A1079" t="str">
        <f>""</f>
        <v/>
      </c>
      <c r="F1079" t="str">
        <f>""</f>
        <v/>
      </c>
      <c r="G1079" t="str">
        <f>""</f>
        <v/>
      </c>
      <c r="I1079" t="str">
        <f>"Inv# 920593"</f>
        <v>Inv# 920593</v>
      </c>
    </row>
    <row r="1080" spans="1:9" x14ac:dyDescent="0.3">
      <c r="A1080" t="str">
        <f>""</f>
        <v/>
      </c>
      <c r="F1080" t="str">
        <f>""</f>
        <v/>
      </c>
      <c r="G1080" t="str">
        <f>""</f>
        <v/>
      </c>
      <c r="I1080" t="str">
        <f>"Inv# 920593"</f>
        <v>Inv# 920593</v>
      </c>
    </row>
    <row r="1081" spans="1:9" x14ac:dyDescent="0.3">
      <c r="A1081" t="str">
        <f>""</f>
        <v/>
      </c>
      <c r="F1081" t="str">
        <f>""</f>
        <v/>
      </c>
      <c r="G1081" t="str">
        <f>""</f>
        <v/>
      </c>
      <c r="I1081" t="str">
        <f>"Inv# 901291"</f>
        <v>Inv# 901291</v>
      </c>
    </row>
    <row r="1082" spans="1:9" x14ac:dyDescent="0.3">
      <c r="A1082" t="str">
        <f>""</f>
        <v/>
      </c>
      <c r="F1082" t="str">
        <f>""</f>
        <v/>
      </c>
      <c r="G1082" t="str">
        <f>""</f>
        <v/>
      </c>
      <c r="I1082" t="str">
        <f>"Inv# 910024"</f>
        <v>Inv# 910024</v>
      </c>
    </row>
    <row r="1083" spans="1:9" x14ac:dyDescent="0.3">
      <c r="A1083" t="str">
        <f>""</f>
        <v/>
      </c>
      <c r="F1083" t="str">
        <f>""</f>
        <v/>
      </c>
      <c r="G1083" t="str">
        <f>""</f>
        <v/>
      </c>
      <c r="I1083" t="str">
        <f>"Inv# 914164"</f>
        <v>Inv# 914164</v>
      </c>
    </row>
    <row r="1084" spans="1:9" x14ac:dyDescent="0.3">
      <c r="A1084" t="str">
        <f>""</f>
        <v/>
      </c>
      <c r="F1084" t="str">
        <f>""</f>
        <v/>
      </c>
      <c r="G1084" t="str">
        <f>""</f>
        <v/>
      </c>
      <c r="I1084" t="str">
        <f>"Inv# 914262"</f>
        <v>Inv# 914262</v>
      </c>
    </row>
    <row r="1085" spans="1:9" x14ac:dyDescent="0.3">
      <c r="A1085" t="str">
        <f>""</f>
        <v/>
      </c>
      <c r="F1085" t="str">
        <f>""</f>
        <v/>
      </c>
      <c r="G1085" t="str">
        <f>""</f>
        <v/>
      </c>
      <c r="I1085" t="str">
        <f>"Inv# 910825"</f>
        <v>Inv# 910825</v>
      </c>
    </row>
    <row r="1086" spans="1:9" x14ac:dyDescent="0.3">
      <c r="A1086" t="str">
        <f>""</f>
        <v/>
      </c>
      <c r="F1086" t="str">
        <f>""</f>
        <v/>
      </c>
      <c r="G1086" t="str">
        <f>""</f>
        <v/>
      </c>
      <c r="I1086" t="str">
        <f>"Inv# 918579"</f>
        <v>Inv# 918579</v>
      </c>
    </row>
    <row r="1087" spans="1:9" x14ac:dyDescent="0.3">
      <c r="A1087" t="str">
        <f>""</f>
        <v/>
      </c>
      <c r="F1087" t="str">
        <f>""</f>
        <v/>
      </c>
      <c r="G1087" t="str">
        <f>""</f>
        <v/>
      </c>
      <c r="I1087" t="str">
        <f>"Inv# 914238"</f>
        <v>Inv# 914238</v>
      </c>
    </row>
    <row r="1088" spans="1:9" x14ac:dyDescent="0.3">
      <c r="A1088" t="str">
        <f>""</f>
        <v/>
      </c>
      <c r="F1088" t="str">
        <f>""</f>
        <v/>
      </c>
      <c r="G1088" t="str">
        <f>""</f>
        <v/>
      </c>
      <c r="I1088" t="str">
        <f>"Inv# 999524"</f>
        <v>Inv# 999524</v>
      </c>
    </row>
    <row r="1089" spans="1:9" x14ac:dyDescent="0.3">
      <c r="A1089" t="str">
        <f>""</f>
        <v/>
      </c>
      <c r="F1089" t="str">
        <f>""</f>
        <v/>
      </c>
      <c r="G1089" t="str">
        <f>""</f>
        <v/>
      </c>
      <c r="I1089" t="str">
        <f>"Inv# 914740"</f>
        <v>Inv# 914740</v>
      </c>
    </row>
    <row r="1090" spans="1:9" x14ac:dyDescent="0.3">
      <c r="A1090" t="str">
        <f>""</f>
        <v/>
      </c>
      <c r="F1090" t="str">
        <f>""</f>
        <v/>
      </c>
      <c r="G1090" t="str">
        <f>""</f>
        <v/>
      </c>
      <c r="I1090" t="str">
        <f>"Inv# 914662"</f>
        <v>Inv# 914662</v>
      </c>
    </row>
    <row r="1091" spans="1:9" x14ac:dyDescent="0.3">
      <c r="A1091" t="str">
        <f>""</f>
        <v/>
      </c>
      <c r="F1091" t="str">
        <f>""</f>
        <v/>
      </c>
      <c r="G1091" t="str">
        <f>""</f>
        <v/>
      </c>
      <c r="I1091" t="str">
        <f>"Inv# 914663"</f>
        <v>Inv# 914663</v>
      </c>
    </row>
    <row r="1092" spans="1:9" x14ac:dyDescent="0.3">
      <c r="A1092" t="str">
        <f>""</f>
        <v/>
      </c>
      <c r="F1092" t="str">
        <f>""</f>
        <v/>
      </c>
      <c r="G1092" t="str">
        <f>""</f>
        <v/>
      </c>
      <c r="I1092" t="str">
        <f>"Inv# 910438"</f>
        <v>Inv# 910438</v>
      </c>
    </row>
    <row r="1093" spans="1:9" x14ac:dyDescent="0.3">
      <c r="A1093" t="str">
        <f>""</f>
        <v/>
      </c>
      <c r="F1093" t="str">
        <f>""</f>
        <v/>
      </c>
      <c r="G1093" t="str">
        <f>""</f>
        <v/>
      </c>
      <c r="I1093" t="str">
        <f>"Inv# 914103"</f>
        <v>Inv# 914103</v>
      </c>
    </row>
    <row r="1094" spans="1:9" x14ac:dyDescent="0.3">
      <c r="A1094" t="str">
        <f>"002901"</f>
        <v>002901</v>
      </c>
      <c r="B1094" t="s">
        <v>319</v>
      </c>
      <c r="C1094">
        <v>73642</v>
      </c>
      <c r="D1094" s="2">
        <v>61</v>
      </c>
      <c r="E1094" s="1">
        <v>43052</v>
      </c>
      <c r="F1094" t="str">
        <f>"201710266005"</f>
        <v>201710266005</v>
      </c>
      <c r="G1094" t="str">
        <f>"RENEW DRIVERS LICENSE/PCT#2"</f>
        <v>RENEW DRIVERS LICENSE/PCT#2</v>
      </c>
      <c r="H1094" s="2">
        <v>61</v>
      </c>
      <c r="I1094" t="str">
        <f>"RENEW DRIVERS LICENSE/PCT#2"</f>
        <v>RENEW DRIVERS LICENSE/PCT#2</v>
      </c>
    </row>
    <row r="1095" spans="1:9" x14ac:dyDescent="0.3">
      <c r="A1095" t="str">
        <f>"004036"</f>
        <v>004036</v>
      </c>
      <c r="B1095" t="s">
        <v>320</v>
      </c>
      <c r="C1095">
        <v>73643</v>
      </c>
      <c r="D1095" s="2">
        <v>2419</v>
      </c>
      <c r="E1095" s="1">
        <v>43052</v>
      </c>
      <c r="F1095" t="str">
        <f>"10704"</f>
        <v>10704</v>
      </c>
      <c r="G1095" t="str">
        <f>"INV 10704"</f>
        <v>INV 10704</v>
      </c>
      <c r="H1095" s="2">
        <v>2419</v>
      </c>
      <c r="I1095" t="str">
        <f>"INV 10704"</f>
        <v>INV 10704</v>
      </c>
    </row>
    <row r="1096" spans="1:9" x14ac:dyDescent="0.3">
      <c r="A1096" t="str">
        <f>"T6669"</f>
        <v>T6669</v>
      </c>
      <c r="B1096" t="s">
        <v>321</v>
      </c>
      <c r="C1096">
        <v>73644</v>
      </c>
      <c r="D1096" s="2">
        <v>456.5</v>
      </c>
      <c r="E1096" s="1">
        <v>43052</v>
      </c>
      <c r="F1096" t="str">
        <f>"J18-0002"</f>
        <v>J18-0002</v>
      </c>
      <c r="G1096" t="str">
        <f>"INV J18-0002"</f>
        <v>INV J18-0002</v>
      </c>
      <c r="H1096" s="2">
        <v>456.5</v>
      </c>
      <c r="I1096" t="str">
        <f>"INV J18-0002"</f>
        <v>INV J18-0002</v>
      </c>
    </row>
    <row r="1097" spans="1:9" x14ac:dyDescent="0.3">
      <c r="A1097" t="str">
        <f>"MARIA"</f>
        <v>MARIA</v>
      </c>
      <c r="B1097" t="s">
        <v>322</v>
      </c>
      <c r="C1097">
        <v>999999</v>
      </c>
      <c r="D1097" s="2">
        <v>1144.02</v>
      </c>
      <c r="E1097" s="1">
        <v>43053</v>
      </c>
      <c r="F1097" t="str">
        <f>"201710255958"</f>
        <v>201710255958</v>
      </c>
      <c r="G1097" t="str">
        <f>"17-18472  10/17/17"</f>
        <v>17-18472  10/17/17</v>
      </c>
      <c r="H1097" s="2">
        <v>83.17</v>
      </c>
      <c r="I1097" t="str">
        <f>"17-18472  10/17/17"</f>
        <v>17-18472  10/17/17</v>
      </c>
    </row>
    <row r="1098" spans="1:9" x14ac:dyDescent="0.3">
      <c r="A1098" t="str">
        <f>""</f>
        <v/>
      </c>
      <c r="F1098" t="str">
        <f>"201710255959"</f>
        <v>201710255959</v>
      </c>
      <c r="G1098" t="str">
        <f>"CRIMINAL DC 10/18/17"</f>
        <v>CRIMINAL DC 10/18/17</v>
      </c>
      <c r="H1098" s="2">
        <v>228.17</v>
      </c>
      <c r="I1098" t="str">
        <f>"CRIMINAL DC 10/18/17"</f>
        <v>CRIMINAL DC 10/18/17</v>
      </c>
    </row>
    <row r="1099" spans="1:9" x14ac:dyDescent="0.3">
      <c r="A1099" t="str">
        <f>""</f>
        <v/>
      </c>
      <c r="F1099" t="str">
        <f>"201710255960"</f>
        <v>201710255960</v>
      </c>
      <c r="G1099" t="str">
        <f>"423-5005"</f>
        <v>423-5005</v>
      </c>
      <c r="H1099" s="2">
        <v>150</v>
      </c>
      <c r="I1099" t="str">
        <f>"423-5005"</f>
        <v>423-5005</v>
      </c>
    </row>
    <row r="1100" spans="1:9" x14ac:dyDescent="0.3">
      <c r="A1100" t="str">
        <f>""</f>
        <v/>
      </c>
      <c r="F1100" t="str">
        <f>"201710255986"</f>
        <v>201710255986</v>
      </c>
      <c r="G1100" t="str">
        <f>"CRIMINAL DC 10/25/17"</f>
        <v>CRIMINAL DC 10/25/17</v>
      </c>
      <c r="H1100" s="2">
        <v>183.17</v>
      </c>
      <c r="I1100" t="str">
        <f>"CRIMINAL DC 10/25/17"</f>
        <v>CRIMINAL DC 10/25/17</v>
      </c>
    </row>
    <row r="1101" spans="1:9" x14ac:dyDescent="0.3">
      <c r="A1101" t="str">
        <f>""</f>
        <v/>
      </c>
      <c r="F1101" t="str">
        <f>"201710276026"</f>
        <v>201710276026</v>
      </c>
      <c r="G1101" t="str">
        <f>"CRIMINAL CCL"</f>
        <v>CRIMINAL CCL</v>
      </c>
      <c r="H1101" s="2">
        <v>133.16999999999999</v>
      </c>
      <c r="I1101" t="str">
        <f>"CRIMINAL CCL"</f>
        <v>CRIMINAL CCL</v>
      </c>
    </row>
    <row r="1102" spans="1:9" x14ac:dyDescent="0.3">
      <c r="A1102" t="str">
        <f>""</f>
        <v/>
      </c>
      <c r="F1102" t="str">
        <f>"201711036136"</f>
        <v>201711036136</v>
      </c>
      <c r="G1102" t="str">
        <f>"17-18119"</f>
        <v>17-18119</v>
      </c>
      <c r="H1102" s="2">
        <v>108.17</v>
      </c>
      <c r="I1102" t="str">
        <f>"17-18119"</f>
        <v>17-18119</v>
      </c>
    </row>
    <row r="1103" spans="1:9" x14ac:dyDescent="0.3">
      <c r="A1103" t="str">
        <f>""</f>
        <v/>
      </c>
      <c r="F1103" t="str">
        <f>"201711036137"</f>
        <v>201711036137</v>
      </c>
      <c r="G1103" t="str">
        <f>"CRIMINAL CCL 10-26-17"</f>
        <v>CRIMINAL CCL 10-26-17</v>
      </c>
      <c r="H1103" s="2">
        <v>183.17</v>
      </c>
      <c r="I1103" t="str">
        <f>"CRIMINAL CCL 10-26-17"</f>
        <v>CRIMINAL CCL 10-26-17</v>
      </c>
    </row>
    <row r="1104" spans="1:9" x14ac:dyDescent="0.3">
      <c r="A1104" t="str">
        <f>""</f>
        <v/>
      </c>
      <c r="F1104" t="str">
        <f>"201711036138"</f>
        <v>201711036138</v>
      </c>
      <c r="G1104" t="str">
        <f>"J3101"</f>
        <v>J3101</v>
      </c>
      <c r="H1104" s="2">
        <v>75</v>
      </c>
      <c r="I1104" t="str">
        <f>"J3101"</f>
        <v>J3101</v>
      </c>
    </row>
    <row r="1105" spans="1:9" x14ac:dyDescent="0.3">
      <c r="A1105" t="str">
        <f>"MARIA"</f>
        <v>MARIA</v>
      </c>
      <c r="B1105" t="s">
        <v>322</v>
      </c>
      <c r="C1105">
        <v>999999</v>
      </c>
      <c r="D1105" s="2">
        <v>732.68</v>
      </c>
      <c r="E1105" s="1">
        <v>43067</v>
      </c>
      <c r="F1105" t="str">
        <f>"201711146579"</f>
        <v>201711146579</v>
      </c>
      <c r="G1105" t="str">
        <f>"CRIMINAL CCL 11-2-17"</f>
        <v>CRIMINAL CCL 11-2-17</v>
      </c>
      <c r="H1105" s="2">
        <v>183.17</v>
      </c>
      <c r="I1105" t="str">
        <f>"CRIMINAL CCL 11-2-17"</f>
        <v>CRIMINAL CCL 11-2-17</v>
      </c>
    </row>
    <row r="1106" spans="1:9" x14ac:dyDescent="0.3">
      <c r="A1106" t="str">
        <f>""</f>
        <v/>
      </c>
      <c r="F1106" t="str">
        <f>"201711146581"</f>
        <v>201711146581</v>
      </c>
      <c r="G1106" t="str">
        <f>"15-17453"</f>
        <v>15-17453</v>
      </c>
      <c r="H1106" s="2">
        <v>108.17</v>
      </c>
      <c r="I1106" t="str">
        <f>"15-17453"</f>
        <v>15-17453</v>
      </c>
    </row>
    <row r="1107" spans="1:9" x14ac:dyDescent="0.3">
      <c r="A1107" t="str">
        <f>""</f>
        <v/>
      </c>
      <c r="F1107" t="str">
        <f>"201711146582"</f>
        <v>201711146582</v>
      </c>
      <c r="G1107" t="str">
        <f>"07-11842"</f>
        <v>07-11842</v>
      </c>
      <c r="H1107" s="2">
        <v>75</v>
      </c>
      <c r="I1107" t="str">
        <f>"07-11842"</f>
        <v>07-11842</v>
      </c>
    </row>
    <row r="1108" spans="1:9" x14ac:dyDescent="0.3">
      <c r="A1108" t="str">
        <f>""</f>
        <v/>
      </c>
      <c r="F1108" t="str">
        <f>"201711166634"</f>
        <v>201711166634</v>
      </c>
      <c r="G1108" t="str">
        <f>"15-300"</f>
        <v>15-300</v>
      </c>
      <c r="H1108" s="2">
        <v>183.17</v>
      </c>
      <c r="I1108" t="str">
        <f>"15-300"</f>
        <v>15-300</v>
      </c>
    </row>
    <row r="1109" spans="1:9" x14ac:dyDescent="0.3">
      <c r="A1109" t="str">
        <f>""</f>
        <v/>
      </c>
      <c r="F1109" t="str">
        <f>"201711176696"</f>
        <v>201711176696</v>
      </c>
      <c r="G1109" t="str">
        <f>"CRIMINAL CCL 11/09/17"</f>
        <v>CRIMINAL CCL 11/09/17</v>
      </c>
      <c r="H1109" s="2">
        <v>183.17</v>
      </c>
      <c r="I1109" t="str">
        <f>"CRIMINAL CCL 11/09/17"</f>
        <v>CRIMINAL CCL 11/09/17</v>
      </c>
    </row>
    <row r="1110" spans="1:9" x14ac:dyDescent="0.3">
      <c r="A1110" t="str">
        <f>"002325"</f>
        <v>002325</v>
      </c>
      <c r="B1110" t="s">
        <v>323</v>
      </c>
      <c r="C1110">
        <v>999999</v>
      </c>
      <c r="D1110" s="2">
        <v>39.909999999999997</v>
      </c>
      <c r="E1110" s="1">
        <v>43053</v>
      </c>
      <c r="F1110" t="str">
        <f>"201710255947"</f>
        <v>201710255947</v>
      </c>
      <c r="G1110" t="str">
        <f>"REIMBURSE-MILEAGE"</f>
        <v>REIMBURSE-MILEAGE</v>
      </c>
      <c r="H1110" s="2">
        <v>39.909999999999997</v>
      </c>
      <c r="I1110" t="str">
        <f>"REIMBURSE-PER DIEM/MILEAGE"</f>
        <v>REIMBURSE-PER DIEM/MILEAGE</v>
      </c>
    </row>
    <row r="1111" spans="1:9" x14ac:dyDescent="0.3">
      <c r="A1111" t="str">
        <f>"002282"</f>
        <v>002282</v>
      </c>
      <c r="B1111" t="s">
        <v>324</v>
      </c>
      <c r="C1111">
        <v>73645</v>
      </c>
      <c r="D1111" s="2">
        <v>4050</v>
      </c>
      <c r="E1111" s="1">
        <v>43052</v>
      </c>
      <c r="F1111" t="str">
        <f>"201711086489"</f>
        <v>201711086489</v>
      </c>
      <c r="G1111" t="str">
        <f>"VETERINARY SVCS 10/3-10/31"</f>
        <v>VETERINARY SVCS 10/3-10/31</v>
      </c>
      <c r="H1111" s="2">
        <v>4050</v>
      </c>
      <c r="I1111" t="str">
        <f>"VETERINARY SVCS 10/3-10/31"</f>
        <v>VETERINARY SVCS 10/3-10/31</v>
      </c>
    </row>
    <row r="1112" spans="1:9" x14ac:dyDescent="0.3">
      <c r="A1112" t="str">
        <f>"000130"</f>
        <v>000130</v>
      </c>
      <c r="B1112" t="s">
        <v>325</v>
      </c>
      <c r="C1112">
        <v>73646</v>
      </c>
      <c r="D1112" s="2">
        <v>15</v>
      </c>
      <c r="E1112" s="1">
        <v>43052</v>
      </c>
      <c r="F1112" t="str">
        <f>"201711086430"</f>
        <v>201711086430</v>
      </c>
      <c r="G1112" t="str">
        <f>"FERAL HOGS"</f>
        <v>FERAL HOGS</v>
      </c>
      <c r="H1112" s="2">
        <v>15</v>
      </c>
      <c r="I1112" t="str">
        <f>"FERAL HOGS"</f>
        <v>FERAL HOGS</v>
      </c>
    </row>
    <row r="1113" spans="1:9" x14ac:dyDescent="0.3">
      <c r="A1113" t="str">
        <f>"T13936"</f>
        <v>T13936</v>
      </c>
      <c r="B1113" t="s">
        <v>326</v>
      </c>
      <c r="C1113">
        <v>73647</v>
      </c>
      <c r="D1113" s="2">
        <v>1597.47</v>
      </c>
      <c r="E1113" s="1">
        <v>43052</v>
      </c>
      <c r="F1113" t="str">
        <f>"201711086511"</f>
        <v>201711086511</v>
      </c>
      <c r="G1113" t="str">
        <f>"INDIGENT HEALTH"</f>
        <v>INDIGENT HEALTH</v>
      </c>
      <c r="H1113" s="2">
        <v>400.17</v>
      </c>
      <c r="I1113" t="str">
        <f>"INDIGENT HEALTH"</f>
        <v>INDIGENT HEALTH</v>
      </c>
    </row>
    <row r="1114" spans="1:9" x14ac:dyDescent="0.3">
      <c r="A1114" t="str">
        <f>""</f>
        <v/>
      </c>
      <c r="F1114" t="str">
        <f>"201711086512"</f>
        <v>201711086512</v>
      </c>
      <c r="G1114" t="str">
        <f>"INDIGENT HEALTH"</f>
        <v>INDIGENT HEALTH</v>
      </c>
      <c r="H1114" s="2">
        <v>456</v>
      </c>
      <c r="I1114" t="str">
        <f>"INDIGENT HEALTH"</f>
        <v>INDIGENT HEALTH</v>
      </c>
    </row>
    <row r="1115" spans="1:9" x14ac:dyDescent="0.3">
      <c r="A1115" t="str">
        <f>""</f>
        <v/>
      </c>
      <c r="F1115" t="str">
        <f>"201711086513"</f>
        <v>201711086513</v>
      </c>
      <c r="G1115" t="str">
        <f>"INDIGENT HEALTH"</f>
        <v>INDIGENT HEALTH</v>
      </c>
      <c r="H1115" s="2">
        <v>345.02</v>
      </c>
      <c r="I1115" t="str">
        <f>"INDIGENT HEALTH"</f>
        <v>INDIGENT HEALTH</v>
      </c>
    </row>
    <row r="1116" spans="1:9" x14ac:dyDescent="0.3">
      <c r="A1116" t="str">
        <f>""</f>
        <v/>
      </c>
      <c r="F1116" t="str">
        <f>"201711086514"</f>
        <v>201711086514</v>
      </c>
      <c r="G1116" t="str">
        <f>"INDIGENT HEALTH"</f>
        <v>INDIGENT HEALTH</v>
      </c>
      <c r="H1116" s="2">
        <v>396.28</v>
      </c>
      <c r="I1116" t="str">
        <f>"INDIGENT HEALTH"</f>
        <v>INDIGENT HEALTH</v>
      </c>
    </row>
    <row r="1117" spans="1:9" x14ac:dyDescent="0.3">
      <c r="A1117" t="str">
        <f>"T13936"</f>
        <v>T13936</v>
      </c>
      <c r="B1117" t="s">
        <v>326</v>
      </c>
      <c r="C1117">
        <v>73905</v>
      </c>
      <c r="D1117" s="2">
        <v>115.43</v>
      </c>
      <c r="E1117" s="1">
        <v>43066</v>
      </c>
      <c r="F1117" t="str">
        <f>"201711166653"</f>
        <v>201711166653</v>
      </c>
      <c r="G1117" t="str">
        <f>"INDIGENT HEALTH"</f>
        <v>INDIGENT HEALTH</v>
      </c>
      <c r="H1117" s="2">
        <v>115.43</v>
      </c>
      <c r="I1117" t="str">
        <f>"INDIGENT HEALTH"</f>
        <v>INDIGENT HEALTH</v>
      </c>
    </row>
    <row r="1118" spans="1:9" x14ac:dyDescent="0.3">
      <c r="A1118" t="str">
        <f>"003786"</f>
        <v>003786</v>
      </c>
      <c r="B1118" t="s">
        <v>327</v>
      </c>
      <c r="C1118">
        <v>73648</v>
      </c>
      <c r="D1118" s="2">
        <v>195.28</v>
      </c>
      <c r="E1118" s="1">
        <v>43052</v>
      </c>
      <c r="F1118" t="str">
        <f>"201711086414"</f>
        <v>201711086414</v>
      </c>
      <c r="G1118" t="str">
        <f>"MILEAGE REIMBURSEMENT"</f>
        <v>MILEAGE REIMBURSEMENT</v>
      </c>
      <c r="H1118" s="2">
        <v>195.28</v>
      </c>
      <c r="I1118" t="str">
        <f>"MILEAGE REIMBURSEMENT"</f>
        <v>MILEAGE REIMBURSEMENT</v>
      </c>
    </row>
    <row r="1119" spans="1:9" x14ac:dyDescent="0.3">
      <c r="A1119" t="str">
        <f>"T12624"</f>
        <v>T12624</v>
      </c>
      <c r="B1119" t="s">
        <v>328</v>
      </c>
      <c r="C1119">
        <v>73906</v>
      </c>
      <c r="D1119" s="2">
        <v>1156.76</v>
      </c>
      <c r="E1119" s="1">
        <v>43066</v>
      </c>
      <c r="F1119" t="str">
        <f>"INV001660931"</f>
        <v>INV001660931</v>
      </c>
      <c r="G1119" t="str">
        <f>"INV001660931"</f>
        <v>INV001660931</v>
      </c>
      <c r="H1119" s="2">
        <v>1156.76</v>
      </c>
      <c r="I1119" t="str">
        <f>"INV001660931"</f>
        <v>INV001660931</v>
      </c>
    </row>
    <row r="1120" spans="1:9" x14ac:dyDescent="0.3">
      <c r="A1120" t="str">
        <f>"T9432"</f>
        <v>T9432</v>
      </c>
      <c r="B1120" t="s">
        <v>329</v>
      </c>
      <c r="C1120">
        <v>73649</v>
      </c>
      <c r="D1120" s="2">
        <v>200</v>
      </c>
      <c r="E1120" s="1">
        <v>43052</v>
      </c>
      <c r="F1120" t="str">
        <f>"201711066344"</f>
        <v>201711066344</v>
      </c>
      <c r="G1120" t="str">
        <f>"REIMBURSE COURT REPORTER CERT."</f>
        <v>REIMBURSE COURT REPORTER CERT.</v>
      </c>
      <c r="H1120" s="2">
        <v>200</v>
      </c>
      <c r="I1120" t="str">
        <f>"REIMBURSE COURT REPORTER CERT."</f>
        <v>REIMBURSE COURT REPORTER CERT.</v>
      </c>
    </row>
    <row r="1121" spans="1:10" x14ac:dyDescent="0.3">
      <c r="A1121" t="str">
        <f>"004144"</f>
        <v>004144</v>
      </c>
      <c r="B1121" t="s">
        <v>330</v>
      </c>
      <c r="C1121">
        <v>999999</v>
      </c>
      <c r="D1121" s="2">
        <v>1937.5</v>
      </c>
      <c r="E1121" s="1">
        <v>43053</v>
      </c>
      <c r="F1121" t="str">
        <f>"201710276027"</f>
        <v>201710276027</v>
      </c>
      <c r="G1121" t="str">
        <f>"J-3101"</f>
        <v>J-3101</v>
      </c>
      <c r="H1121" s="2">
        <v>250</v>
      </c>
      <c r="I1121" t="str">
        <f>"J-3101"</f>
        <v>J-3101</v>
      </c>
    </row>
    <row r="1122" spans="1:10" x14ac:dyDescent="0.3">
      <c r="A1122" t="str">
        <f>""</f>
        <v/>
      </c>
      <c r="F1122" t="str">
        <f>"201710276028"</f>
        <v>201710276028</v>
      </c>
      <c r="G1122" t="str">
        <f>"16-17820"</f>
        <v>16-17820</v>
      </c>
      <c r="H1122" s="2">
        <v>100</v>
      </c>
      <c r="I1122" t="str">
        <f>"16-17820"</f>
        <v>16-17820</v>
      </c>
    </row>
    <row r="1123" spans="1:10" x14ac:dyDescent="0.3">
      <c r="A1123" t="str">
        <f>""</f>
        <v/>
      </c>
      <c r="F1123" t="str">
        <f>"201710276029"</f>
        <v>201710276029</v>
      </c>
      <c r="G1123" t="str">
        <f>"17-18579"</f>
        <v>17-18579</v>
      </c>
      <c r="H1123" s="2">
        <v>100</v>
      </c>
      <c r="I1123" t="str">
        <f>"17-18579"</f>
        <v>17-18579</v>
      </c>
    </row>
    <row r="1124" spans="1:10" x14ac:dyDescent="0.3">
      <c r="A1124" t="str">
        <f>""</f>
        <v/>
      </c>
      <c r="F1124" t="str">
        <f>"201710276030"</f>
        <v>201710276030</v>
      </c>
      <c r="G1124" t="str">
        <f>"17-18571"</f>
        <v>17-18571</v>
      </c>
      <c r="H1124" s="2">
        <v>1237.5</v>
      </c>
      <c r="I1124" t="str">
        <f>"17-18571"</f>
        <v>17-18571</v>
      </c>
    </row>
    <row r="1125" spans="1:10" x14ac:dyDescent="0.3">
      <c r="A1125" t="str">
        <f>""</f>
        <v/>
      </c>
      <c r="F1125" t="str">
        <f>"201711036172"</f>
        <v>201711036172</v>
      </c>
      <c r="G1125" t="str">
        <f>"55 262"</f>
        <v>55 262</v>
      </c>
      <c r="H1125" s="2">
        <v>250</v>
      </c>
      <c r="I1125" t="str">
        <f>"55 262"</f>
        <v>55 262</v>
      </c>
    </row>
    <row r="1126" spans="1:10" x14ac:dyDescent="0.3">
      <c r="A1126" t="str">
        <f>"004144"</f>
        <v>004144</v>
      </c>
      <c r="B1126" t="s">
        <v>330</v>
      </c>
      <c r="C1126">
        <v>999999</v>
      </c>
      <c r="D1126" s="2">
        <v>481.25</v>
      </c>
      <c r="E1126" s="1">
        <v>43067</v>
      </c>
      <c r="F1126" t="str">
        <f>"201711176697"</f>
        <v>201711176697</v>
      </c>
      <c r="G1126" t="str">
        <f>"17-18579"</f>
        <v>17-18579</v>
      </c>
      <c r="H1126" s="2">
        <v>231.25</v>
      </c>
      <c r="I1126" t="str">
        <f>"17-18579"</f>
        <v>17-18579</v>
      </c>
    </row>
    <row r="1127" spans="1:10" x14ac:dyDescent="0.3">
      <c r="A1127" t="str">
        <f>""</f>
        <v/>
      </c>
      <c r="F1127" t="s">
        <v>331</v>
      </c>
      <c r="G1127" t="s">
        <v>332</v>
      </c>
      <c r="H1127" s="2" t="str">
        <f>"54 859"</f>
        <v>54 859</v>
      </c>
      <c r="I1127" t="str">
        <f>"426-4131"</f>
        <v>426-4131</v>
      </c>
      <c r="J1127">
        <v>250</v>
      </c>
    </row>
    <row r="1128" spans="1:10" x14ac:dyDescent="0.3">
      <c r="A1128" t="str">
        <f>"TRIGA"</f>
        <v>TRIGA</v>
      </c>
      <c r="B1128" t="s">
        <v>333</v>
      </c>
      <c r="C1128">
        <v>73907</v>
      </c>
      <c r="D1128" s="2">
        <v>201.08</v>
      </c>
      <c r="E1128" s="1">
        <v>43066</v>
      </c>
      <c r="F1128" t="str">
        <f>"16421415"</f>
        <v>16421415</v>
      </c>
      <c r="G1128" t="str">
        <f>"CUST#41472/PCT#1"</f>
        <v>CUST#41472/PCT#1</v>
      </c>
      <c r="H1128" s="2">
        <v>22.23</v>
      </c>
      <c r="I1128" t="str">
        <f>"CUST#41472/PCT#1"</f>
        <v>CUST#41472/PCT#1</v>
      </c>
    </row>
    <row r="1129" spans="1:10" x14ac:dyDescent="0.3">
      <c r="A1129" t="str">
        <f>""</f>
        <v/>
      </c>
      <c r="F1129" t="str">
        <f>"16421520"</f>
        <v>16421520</v>
      </c>
      <c r="G1129" t="str">
        <f>"CUST#45057/CYLINDER RENTAL/P4"</f>
        <v>CUST#45057/CYLINDER RENTAL/P4</v>
      </c>
      <c r="H1129" s="2">
        <v>39.729999999999997</v>
      </c>
      <c r="I1129" t="str">
        <f>"CUST#45057/CYLINDER RENTAL/P4"</f>
        <v>CUST#45057/CYLINDER RENTAL/P4</v>
      </c>
    </row>
    <row r="1130" spans="1:10" x14ac:dyDescent="0.3">
      <c r="A1130" t="str">
        <f>""</f>
        <v/>
      </c>
      <c r="F1130" t="str">
        <f>"16421585"</f>
        <v>16421585</v>
      </c>
      <c r="G1130" t="str">
        <f>"INV 16421585"</f>
        <v>INV 16421585</v>
      </c>
      <c r="H1130" s="2">
        <v>49.12</v>
      </c>
      <c r="I1130" t="str">
        <f>"INV 16421585"</f>
        <v>INV 16421585</v>
      </c>
    </row>
    <row r="1131" spans="1:10" x14ac:dyDescent="0.3">
      <c r="A1131" t="str">
        <f>""</f>
        <v/>
      </c>
      <c r="F1131" t="str">
        <f>"16429829"</f>
        <v>16429829</v>
      </c>
      <c r="G1131" t="str">
        <f>"CUST#S9547/CYLINDER RENTAL/P1"</f>
        <v>CUST#S9547/CYLINDER RENTAL/P1</v>
      </c>
      <c r="H1131" s="2">
        <v>90</v>
      </c>
      <c r="I1131" t="str">
        <f>"CUST#S9547/CYLINDER RENTAL/P1"</f>
        <v>CUST#S9547/CYLINDER RENTAL/P1</v>
      </c>
    </row>
    <row r="1132" spans="1:10" x14ac:dyDescent="0.3">
      <c r="A1132" t="str">
        <f>"002745"</f>
        <v>002745</v>
      </c>
      <c r="B1132" t="s">
        <v>334</v>
      </c>
      <c r="C1132">
        <v>73650</v>
      </c>
      <c r="D1132" s="2">
        <v>100</v>
      </c>
      <c r="E1132" s="1">
        <v>43052</v>
      </c>
      <c r="F1132" t="s">
        <v>64</v>
      </c>
      <c r="G1132" t="s">
        <v>68</v>
      </c>
      <c r="H1132" s="2" t="str">
        <f>"SERVICE  09/06/2017"</f>
        <v>SERVICE  09/06/2017</v>
      </c>
      <c r="I1132" t="str">
        <f>"995-4110"</f>
        <v>995-4110</v>
      </c>
      <c r="J1132">
        <v>100</v>
      </c>
    </row>
    <row r="1133" spans="1:10" x14ac:dyDescent="0.3">
      <c r="A1133" t="str">
        <f>"005259"</f>
        <v>005259</v>
      </c>
      <c r="B1133" t="s">
        <v>335</v>
      </c>
      <c r="C1133">
        <v>73651</v>
      </c>
      <c r="D1133" s="2">
        <v>150</v>
      </c>
      <c r="E1133" s="1">
        <v>43052</v>
      </c>
      <c r="F1133" t="str">
        <f>"12500"</f>
        <v>12500</v>
      </c>
      <c r="G1133" t="str">
        <f>"SERVICE  08/30/17"</f>
        <v>SERVICE  08/30/17</v>
      </c>
      <c r="H1133" s="2">
        <v>150</v>
      </c>
      <c r="I1133" t="str">
        <f>"SERVICE  08/30/17"</f>
        <v>SERVICE  08/30/17</v>
      </c>
    </row>
    <row r="1134" spans="1:10" x14ac:dyDescent="0.3">
      <c r="A1134" t="str">
        <f>"MC COY"</f>
        <v>MC COY</v>
      </c>
      <c r="B1134" t="s">
        <v>336</v>
      </c>
      <c r="C1134">
        <v>999999</v>
      </c>
      <c r="D1134" s="2">
        <v>1062.1500000000001</v>
      </c>
      <c r="E1134" s="1">
        <v>43053</v>
      </c>
      <c r="F1134" t="str">
        <f>"645964"</f>
        <v>645964</v>
      </c>
      <c r="G1134" t="str">
        <f>"ACCT#0900-98011130-001/PCT#4"</f>
        <v>ACCT#0900-98011130-001/PCT#4</v>
      </c>
      <c r="H1134" s="2">
        <v>61.44</v>
      </c>
      <c r="I1134" t="str">
        <f>"ACCT#0900-98011130-001/PCT#4"</f>
        <v>ACCT#0900-98011130-001/PCT#4</v>
      </c>
    </row>
    <row r="1135" spans="1:10" x14ac:dyDescent="0.3">
      <c r="A1135" t="str">
        <f>""</f>
        <v/>
      </c>
      <c r="F1135" t="str">
        <f>"646357"</f>
        <v>646357</v>
      </c>
      <c r="G1135" t="str">
        <f>"HEX BOLT/FIN NUT"</f>
        <v>HEX BOLT/FIN NUT</v>
      </c>
      <c r="H1135" s="2">
        <v>27.28</v>
      </c>
      <c r="I1135" t="str">
        <f>"HEX BOLT/FIN NUT"</f>
        <v>HEX BOLT/FIN NUT</v>
      </c>
    </row>
    <row r="1136" spans="1:10" x14ac:dyDescent="0.3">
      <c r="A1136" t="str">
        <f>""</f>
        <v/>
      </c>
      <c r="F1136" t="str">
        <f>"646418"</f>
        <v>646418</v>
      </c>
      <c r="G1136" t="str">
        <f>"ACCT#0900-98011130-001/PCT#1"</f>
        <v>ACCT#0900-98011130-001/PCT#1</v>
      </c>
      <c r="H1136" s="2">
        <v>805.18</v>
      </c>
      <c r="I1136" t="str">
        <f>"ACCT#0900-98011130-001/PCT#1"</f>
        <v>ACCT#0900-98011130-001/PCT#1</v>
      </c>
    </row>
    <row r="1137" spans="1:10" x14ac:dyDescent="0.3">
      <c r="A1137" t="str">
        <f>""</f>
        <v/>
      </c>
      <c r="F1137" t="str">
        <f>"646520"</f>
        <v>646520</v>
      </c>
      <c r="G1137" t="str">
        <f>"ACCT#0900-98011130-001/PCT#4"</f>
        <v>ACCT#0900-98011130-001/PCT#4</v>
      </c>
      <c r="H1137" s="2">
        <v>168.25</v>
      </c>
      <c r="I1137" t="str">
        <f>"ACCT#0900-98011130-001/PCT#4"</f>
        <v>ACCT#0900-98011130-001/PCT#4</v>
      </c>
    </row>
    <row r="1138" spans="1:10" x14ac:dyDescent="0.3">
      <c r="A1138" t="str">
        <f>"MC COY"</f>
        <v>MC COY</v>
      </c>
      <c r="B1138" t="s">
        <v>336</v>
      </c>
      <c r="C1138">
        <v>999999</v>
      </c>
      <c r="D1138" s="2">
        <v>36.29</v>
      </c>
      <c r="E1138" s="1">
        <v>43067</v>
      </c>
      <c r="F1138" t="str">
        <f>"647323"</f>
        <v>647323</v>
      </c>
      <c r="G1138" t="str">
        <f>"ACCT#0900-98011130-001"</f>
        <v>ACCT#0900-98011130-001</v>
      </c>
      <c r="H1138" s="2">
        <v>36.29</v>
      </c>
      <c r="I1138" t="str">
        <f>"ACCT#0900-98011130-001"</f>
        <v>ACCT#0900-98011130-001</v>
      </c>
    </row>
    <row r="1139" spans="1:10" x14ac:dyDescent="0.3">
      <c r="A1139" t="str">
        <f>"MC CRE"</f>
        <v>MC CRE</v>
      </c>
      <c r="B1139" t="s">
        <v>337</v>
      </c>
      <c r="C1139">
        <v>73652</v>
      </c>
      <c r="D1139" s="2">
        <v>27115.08</v>
      </c>
      <c r="E1139" s="1">
        <v>43052</v>
      </c>
      <c r="F1139" t="s">
        <v>60</v>
      </c>
      <c r="G1139" t="s">
        <v>61</v>
      </c>
      <c r="H1139" s="2" t="str">
        <f>"ABST FEE"</f>
        <v>ABST FEE</v>
      </c>
      <c r="I1139" t="str">
        <f>"995-4110"</f>
        <v>995-4110</v>
      </c>
      <c r="J1139">
        <v>150</v>
      </c>
    </row>
    <row r="1140" spans="1:10" x14ac:dyDescent="0.3">
      <c r="A1140" t="str">
        <f>""</f>
        <v/>
      </c>
      <c r="F1140" t="s">
        <v>60</v>
      </c>
      <c r="G1140" t="s">
        <v>62</v>
      </c>
      <c r="H1140" s="2" t="str">
        <f>"ABST FEE $175 + SERVICE $520"</f>
        <v>ABST FEE $175 + SERVICE $520</v>
      </c>
      <c r="I1140" t="str">
        <f>"995-4110"</f>
        <v>995-4110</v>
      </c>
      <c r="J1140">
        <v>695</v>
      </c>
    </row>
    <row r="1141" spans="1:10" x14ac:dyDescent="0.3">
      <c r="A1141" t="str">
        <f>""</f>
        <v/>
      </c>
      <c r="F1141" t="s">
        <v>60</v>
      </c>
      <c r="G1141" t="s">
        <v>114</v>
      </c>
      <c r="H1141" s="2" t="str">
        <f>"SERVICE"</f>
        <v>SERVICE</v>
      </c>
      <c r="I1141" t="str">
        <f>"995-4110"</f>
        <v>995-4110</v>
      </c>
      <c r="J1141">
        <v>175</v>
      </c>
    </row>
    <row r="1142" spans="1:10" x14ac:dyDescent="0.3">
      <c r="A1142" t="str">
        <f>""</f>
        <v/>
      </c>
      <c r="F1142" t="str">
        <f>"11465  09/11/17"</f>
        <v>11465  09/11/17</v>
      </c>
      <c r="G1142" t="str">
        <f>"ABST FEE  09/11/17"</f>
        <v>ABST FEE  09/11/17</v>
      </c>
      <c r="H1142" s="2">
        <v>167.5</v>
      </c>
      <c r="I1142" t="str">
        <f>"ABST FEE  09/11/17"</f>
        <v>ABST FEE  09/11/17</v>
      </c>
    </row>
    <row r="1143" spans="1:10" x14ac:dyDescent="0.3">
      <c r="A1143" t="str">
        <f>""</f>
        <v/>
      </c>
      <c r="F1143" t="str">
        <f>"11651  09/29/17"</f>
        <v>11651  09/29/17</v>
      </c>
      <c r="G1143" t="str">
        <f>"ABST FEE $175 &amp; SERVICE $65"</f>
        <v>ABST FEE $175 &amp; SERVICE $65</v>
      </c>
      <c r="H1143" s="2">
        <v>240</v>
      </c>
      <c r="I1143" t="str">
        <f>"ABST FEE $175 &amp; SERVICE $65"</f>
        <v>ABST FEE $175 &amp; SERVICE $65</v>
      </c>
    </row>
    <row r="1144" spans="1:10" x14ac:dyDescent="0.3">
      <c r="A1144" t="str">
        <f>""</f>
        <v/>
      </c>
      <c r="F1144" t="str">
        <f>"11736  09/28/17"</f>
        <v>11736  09/28/17</v>
      </c>
      <c r="G1144" t="str">
        <f>"ABST FEE $175  SERVICE  $490"</f>
        <v>ABST FEE $175  SERVICE  $490</v>
      </c>
      <c r="H1144" s="2">
        <v>665</v>
      </c>
      <c r="I1144" t="str">
        <f>"ABST FEE $175  SERVICE  $490"</f>
        <v>ABST FEE $175  SERVICE  $490</v>
      </c>
    </row>
    <row r="1145" spans="1:10" x14ac:dyDescent="0.3">
      <c r="A1145" t="str">
        <f>""</f>
        <v/>
      </c>
      <c r="F1145" t="str">
        <f>"11865"</f>
        <v>11865</v>
      </c>
      <c r="G1145" t="str">
        <f>"ABST FEE  08/30/17"</f>
        <v>ABST FEE  08/30/17</v>
      </c>
      <c r="H1145" s="2">
        <v>175</v>
      </c>
      <c r="I1145" t="str">
        <f>"ABST FEE  08/30/17"</f>
        <v>ABST FEE  08/30/17</v>
      </c>
    </row>
    <row r="1146" spans="1:10" x14ac:dyDescent="0.3">
      <c r="A1146" t="str">
        <f>""</f>
        <v/>
      </c>
      <c r="F1146" t="str">
        <f>"11979"</f>
        <v>11979</v>
      </c>
      <c r="G1146" t="str">
        <f>"ABST FEE  09/08/17"</f>
        <v>ABST FEE  09/08/17</v>
      </c>
      <c r="H1146" s="2">
        <v>175</v>
      </c>
      <c r="I1146" t="str">
        <f>"ABST FEE  09/08/17"</f>
        <v>ABST FEE  09/08/17</v>
      </c>
    </row>
    <row r="1147" spans="1:10" x14ac:dyDescent="0.3">
      <c r="A1147" t="str">
        <f>""</f>
        <v/>
      </c>
      <c r="F1147" t="s">
        <v>64</v>
      </c>
      <c r="G1147" t="s">
        <v>65</v>
      </c>
      <c r="H1147" s="2" t="str">
        <f>"SERVICE"</f>
        <v>SERVICE</v>
      </c>
      <c r="I1147" t="str">
        <f t="shared" ref="I1147:I1153" si="12">"995-4110"</f>
        <v>995-4110</v>
      </c>
      <c r="J1147">
        <v>175</v>
      </c>
    </row>
    <row r="1148" spans="1:10" x14ac:dyDescent="0.3">
      <c r="A1148" t="str">
        <f>""</f>
        <v/>
      </c>
      <c r="F1148" t="s">
        <v>64</v>
      </c>
      <c r="G1148" t="s">
        <v>338</v>
      </c>
      <c r="H1148" s="2" t="str">
        <f>"PRINTER FEE  09/01/17"</f>
        <v>PRINTER FEE  09/01/17</v>
      </c>
      <c r="I1148" t="str">
        <f t="shared" si="12"/>
        <v>995-4110</v>
      </c>
      <c r="J1148">
        <v>75</v>
      </c>
    </row>
    <row r="1149" spans="1:10" x14ac:dyDescent="0.3">
      <c r="A1149" t="str">
        <f>""</f>
        <v/>
      </c>
      <c r="F1149" t="s">
        <v>64</v>
      </c>
      <c r="G1149" t="s">
        <v>339</v>
      </c>
      <c r="H1149" s="2" t="str">
        <f>"PRINTER FEE"</f>
        <v>PRINTER FEE</v>
      </c>
      <c r="I1149" t="str">
        <f t="shared" si="12"/>
        <v>995-4110</v>
      </c>
      <c r="J1149">
        <v>25</v>
      </c>
    </row>
    <row r="1150" spans="1:10" x14ac:dyDescent="0.3">
      <c r="A1150" t="str">
        <f>""</f>
        <v/>
      </c>
      <c r="F1150" t="s">
        <v>64</v>
      </c>
      <c r="G1150" t="s">
        <v>66</v>
      </c>
      <c r="H1150" s="2" t="str">
        <f>"ABST FEE"</f>
        <v>ABST FEE</v>
      </c>
      <c r="I1150" t="str">
        <f t="shared" si="12"/>
        <v>995-4110</v>
      </c>
      <c r="J1150">
        <v>175</v>
      </c>
    </row>
    <row r="1151" spans="1:10" x14ac:dyDescent="0.3">
      <c r="A1151" t="str">
        <f>""</f>
        <v/>
      </c>
      <c r="F1151" t="s">
        <v>64</v>
      </c>
      <c r="G1151" t="s">
        <v>67</v>
      </c>
      <c r="H1151" s="2" t="str">
        <f>"ABST FEE  09/05/17"</f>
        <v>ABST FEE  09/05/17</v>
      </c>
      <c r="I1151" t="str">
        <f t="shared" si="12"/>
        <v>995-4110</v>
      </c>
      <c r="J1151">
        <v>12</v>
      </c>
    </row>
    <row r="1152" spans="1:10" x14ac:dyDescent="0.3">
      <c r="A1152" t="str">
        <f>""</f>
        <v/>
      </c>
      <c r="F1152" t="s">
        <v>64</v>
      </c>
      <c r="G1152" t="s">
        <v>68</v>
      </c>
      <c r="H1152" s="2" t="str">
        <f>"ABST FEE  09/06/17"</f>
        <v>ABST FEE  09/06/17</v>
      </c>
      <c r="I1152" t="str">
        <f t="shared" si="12"/>
        <v>995-4110</v>
      </c>
      <c r="J1152">
        <v>175</v>
      </c>
    </row>
    <row r="1153" spans="1:10" x14ac:dyDescent="0.3">
      <c r="A1153" t="str">
        <f>""</f>
        <v/>
      </c>
      <c r="F1153" t="s">
        <v>64</v>
      </c>
      <c r="G1153" t="s">
        <v>340</v>
      </c>
      <c r="H1153" s="2" t="str">
        <f>"ABST FEE  09/06/17"</f>
        <v>ABST FEE  09/06/17</v>
      </c>
      <c r="I1153" t="str">
        <f t="shared" si="12"/>
        <v>995-4110</v>
      </c>
      <c r="J1153">
        <v>225</v>
      </c>
    </row>
    <row r="1154" spans="1:10" x14ac:dyDescent="0.3">
      <c r="A1154" t="str">
        <f>""</f>
        <v/>
      </c>
      <c r="F1154" t="str">
        <f>"12051"</f>
        <v>12051</v>
      </c>
      <c r="G1154" t="str">
        <f>"ABST FEE  09/29/17"</f>
        <v>ABST FEE  09/29/17</v>
      </c>
      <c r="H1154" s="2">
        <v>175</v>
      </c>
      <c r="I1154" t="str">
        <f>"ABST FEE  09/29/17"</f>
        <v>ABST FEE  09/29/17</v>
      </c>
    </row>
    <row r="1155" spans="1:10" x14ac:dyDescent="0.3">
      <c r="A1155" t="str">
        <f>""</f>
        <v/>
      </c>
      <c r="F1155" t="str">
        <f>"12078"</f>
        <v>12078</v>
      </c>
      <c r="G1155" t="str">
        <f>"ABST FEE  08/30/17"</f>
        <v>ABST FEE  08/30/17</v>
      </c>
      <c r="H1155" s="2">
        <v>175</v>
      </c>
      <c r="I1155" t="str">
        <f>"ABST FEE  08/30/17"</f>
        <v>ABST FEE  08/30/17</v>
      </c>
    </row>
    <row r="1156" spans="1:10" x14ac:dyDescent="0.3">
      <c r="A1156" t="str">
        <f>""</f>
        <v/>
      </c>
      <c r="F1156" t="str">
        <f>"12235  09/29/17"</f>
        <v>12235  09/29/17</v>
      </c>
      <c r="G1156" t="str">
        <f>"ABST FEE  09/29/17"</f>
        <v>ABST FEE  09/29/17</v>
      </c>
      <c r="H1156" s="2">
        <v>83</v>
      </c>
      <c r="I1156" t="str">
        <f>"ABST FEE  09/29/17"</f>
        <v>ABST FEE  09/29/17</v>
      </c>
    </row>
    <row r="1157" spans="1:10" x14ac:dyDescent="0.3">
      <c r="A1157" t="str">
        <f>""</f>
        <v/>
      </c>
      <c r="F1157" t="str">
        <f>"12267"</f>
        <v>12267</v>
      </c>
      <c r="G1157" t="str">
        <f>"ABST FEE  08/30/17"</f>
        <v>ABST FEE  08/30/17</v>
      </c>
      <c r="H1157" s="2">
        <v>175</v>
      </c>
      <c r="I1157" t="str">
        <f>"ABST FEE  08/30/17"</f>
        <v>ABST FEE  08/30/17</v>
      </c>
    </row>
    <row r="1158" spans="1:10" x14ac:dyDescent="0.3">
      <c r="A1158" t="str">
        <f>""</f>
        <v/>
      </c>
      <c r="F1158" t="str">
        <f>"12347"</f>
        <v>12347</v>
      </c>
      <c r="G1158" t="str">
        <f>"ABST FEE  09/25/17"</f>
        <v>ABST FEE  09/25/17</v>
      </c>
      <c r="H1158" s="2">
        <v>175</v>
      </c>
      <c r="I1158" t="str">
        <f>"ABST FEE  09/25/17"</f>
        <v>ABST FEE  09/25/17</v>
      </c>
    </row>
    <row r="1159" spans="1:10" x14ac:dyDescent="0.3">
      <c r="A1159" t="str">
        <f>""</f>
        <v/>
      </c>
      <c r="F1159" t="str">
        <f>"12500"</f>
        <v>12500</v>
      </c>
      <c r="G1159" t="str">
        <f>"ABST FEE  08/30/17"</f>
        <v>ABST FEE  08/30/17</v>
      </c>
      <c r="H1159" s="2">
        <v>175</v>
      </c>
      <c r="I1159" t="str">
        <f>"ABST FEE  08/30/17"</f>
        <v>ABST FEE  08/30/17</v>
      </c>
    </row>
    <row r="1160" spans="1:10" x14ac:dyDescent="0.3">
      <c r="A1160" t="str">
        <f>""</f>
        <v/>
      </c>
      <c r="F1160" t="str">
        <f>"12504"</f>
        <v>12504</v>
      </c>
      <c r="G1160" t="str">
        <f>"ABST FEE  09/13/17"</f>
        <v>ABST FEE  09/13/17</v>
      </c>
      <c r="H1160" s="2">
        <v>175</v>
      </c>
      <c r="I1160" t="str">
        <f>"ABST FEE  09/13/17"</f>
        <v>ABST FEE  09/13/17</v>
      </c>
    </row>
    <row r="1161" spans="1:10" x14ac:dyDescent="0.3">
      <c r="A1161" t="str">
        <f>""</f>
        <v/>
      </c>
      <c r="F1161" t="str">
        <f>"12516"</f>
        <v>12516</v>
      </c>
      <c r="G1161" t="str">
        <f>"ABST FEE  08/31/17"</f>
        <v>ABST FEE  08/31/17</v>
      </c>
      <c r="H1161" s="2">
        <v>175</v>
      </c>
      <c r="I1161" t="str">
        <f>"ABST FEE  08/31/17"</f>
        <v>ABST FEE  08/31/17</v>
      </c>
    </row>
    <row r="1162" spans="1:10" x14ac:dyDescent="0.3">
      <c r="A1162" t="str">
        <f>""</f>
        <v/>
      </c>
      <c r="F1162" t="str">
        <f>"12559"</f>
        <v>12559</v>
      </c>
      <c r="G1162" t="str">
        <f>"ABST FEE  09/07/17"</f>
        <v>ABST FEE  09/07/17</v>
      </c>
      <c r="H1162" s="2">
        <v>175</v>
      </c>
      <c r="I1162" t="str">
        <f>"ABST FEE  09/07/17"</f>
        <v>ABST FEE  09/07/17</v>
      </c>
    </row>
    <row r="1163" spans="1:10" x14ac:dyDescent="0.3">
      <c r="A1163" t="str">
        <f>""</f>
        <v/>
      </c>
      <c r="F1163" t="str">
        <f>"12716"</f>
        <v>12716</v>
      </c>
      <c r="G1163" t="str">
        <f>"ABST FEE  09/11/17"</f>
        <v>ABST FEE  09/11/17</v>
      </c>
      <c r="H1163" s="2">
        <v>225</v>
      </c>
      <c r="I1163" t="str">
        <f>"ABST FEE  09/11/17"</f>
        <v>ABST FEE  09/11/17</v>
      </c>
    </row>
    <row r="1164" spans="1:10" x14ac:dyDescent="0.3">
      <c r="A1164" t="str">
        <f>""</f>
        <v/>
      </c>
      <c r="F1164" t="str">
        <f>"12728"</f>
        <v>12728</v>
      </c>
      <c r="G1164" t="str">
        <f>"ABST FEE  09/21/2017"</f>
        <v>ABST FEE  09/21/2017</v>
      </c>
      <c r="H1164" s="2">
        <v>225</v>
      </c>
      <c r="I1164" t="str">
        <f>"ABST FEE  09/21/2017"</f>
        <v>ABST FEE  09/21/2017</v>
      </c>
    </row>
    <row r="1165" spans="1:10" x14ac:dyDescent="0.3">
      <c r="A1165" t="str">
        <f>""</f>
        <v/>
      </c>
      <c r="F1165" t="str">
        <f>"12747"</f>
        <v>12747</v>
      </c>
      <c r="G1165" t="str">
        <f>"ABST FEE  09/05/17"</f>
        <v>ABST FEE  09/05/17</v>
      </c>
      <c r="H1165" s="2">
        <v>225</v>
      </c>
      <c r="I1165" t="str">
        <f>"ABST FEE  09/05/17"</f>
        <v>ABST FEE  09/05/17</v>
      </c>
    </row>
    <row r="1166" spans="1:10" x14ac:dyDescent="0.3">
      <c r="A1166" t="str">
        <f>""</f>
        <v/>
      </c>
      <c r="F1166" t="str">
        <f>"12748"</f>
        <v>12748</v>
      </c>
      <c r="G1166" t="str">
        <f>"ABST FEE  09/29/17"</f>
        <v>ABST FEE  09/29/17</v>
      </c>
      <c r="H1166" s="2">
        <v>225</v>
      </c>
      <c r="I1166" t="str">
        <f>"ABST FEE  09/29/17"</f>
        <v>ABST FEE  09/29/17</v>
      </c>
    </row>
    <row r="1167" spans="1:10" x14ac:dyDescent="0.3">
      <c r="A1167" t="str">
        <f>""</f>
        <v/>
      </c>
      <c r="F1167" t="str">
        <f>"12758"</f>
        <v>12758</v>
      </c>
      <c r="G1167" t="str">
        <f>"ABST FEE  09/26/17"</f>
        <v>ABST FEE  09/26/17</v>
      </c>
      <c r="H1167" s="2">
        <v>225</v>
      </c>
      <c r="I1167" t="str">
        <f>"ABST FEE  09/26/17"</f>
        <v>ABST FEE  09/26/17</v>
      </c>
    </row>
    <row r="1168" spans="1:10" x14ac:dyDescent="0.3">
      <c r="A1168" t="str">
        <f>""</f>
        <v/>
      </c>
      <c r="F1168" t="str">
        <f>"12770"</f>
        <v>12770</v>
      </c>
      <c r="G1168" t="str">
        <f>"ABST FEE  09/18/17"</f>
        <v>ABST FEE  09/18/17</v>
      </c>
      <c r="H1168" s="2">
        <v>225</v>
      </c>
      <c r="I1168" t="str">
        <f>"ABST FEE  09/18/17"</f>
        <v>ABST FEE  09/18/17</v>
      </c>
    </row>
    <row r="1169" spans="1:10" x14ac:dyDescent="0.3">
      <c r="A1169" t="str">
        <f>""</f>
        <v/>
      </c>
      <c r="F1169" t="str">
        <f>"12771  09/14/17"</f>
        <v>12771  09/14/17</v>
      </c>
      <c r="G1169" t="str">
        <f>"ABST FEE  09/14/17"</f>
        <v>ABST FEE  09/14/17</v>
      </c>
      <c r="H1169" s="2">
        <v>225</v>
      </c>
      <c r="I1169" t="str">
        <f>"ABST FEE  09/14/17"</f>
        <v>ABST FEE  09/14/17</v>
      </c>
    </row>
    <row r="1170" spans="1:10" x14ac:dyDescent="0.3">
      <c r="A1170" t="str">
        <f>""</f>
        <v/>
      </c>
      <c r="F1170" t="str">
        <f>"201711036114"</f>
        <v>201711036114</v>
      </c>
      <c r="G1170" t="str">
        <f>"ATTORNEY FEES FOR OCTOBER 2017"</f>
        <v>ATTORNEY FEES FOR OCTOBER 2017</v>
      </c>
      <c r="H1170" s="2">
        <v>20652.580000000002</v>
      </c>
      <c r="I1170" t="str">
        <f>"ATTORNEY FEES FOR OCTOBER 2017"</f>
        <v>ATTORNEY FEES FOR OCTOBER 2017</v>
      </c>
    </row>
    <row r="1171" spans="1:10" x14ac:dyDescent="0.3">
      <c r="A1171" t="str">
        <f>""</f>
        <v/>
      </c>
      <c r="F1171" t="str">
        <f>"8974"</f>
        <v>8974</v>
      </c>
      <c r="G1171" t="str">
        <f>"ABST FEE  09/14/17"</f>
        <v>ABST FEE  09/14/17</v>
      </c>
      <c r="H1171" s="2">
        <v>100</v>
      </c>
      <c r="I1171" t="str">
        <f>"ABST FEE  09/14/17"</f>
        <v>ABST FEE  09/14/17</v>
      </c>
    </row>
    <row r="1172" spans="1:10" x14ac:dyDescent="0.3">
      <c r="A1172" t="str">
        <f>"MC CRE"</f>
        <v>MC CRE</v>
      </c>
      <c r="B1172" t="s">
        <v>337</v>
      </c>
      <c r="C1172">
        <v>73908</v>
      </c>
      <c r="D1172" s="2">
        <v>4268.2</v>
      </c>
      <c r="E1172" s="1">
        <v>43066</v>
      </c>
      <c r="F1172" t="str">
        <f>"10770"</f>
        <v>10770</v>
      </c>
      <c r="G1172" t="str">
        <f>"ABST FEE-$150 + SERVICE-$65"</f>
        <v>ABST FEE-$150 + SERVICE-$65</v>
      </c>
      <c r="H1172" s="2">
        <v>215</v>
      </c>
      <c r="I1172" t="str">
        <f>"ABST FEE-$150 + SERVICE-$65"</f>
        <v>ABST FEE-$150 + SERVICE-$65</v>
      </c>
    </row>
    <row r="1173" spans="1:10" x14ac:dyDescent="0.3">
      <c r="A1173" t="str">
        <f>""</f>
        <v/>
      </c>
      <c r="F1173" t="str">
        <f>"10946"</f>
        <v>10946</v>
      </c>
      <c r="G1173" t="str">
        <f>"ABST FEE-$175 + SERVICE-$130"</f>
        <v>ABST FEE-$175 + SERVICE-$130</v>
      </c>
      <c r="H1173" s="2">
        <v>305</v>
      </c>
      <c r="I1173" t="str">
        <f>"ABST FEE-$175 + SERVICE-$130"</f>
        <v>ABST FEE-$175 + SERVICE-$130</v>
      </c>
    </row>
    <row r="1174" spans="1:10" x14ac:dyDescent="0.3">
      <c r="A1174" t="str">
        <f>""</f>
        <v/>
      </c>
      <c r="F1174" t="s">
        <v>60</v>
      </c>
      <c r="G1174" t="s">
        <v>341</v>
      </c>
      <c r="H1174" s="2" t="str">
        <f>"SERVICE"</f>
        <v>SERVICE</v>
      </c>
      <c r="I1174" t="str">
        <f>"995-4110"</f>
        <v>995-4110</v>
      </c>
      <c r="J1174">
        <v>130</v>
      </c>
    </row>
    <row r="1175" spans="1:10" x14ac:dyDescent="0.3">
      <c r="A1175" t="str">
        <f>""</f>
        <v/>
      </c>
      <c r="F1175" t="str">
        <f>"11313"</f>
        <v>11313</v>
      </c>
      <c r="G1175" t="str">
        <f>"ABST FEE-$175 + SERVICE-$255"</f>
        <v>ABST FEE-$175 + SERVICE-$255</v>
      </c>
      <c r="H1175" s="2">
        <v>430</v>
      </c>
      <c r="I1175" t="str">
        <f>"ABST FEE-$175 + SERVICE-$255"</f>
        <v>ABST FEE-$175 + SERVICE-$255</v>
      </c>
    </row>
    <row r="1176" spans="1:10" x14ac:dyDescent="0.3">
      <c r="A1176" t="str">
        <f>""</f>
        <v/>
      </c>
      <c r="F1176" t="str">
        <f>"11439"</f>
        <v>11439</v>
      </c>
      <c r="G1176" t="str">
        <f>"ABST FEE-$175 + SERVICE-$130"</f>
        <v>ABST FEE-$175 + SERVICE-$130</v>
      </c>
      <c r="H1176" s="2">
        <v>305</v>
      </c>
      <c r="I1176" t="str">
        <f>"ABST FEE-$175 + SERVICE-$130"</f>
        <v>ABST FEE-$175 + SERVICE-$130</v>
      </c>
    </row>
    <row r="1177" spans="1:10" x14ac:dyDescent="0.3">
      <c r="A1177" t="str">
        <f>""</f>
        <v/>
      </c>
      <c r="F1177" t="str">
        <f>"11769"</f>
        <v>11769</v>
      </c>
      <c r="G1177" t="str">
        <f>"PRINTER FEE  10/16/17"</f>
        <v>PRINTER FEE  10/16/17</v>
      </c>
      <c r="H1177" s="2">
        <v>263.2</v>
      </c>
      <c r="I1177" t="str">
        <f>"PRINTER FEE  10/16/17"</f>
        <v>PRINTER FEE  10/16/17</v>
      </c>
    </row>
    <row r="1178" spans="1:10" x14ac:dyDescent="0.3">
      <c r="A1178" t="str">
        <f>""</f>
        <v/>
      </c>
      <c r="F1178" t="s">
        <v>64</v>
      </c>
      <c r="G1178" t="s">
        <v>70</v>
      </c>
      <c r="H1178" s="2" t="str">
        <f>"AD LITEM FEE"</f>
        <v>AD LITEM FEE</v>
      </c>
      <c r="I1178" t="str">
        <f>"995-4110"</f>
        <v>995-4110</v>
      </c>
      <c r="J1178">
        <v>175</v>
      </c>
    </row>
    <row r="1179" spans="1:10" x14ac:dyDescent="0.3">
      <c r="A1179" t="str">
        <f>""</f>
        <v/>
      </c>
      <c r="F1179" t="str">
        <f>"12160"</f>
        <v>12160</v>
      </c>
      <c r="G1179" t="str">
        <f>"ABST FEE"</f>
        <v>ABST FEE</v>
      </c>
      <c r="H1179" s="2">
        <v>175</v>
      </c>
      <c r="I1179" t="str">
        <f>"ABST FEE"</f>
        <v>ABST FEE</v>
      </c>
    </row>
    <row r="1180" spans="1:10" x14ac:dyDescent="0.3">
      <c r="A1180" t="str">
        <f>""</f>
        <v/>
      </c>
      <c r="F1180" t="str">
        <f>"12200"</f>
        <v>12200</v>
      </c>
      <c r="G1180" t="str">
        <f>"ABST FEE"</f>
        <v>ABST FEE</v>
      </c>
      <c r="H1180" s="2">
        <v>175</v>
      </c>
      <c r="I1180" t="str">
        <f>"ABST FEE"</f>
        <v>ABST FEE</v>
      </c>
    </row>
    <row r="1181" spans="1:10" x14ac:dyDescent="0.3">
      <c r="A1181" t="str">
        <f>""</f>
        <v/>
      </c>
      <c r="F1181" t="str">
        <f>"12236"</f>
        <v>12236</v>
      </c>
      <c r="G1181" t="str">
        <f>"ABST FEE-$175 + SERVICE-$55"</f>
        <v>ABST FEE-$175 + SERVICE-$55</v>
      </c>
      <c r="H1181" s="2">
        <v>230</v>
      </c>
      <c r="I1181" t="str">
        <f>"ABST FEE-$175 + SERVICE-$55"</f>
        <v>ABST FEE-$175 + SERVICE-$55</v>
      </c>
    </row>
    <row r="1182" spans="1:10" x14ac:dyDescent="0.3">
      <c r="A1182" t="str">
        <f>""</f>
        <v/>
      </c>
      <c r="F1182" t="str">
        <f>"12248"</f>
        <v>12248</v>
      </c>
      <c r="G1182" t="str">
        <f>"ABST FEE"</f>
        <v>ABST FEE</v>
      </c>
      <c r="H1182" s="2">
        <v>175</v>
      </c>
      <c r="I1182" t="str">
        <f>"ABST FEE"</f>
        <v>ABST FEE</v>
      </c>
    </row>
    <row r="1183" spans="1:10" x14ac:dyDescent="0.3">
      <c r="A1183" t="str">
        <f>""</f>
        <v/>
      </c>
      <c r="F1183" t="str">
        <f>"12298"</f>
        <v>12298</v>
      </c>
      <c r="G1183" t="str">
        <f>"ABST FEE"</f>
        <v>ABST FEE</v>
      </c>
      <c r="H1183" s="2">
        <v>175</v>
      </c>
      <c r="I1183" t="str">
        <f>"ABST FEE"</f>
        <v>ABST FEE</v>
      </c>
    </row>
    <row r="1184" spans="1:10" x14ac:dyDescent="0.3">
      <c r="A1184" t="str">
        <f>""</f>
        <v/>
      </c>
      <c r="F1184" t="str">
        <f>"12381"</f>
        <v>12381</v>
      </c>
      <c r="G1184" t="str">
        <f>"ABST FEE-$175 + SERVICE-$165"</f>
        <v>ABST FEE-$175 + SERVICE-$165</v>
      </c>
      <c r="H1184" s="2">
        <v>340</v>
      </c>
      <c r="I1184" t="str">
        <f>"ABST FEE-$175 + SERVICE-$165"</f>
        <v>ABST FEE-$175 + SERVICE-$165</v>
      </c>
    </row>
    <row r="1185" spans="1:10" x14ac:dyDescent="0.3">
      <c r="A1185" t="str">
        <f>""</f>
        <v/>
      </c>
      <c r="F1185" t="str">
        <f>"12607"</f>
        <v>12607</v>
      </c>
      <c r="G1185" t="str">
        <f t="shared" ref="G1185:G1190" si="13">"ABST FEE"</f>
        <v>ABST FEE</v>
      </c>
      <c r="H1185" s="2">
        <v>175</v>
      </c>
      <c r="I1185" t="str">
        <f t="shared" ref="I1185:I1190" si="14">"ABST FEE"</f>
        <v>ABST FEE</v>
      </c>
    </row>
    <row r="1186" spans="1:10" x14ac:dyDescent="0.3">
      <c r="A1186" t="str">
        <f>""</f>
        <v/>
      </c>
      <c r="F1186" t="str">
        <f>"12611"</f>
        <v>12611</v>
      </c>
      <c r="G1186" t="str">
        <f t="shared" si="13"/>
        <v>ABST FEE</v>
      </c>
      <c r="H1186" s="2">
        <v>225</v>
      </c>
      <c r="I1186" t="str">
        <f t="shared" si="14"/>
        <v>ABST FEE</v>
      </c>
    </row>
    <row r="1187" spans="1:10" x14ac:dyDescent="0.3">
      <c r="A1187" t="str">
        <f>""</f>
        <v/>
      </c>
      <c r="F1187" t="str">
        <f>"12657"</f>
        <v>12657</v>
      </c>
      <c r="G1187" t="str">
        <f t="shared" si="13"/>
        <v>ABST FEE</v>
      </c>
      <c r="H1187" s="2">
        <v>225</v>
      </c>
      <c r="I1187" t="str">
        <f t="shared" si="14"/>
        <v>ABST FEE</v>
      </c>
    </row>
    <row r="1188" spans="1:10" x14ac:dyDescent="0.3">
      <c r="A1188" t="str">
        <f>""</f>
        <v/>
      </c>
      <c r="F1188" t="str">
        <f>"12784"</f>
        <v>12784</v>
      </c>
      <c r="G1188" t="str">
        <f t="shared" si="13"/>
        <v>ABST FEE</v>
      </c>
      <c r="H1188" s="2">
        <v>225</v>
      </c>
      <c r="I1188" t="str">
        <f t="shared" si="14"/>
        <v>ABST FEE</v>
      </c>
    </row>
    <row r="1189" spans="1:10" x14ac:dyDescent="0.3">
      <c r="A1189" t="str">
        <f>""</f>
        <v/>
      </c>
      <c r="F1189" t="str">
        <f>"12791"</f>
        <v>12791</v>
      </c>
      <c r="G1189" t="str">
        <f t="shared" si="13"/>
        <v>ABST FEE</v>
      </c>
      <c r="H1189" s="2">
        <v>225</v>
      </c>
      <c r="I1189" t="str">
        <f t="shared" si="14"/>
        <v>ABST FEE</v>
      </c>
    </row>
    <row r="1190" spans="1:10" x14ac:dyDescent="0.3">
      <c r="A1190" t="str">
        <f>""</f>
        <v/>
      </c>
      <c r="F1190" t="str">
        <f>"9554  10/20/17"</f>
        <v>9554  10/20/17</v>
      </c>
      <c r="G1190" t="str">
        <f t="shared" si="13"/>
        <v>ABST FEE</v>
      </c>
      <c r="H1190" s="2">
        <v>100</v>
      </c>
      <c r="I1190" t="str">
        <f t="shared" si="14"/>
        <v>ABST FEE</v>
      </c>
    </row>
    <row r="1191" spans="1:10" x14ac:dyDescent="0.3">
      <c r="A1191" t="str">
        <f>"005196"</f>
        <v>005196</v>
      </c>
      <c r="B1191" t="s">
        <v>342</v>
      </c>
      <c r="C1191">
        <v>73653</v>
      </c>
      <c r="D1191" s="2">
        <v>80</v>
      </c>
      <c r="E1191" s="1">
        <v>43052</v>
      </c>
      <c r="F1191" t="str">
        <f>"12728"</f>
        <v>12728</v>
      </c>
      <c r="G1191" t="str">
        <f>"SERVICE  09/21/17"</f>
        <v>SERVICE  09/21/17</v>
      </c>
      <c r="H1191" s="2">
        <v>80</v>
      </c>
      <c r="I1191" t="str">
        <f>"SERVICE  09/21/17"</f>
        <v>SERVICE  09/21/17</v>
      </c>
    </row>
    <row r="1192" spans="1:10" x14ac:dyDescent="0.3">
      <c r="A1192" t="str">
        <f>"002271"</f>
        <v>002271</v>
      </c>
      <c r="B1192" t="s">
        <v>343</v>
      </c>
      <c r="C1192">
        <v>73654</v>
      </c>
      <c r="D1192" s="2">
        <v>1254.68</v>
      </c>
      <c r="E1192" s="1">
        <v>43052</v>
      </c>
      <c r="F1192" t="str">
        <f>"201711086529"</f>
        <v>201711086529</v>
      </c>
      <c r="G1192" t="str">
        <f>"INDIGENT HEALTH"</f>
        <v>INDIGENT HEALTH</v>
      </c>
      <c r="H1192" s="2">
        <v>-108.18</v>
      </c>
      <c r="I1192" t="str">
        <f>"INDIGENT HEALTH"</f>
        <v>INDIGENT HEALTH</v>
      </c>
    </row>
    <row r="1193" spans="1:10" x14ac:dyDescent="0.3">
      <c r="A1193" t="str">
        <f>""</f>
        <v/>
      </c>
      <c r="F1193" t="str">
        <f>"201711086516"</f>
        <v>201711086516</v>
      </c>
      <c r="G1193" t="str">
        <f>"INDIGENT HEALTH"</f>
        <v>INDIGENT HEALTH</v>
      </c>
      <c r="H1193" s="2">
        <v>1336.97</v>
      </c>
      <c r="I1193" t="str">
        <f>"INDIGENT HEALTH"</f>
        <v>INDIGENT HEALTH</v>
      </c>
    </row>
    <row r="1194" spans="1:10" x14ac:dyDescent="0.3">
      <c r="A1194" t="str">
        <f>""</f>
        <v/>
      </c>
      <c r="F1194" t="str">
        <f>"201711086517"</f>
        <v>201711086517</v>
      </c>
      <c r="G1194" t="str">
        <f>"INDIGENT HEALTH"</f>
        <v>INDIGENT HEALTH</v>
      </c>
      <c r="H1194" s="2">
        <v>25.89</v>
      </c>
      <c r="I1194" t="str">
        <f>"INDIGENT HEALTH"</f>
        <v>INDIGENT HEALTH</v>
      </c>
    </row>
    <row r="1195" spans="1:10" x14ac:dyDescent="0.3">
      <c r="A1195" t="str">
        <f>"002271"</f>
        <v>002271</v>
      </c>
      <c r="B1195" t="s">
        <v>343</v>
      </c>
      <c r="C1195">
        <v>73909</v>
      </c>
      <c r="D1195" s="2">
        <v>1533.56</v>
      </c>
      <c r="E1195" s="1">
        <v>43066</v>
      </c>
      <c r="F1195" t="str">
        <f>"201711166654"</f>
        <v>201711166654</v>
      </c>
      <c r="G1195" t="str">
        <f>"INDIGENT HEALTH"</f>
        <v>INDIGENT HEALTH</v>
      </c>
      <c r="H1195" s="2">
        <v>1533.56</v>
      </c>
      <c r="I1195" t="str">
        <f>"INDIGENT HEALTH"</f>
        <v>INDIGENT HEALTH</v>
      </c>
    </row>
    <row r="1196" spans="1:10" x14ac:dyDescent="0.3">
      <c r="A1196" t="str">
        <f>"004498"</f>
        <v>004498</v>
      </c>
      <c r="B1196" t="s">
        <v>344</v>
      </c>
      <c r="C1196">
        <v>73910</v>
      </c>
      <c r="D1196" s="2">
        <v>6098</v>
      </c>
      <c r="E1196" s="1">
        <v>43066</v>
      </c>
      <c r="F1196" t="str">
        <f>"LIGHT POLES"</f>
        <v>LIGHT POLES</v>
      </c>
      <c r="G1196" t="str">
        <f>"Light Poles"</f>
        <v>Light Poles</v>
      </c>
      <c r="H1196" s="2">
        <v>6098</v>
      </c>
      <c r="I1196" t="str">
        <f>"Light Poles"</f>
        <v>Light Poles</v>
      </c>
    </row>
    <row r="1197" spans="1:10" x14ac:dyDescent="0.3">
      <c r="A1197" t="str">
        <f>""</f>
        <v/>
      </c>
      <c r="F1197" t="str">
        <f>""</f>
        <v/>
      </c>
      <c r="G1197" t="str">
        <f>""</f>
        <v/>
      </c>
      <c r="I1197" t="str">
        <f>"INCAN Sockets"</f>
        <v>INCAN Sockets</v>
      </c>
    </row>
    <row r="1198" spans="1:10" x14ac:dyDescent="0.3">
      <c r="A1198" t="str">
        <f>""</f>
        <v/>
      </c>
      <c r="F1198" t="str">
        <f>""</f>
        <v/>
      </c>
      <c r="G1198" t="str">
        <f>""</f>
        <v/>
      </c>
      <c r="I1198" t="str">
        <f>"Paint Charge"</f>
        <v>Paint Charge</v>
      </c>
    </row>
    <row r="1199" spans="1:10" x14ac:dyDescent="0.3">
      <c r="A1199" t="str">
        <f>""</f>
        <v/>
      </c>
      <c r="F1199" t="str">
        <f>""</f>
        <v/>
      </c>
      <c r="G1199" t="str">
        <f>""</f>
        <v/>
      </c>
      <c r="I1199" t="str">
        <f>"Shipping"</f>
        <v>Shipping</v>
      </c>
    </row>
    <row r="1200" spans="1:10" x14ac:dyDescent="0.3">
      <c r="A1200" t="str">
        <f>"003745"</f>
        <v>003745</v>
      </c>
      <c r="B1200" t="s">
        <v>345</v>
      </c>
      <c r="C1200">
        <v>73655</v>
      </c>
      <c r="D1200" s="2">
        <v>25</v>
      </c>
      <c r="E1200" s="1">
        <v>43052</v>
      </c>
      <c r="F1200" t="s">
        <v>107</v>
      </c>
      <c r="G1200" t="s">
        <v>284</v>
      </c>
      <c r="H1200" s="2" t="str">
        <f>"RESTITUTION-D.SPURK"</f>
        <v>RESTITUTION-D.SPURK</v>
      </c>
      <c r="I1200" t="str">
        <f>"210-0000"</f>
        <v>210-0000</v>
      </c>
      <c r="J1200">
        <v>25</v>
      </c>
    </row>
    <row r="1201" spans="1:9" x14ac:dyDescent="0.3">
      <c r="A1201" t="str">
        <f>"005014"</f>
        <v>005014</v>
      </c>
      <c r="B1201" t="s">
        <v>346</v>
      </c>
      <c r="C1201">
        <v>73656</v>
      </c>
      <c r="D1201" s="2">
        <v>175</v>
      </c>
      <c r="E1201" s="1">
        <v>43052</v>
      </c>
      <c r="F1201" t="str">
        <f>"201711086432"</f>
        <v>201711086432</v>
      </c>
      <c r="G1201" t="str">
        <f>"FERAL HOGS"</f>
        <v>FERAL HOGS</v>
      </c>
      <c r="H1201" s="2">
        <v>175</v>
      </c>
      <c r="I1201" t="str">
        <f>"FERAL HOGS"</f>
        <v>FERAL HOGS</v>
      </c>
    </row>
    <row r="1202" spans="1:9" x14ac:dyDescent="0.3">
      <c r="A1202" t="str">
        <f>"MF"</f>
        <v>MF</v>
      </c>
      <c r="B1202" t="s">
        <v>347</v>
      </c>
      <c r="C1202">
        <v>999999</v>
      </c>
      <c r="D1202" s="2">
        <v>176</v>
      </c>
      <c r="E1202" s="1">
        <v>43067</v>
      </c>
      <c r="F1202" t="str">
        <f>"17-028"</f>
        <v>17-028</v>
      </c>
      <c r="G1202" t="str">
        <f>"COURT REPORTER FEES"</f>
        <v>COURT REPORTER FEES</v>
      </c>
      <c r="H1202" s="2">
        <v>176</v>
      </c>
      <c r="I1202" t="str">
        <f>"COURT REPORTER FEES"</f>
        <v>COURT REPORTER FEES</v>
      </c>
    </row>
    <row r="1203" spans="1:9" x14ac:dyDescent="0.3">
      <c r="A1203" t="str">
        <f>"003533"</f>
        <v>003533</v>
      </c>
      <c r="B1203" t="s">
        <v>348</v>
      </c>
      <c r="C1203">
        <v>999999</v>
      </c>
      <c r="D1203" s="2">
        <v>164</v>
      </c>
      <c r="E1203" s="1">
        <v>43053</v>
      </c>
      <c r="F1203" t="str">
        <f>"201710276053"</f>
        <v>201710276053</v>
      </c>
      <c r="G1203" t="str">
        <f>"REIMBURSE-APPRENT TX CONF"</f>
        <v>REIMBURSE-APPRENT TX CONF</v>
      </c>
      <c r="H1203" s="2">
        <v>164</v>
      </c>
      <c r="I1203" t="str">
        <f>"REIMBURSE-APPRENT TX CONF"</f>
        <v>REIMBURSE-APPRENT TX CONF</v>
      </c>
    </row>
    <row r="1204" spans="1:9" x14ac:dyDescent="0.3">
      <c r="A1204" t="str">
        <f>"002312"</f>
        <v>002312</v>
      </c>
      <c r="B1204" t="s">
        <v>349</v>
      </c>
      <c r="C1204">
        <v>73657</v>
      </c>
      <c r="D1204" s="2">
        <v>16852.98</v>
      </c>
      <c r="E1204" s="1">
        <v>43052</v>
      </c>
      <c r="F1204" t="str">
        <f>"15477"</f>
        <v>15477</v>
      </c>
      <c r="G1204" t="str">
        <f>"FREIGHT SALES/YARD/PCT#2"</f>
        <v>FREIGHT SALES/YARD/PCT#2</v>
      </c>
      <c r="H1204" s="2">
        <v>4621.2</v>
      </c>
      <c r="I1204" t="str">
        <f>"FREIGHT SALES/YARD/PCT#2"</f>
        <v>FREIGHT SALES/YARD/PCT#2</v>
      </c>
    </row>
    <row r="1205" spans="1:9" x14ac:dyDescent="0.3">
      <c r="A1205" t="str">
        <f>""</f>
        <v/>
      </c>
      <c r="F1205" t="str">
        <f>"15535"</f>
        <v>15535</v>
      </c>
      <c r="G1205" t="str">
        <f>"FREIGHT SALES/YARD/PCT#2"</f>
        <v>FREIGHT SALES/YARD/PCT#2</v>
      </c>
      <c r="H1205" s="2">
        <v>4511.3</v>
      </c>
      <c r="I1205" t="str">
        <f>"FREIGHT SALES/YARD/PCT#2"</f>
        <v>FREIGHT SALES/YARD/PCT#2</v>
      </c>
    </row>
    <row r="1206" spans="1:9" x14ac:dyDescent="0.3">
      <c r="A1206" t="str">
        <f>""</f>
        <v/>
      </c>
      <c r="F1206" t="str">
        <f>"15555"</f>
        <v>15555</v>
      </c>
      <c r="G1206" t="str">
        <f>"FREIGHT SALES/OLD POT RD/PCT#2"</f>
        <v>FREIGHT SALES/OLD POT RD/PCT#2</v>
      </c>
      <c r="H1206" s="2">
        <v>7720.48</v>
      </c>
      <c r="I1206" t="str">
        <f>"FREIGHT SALES/OLD POT RD/PCT#2"</f>
        <v>FREIGHT SALES/OLD POT RD/PCT#2</v>
      </c>
    </row>
    <row r="1207" spans="1:9" x14ac:dyDescent="0.3">
      <c r="A1207" t="str">
        <f>"002312"</f>
        <v>002312</v>
      </c>
      <c r="B1207" t="s">
        <v>349</v>
      </c>
      <c r="C1207">
        <v>73911</v>
      </c>
      <c r="D1207" s="2">
        <v>2768.46</v>
      </c>
      <c r="E1207" s="1">
        <v>43066</v>
      </c>
      <c r="F1207" t="str">
        <f>"15598"</f>
        <v>15598</v>
      </c>
      <c r="G1207" t="str">
        <f>"FREIGHT SALES/PCT#2"</f>
        <v>FREIGHT SALES/PCT#2</v>
      </c>
      <c r="H1207" s="2">
        <v>2185.1</v>
      </c>
      <c r="I1207" t="str">
        <f>"FREIGHT SALES/PCT#2"</f>
        <v>FREIGHT SALES/PCT#2</v>
      </c>
    </row>
    <row r="1208" spans="1:9" x14ac:dyDescent="0.3">
      <c r="A1208" t="str">
        <f>""</f>
        <v/>
      </c>
      <c r="F1208" t="str">
        <f>"15606"</f>
        <v>15606</v>
      </c>
      <c r="G1208" t="str">
        <f>"FREIGHT SALES/PCT#2"</f>
        <v>FREIGHT SALES/PCT#2</v>
      </c>
      <c r="H1208" s="2">
        <v>583.36</v>
      </c>
      <c r="I1208" t="str">
        <f>"FREIGHT SALES/PCT#2"</f>
        <v>FREIGHT SALES/PCT#2</v>
      </c>
    </row>
    <row r="1209" spans="1:9" x14ac:dyDescent="0.3">
      <c r="A1209" t="str">
        <f>"005284"</f>
        <v>005284</v>
      </c>
      <c r="B1209" t="s">
        <v>350</v>
      </c>
      <c r="C1209">
        <v>73658</v>
      </c>
      <c r="D1209" s="2">
        <v>90</v>
      </c>
      <c r="E1209" s="1">
        <v>43052</v>
      </c>
      <c r="F1209" t="str">
        <f>"201711086433"</f>
        <v>201711086433</v>
      </c>
      <c r="G1209" t="str">
        <f>"FERAL HOGS"</f>
        <v>FERAL HOGS</v>
      </c>
      <c r="H1209" s="2">
        <v>20</v>
      </c>
      <c r="I1209" t="str">
        <f>"FERAL HOGS"</f>
        <v>FERAL HOGS</v>
      </c>
    </row>
    <row r="1210" spans="1:9" x14ac:dyDescent="0.3">
      <c r="A1210" t="str">
        <f>""</f>
        <v/>
      </c>
      <c r="F1210" t="str">
        <f>"201711086435"</f>
        <v>201711086435</v>
      </c>
      <c r="G1210" t="str">
        <f>"FERAL HOGS"</f>
        <v>FERAL HOGS</v>
      </c>
      <c r="H1210" s="2">
        <v>30</v>
      </c>
      <c r="I1210" t="str">
        <f>"FERAL HOGS"</f>
        <v>FERAL HOGS</v>
      </c>
    </row>
    <row r="1211" spans="1:9" x14ac:dyDescent="0.3">
      <c r="A1211" t="str">
        <f>""</f>
        <v/>
      </c>
      <c r="F1211" t="str">
        <f>"201711086436"</f>
        <v>201711086436</v>
      </c>
      <c r="G1211" t="str">
        <f>"FERAL HOGS"</f>
        <v>FERAL HOGS</v>
      </c>
      <c r="H1211" s="2">
        <v>35</v>
      </c>
      <c r="I1211" t="str">
        <f>"FERAL HOGS"</f>
        <v>FERAL HOGS</v>
      </c>
    </row>
    <row r="1212" spans="1:9" x14ac:dyDescent="0.3">
      <c r="A1212" t="str">
        <f>""</f>
        <v/>
      </c>
      <c r="F1212" t="str">
        <f>"201711086437"</f>
        <v>201711086437</v>
      </c>
      <c r="G1212" t="str">
        <f>"FERAL HOGS"</f>
        <v>FERAL HOGS</v>
      </c>
      <c r="H1212" s="2">
        <v>5</v>
      </c>
      <c r="I1212" t="str">
        <f>"FERAL HOGS"</f>
        <v>FERAL HOGS</v>
      </c>
    </row>
    <row r="1213" spans="1:9" x14ac:dyDescent="0.3">
      <c r="A1213" t="str">
        <f>"MU&amp;E"</f>
        <v>MU&amp;E</v>
      </c>
      <c r="B1213" t="s">
        <v>351</v>
      </c>
      <c r="C1213">
        <v>999999</v>
      </c>
      <c r="D1213" s="2">
        <v>2584.44</v>
      </c>
      <c r="E1213" s="1">
        <v>43053</v>
      </c>
      <c r="F1213" t="str">
        <f>"52401 UNIFORMS"</f>
        <v>52401 UNIFORMS</v>
      </c>
      <c r="G1213" t="str">
        <f>"INV 52401"</f>
        <v>INV 52401</v>
      </c>
      <c r="H1213" s="2">
        <v>44.41</v>
      </c>
      <c r="I1213" t="str">
        <f>"INV 52401"</f>
        <v>INV 52401</v>
      </c>
    </row>
    <row r="1214" spans="1:9" x14ac:dyDescent="0.3">
      <c r="A1214" t="str">
        <f>""</f>
        <v/>
      </c>
      <c r="F1214" t="str">
        <f>"63648"</f>
        <v>63648</v>
      </c>
      <c r="G1214" t="str">
        <f>"INV 63648"</f>
        <v>INV 63648</v>
      </c>
      <c r="H1214" s="2">
        <v>87.5</v>
      </c>
      <c r="I1214" t="str">
        <f>"INV 63648"</f>
        <v>INV 63648</v>
      </c>
    </row>
    <row r="1215" spans="1:9" x14ac:dyDescent="0.3">
      <c r="A1215" t="str">
        <f>""</f>
        <v/>
      </c>
      <c r="F1215" t="str">
        <f>"71785"</f>
        <v>71785</v>
      </c>
      <c r="G1215" t="str">
        <f>"INV 71785"</f>
        <v>INV 71785</v>
      </c>
      <c r="H1215" s="2">
        <v>208.5</v>
      </c>
      <c r="I1215" t="str">
        <f>"INV 71785"</f>
        <v>INV 71785</v>
      </c>
    </row>
    <row r="1216" spans="1:9" x14ac:dyDescent="0.3">
      <c r="A1216" t="str">
        <f>""</f>
        <v/>
      </c>
      <c r="F1216" t="str">
        <f>"82963"</f>
        <v>82963</v>
      </c>
      <c r="G1216" t="str">
        <f>"INV 82963"</f>
        <v>INV 82963</v>
      </c>
      <c r="H1216" s="2">
        <v>210.3</v>
      </c>
      <c r="I1216" t="str">
        <f>"INV 82963"</f>
        <v>INV 82963</v>
      </c>
    </row>
    <row r="1217" spans="1:9" x14ac:dyDescent="0.3">
      <c r="A1217" t="str">
        <f>""</f>
        <v/>
      </c>
      <c r="F1217" t="str">
        <f>"89861"</f>
        <v>89861</v>
      </c>
      <c r="G1217" t="str">
        <f>"INV 89861"</f>
        <v>INV 89861</v>
      </c>
      <c r="H1217" s="2">
        <v>90.35</v>
      </c>
      <c r="I1217" t="str">
        <f>"INV 89861"</f>
        <v>INV 89861</v>
      </c>
    </row>
    <row r="1218" spans="1:9" x14ac:dyDescent="0.3">
      <c r="A1218" t="str">
        <f>""</f>
        <v/>
      </c>
      <c r="F1218" t="str">
        <f>"90224"</f>
        <v>90224</v>
      </c>
      <c r="G1218" t="str">
        <f>"INV 90224"</f>
        <v>INV 90224</v>
      </c>
      <c r="H1218" s="2">
        <v>86.5</v>
      </c>
      <c r="I1218" t="str">
        <f>"INV 90224"</f>
        <v>INV 90224</v>
      </c>
    </row>
    <row r="1219" spans="1:9" x14ac:dyDescent="0.3">
      <c r="A1219" t="str">
        <f>""</f>
        <v/>
      </c>
      <c r="F1219" t="str">
        <f>"90225"</f>
        <v>90225</v>
      </c>
      <c r="G1219" t="str">
        <f>"INV 90225"</f>
        <v>INV 90225</v>
      </c>
      <c r="H1219" s="2">
        <v>266.75</v>
      </c>
      <c r="I1219" t="str">
        <f>"INV 90225"</f>
        <v>INV 90225</v>
      </c>
    </row>
    <row r="1220" spans="1:9" x14ac:dyDescent="0.3">
      <c r="A1220" t="str">
        <f>""</f>
        <v/>
      </c>
      <c r="F1220" t="str">
        <f>"90749"</f>
        <v>90749</v>
      </c>
      <c r="G1220" t="str">
        <f>"INV 90749"</f>
        <v>INV 90749</v>
      </c>
      <c r="H1220" s="2">
        <v>979.63</v>
      </c>
      <c r="I1220" t="str">
        <f>"INV 90749"</f>
        <v>INV 90749</v>
      </c>
    </row>
    <row r="1221" spans="1:9" x14ac:dyDescent="0.3">
      <c r="A1221" t="str">
        <f>""</f>
        <v/>
      </c>
      <c r="F1221" t="str">
        <f>"91145"</f>
        <v>91145</v>
      </c>
      <c r="G1221" t="str">
        <f>"INV 91145"</f>
        <v>INV 91145</v>
      </c>
      <c r="H1221" s="2">
        <v>610.5</v>
      </c>
      <c r="I1221" t="str">
        <f>"INV 91145"</f>
        <v>INV 91145</v>
      </c>
    </row>
    <row r="1222" spans="1:9" x14ac:dyDescent="0.3">
      <c r="A1222" t="str">
        <f>"MU&amp;E"</f>
        <v>MU&amp;E</v>
      </c>
      <c r="B1222" t="s">
        <v>351</v>
      </c>
      <c r="C1222">
        <v>999999</v>
      </c>
      <c r="D1222" s="2">
        <v>386.45</v>
      </c>
      <c r="E1222" s="1">
        <v>43067</v>
      </c>
      <c r="F1222" t="str">
        <f>"91550"</f>
        <v>91550</v>
      </c>
      <c r="G1222" t="str">
        <f>"INV 91550"</f>
        <v>INV 91550</v>
      </c>
      <c r="H1222" s="2">
        <v>361.45</v>
      </c>
      <c r="I1222" t="str">
        <f>"INV 91550"</f>
        <v>INV 91550</v>
      </c>
    </row>
    <row r="1223" spans="1:9" x14ac:dyDescent="0.3">
      <c r="A1223" t="str">
        <f>""</f>
        <v/>
      </c>
      <c r="F1223" t="str">
        <f>"91797"</f>
        <v>91797</v>
      </c>
      <c r="G1223" t="str">
        <f>"INV 91797"</f>
        <v>INV 91797</v>
      </c>
      <c r="H1223" s="2">
        <v>25</v>
      </c>
      <c r="I1223" t="str">
        <f>"INV 91797"</f>
        <v>INV 91797</v>
      </c>
    </row>
    <row r="1224" spans="1:9" x14ac:dyDescent="0.3">
      <c r="A1224" t="str">
        <f t="shared" ref="A1224:A1255" si="15">"1"</f>
        <v>1</v>
      </c>
      <c r="B1224" t="s">
        <v>352</v>
      </c>
      <c r="C1224">
        <v>73397</v>
      </c>
      <c r="D1224" s="2">
        <v>48</v>
      </c>
      <c r="E1224" s="1">
        <v>43045</v>
      </c>
      <c r="F1224" t="str">
        <f>"201711066181"</f>
        <v>201711066181</v>
      </c>
      <c r="G1224" t="str">
        <f>""</f>
        <v/>
      </c>
      <c r="H1224" s="2">
        <v>48</v>
      </c>
      <c r="I1224" t="str">
        <f>"COURT APPOINTED SPECIAL ADVOCA"</f>
        <v>COURT APPOINTED SPECIAL ADVOCA</v>
      </c>
    </row>
    <row r="1225" spans="1:9" x14ac:dyDescent="0.3">
      <c r="A1225" t="str">
        <f t="shared" si="15"/>
        <v>1</v>
      </c>
      <c r="B1225" t="s">
        <v>353</v>
      </c>
      <c r="C1225">
        <v>73398</v>
      </c>
      <c r="D1225" s="2">
        <v>234</v>
      </c>
      <c r="E1225" s="1">
        <v>43045</v>
      </c>
      <c r="F1225" t="str">
        <f>"201711066182"</f>
        <v>201711066182</v>
      </c>
      <c r="G1225" t="str">
        <f>"M"</f>
        <v>M</v>
      </c>
      <c r="H1225" s="2">
        <v>234</v>
      </c>
      <c r="I1225" t="str">
        <f>"Children's Advocacy Center"</f>
        <v>Children's Advocacy Center</v>
      </c>
    </row>
    <row r="1226" spans="1:9" x14ac:dyDescent="0.3">
      <c r="A1226" t="str">
        <f t="shared" si="15"/>
        <v>1</v>
      </c>
      <c r="B1226" t="s">
        <v>354</v>
      </c>
      <c r="C1226">
        <v>73399</v>
      </c>
      <c r="D1226" s="2">
        <v>186</v>
      </c>
      <c r="E1226" s="1">
        <v>43045</v>
      </c>
      <c r="F1226" t="str">
        <f>"201711066183"</f>
        <v>201711066183</v>
      </c>
      <c r="G1226" t="str">
        <f>"Mi"</f>
        <v>Mi</v>
      </c>
      <c r="H1226" s="2">
        <v>186</v>
      </c>
      <c r="I1226" t="str">
        <f>"Child Protective Services"</f>
        <v>Child Protective Services</v>
      </c>
    </row>
    <row r="1227" spans="1:9" x14ac:dyDescent="0.3">
      <c r="A1227" t="str">
        <f t="shared" si="15"/>
        <v>1</v>
      </c>
      <c r="B1227" t="s">
        <v>355</v>
      </c>
      <c r="C1227">
        <v>73400</v>
      </c>
      <c r="D1227" s="2">
        <v>150</v>
      </c>
      <c r="E1227" s="1">
        <v>43045</v>
      </c>
      <c r="F1227" t="str">
        <f>"201711066184"</f>
        <v>201711066184</v>
      </c>
      <c r="G1227" t="str">
        <f>"Miscell"</f>
        <v>Miscell</v>
      </c>
      <c r="H1227" s="2">
        <v>150</v>
      </c>
      <c r="I1227" t="str">
        <f>"Family Crisis Center"</f>
        <v>Family Crisis Center</v>
      </c>
    </row>
    <row r="1228" spans="1:9" x14ac:dyDescent="0.3">
      <c r="A1228" t="str">
        <f t="shared" si="15"/>
        <v>1</v>
      </c>
      <c r="B1228" t="s">
        <v>356</v>
      </c>
      <c r="C1228">
        <v>73401</v>
      </c>
      <c r="D1228" s="2">
        <v>6</v>
      </c>
      <c r="E1228" s="1">
        <v>43045</v>
      </c>
      <c r="F1228" t="str">
        <f>"201711066185"</f>
        <v>201711066185</v>
      </c>
      <c r="G1228" t="str">
        <f>"Mis"</f>
        <v>Mis</v>
      </c>
      <c r="H1228" s="2">
        <v>6</v>
      </c>
      <c r="I1228" t="str">
        <f>"DONALD LAWRENCE LINVILLE"</f>
        <v>DONALD LAWRENCE LINVILLE</v>
      </c>
    </row>
    <row r="1229" spans="1:9" x14ac:dyDescent="0.3">
      <c r="A1229" t="str">
        <f t="shared" si="15"/>
        <v>1</v>
      </c>
      <c r="B1229" t="s">
        <v>357</v>
      </c>
      <c r="C1229">
        <v>73402</v>
      </c>
      <c r="D1229" s="2">
        <v>6</v>
      </c>
      <c r="E1229" s="1">
        <v>43045</v>
      </c>
      <c r="F1229" t="str">
        <f>"201711066186"</f>
        <v>201711066186</v>
      </c>
      <c r="G1229" t="str">
        <f>"Miscel"</f>
        <v>Miscel</v>
      </c>
      <c r="H1229" s="2">
        <v>6</v>
      </c>
      <c r="I1229" t="str">
        <f>"PATRICK JOSEPH GAYLOR"</f>
        <v>PATRICK JOSEPH GAYLOR</v>
      </c>
    </row>
    <row r="1230" spans="1:9" x14ac:dyDescent="0.3">
      <c r="A1230" t="str">
        <f t="shared" si="15"/>
        <v>1</v>
      </c>
      <c r="B1230" t="s">
        <v>358</v>
      </c>
      <c r="C1230">
        <v>73403</v>
      </c>
      <c r="D1230" s="2">
        <v>6</v>
      </c>
      <c r="E1230" s="1">
        <v>43045</v>
      </c>
      <c r="F1230" t="str">
        <f>"201711066187"</f>
        <v>201711066187</v>
      </c>
      <c r="G1230" t="str">
        <f>"Miscell"</f>
        <v>Miscell</v>
      </c>
      <c r="H1230" s="2">
        <v>6</v>
      </c>
      <c r="I1230" t="str">
        <f>"ANDREA MARLENE GEUEA"</f>
        <v>ANDREA MARLENE GEUEA</v>
      </c>
    </row>
    <row r="1231" spans="1:9" x14ac:dyDescent="0.3">
      <c r="A1231" t="str">
        <f t="shared" si="15"/>
        <v>1</v>
      </c>
      <c r="B1231" t="s">
        <v>359</v>
      </c>
      <c r="C1231">
        <v>73404</v>
      </c>
      <c r="D1231" s="2">
        <v>6</v>
      </c>
      <c r="E1231" s="1">
        <v>43045</v>
      </c>
      <c r="F1231" t="str">
        <f>"201711066188"</f>
        <v>201711066188</v>
      </c>
      <c r="G1231" t="str">
        <f>"Miscella"</f>
        <v>Miscella</v>
      </c>
      <c r="H1231" s="2">
        <v>6</v>
      </c>
      <c r="I1231" t="str">
        <f>"CASEY WAYNE PEACOCK"</f>
        <v>CASEY WAYNE PEACOCK</v>
      </c>
    </row>
    <row r="1232" spans="1:9" x14ac:dyDescent="0.3">
      <c r="A1232" t="str">
        <f t="shared" si="15"/>
        <v>1</v>
      </c>
      <c r="B1232" t="s">
        <v>360</v>
      </c>
      <c r="C1232">
        <v>73405</v>
      </c>
      <c r="D1232" s="2">
        <v>6</v>
      </c>
      <c r="E1232" s="1">
        <v>43045</v>
      </c>
      <c r="F1232" t="str">
        <f>"201711066189"</f>
        <v>201711066189</v>
      </c>
      <c r="G1232" t="str">
        <f>"Miscellane"</f>
        <v>Miscellane</v>
      </c>
      <c r="H1232" s="2">
        <v>6</v>
      </c>
      <c r="I1232" t="str">
        <f>"TRINA BETH MILLER"</f>
        <v>TRINA BETH MILLER</v>
      </c>
    </row>
    <row r="1233" spans="1:9" x14ac:dyDescent="0.3">
      <c r="A1233" t="str">
        <f t="shared" si="15"/>
        <v>1</v>
      </c>
      <c r="B1233" t="s">
        <v>361</v>
      </c>
      <c r="C1233">
        <v>73406</v>
      </c>
      <c r="D1233" s="2">
        <v>6</v>
      </c>
      <c r="E1233" s="1">
        <v>43045</v>
      </c>
      <c r="F1233" t="str">
        <f>"201711066190"</f>
        <v>201711066190</v>
      </c>
      <c r="G1233" t="str">
        <f>"Misce"</f>
        <v>Misce</v>
      </c>
      <c r="H1233" s="2">
        <v>6</v>
      </c>
      <c r="I1233" t="str">
        <f>"MATTHEW STEELE ROBERTS"</f>
        <v>MATTHEW STEELE ROBERTS</v>
      </c>
    </row>
    <row r="1234" spans="1:9" x14ac:dyDescent="0.3">
      <c r="A1234" t="str">
        <f t="shared" si="15"/>
        <v>1</v>
      </c>
      <c r="B1234" t="s">
        <v>362</v>
      </c>
      <c r="C1234">
        <v>73407</v>
      </c>
      <c r="D1234" s="2">
        <v>6</v>
      </c>
      <c r="E1234" s="1">
        <v>43045</v>
      </c>
      <c r="F1234" t="str">
        <f>"201711066191"</f>
        <v>201711066191</v>
      </c>
      <c r="G1234" t="str">
        <f>"Miscellaneo"</f>
        <v>Miscellaneo</v>
      </c>
      <c r="H1234" s="2">
        <v>6</v>
      </c>
      <c r="I1234" t="str">
        <f>"PERCY RUSSELL JR"</f>
        <v>PERCY RUSSELL JR</v>
      </c>
    </row>
    <row r="1235" spans="1:9" x14ac:dyDescent="0.3">
      <c r="A1235" t="str">
        <f t="shared" si="15"/>
        <v>1</v>
      </c>
      <c r="B1235" t="s">
        <v>363</v>
      </c>
      <c r="C1235">
        <v>73408</v>
      </c>
      <c r="D1235" s="2">
        <v>6</v>
      </c>
      <c r="E1235" s="1">
        <v>43045</v>
      </c>
      <c r="F1235" t="str">
        <f>"201711066192"</f>
        <v>201711066192</v>
      </c>
      <c r="G1235" t="str">
        <f>"Miscella"</f>
        <v>Miscella</v>
      </c>
      <c r="H1235" s="2">
        <v>6</v>
      </c>
      <c r="I1235" t="str">
        <f>"EDWARD ALLEN TAYLOR"</f>
        <v>EDWARD ALLEN TAYLOR</v>
      </c>
    </row>
    <row r="1236" spans="1:9" x14ac:dyDescent="0.3">
      <c r="A1236" t="str">
        <f t="shared" si="15"/>
        <v>1</v>
      </c>
      <c r="B1236" t="s">
        <v>364</v>
      </c>
      <c r="C1236">
        <v>73409</v>
      </c>
      <c r="D1236" s="2">
        <v>6</v>
      </c>
      <c r="E1236" s="1">
        <v>43045</v>
      </c>
      <c r="F1236" t="str">
        <f>"201711066193"</f>
        <v>201711066193</v>
      </c>
      <c r="G1236" t="str">
        <f>"Miscella"</f>
        <v>Miscella</v>
      </c>
      <c r="H1236" s="2">
        <v>6</v>
      </c>
      <c r="I1236" t="str">
        <f>"JIMMY ALLEN EVERETT"</f>
        <v>JIMMY ALLEN EVERETT</v>
      </c>
    </row>
    <row r="1237" spans="1:9" x14ac:dyDescent="0.3">
      <c r="A1237" t="str">
        <f t="shared" si="15"/>
        <v>1</v>
      </c>
      <c r="B1237" t="s">
        <v>365</v>
      </c>
      <c r="C1237">
        <v>73410</v>
      </c>
      <c r="D1237" s="2">
        <v>6</v>
      </c>
      <c r="E1237" s="1">
        <v>43045</v>
      </c>
      <c r="F1237" t="str">
        <f>"201711066194"</f>
        <v>201711066194</v>
      </c>
      <c r="G1237" t="str">
        <f>"Miscella"</f>
        <v>Miscella</v>
      </c>
      <c r="H1237" s="2">
        <v>6</v>
      </c>
      <c r="I1237" t="str">
        <f>"DAVID LEE MONCEBAIZ"</f>
        <v>DAVID LEE MONCEBAIZ</v>
      </c>
    </row>
    <row r="1238" spans="1:9" x14ac:dyDescent="0.3">
      <c r="A1238" t="str">
        <f t="shared" si="15"/>
        <v>1</v>
      </c>
      <c r="B1238" t="s">
        <v>366</v>
      </c>
      <c r="C1238">
        <v>73411</v>
      </c>
      <c r="D1238" s="2">
        <v>6</v>
      </c>
      <c r="E1238" s="1">
        <v>43045</v>
      </c>
      <c r="F1238" t="str">
        <f>"201711066195"</f>
        <v>201711066195</v>
      </c>
      <c r="G1238" t="str">
        <f>"Miscellan"</f>
        <v>Miscellan</v>
      </c>
      <c r="H1238" s="2">
        <v>6</v>
      </c>
      <c r="I1238" t="str">
        <f>"HOLLY NOEL RAEMSCH"</f>
        <v>HOLLY NOEL RAEMSCH</v>
      </c>
    </row>
    <row r="1239" spans="1:9" x14ac:dyDescent="0.3">
      <c r="A1239" t="str">
        <f t="shared" si="15"/>
        <v>1</v>
      </c>
      <c r="B1239" t="s">
        <v>367</v>
      </c>
      <c r="C1239">
        <v>73412</v>
      </c>
      <c r="D1239" s="2">
        <v>6</v>
      </c>
      <c r="E1239" s="1">
        <v>43045</v>
      </c>
      <c r="F1239" t="str">
        <f>"201711066196"</f>
        <v>201711066196</v>
      </c>
      <c r="G1239" t="str">
        <f>"Misce"</f>
        <v>Misce</v>
      </c>
      <c r="H1239" s="2">
        <v>6</v>
      </c>
      <c r="I1239" t="str">
        <f>"STEPHANIE BEGA MCCARTY"</f>
        <v>STEPHANIE BEGA MCCARTY</v>
      </c>
    </row>
    <row r="1240" spans="1:9" x14ac:dyDescent="0.3">
      <c r="A1240" t="str">
        <f t="shared" si="15"/>
        <v>1</v>
      </c>
      <c r="B1240" t="s">
        <v>368</v>
      </c>
      <c r="C1240">
        <v>73413</v>
      </c>
      <c r="D1240" s="2">
        <v>6</v>
      </c>
      <c r="E1240" s="1">
        <v>43045</v>
      </c>
      <c r="F1240" t="str">
        <f>"201711066197"</f>
        <v>201711066197</v>
      </c>
      <c r="G1240" t="str">
        <f>"Miscellane"</f>
        <v>Miscellane</v>
      </c>
      <c r="H1240" s="2">
        <v>6</v>
      </c>
      <c r="I1240" t="str">
        <f>"DARELD RAY MORRIS"</f>
        <v>DARELD RAY MORRIS</v>
      </c>
    </row>
    <row r="1241" spans="1:9" x14ac:dyDescent="0.3">
      <c r="A1241" t="str">
        <f t="shared" si="15"/>
        <v>1</v>
      </c>
      <c r="B1241" t="s">
        <v>369</v>
      </c>
      <c r="C1241">
        <v>73414</v>
      </c>
      <c r="D1241" s="2">
        <v>6</v>
      </c>
      <c r="E1241" s="1">
        <v>43045</v>
      </c>
      <c r="F1241" t="str">
        <f>"201711066198"</f>
        <v>201711066198</v>
      </c>
      <c r="G1241" t="str">
        <f>"Misce"</f>
        <v>Misce</v>
      </c>
      <c r="H1241" s="2">
        <v>6</v>
      </c>
      <c r="I1241" t="str">
        <f>"MICHAEL CHASE MCCRAVEY"</f>
        <v>MICHAEL CHASE MCCRAVEY</v>
      </c>
    </row>
    <row r="1242" spans="1:9" x14ac:dyDescent="0.3">
      <c r="A1242" t="str">
        <f t="shared" si="15"/>
        <v>1</v>
      </c>
      <c r="B1242" t="s">
        <v>370</v>
      </c>
      <c r="C1242">
        <v>73415</v>
      </c>
      <c r="D1242" s="2">
        <v>6</v>
      </c>
      <c r="E1242" s="1">
        <v>43045</v>
      </c>
      <c r="F1242" t="str">
        <f>"201711066199"</f>
        <v>201711066199</v>
      </c>
      <c r="G1242" t="str">
        <f>"Miscellan"</f>
        <v>Miscellan</v>
      </c>
      <c r="H1242" s="2">
        <v>6</v>
      </c>
      <c r="I1242" t="str">
        <f>"ROBERT LEE DANIELS"</f>
        <v>ROBERT LEE DANIELS</v>
      </c>
    </row>
    <row r="1243" spans="1:9" x14ac:dyDescent="0.3">
      <c r="A1243" t="str">
        <f t="shared" si="15"/>
        <v>1</v>
      </c>
      <c r="B1243" t="s">
        <v>371</v>
      </c>
      <c r="C1243">
        <v>73416</v>
      </c>
      <c r="D1243" s="2">
        <v>6</v>
      </c>
      <c r="E1243" s="1">
        <v>43045</v>
      </c>
      <c r="F1243" t="str">
        <f>"201711066200"</f>
        <v>201711066200</v>
      </c>
      <c r="G1243" t="str">
        <f>"Miscellan"</f>
        <v>Miscellan</v>
      </c>
      <c r="H1243" s="2">
        <v>6</v>
      </c>
      <c r="I1243" t="str">
        <f>"CYNTHIA C AMUNDSON"</f>
        <v>CYNTHIA C AMUNDSON</v>
      </c>
    </row>
    <row r="1244" spans="1:9" x14ac:dyDescent="0.3">
      <c r="A1244" t="str">
        <f t="shared" si="15"/>
        <v>1</v>
      </c>
      <c r="B1244" t="s">
        <v>372</v>
      </c>
      <c r="C1244">
        <v>73417</v>
      </c>
      <c r="D1244" s="2">
        <v>6</v>
      </c>
      <c r="E1244" s="1">
        <v>43045</v>
      </c>
      <c r="F1244" t="str">
        <f>"201711066201"</f>
        <v>201711066201</v>
      </c>
      <c r="G1244" t="str">
        <f>"Mis"</f>
        <v>Mis</v>
      </c>
      <c r="H1244" s="2">
        <v>6</v>
      </c>
      <c r="I1244" t="str">
        <f>"BRADLEY CLINTON GILSTRAP"</f>
        <v>BRADLEY CLINTON GILSTRAP</v>
      </c>
    </row>
    <row r="1245" spans="1:9" x14ac:dyDescent="0.3">
      <c r="A1245" t="str">
        <f t="shared" si="15"/>
        <v>1</v>
      </c>
      <c r="B1245" t="s">
        <v>373</v>
      </c>
      <c r="C1245">
        <v>73418</v>
      </c>
      <c r="D1245" s="2">
        <v>6</v>
      </c>
      <c r="E1245" s="1">
        <v>43045</v>
      </c>
      <c r="F1245" t="str">
        <f>"201711066202"</f>
        <v>201711066202</v>
      </c>
      <c r="G1245" t="str">
        <f>"Miscellaneous"</f>
        <v>Miscellaneous</v>
      </c>
      <c r="H1245" s="2">
        <v>6</v>
      </c>
      <c r="I1245" t="str">
        <f>"ALLEN RAY BUIE"</f>
        <v>ALLEN RAY BUIE</v>
      </c>
    </row>
    <row r="1246" spans="1:9" x14ac:dyDescent="0.3">
      <c r="A1246" t="str">
        <f t="shared" si="15"/>
        <v>1</v>
      </c>
      <c r="B1246" t="s">
        <v>374</v>
      </c>
      <c r="C1246">
        <v>73419</v>
      </c>
      <c r="D1246" s="2">
        <v>6</v>
      </c>
      <c r="E1246" s="1">
        <v>43045</v>
      </c>
      <c r="F1246" t="str">
        <f>"201711066203"</f>
        <v>201711066203</v>
      </c>
      <c r="G1246" t="str">
        <f>"Miscel"</f>
        <v>Miscel</v>
      </c>
      <c r="H1246" s="2">
        <v>6</v>
      </c>
      <c r="I1246" t="str">
        <f>"ANNE ELIZABETH STROHM"</f>
        <v>ANNE ELIZABETH STROHM</v>
      </c>
    </row>
    <row r="1247" spans="1:9" x14ac:dyDescent="0.3">
      <c r="A1247" t="str">
        <f t="shared" si="15"/>
        <v>1</v>
      </c>
      <c r="B1247" t="s">
        <v>375</v>
      </c>
      <c r="C1247">
        <v>73420</v>
      </c>
      <c r="D1247" s="2">
        <v>6</v>
      </c>
      <c r="E1247" s="1">
        <v>43045</v>
      </c>
      <c r="F1247" t="str">
        <f>"201711066204"</f>
        <v>201711066204</v>
      </c>
      <c r="G1247" t="str">
        <f>"Mis"</f>
        <v>Mis</v>
      </c>
      <c r="H1247" s="2">
        <v>6</v>
      </c>
      <c r="I1247" t="str">
        <f>"EMILY AARON ANDERS-CLARK"</f>
        <v>EMILY AARON ANDERS-CLARK</v>
      </c>
    </row>
    <row r="1248" spans="1:9" x14ac:dyDescent="0.3">
      <c r="A1248" t="str">
        <f t="shared" si="15"/>
        <v>1</v>
      </c>
      <c r="B1248" t="s">
        <v>376</v>
      </c>
      <c r="C1248">
        <v>73421</v>
      </c>
      <c r="D1248" s="2">
        <v>6</v>
      </c>
      <c r="E1248" s="1">
        <v>43045</v>
      </c>
      <c r="F1248" t="str">
        <f>"201711066205"</f>
        <v>201711066205</v>
      </c>
      <c r="G1248" t="str">
        <f>"Misce"</f>
        <v>Misce</v>
      </c>
      <c r="H1248" s="2">
        <v>6</v>
      </c>
      <c r="I1248" t="str">
        <f>"VERONICA RIVERA HAYNES"</f>
        <v>VERONICA RIVERA HAYNES</v>
      </c>
    </row>
    <row r="1249" spans="1:9" x14ac:dyDescent="0.3">
      <c r="A1249" t="str">
        <f t="shared" si="15"/>
        <v>1</v>
      </c>
      <c r="B1249" t="s">
        <v>377</v>
      </c>
      <c r="C1249">
        <v>73422</v>
      </c>
      <c r="D1249" s="2">
        <v>6</v>
      </c>
      <c r="E1249" s="1">
        <v>43045</v>
      </c>
      <c r="F1249" t="str">
        <f>"201711066206"</f>
        <v>201711066206</v>
      </c>
      <c r="G1249" t="str">
        <f>"Miscellaneo"</f>
        <v>Miscellaneo</v>
      </c>
      <c r="H1249" s="2">
        <v>6</v>
      </c>
      <c r="I1249" t="str">
        <f>"TONYA MARIE LOTT"</f>
        <v>TONYA MARIE LOTT</v>
      </c>
    </row>
    <row r="1250" spans="1:9" x14ac:dyDescent="0.3">
      <c r="A1250" t="str">
        <f t="shared" si="15"/>
        <v>1</v>
      </c>
      <c r="B1250" t="s">
        <v>378</v>
      </c>
      <c r="C1250">
        <v>73423</v>
      </c>
      <c r="D1250" s="2">
        <v>6</v>
      </c>
      <c r="E1250" s="1">
        <v>43045</v>
      </c>
      <c r="F1250" t="str">
        <f>"201711066207"</f>
        <v>201711066207</v>
      </c>
      <c r="G1250" t="str">
        <f>"Miscellaneo"</f>
        <v>Miscellaneo</v>
      </c>
      <c r="H1250" s="2">
        <v>6</v>
      </c>
      <c r="I1250" t="str">
        <f>"MARIBEL ESPINOZA"</f>
        <v>MARIBEL ESPINOZA</v>
      </c>
    </row>
    <row r="1251" spans="1:9" x14ac:dyDescent="0.3">
      <c r="A1251" t="str">
        <f t="shared" si="15"/>
        <v>1</v>
      </c>
      <c r="B1251" t="s">
        <v>379</v>
      </c>
      <c r="C1251">
        <v>73424</v>
      </c>
      <c r="D1251" s="2">
        <v>6</v>
      </c>
      <c r="E1251" s="1">
        <v>43045</v>
      </c>
      <c r="F1251" t="str">
        <f>"201711066208"</f>
        <v>201711066208</v>
      </c>
      <c r="G1251" t="str">
        <f>"Miscel"</f>
        <v>Miscel</v>
      </c>
      <c r="H1251" s="2">
        <v>6</v>
      </c>
      <c r="I1251" t="str">
        <f>"MAUREEN LABORDE LIGHT"</f>
        <v>MAUREEN LABORDE LIGHT</v>
      </c>
    </row>
    <row r="1252" spans="1:9" x14ac:dyDescent="0.3">
      <c r="A1252" t="str">
        <f t="shared" si="15"/>
        <v>1</v>
      </c>
      <c r="B1252" t="s">
        <v>380</v>
      </c>
      <c r="C1252">
        <v>73425</v>
      </c>
      <c r="D1252" s="2">
        <v>6</v>
      </c>
      <c r="E1252" s="1">
        <v>43045</v>
      </c>
      <c r="F1252" t="str">
        <f>"201711066209"</f>
        <v>201711066209</v>
      </c>
      <c r="G1252" t="str">
        <f>"Miscellaneou"</f>
        <v>Miscellaneou</v>
      </c>
      <c r="H1252" s="2">
        <v>6</v>
      </c>
      <c r="I1252" t="str">
        <f>"SUZANNE H MOHME"</f>
        <v>SUZANNE H MOHME</v>
      </c>
    </row>
    <row r="1253" spans="1:9" x14ac:dyDescent="0.3">
      <c r="A1253" t="str">
        <f t="shared" si="15"/>
        <v>1</v>
      </c>
      <c r="B1253" t="s">
        <v>381</v>
      </c>
      <c r="C1253">
        <v>73426</v>
      </c>
      <c r="D1253" s="2">
        <v>6</v>
      </c>
      <c r="E1253" s="1">
        <v>43045</v>
      </c>
      <c r="F1253" t="str">
        <f>"201711066210"</f>
        <v>201711066210</v>
      </c>
      <c r="G1253" t="str">
        <f>"Misc"</f>
        <v>Misc</v>
      </c>
      <c r="H1253" s="2">
        <v>6</v>
      </c>
      <c r="I1253" t="str">
        <f>"ROSEMARY BOEHM LIGHTSEY"</f>
        <v>ROSEMARY BOEHM LIGHTSEY</v>
      </c>
    </row>
    <row r="1254" spans="1:9" x14ac:dyDescent="0.3">
      <c r="A1254" t="str">
        <f t="shared" si="15"/>
        <v>1</v>
      </c>
      <c r="B1254" t="s">
        <v>382</v>
      </c>
      <c r="C1254">
        <v>73427</v>
      </c>
      <c r="D1254" s="2">
        <v>6</v>
      </c>
      <c r="E1254" s="1">
        <v>43045</v>
      </c>
      <c r="F1254" t="str">
        <f>"201711066211"</f>
        <v>201711066211</v>
      </c>
      <c r="G1254" t="str">
        <f>"Mis"</f>
        <v>Mis</v>
      </c>
      <c r="H1254" s="2">
        <v>6</v>
      </c>
      <c r="I1254" t="str">
        <f>"JEFF CHRISTOPHER CARLSON"</f>
        <v>JEFF CHRISTOPHER CARLSON</v>
      </c>
    </row>
    <row r="1255" spans="1:9" x14ac:dyDescent="0.3">
      <c r="A1255" t="str">
        <f t="shared" si="15"/>
        <v>1</v>
      </c>
      <c r="B1255" t="s">
        <v>383</v>
      </c>
      <c r="C1255">
        <v>73428</v>
      </c>
      <c r="D1255" s="2">
        <v>6</v>
      </c>
      <c r="E1255" s="1">
        <v>43045</v>
      </c>
      <c r="F1255" t="str">
        <f>"201711066212"</f>
        <v>201711066212</v>
      </c>
      <c r="G1255" t="str">
        <f>"Miscellaneous"</f>
        <v>Miscellaneous</v>
      </c>
      <c r="H1255" s="2">
        <v>6</v>
      </c>
      <c r="I1255" t="str">
        <f>"LISA ANN GLATT"</f>
        <v>LISA ANN GLATT</v>
      </c>
    </row>
    <row r="1256" spans="1:9" x14ac:dyDescent="0.3">
      <c r="A1256" t="str">
        <f t="shared" ref="A1256:A1287" si="16">"1"</f>
        <v>1</v>
      </c>
      <c r="B1256" t="s">
        <v>384</v>
      </c>
      <c r="C1256">
        <v>73429</v>
      </c>
      <c r="D1256" s="2">
        <v>6</v>
      </c>
      <c r="E1256" s="1">
        <v>43045</v>
      </c>
      <c r="F1256" t="str">
        <f>"201711066213"</f>
        <v>201711066213</v>
      </c>
      <c r="G1256" t="str">
        <f>"Miscell"</f>
        <v>Miscell</v>
      </c>
      <c r="H1256" s="2">
        <v>6</v>
      </c>
      <c r="I1256" t="str">
        <f>"STEPHEN RAY TWIDWELL"</f>
        <v>STEPHEN RAY TWIDWELL</v>
      </c>
    </row>
    <row r="1257" spans="1:9" x14ac:dyDescent="0.3">
      <c r="A1257" t="str">
        <f t="shared" si="16"/>
        <v>1</v>
      </c>
      <c r="B1257" t="s">
        <v>385</v>
      </c>
      <c r="C1257">
        <v>73430</v>
      </c>
      <c r="D1257" s="2">
        <v>6</v>
      </c>
      <c r="E1257" s="1">
        <v>43045</v>
      </c>
      <c r="F1257" t="str">
        <f>"201711066214"</f>
        <v>201711066214</v>
      </c>
      <c r="G1257" t="str">
        <f>"Miscel"</f>
        <v>Miscel</v>
      </c>
      <c r="H1257" s="2">
        <v>6</v>
      </c>
      <c r="I1257" t="str">
        <f>"WILLIAM ADAM LAIRD II"</f>
        <v>WILLIAM ADAM LAIRD II</v>
      </c>
    </row>
    <row r="1258" spans="1:9" x14ac:dyDescent="0.3">
      <c r="A1258" t="str">
        <f t="shared" si="16"/>
        <v>1</v>
      </c>
      <c r="B1258" t="s">
        <v>386</v>
      </c>
      <c r="C1258">
        <v>73431</v>
      </c>
      <c r="D1258" s="2">
        <v>6</v>
      </c>
      <c r="E1258" s="1">
        <v>43045</v>
      </c>
      <c r="F1258" t="str">
        <f>"201711066215"</f>
        <v>201711066215</v>
      </c>
      <c r="G1258" t="str">
        <f>"Miscella"</f>
        <v>Miscella</v>
      </c>
      <c r="H1258" s="2">
        <v>6</v>
      </c>
      <c r="I1258" t="str">
        <f>"SYLVIA JEAN BENFORD"</f>
        <v>SYLVIA JEAN BENFORD</v>
      </c>
    </row>
    <row r="1259" spans="1:9" x14ac:dyDescent="0.3">
      <c r="A1259" t="str">
        <f t="shared" si="16"/>
        <v>1</v>
      </c>
      <c r="B1259" t="s">
        <v>387</v>
      </c>
      <c r="C1259">
        <v>73432</v>
      </c>
      <c r="D1259" s="2">
        <v>6</v>
      </c>
      <c r="E1259" s="1">
        <v>43045</v>
      </c>
      <c r="F1259" t="str">
        <f>"201711066216"</f>
        <v>201711066216</v>
      </c>
      <c r="G1259" t="str">
        <f>"Miscella"</f>
        <v>Miscella</v>
      </c>
      <c r="H1259" s="2">
        <v>6</v>
      </c>
      <c r="I1259" t="str">
        <f>"DEBORAH SUSAN JONES"</f>
        <v>DEBORAH SUSAN JONES</v>
      </c>
    </row>
    <row r="1260" spans="1:9" x14ac:dyDescent="0.3">
      <c r="A1260" t="str">
        <f t="shared" si="16"/>
        <v>1</v>
      </c>
      <c r="B1260" t="s">
        <v>388</v>
      </c>
      <c r="C1260">
        <v>73433</v>
      </c>
      <c r="D1260" s="2">
        <v>6</v>
      </c>
      <c r="E1260" s="1">
        <v>43045</v>
      </c>
      <c r="F1260" t="str">
        <f>"201711066217"</f>
        <v>201711066217</v>
      </c>
      <c r="G1260" t="str">
        <f>"Misc"</f>
        <v>Misc</v>
      </c>
      <c r="H1260" s="2">
        <v>6</v>
      </c>
      <c r="I1260" t="str">
        <f>"ROBERT FOSTER FAIRES JR"</f>
        <v>ROBERT FOSTER FAIRES JR</v>
      </c>
    </row>
    <row r="1261" spans="1:9" x14ac:dyDescent="0.3">
      <c r="A1261" t="str">
        <f t="shared" si="16"/>
        <v>1</v>
      </c>
      <c r="B1261" t="s">
        <v>389</v>
      </c>
      <c r="C1261">
        <v>73434</v>
      </c>
      <c r="D1261" s="2">
        <v>126</v>
      </c>
      <c r="E1261" s="1">
        <v>43045</v>
      </c>
      <c r="F1261" t="str">
        <f>"201711066218"</f>
        <v>201711066218</v>
      </c>
      <c r="G1261" t="str">
        <f>"Misc"</f>
        <v>Misc</v>
      </c>
      <c r="H1261" s="2">
        <v>126</v>
      </c>
      <c r="I1261" t="str">
        <f>"DENISE ROCHELLE HAYWOOD"</f>
        <v>DENISE ROCHELLE HAYWOOD</v>
      </c>
    </row>
    <row r="1262" spans="1:9" x14ac:dyDescent="0.3">
      <c r="A1262" t="str">
        <f t="shared" si="16"/>
        <v>1</v>
      </c>
      <c r="B1262" t="s">
        <v>390</v>
      </c>
      <c r="C1262">
        <v>73435</v>
      </c>
      <c r="D1262" s="2">
        <v>6</v>
      </c>
      <c r="E1262" s="1">
        <v>43045</v>
      </c>
      <c r="F1262" t="str">
        <f>"201711066219"</f>
        <v>201711066219</v>
      </c>
      <c r="G1262" t="str">
        <f>"Miscellaneous"</f>
        <v>Miscellaneous</v>
      </c>
      <c r="H1262" s="2">
        <v>6</v>
      </c>
      <c r="I1262" t="str">
        <f>"DAVID LEE REDD"</f>
        <v>DAVID LEE REDD</v>
      </c>
    </row>
    <row r="1263" spans="1:9" x14ac:dyDescent="0.3">
      <c r="A1263" t="str">
        <f t="shared" si="16"/>
        <v>1</v>
      </c>
      <c r="B1263" t="s">
        <v>391</v>
      </c>
      <c r="C1263">
        <v>73436</v>
      </c>
      <c r="D1263" s="2">
        <v>6</v>
      </c>
      <c r="E1263" s="1">
        <v>43045</v>
      </c>
      <c r="F1263" t="str">
        <f>"201711066220"</f>
        <v>201711066220</v>
      </c>
      <c r="G1263" t="str">
        <f>"Miscellane"</f>
        <v>Miscellane</v>
      </c>
      <c r="H1263" s="2">
        <v>6</v>
      </c>
      <c r="I1263" t="str">
        <f>"TODD ALAN MESSINA"</f>
        <v>TODD ALAN MESSINA</v>
      </c>
    </row>
    <row r="1264" spans="1:9" x14ac:dyDescent="0.3">
      <c r="A1264" t="str">
        <f t="shared" si="16"/>
        <v>1</v>
      </c>
      <c r="B1264" t="s">
        <v>392</v>
      </c>
      <c r="C1264">
        <v>73437</v>
      </c>
      <c r="D1264" s="2">
        <v>6</v>
      </c>
      <c r="E1264" s="1">
        <v>43045</v>
      </c>
      <c r="F1264" t="str">
        <f>"201711066221"</f>
        <v>201711066221</v>
      </c>
      <c r="G1264" t="str">
        <f>"Miscella"</f>
        <v>Miscella</v>
      </c>
      <c r="H1264" s="2">
        <v>6</v>
      </c>
      <c r="I1264" t="str">
        <f>"MERLIN JANET RIVERA"</f>
        <v>MERLIN JANET RIVERA</v>
      </c>
    </row>
    <row r="1265" spans="1:9" x14ac:dyDescent="0.3">
      <c r="A1265" t="str">
        <f t="shared" si="16"/>
        <v>1</v>
      </c>
      <c r="B1265" t="s">
        <v>393</v>
      </c>
      <c r="C1265">
        <v>73438</v>
      </c>
      <c r="D1265" s="2">
        <v>126</v>
      </c>
      <c r="E1265" s="1">
        <v>43045</v>
      </c>
      <c r="F1265" t="str">
        <f>"201711066222"</f>
        <v>201711066222</v>
      </c>
      <c r="G1265" t="str">
        <f>"Mi"</f>
        <v>Mi</v>
      </c>
      <c r="H1265" s="2">
        <v>126</v>
      </c>
      <c r="I1265" t="str">
        <f>"KAITLYN THERESAMARIE PARK"</f>
        <v>KAITLYN THERESAMARIE PARK</v>
      </c>
    </row>
    <row r="1266" spans="1:9" x14ac:dyDescent="0.3">
      <c r="A1266" t="str">
        <f t="shared" si="16"/>
        <v>1</v>
      </c>
      <c r="B1266" t="s">
        <v>394</v>
      </c>
      <c r="C1266">
        <v>73439</v>
      </c>
      <c r="D1266" s="2">
        <v>126</v>
      </c>
      <c r="E1266" s="1">
        <v>43045</v>
      </c>
      <c r="F1266" t="str">
        <f>"201711066223"</f>
        <v>201711066223</v>
      </c>
      <c r="G1266" t="str">
        <f>"Miscellaneous"</f>
        <v>Miscellaneous</v>
      </c>
      <c r="H1266" s="2">
        <v>126</v>
      </c>
      <c r="I1266" t="str">
        <f>"BETTY JONES"</f>
        <v>BETTY JONES</v>
      </c>
    </row>
    <row r="1267" spans="1:9" x14ac:dyDescent="0.3">
      <c r="A1267" t="str">
        <f t="shared" si="16"/>
        <v>1</v>
      </c>
      <c r="B1267" t="s">
        <v>395</v>
      </c>
      <c r="C1267">
        <v>73440</v>
      </c>
      <c r="D1267" s="2">
        <v>6</v>
      </c>
      <c r="E1267" s="1">
        <v>43045</v>
      </c>
      <c r="F1267" t="str">
        <f>"201711066224"</f>
        <v>201711066224</v>
      </c>
      <c r="G1267" t="str">
        <f>"Mis"</f>
        <v>Mis</v>
      </c>
      <c r="H1267" s="2">
        <v>6</v>
      </c>
      <c r="I1267" t="str">
        <f>"ROBERT JOSEPH JOHNSON JR"</f>
        <v>ROBERT JOSEPH JOHNSON JR</v>
      </c>
    </row>
    <row r="1268" spans="1:9" x14ac:dyDescent="0.3">
      <c r="A1268" t="str">
        <f t="shared" si="16"/>
        <v>1</v>
      </c>
      <c r="B1268" t="s">
        <v>396</v>
      </c>
      <c r="C1268">
        <v>73441</v>
      </c>
      <c r="D1268" s="2">
        <v>126</v>
      </c>
      <c r="E1268" s="1">
        <v>43045</v>
      </c>
      <c r="F1268" t="str">
        <f>"201711066225"</f>
        <v>201711066225</v>
      </c>
      <c r="G1268" t="str">
        <f>"Miscellan"</f>
        <v>Miscellan</v>
      </c>
      <c r="H1268" s="2">
        <v>126</v>
      </c>
      <c r="I1268" t="str">
        <f>"CINDY DENICE NOLES"</f>
        <v>CINDY DENICE NOLES</v>
      </c>
    </row>
    <row r="1269" spans="1:9" x14ac:dyDescent="0.3">
      <c r="A1269" t="str">
        <f t="shared" si="16"/>
        <v>1</v>
      </c>
      <c r="B1269" t="s">
        <v>397</v>
      </c>
      <c r="C1269">
        <v>73442</v>
      </c>
      <c r="D1269" s="2">
        <v>6</v>
      </c>
      <c r="E1269" s="1">
        <v>43045</v>
      </c>
      <c r="F1269" t="str">
        <f>"201711066226"</f>
        <v>201711066226</v>
      </c>
      <c r="G1269" t="str">
        <f>"Miscellaneo"</f>
        <v>Miscellaneo</v>
      </c>
      <c r="H1269" s="2">
        <v>6</v>
      </c>
      <c r="I1269" t="str">
        <f>"WOODIE RAY DEARY"</f>
        <v>WOODIE RAY DEARY</v>
      </c>
    </row>
    <row r="1270" spans="1:9" x14ac:dyDescent="0.3">
      <c r="A1270" t="str">
        <f t="shared" si="16"/>
        <v>1</v>
      </c>
      <c r="B1270" t="s">
        <v>398</v>
      </c>
      <c r="C1270">
        <v>73443</v>
      </c>
      <c r="D1270" s="2">
        <v>126</v>
      </c>
      <c r="E1270" s="1">
        <v>43045</v>
      </c>
      <c r="F1270" t="str">
        <f>"201711066227"</f>
        <v>201711066227</v>
      </c>
      <c r="G1270" t="str">
        <f>"Miscel"</f>
        <v>Miscel</v>
      </c>
      <c r="H1270" s="2">
        <v>126</v>
      </c>
      <c r="I1270" t="str">
        <f>"ERICA KAYLEEN MASTERS"</f>
        <v>ERICA KAYLEEN MASTERS</v>
      </c>
    </row>
    <row r="1271" spans="1:9" x14ac:dyDescent="0.3">
      <c r="A1271" t="str">
        <f t="shared" si="16"/>
        <v>1</v>
      </c>
      <c r="B1271" t="s">
        <v>399</v>
      </c>
      <c r="C1271">
        <v>73444</v>
      </c>
      <c r="D1271" s="2">
        <v>6</v>
      </c>
      <c r="E1271" s="1">
        <v>43045</v>
      </c>
      <c r="F1271" t="str">
        <f>"201711066228"</f>
        <v>201711066228</v>
      </c>
      <c r="G1271" t="str">
        <f>"Miscel"</f>
        <v>Miscel</v>
      </c>
      <c r="H1271" s="2">
        <v>6</v>
      </c>
      <c r="I1271" t="str">
        <f>"GWEN HOPKINS MONINGER"</f>
        <v>GWEN HOPKINS MONINGER</v>
      </c>
    </row>
    <row r="1272" spans="1:9" x14ac:dyDescent="0.3">
      <c r="A1272" t="str">
        <f t="shared" si="16"/>
        <v>1</v>
      </c>
      <c r="B1272" t="s">
        <v>400</v>
      </c>
      <c r="C1272">
        <v>73445</v>
      </c>
      <c r="D1272" s="2">
        <v>126</v>
      </c>
      <c r="E1272" s="1">
        <v>43045</v>
      </c>
      <c r="F1272" t="str">
        <f>"201711066229"</f>
        <v>201711066229</v>
      </c>
      <c r="G1272" t="str">
        <f>"Miscella"</f>
        <v>Miscella</v>
      </c>
      <c r="H1272" s="2">
        <v>126</v>
      </c>
      <c r="I1272" t="str">
        <f>"COLEMAN BUIE FAIRES"</f>
        <v>COLEMAN BUIE FAIRES</v>
      </c>
    </row>
    <row r="1273" spans="1:9" x14ac:dyDescent="0.3">
      <c r="A1273" t="str">
        <f t="shared" si="16"/>
        <v>1</v>
      </c>
      <c r="B1273" t="s">
        <v>401</v>
      </c>
      <c r="C1273">
        <v>73446</v>
      </c>
      <c r="D1273" s="2">
        <v>6</v>
      </c>
      <c r="E1273" s="1">
        <v>43045</v>
      </c>
      <c r="F1273" t="str">
        <f>"201711066230"</f>
        <v>201711066230</v>
      </c>
      <c r="G1273" t="str">
        <f>"Miscel"</f>
        <v>Miscel</v>
      </c>
      <c r="H1273" s="2">
        <v>6</v>
      </c>
      <c r="I1273" t="str">
        <f>"GABRIEL TOVAR NAVEJAS"</f>
        <v>GABRIEL TOVAR NAVEJAS</v>
      </c>
    </row>
    <row r="1274" spans="1:9" x14ac:dyDescent="0.3">
      <c r="A1274" t="str">
        <f t="shared" si="16"/>
        <v>1</v>
      </c>
      <c r="B1274" t="s">
        <v>402</v>
      </c>
      <c r="C1274">
        <v>73447</v>
      </c>
      <c r="D1274" s="2">
        <v>6</v>
      </c>
      <c r="E1274" s="1">
        <v>43045</v>
      </c>
      <c r="F1274" t="str">
        <f>"201711066231"</f>
        <v>201711066231</v>
      </c>
      <c r="G1274" t="str">
        <f>"Miscellaneo"</f>
        <v>Miscellaneo</v>
      </c>
      <c r="H1274" s="2">
        <v>6</v>
      </c>
      <c r="I1274" t="str">
        <f>"WANDA RENEE CODY"</f>
        <v>WANDA RENEE CODY</v>
      </c>
    </row>
    <row r="1275" spans="1:9" x14ac:dyDescent="0.3">
      <c r="A1275" t="str">
        <f t="shared" si="16"/>
        <v>1</v>
      </c>
      <c r="B1275" t="s">
        <v>403</v>
      </c>
      <c r="C1275">
        <v>73448</v>
      </c>
      <c r="D1275" s="2">
        <v>6</v>
      </c>
      <c r="E1275" s="1">
        <v>43045</v>
      </c>
      <c r="F1275" t="str">
        <f>"201711066232"</f>
        <v>201711066232</v>
      </c>
      <c r="G1275" t="str">
        <f>"Miscel"</f>
        <v>Miscel</v>
      </c>
      <c r="H1275" s="2">
        <v>6</v>
      </c>
      <c r="I1275" t="str">
        <f>"MIGUELANGEL HERNANDEZ"</f>
        <v>MIGUELANGEL HERNANDEZ</v>
      </c>
    </row>
    <row r="1276" spans="1:9" x14ac:dyDescent="0.3">
      <c r="A1276" t="str">
        <f t="shared" si="16"/>
        <v>1</v>
      </c>
      <c r="B1276" t="s">
        <v>404</v>
      </c>
      <c r="C1276">
        <v>73449</v>
      </c>
      <c r="D1276" s="2">
        <v>6</v>
      </c>
      <c r="E1276" s="1">
        <v>43045</v>
      </c>
      <c r="F1276" t="str">
        <f>"201711066233"</f>
        <v>201711066233</v>
      </c>
      <c r="G1276" t="str">
        <f>"Miscel"</f>
        <v>Miscel</v>
      </c>
      <c r="H1276" s="2">
        <v>6</v>
      </c>
      <c r="I1276" t="str">
        <f>"BRANDON HEATH WILHELM"</f>
        <v>BRANDON HEATH WILHELM</v>
      </c>
    </row>
    <row r="1277" spans="1:9" x14ac:dyDescent="0.3">
      <c r="A1277" t="str">
        <f t="shared" si="16"/>
        <v>1</v>
      </c>
      <c r="B1277" t="s">
        <v>405</v>
      </c>
      <c r="C1277">
        <v>73450</v>
      </c>
      <c r="D1277" s="2">
        <v>6</v>
      </c>
      <c r="E1277" s="1">
        <v>43045</v>
      </c>
      <c r="F1277" t="str">
        <f>"201711066234"</f>
        <v>201711066234</v>
      </c>
      <c r="G1277" t="str">
        <f>"Miscellaneo"</f>
        <v>Miscellaneo</v>
      </c>
      <c r="H1277" s="2">
        <v>6</v>
      </c>
      <c r="I1277" t="str">
        <f>"PAULA JO PIDCOCK"</f>
        <v>PAULA JO PIDCOCK</v>
      </c>
    </row>
    <row r="1278" spans="1:9" x14ac:dyDescent="0.3">
      <c r="A1278" t="str">
        <f t="shared" si="16"/>
        <v>1</v>
      </c>
      <c r="B1278" t="s">
        <v>406</v>
      </c>
      <c r="C1278">
        <v>73451</v>
      </c>
      <c r="D1278" s="2">
        <v>6</v>
      </c>
      <c r="E1278" s="1">
        <v>43045</v>
      </c>
      <c r="F1278" t="str">
        <f>"201711066235"</f>
        <v>201711066235</v>
      </c>
      <c r="G1278" t="str">
        <f>"Miscella"</f>
        <v>Miscella</v>
      </c>
      <c r="H1278" s="2">
        <v>6</v>
      </c>
      <c r="I1278" t="str">
        <f>"RHANDA LYNNE RIDLON"</f>
        <v>RHANDA LYNNE RIDLON</v>
      </c>
    </row>
    <row r="1279" spans="1:9" x14ac:dyDescent="0.3">
      <c r="A1279" t="str">
        <f t="shared" si="16"/>
        <v>1</v>
      </c>
      <c r="B1279" t="s">
        <v>407</v>
      </c>
      <c r="C1279">
        <v>73452</v>
      </c>
      <c r="D1279" s="2">
        <v>6</v>
      </c>
      <c r="E1279" s="1">
        <v>43045</v>
      </c>
      <c r="F1279" t="str">
        <f>"201711066236"</f>
        <v>201711066236</v>
      </c>
      <c r="G1279" t="str">
        <f>"Misc"</f>
        <v>Misc</v>
      </c>
      <c r="H1279" s="2">
        <v>6</v>
      </c>
      <c r="I1279" t="str">
        <f>"JIMMY NELSON PEARSON JR"</f>
        <v>JIMMY NELSON PEARSON JR</v>
      </c>
    </row>
    <row r="1280" spans="1:9" x14ac:dyDescent="0.3">
      <c r="A1280" t="str">
        <f t="shared" si="16"/>
        <v>1</v>
      </c>
      <c r="B1280" t="s">
        <v>408</v>
      </c>
      <c r="C1280">
        <v>73453</v>
      </c>
      <c r="D1280" s="2">
        <v>6</v>
      </c>
      <c r="E1280" s="1">
        <v>43045</v>
      </c>
      <c r="F1280" t="str">
        <f>"201711066237"</f>
        <v>201711066237</v>
      </c>
      <c r="G1280" t="str">
        <f>"Misc"</f>
        <v>Misc</v>
      </c>
      <c r="H1280" s="2">
        <v>6</v>
      </c>
      <c r="I1280" t="str">
        <f>"MICHAEL JOSEPH LUNDGREN"</f>
        <v>MICHAEL JOSEPH LUNDGREN</v>
      </c>
    </row>
    <row r="1281" spans="1:9" x14ac:dyDescent="0.3">
      <c r="A1281" t="str">
        <f t="shared" si="16"/>
        <v>1</v>
      </c>
      <c r="B1281" t="s">
        <v>409</v>
      </c>
      <c r="C1281">
        <v>73454</v>
      </c>
      <c r="D1281" s="2">
        <v>6</v>
      </c>
      <c r="E1281" s="1">
        <v>43045</v>
      </c>
      <c r="F1281" t="str">
        <f>"201711066238"</f>
        <v>201711066238</v>
      </c>
      <c r="G1281" t="str">
        <f>"Miscella"</f>
        <v>Miscella</v>
      </c>
      <c r="H1281" s="2">
        <v>6</v>
      </c>
      <c r="I1281" t="str">
        <f>"SHARON D MARTINDALE"</f>
        <v>SHARON D MARTINDALE</v>
      </c>
    </row>
    <row r="1282" spans="1:9" x14ac:dyDescent="0.3">
      <c r="A1282" t="str">
        <f t="shared" si="16"/>
        <v>1</v>
      </c>
      <c r="B1282" t="s">
        <v>410</v>
      </c>
      <c r="C1282">
        <v>73455</v>
      </c>
      <c r="D1282" s="2">
        <v>126</v>
      </c>
      <c r="E1282" s="1">
        <v>43045</v>
      </c>
      <c r="F1282" t="str">
        <f>"201711066239"</f>
        <v>201711066239</v>
      </c>
      <c r="G1282" t="str">
        <f>"Misce"</f>
        <v>Misce</v>
      </c>
      <c r="H1282" s="2">
        <v>126</v>
      </c>
      <c r="I1282" t="str">
        <f>"GEORGE THOMAS JONES JR"</f>
        <v>GEORGE THOMAS JONES JR</v>
      </c>
    </row>
    <row r="1283" spans="1:9" x14ac:dyDescent="0.3">
      <c r="A1283" t="str">
        <f t="shared" si="16"/>
        <v>1</v>
      </c>
      <c r="B1283" t="s">
        <v>411</v>
      </c>
      <c r="C1283">
        <v>73456</v>
      </c>
      <c r="D1283" s="2">
        <v>6</v>
      </c>
      <c r="E1283" s="1">
        <v>43045</v>
      </c>
      <c r="F1283" t="str">
        <f>"201711066240"</f>
        <v>201711066240</v>
      </c>
      <c r="G1283" t="str">
        <f>"Miscellan"</f>
        <v>Miscellan</v>
      </c>
      <c r="H1283" s="2">
        <v>6</v>
      </c>
      <c r="I1283" t="str">
        <f>"JONATHAN REY ALLEN"</f>
        <v>JONATHAN REY ALLEN</v>
      </c>
    </row>
    <row r="1284" spans="1:9" x14ac:dyDescent="0.3">
      <c r="A1284" t="str">
        <f t="shared" si="16"/>
        <v>1</v>
      </c>
      <c r="B1284" t="s">
        <v>412</v>
      </c>
      <c r="C1284">
        <v>73457</v>
      </c>
      <c r="D1284" s="2">
        <v>126</v>
      </c>
      <c r="E1284" s="1">
        <v>43045</v>
      </c>
      <c r="F1284" t="str">
        <f>"201711066241"</f>
        <v>201711066241</v>
      </c>
      <c r="G1284" t="str">
        <f>"Misce"</f>
        <v>Misce</v>
      </c>
      <c r="H1284" s="2">
        <v>126</v>
      </c>
      <c r="I1284" t="str">
        <f>"ANTHONY BROCK SHOEMAKE"</f>
        <v>ANTHONY BROCK SHOEMAKE</v>
      </c>
    </row>
    <row r="1285" spans="1:9" x14ac:dyDescent="0.3">
      <c r="A1285" t="str">
        <f t="shared" si="16"/>
        <v>1</v>
      </c>
      <c r="B1285" t="s">
        <v>413</v>
      </c>
      <c r="C1285">
        <v>73458</v>
      </c>
      <c r="D1285" s="2">
        <v>126</v>
      </c>
      <c r="E1285" s="1">
        <v>43045</v>
      </c>
      <c r="F1285" t="str">
        <f>"201711066242"</f>
        <v>201711066242</v>
      </c>
      <c r="G1285" t="str">
        <f>"Miscell"</f>
        <v>Miscell</v>
      </c>
      <c r="H1285" s="2">
        <v>126</v>
      </c>
      <c r="I1285" t="str">
        <f>"DONALD OWEN MORRISON"</f>
        <v>DONALD OWEN MORRISON</v>
      </c>
    </row>
    <row r="1286" spans="1:9" x14ac:dyDescent="0.3">
      <c r="A1286" t="str">
        <f t="shared" si="16"/>
        <v>1</v>
      </c>
      <c r="B1286" t="s">
        <v>414</v>
      </c>
      <c r="C1286">
        <v>73459</v>
      </c>
      <c r="D1286" s="2">
        <v>6</v>
      </c>
      <c r="E1286" s="1">
        <v>43045</v>
      </c>
      <c r="F1286" t="str">
        <f>"201711066243"</f>
        <v>201711066243</v>
      </c>
      <c r="G1286" t="str">
        <f>"Miscel"</f>
        <v>Miscel</v>
      </c>
      <c r="H1286" s="2">
        <v>6</v>
      </c>
      <c r="I1286" t="str">
        <f>"CARL FREDRICK WALBORG"</f>
        <v>CARL FREDRICK WALBORG</v>
      </c>
    </row>
    <row r="1287" spans="1:9" x14ac:dyDescent="0.3">
      <c r="A1287" t="str">
        <f t="shared" si="16"/>
        <v>1</v>
      </c>
      <c r="B1287" t="s">
        <v>415</v>
      </c>
      <c r="C1287">
        <v>73460</v>
      </c>
      <c r="D1287" s="2">
        <v>6</v>
      </c>
      <c r="E1287" s="1">
        <v>43045</v>
      </c>
      <c r="F1287" t="str">
        <f>"201711066244"</f>
        <v>201711066244</v>
      </c>
      <c r="G1287" t="str">
        <f>"Miscel"</f>
        <v>Miscel</v>
      </c>
      <c r="H1287" s="2">
        <v>6</v>
      </c>
      <c r="I1287" t="str">
        <f>"LAWRENCE L WATKINS JR"</f>
        <v>LAWRENCE L WATKINS JR</v>
      </c>
    </row>
    <row r="1288" spans="1:9" x14ac:dyDescent="0.3">
      <c r="A1288" t="str">
        <f t="shared" ref="A1288:A1299" si="17">"1"</f>
        <v>1</v>
      </c>
      <c r="B1288" t="s">
        <v>416</v>
      </c>
      <c r="C1288">
        <v>73797</v>
      </c>
      <c r="D1288" s="2">
        <v>40</v>
      </c>
      <c r="E1288" s="1">
        <v>43061</v>
      </c>
      <c r="F1288" t="str">
        <f>"201711226737"</f>
        <v>201711226737</v>
      </c>
      <c r="G1288" t="str">
        <f>"Miscel"</f>
        <v>Miscel</v>
      </c>
      <c r="H1288" s="2">
        <v>40</v>
      </c>
      <c r="I1288" t="str">
        <f>"JEFFREY DONALD HARRIS"</f>
        <v>JEFFREY DONALD HARRIS</v>
      </c>
    </row>
    <row r="1289" spans="1:9" x14ac:dyDescent="0.3">
      <c r="A1289" t="str">
        <f t="shared" si="17"/>
        <v>1</v>
      </c>
      <c r="B1289" t="s">
        <v>417</v>
      </c>
      <c r="C1289">
        <v>73798</v>
      </c>
      <c r="D1289" s="2">
        <v>40</v>
      </c>
      <c r="E1289" s="1">
        <v>43061</v>
      </c>
      <c r="F1289" t="str">
        <f>"201711226738"</f>
        <v>201711226738</v>
      </c>
      <c r="G1289" t="str">
        <f>"Miscel"</f>
        <v>Miscel</v>
      </c>
      <c r="H1289" s="2">
        <v>40</v>
      </c>
      <c r="I1289" t="str">
        <f>"AMANDA LEANN CARLISLE"</f>
        <v>AMANDA LEANN CARLISLE</v>
      </c>
    </row>
    <row r="1290" spans="1:9" x14ac:dyDescent="0.3">
      <c r="A1290" t="str">
        <f t="shared" si="17"/>
        <v>1</v>
      </c>
      <c r="B1290" t="s">
        <v>418</v>
      </c>
      <c r="C1290">
        <v>73799</v>
      </c>
      <c r="D1290" s="2">
        <v>40</v>
      </c>
      <c r="E1290" s="1">
        <v>43061</v>
      </c>
      <c r="F1290" t="str">
        <f>"201711226739"</f>
        <v>201711226739</v>
      </c>
      <c r="G1290" t="str">
        <f>"Miscell"</f>
        <v>Miscell</v>
      </c>
      <c r="H1290" s="2">
        <v>40</v>
      </c>
      <c r="I1290" t="str">
        <f>"RANDY DALE GELTMEIER"</f>
        <v>RANDY DALE GELTMEIER</v>
      </c>
    </row>
    <row r="1291" spans="1:9" x14ac:dyDescent="0.3">
      <c r="A1291" t="str">
        <f t="shared" si="17"/>
        <v>1</v>
      </c>
      <c r="B1291" t="s">
        <v>419</v>
      </c>
      <c r="C1291">
        <v>73800</v>
      </c>
      <c r="D1291" s="2">
        <v>40</v>
      </c>
      <c r="E1291" s="1">
        <v>43061</v>
      </c>
      <c r="F1291" t="str">
        <f>"201711226740"</f>
        <v>201711226740</v>
      </c>
      <c r="G1291" t="str">
        <f>"Miscellaneo"</f>
        <v>Miscellaneo</v>
      </c>
      <c r="H1291" s="2">
        <v>40</v>
      </c>
      <c r="I1291" t="str">
        <f>"HAROLD DEE FLOYD"</f>
        <v>HAROLD DEE FLOYD</v>
      </c>
    </row>
    <row r="1292" spans="1:9" x14ac:dyDescent="0.3">
      <c r="A1292" t="str">
        <f t="shared" si="17"/>
        <v>1</v>
      </c>
      <c r="B1292" t="s">
        <v>420</v>
      </c>
      <c r="C1292">
        <v>73801</v>
      </c>
      <c r="D1292" s="2">
        <v>40</v>
      </c>
      <c r="E1292" s="1">
        <v>43061</v>
      </c>
      <c r="F1292" t="str">
        <f>"201711226741"</f>
        <v>201711226741</v>
      </c>
      <c r="G1292" t="str">
        <f>"Miscellan"</f>
        <v>Miscellan</v>
      </c>
      <c r="H1292" s="2">
        <v>40</v>
      </c>
      <c r="I1292" t="str">
        <f>"JOHN THOMAS ZINKER"</f>
        <v>JOHN THOMAS ZINKER</v>
      </c>
    </row>
    <row r="1293" spans="1:9" x14ac:dyDescent="0.3">
      <c r="A1293" t="str">
        <f t="shared" si="17"/>
        <v>1</v>
      </c>
      <c r="B1293" t="s">
        <v>421</v>
      </c>
      <c r="C1293">
        <v>73802</v>
      </c>
      <c r="D1293" s="2">
        <v>40</v>
      </c>
      <c r="E1293" s="1">
        <v>43061</v>
      </c>
      <c r="F1293" t="str">
        <f>"201711226742"</f>
        <v>201711226742</v>
      </c>
      <c r="G1293" t="str">
        <f>"Mi"</f>
        <v>Mi</v>
      </c>
      <c r="H1293" s="2">
        <v>40</v>
      </c>
      <c r="I1293" t="str">
        <f>"NORA EASTERWOOD SCHLUETER"</f>
        <v>NORA EASTERWOOD SCHLUETER</v>
      </c>
    </row>
    <row r="1294" spans="1:9" x14ac:dyDescent="0.3">
      <c r="A1294" t="str">
        <f t="shared" si="17"/>
        <v>1</v>
      </c>
      <c r="B1294" t="s">
        <v>422</v>
      </c>
      <c r="C1294">
        <v>73803</v>
      </c>
      <c r="D1294" s="2">
        <v>40</v>
      </c>
      <c r="E1294" s="1">
        <v>43061</v>
      </c>
      <c r="F1294" t="str">
        <f>"201711226743"</f>
        <v>201711226743</v>
      </c>
      <c r="G1294" t="str">
        <f>"Miscella"</f>
        <v>Miscella</v>
      </c>
      <c r="H1294" s="2">
        <v>40</v>
      </c>
      <c r="I1294" t="str">
        <f>"CHARLES WALTER FERS"</f>
        <v>CHARLES WALTER FERS</v>
      </c>
    </row>
    <row r="1295" spans="1:9" x14ac:dyDescent="0.3">
      <c r="A1295" t="str">
        <f t="shared" si="17"/>
        <v>1</v>
      </c>
      <c r="B1295" t="s">
        <v>423</v>
      </c>
      <c r="C1295">
        <v>73804</v>
      </c>
      <c r="D1295" s="2">
        <v>40</v>
      </c>
      <c r="E1295" s="1">
        <v>43061</v>
      </c>
      <c r="F1295" t="str">
        <f>"201711226744"</f>
        <v>201711226744</v>
      </c>
      <c r="G1295" t="str">
        <f>"Miscellane"</f>
        <v>Miscellane</v>
      </c>
      <c r="H1295" s="2">
        <v>40</v>
      </c>
      <c r="I1295" t="str">
        <f>"JOSHUA DEAN NIXON"</f>
        <v>JOSHUA DEAN NIXON</v>
      </c>
    </row>
    <row r="1296" spans="1:9" x14ac:dyDescent="0.3">
      <c r="A1296" t="str">
        <f t="shared" si="17"/>
        <v>1</v>
      </c>
      <c r="B1296" t="s">
        <v>424</v>
      </c>
      <c r="C1296">
        <v>73805</v>
      </c>
      <c r="D1296" s="2">
        <v>40</v>
      </c>
      <c r="E1296" s="1">
        <v>43061</v>
      </c>
      <c r="F1296" t="str">
        <f>"201711226745"</f>
        <v>201711226745</v>
      </c>
      <c r="G1296" t="str">
        <f>"Misce"</f>
        <v>Misce</v>
      </c>
      <c r="H1296" s="2">
        <v>40</v>
      </c>
      <c r="I1296" t="str">
        <f>"STEPHANIE REBER GOERTZ"</f>
        <v>STEPHANIE REBER GOERTZ</v>
      </c>
    </row>
    <row r="1297" spans="1:10" x14ac:dyDescent="0.3">
      <c r="A1297" t="str">
        <f t="shared" si="17"/>
        <v>1</v>
      </c>
      <c r="B1297" t="s">
        <v>425</v>
      </c>
      <c r="C1297">
        <v>73806</v>
      </c>
      <c r="D1297" s="2">
        <v>40</v>
      </c>
      <c r="E1297" s="1">
        <v>43061</v>
      </c>
      <c r="F1297" t="str">
        <f>"201711226746"</f>
        <v>201711226746</v>
      </c>
      <c r="G1297" t="str">
        <f>"Miscellaneous"</f>
        <v>Miscellaneous</v>
      </c>
      <c r="H1297" s="2">
        <v>40</v>
      </c>
      <c r="I1297" t="str">
        <f>"SOLEDAD SIERRA"</f>
        <v>SOLEDAD SIERRA</v>
      </c>
    </row>
    <row r="1298" spans="1:10" x14ac:dyDescent="0.3">
      <c r="A1298" t="str">
        <f t="shared" si="17"/>
        <v>1</v>
      </c>
      <c r="B1298" t="s">
        <v>426</v>
      </c>
      <c r="C1298">
        <v>73807</v>
      </c>
      <c r="D1298" s="2">
        <v>40</v>
      </c>
      <c r="E1298" s="1">
        <v>43061</v>
      </c>
      <c r="F1298" t="str">
        <f>"201711226747"</f>
        <v>201711226747</v>
      </c>
      <c r="G1298" t="str">
        <f>"Miscel"</f>
        <v>Miscel</v>
      </c>
      <c r="H1298" s="2">
        <v>40</v>
      </c>
      <c r="I1298" t="str">
        <f>"POLLYE ANITA HOFSTEDT"</f>
        <v>POLLYE ANITA HOFSTEDT</v>
      </c>
    </row>
    <row r="1299" spans="1:10" x14ac:dyDescent="0.3">
      <c r="A1299" t="str">
        <f t="shared" si="17"/>
        <v>1</v>
      </c>
      <c r="B1299" t="s">
        <v>427</v>
      </c>
      <c r="C1299">
        <v>73808</v>
      </c>
      <c r="D1299" s="2">
        <v>40</v>
      </c>
      <c r="E1299" s="1">
        <v>43061</v>
      </c>
      <c r="F1299" t="str">
        <f>"201711226748"</f>
        <v>201711226748</v>
      </c>
      <c r="G1299" t="str">
        <f>"Miscellane"</f>
        <v>Miscellane</v>
      </c>
      <c r="H1299" s="2">
        <v>40</v>
      </c>
      <c r="I1299" t="str">
        <f>"SHERRY ANN DUNBAR"</f>
        <v>SHERRY ANN DUNBAR</v>
      </c>
    </row>
    <row r="1300" spans="1:10" x14ac:dyDescent="0.3">
      <c r="A1300" t="str">
        <f>"004280"</f>
        <v>004280</v>
      </c>
      <c r="B1300" t="s">
        <v>428</v>
      </c>
      <c r="C1300">
        <v>73659</v>
      </c>
      <c r="D1300" s="2">
        <v>60</v>
      </c>
      <c r="E1300" s="1">
        <v>43052</v>
      </c>
      <c r="F1300" t="s">
        <v>64</v>
      </c>
      <c r="G1300" t="s">
        <v>429</v>
      </c>
      <c r="H1300" s="2" t="str">
        <f>"RESTITUTION-O.CABALLERO"</f>
        <v>RESTITUTION-O.CABALLERO</v>
      </c>
      <c r="I1300" t="str">
        <f>"210-0000"</f>
        <v>210-0000</v>
      </c>
      <c r="J1300">
        <v>60</v>
      </c>
    </row>
    <row r="1301" spans="1:10" x14ac:dyDescent="0.3">
      <c r="A1301" t="str">
        <f>"MOORE"</f>
        <v>MOORE</v>
      </c>
      <c r="B1301" t="s">
        <v>430</v>
      </c>
      <c r="C1301">
        <v>73660</v>
      </c>
      <c r="D1301" s="2">
        <v>196.24</v>
      </c>
      <c r="E1301" s="1">
        <v>43052</v>
      </c>
      <c r="F1301" t="str">
        <f>"99660984"</f>
        <v>99660984</v>
      </c>
      <c r="G1301" t="str">
        <f>"INV 99660984"</f>
        <v>INV 99660984</v>
      </c>
      <c r="H1301" s="2">
        <v>196.24</v>
      </c>
      <c r="I1301" t="str">
        <f>"INV 99660984"</f>
        <v>INV 99660984</v>
      </c>
    </row>
    <row r="1302" spans="1:10" x14ac:dyDescent="0.3">
      <c r="A1302" t="str">
        <f>"000969"</f>
        <v>000969</v>
      </c>
      <c r="B1302" t="s">
        <v>431</v>
      </c>
      <c r="C1302">
        <v>73661</v>
      </c>
      <c r="D1302" s="2">
        <v>35.1</v>
      </c>
      <c r="E1302" s="1">
        <v>43052</v>
      </c>
      <c r="F1302" t="str">
        <f>"S150808539.001"</f>
        <v>S150808539.001</v>
      </c>
      <c r="G1302" t="str">
        <f>"CUST#1179576/VAC BREAKER REP"</f>
        <v>CUST#1179576/VAC BREAKER REP</v>
      </c>
      <c r="H1302" s="2">
        <v>35.1</v>
      </c>
      <c r="I1302" t="str">
        <f>"CUST#1179576/VAC BREAKER REP"</f>
        <v>CUST#1179576/VAC BREAKER REP</v>
      </c>
    </row>
    <row r="1303" spans="1:10" x14ac:dyDescent="0.3">
      <c r="A1303" t="str">
        <f>"MCC"</f>
        <v>MCC</v>
      </c>
      <c r="B1303" t="s">
        <v>432</v>
      </c>
      <c r="C1303">
        <v>73662</v>
      </c>
      <c r="D1303" s="2">
        <v>5850.98</v>
      </c>
      <c r="E1303" s="1">
        <v>43052</v>
      </c>
      <c r="F1303" t="str">
        <f>"13180829"</f>
        <v>13180829</v>
      </c>
      <c r="G1303" t="str">
        <f>"Inv# 13180829"</f>
        <v>Inv# 13180829</v>
      </c>
      <c r="H1303" s="2">
        <v>5850.98</v>
      </c>
      <c r="I1303" t="str">
        <f>"Inv# 13180829"</f>
        <v>Inv# 13180829</v>
      </c>
    </row>
    <row r="1304" spans="1:10" x14ac:dyDescent="0.3">
      <c r="A1304" t="str">
        <f>"189"</f>
        <v>189</v>
      </c>
      <c r="B1304" t="s">
        <v>433</v>
      </c>
      <c r="C1304">
        <v>73912</v>
      </c>
      <c r="D1304" s="2">
        <v>8333.16</v>
      </c>
      <c r="E1304" s="1">
        <v>43066</v>
      </c>
      <c r="F1304" t="str">
        <f>"8230143443"</f>
        <v>8230143443</v>
      </c>
      <c r="G1304" t="str">
        <f>"CUST ACCT#1036215277"</f>
        <v>CUST ACCT#1036215277</v>
      </c>
      <c r="H1304" s="2">
        <v>8333.16</v>
      </c>
      <c r="I1304" t="str">
        <f>"CUST ACCT#1036215277"</f>
        <v>CUST ACCT#1036215277</v>
      </c>
    </row>
    <row r="1305" spans="1:10" x14ac:dyDescent="0.3">
      <c r="A1305" t="str">
        <f>"005286"</f>
        <v>005286</v>
      </c>
      <c r="B1305" t="s">
        <v>434</v>
      </c>
      <c r="C1305">
        <v>73664</v>
      </c>
      <c r="D1305" s="2">
        <v>5</v>
      </c>
      <c r="E1305" s="1">
        <v>43052</v>
      </c>
      <c r="F1305" t="str">
        <f>"201711086438"</f>
        <v>201711086438</v>
      </c>
      <c r="G1305" t="str">
        <f>"FERAL HOGS"</f>
        <v>FERAL HOGS</v>
      </c>
      <c r="H1305" s="2">
        <v>5</v>
      </c>
      <c r="I1305" t="str">
        <f>"FERAL HOGS"</f>
        <v>FERAL HOGS</v>
      </c>
    </row>
    <row r="1306" spans="1:10" x14ac:dyDescent="0.3">
      <c r="A1306" t="str">
        <f>"000562"</f>
        <v>000562</v>
      </c>
      <c r="B1306" t="s">
        <v>435</v>
      </c>
      <c r="C1306">
        <v>999999</v>
      </c>
      <c r="D1306" s="2">
        <v>11774.18</v>
      </c>
      <c r="E1306" s="1">
        <v>43053</v>
      </c>
      <c r="F1306" t="str">
        <f>"IN0787404"</f>
        <v>IN0787404</v>
      </c>
      <c r="G1306" t="str">
        <f>"INV IN0787404"</f>
        <v>INV IN0787404</v>
      </c>
      <c r="H1306" s="2">
        <v>2820</v>
      </c>
      <c r="I1306" t="str">
        <f>"INV IN0787404"</f>
        <v>INV IN0787404</v>
      </c>
    </row>
    <row r="1307" spans="1:10" x14ac:dyDescent="0.3">
      <c r="A1307" t="str">
        <f>""</f>
        <v/>
      </c>
      <c r="F1307" t="str">
        <f>"IN0790180/346/848"</f>
        <v>IN0790180/346/848</v>
      </c>
      <c r="G1307" t="str">
        <f>"INV IN0790180"</f>
        <v>INV IN0790180</v>
      </c>
      <c r="H1307" s="2">
        <v>6008.43</v>
      </c>
      <c r="I1307" t="str">
        <f>"INV IN0790180"</f>
        <v>INV IN0790180</v>
      </c>
    </row>
    <row r="1308" spans="1:10" x14ac:dyDescent="0.3">
      <c r="A1308" t="str">
        <f>""</f>
        <v/>
      </c>
      <c r="F1308" t="str">
        <f>""</f>
        <v/>
      </c>
      <c r="G1308" t="str">
        <f>""</f>
        <v/>
      </c>
      <c r="I1308" t="str">
        <f>"INV IN0790346"</f>
        <v>INV IN0790346</v>
      </c>
    </row>
    <row r="1309" spans="1:10" x14ac:dyDescent="0.3">
      <c r="A1309" t="str">
        <f>""</f>
        <v/>
      </c>
      <c r="F1309" t="str">
        <f>""</f>
        <v/>
      </c>
      <c r="G1309" t="str">
        <f>""</f>
        <v/>
      </c>
      <c r="I1309" t="str">
        <f>"INV IN0790848"</f>
        <v>INV IN0790848</v>
      </c>
    </row>
    <row r="1310" spans="1:10" x14ac:dyDescent="0.3">
      <c r="A1310" t="str">
        <f>""</f>
        <v/>
      </c>
      <c r="F1310" t="str">
        <f>"IN0790773/CM090658"</f>
        <v>IN0790773/CM090658</v>
      </c>
      <c r="G1310" t="str">
        <f>"INV IN0790773"</f>
        <v>INV IN0790773</v>
      </c>
      <c r="H1310" s="2">
        <v>2945.75</v>
      </c>
      <c r="I1310" t="str">
        <f>"INV IN0790773"</f>
        <v>INV IN0790773</v>
      </c>
    </row>
    <row r="1311" spans="1:10" x14ac:dyDescent="0.3">
      <c r="A1311" t="str">
        <f>""</f>
        <v/>
      </c>
      <c r="F1311" t="str">
        <f>""</f>
        <v/>
      </c>
      <c r="G1311" t="str">
        <f>""</f>
        <v/>
      </c>
      <c r="I1311" t="str">
        <f>"CM0906583"</f>
        <v>CM0906583</v>
      </c>
    </row>
    <row r="1312" spans="1:10" x14ac:dyDescent="0.3">
      <c r="A1312" t="str">
        <f>"000562"</f>
        <v>000562</v>
      </c>
      <c r="B1312" t="s">
        <v>435</v>
      </c>
      <c r="C1312">
        <v>999999</v>
      </c>
      <c r="D1312" s="2">
        <v>1392.09</v>
      </c>
      <c r="E1312" s="1">
        <v>43067</v>
      </c>
      <c r="F1312" t="str">
        <f>"IN0791211"</f>
        <v>IN0791211</v>
      </c>
      <c r="G1312" t="str">
        <f>"INV IN0791211"</f>
        <v>INV IN0791211</v>
      </c>
      <c r="H1312" s="2">
        <v>1392.09</v>
      </c>
      <c r="I1312" t="str">
        <f>"INV IN0791211"</f>
        <v>INV IN0791211</v>
      </c>
    </row>
    <row r="1313" spans="1:9" x14ac:dyDescent="0.3">
      <c r="A1313" t="str">
        <f>""</f>
        <v/>
      </c>
      <c r="F1313" t="str">
        <f>""</f>
        <v/>
      </c>
      <c r="G1313" t="str">
        <f>""</f>
        <v/>
      </c>
      <c r="I1313" t="str">
        <f>"CREDIT"</f>
        <v>CREDIT</v>
      </c>
    </row>
    <row r="1314" spans="1:9" x14ac:dyDescent="0.3">
      <c r="A1314" t="str">
        <f>"002861"</f>
        <v>002861</v>
      </c>
      <c r="B1314" t="s">
        <v>436</v>
      </c>
      <c r="C1314">
        <v>73665</v>
      </c>
      <c r="D1314" s="2">
        <v>500</v>
      </c>
      <c r="E1314" s="1">
        <v>43052</v>
      </c>
      <c r="F1314" t="str">
        <f>"1107"</f>
        <v>1107</v>
      </c>
      <c r="G1314" t="str">
        <f>"INV 1107"</f>
        <v>INV 1107</v>
      </c>
      <c r="H1314" s="2">
        <v>500</v>
      </c>
      <c r="I1314" t="str">
        <f>"INV 1107"</f>
        <v>INV 1107</v>
      </c>
    </row>
    <row r="1315" spans="1:9" x14ac:dyDescent="0.3">
      <c r="A1315" t="str">
        <f>"000668"</f>
        <v>000668</v>
      </c>
      <c r="B1315" t="s">
        <v>437</v>
      </c>
      <c r="C1315">
        <v>73666</v>
      </c>
      <c r="D1315" s="2">
        <v>900</v>
      </c>
      <c r="E1315" s="1">
        <v>43052</v>
      </c>
      <c r="F1315" t="str">
        <f>"HAY BALES"</f>
        <v>HAY BALES</v>
      </c>
      <c r="G1315" t="str">
        <f>"HAY"</f>
        <v>HAY</v>
      </c>
      <c r="H1315" s="2">
        <v>900</v>
      </c>
      <c r="I1315" t="str">
        <f>"HAY"</f>
        <v>HAY</v>
      </c>
    </row>
    <row r="1316" spans="1:9" x14ac:dyDescent="0.3">
      <c r="A1316" t="str">
        <f>"004580"</f>
        <v>004580</v>
      </c>
      <c r="B1316" t="s">
        <v>438</v>
      </c>
      <c r="C1316">
        <v>73667</v>
      </c>
      <c r="D1316" s="2">
        <v>179</v>
      </c>
      <c r="E1316" s="1">
        <v>43052</v>
      </c>
      <c r="F1316" t="str">
        <f>"100504590"</f>
        <v>100504590</v>
      </c>
      <c r="G1316" t="str">
        <f>"CUST#24331/ITEM# CC 17"</f>
        <v>CUST#24331/ITEM# CC 17</v>
      </c>
      <c r="H1316" s="2">
        <v>113</v>
      </c>
      <c r="I1316" t="str">
        <f>"CUST#24331/ITEM# CC 17"</f>
        <v>CUST#24331/ITEM# CC 17</v>
      </c>
    </row>
    <row r="1317" spans="1:9" x14ac:dyDescent="0.3">
      <c r="A1317" t="str">
        <f>""</f>
        <v/>
      </c>
      <c r="F1317" t="str">
        <f>"100504782"</f>
        <v>100504782</v>
      </c>
      <c r="G1317" t="str">
        <f>"CUST#24331/ITEM# CNC 17"</f>
        <v>CUST#24331/ITEM# CNC 17</v>
      </c>
      <c r="H1317" s="2">
        <v>66</v>
      </c>
      <c r="I1317" t="str">
        <f>"CUST#24331/ITEM# CNC 17"</f>
        <v>CUST#24331/ITEM# CNC 17</v>
      </c>
    </row>
    <row r="1318" spans="1:9" x14ac:dyDescent="0.3">
      <c r="A1318" t="str">
        <f>"T6614"</f>
        <v>T6614</v>
      </c>
      <c r="B1318" t="s">
        <v>439</v>
      </c>
      <c r="C1318">
        <v>999999</v>
      </c>
      <c r="D1318" s="2">
        <v>547.42999999999995</v>
      </c>
      <c r="E1318" s="1">
        <v>43053</v>
      </c>
      <c r="F1318" t="str">
        <f>"201711076365"</f>
        <v>201711076365</v>
      </c>
      <c r="G1318" t="str">
        <f>"CUST#99088/PCT#4"</f>
        <v>CUST#99088/PCT#4</v>
      </c>
      <c r="H1318" s="2">
        <v>547.42999999999995</v>
      </c>
      <c r="I1318" t="str">
        <f>"CUST#99088/PCT#4"</f>
        <v>CUST#99088/PCT#4</v>
      </c>
    </row>
    <row r="1319" spans="1:9" x14ac:dyDescent="0.3">
      <c r="A1319" t="str">
        <f>"001015"</f>
        <v>001015</v>
      </c>
      <c r="B1319" t="s">
        <v>440</v>
      </c>
      <c r="C1319">
        <v>73668</v>
      </c>
      <c r="D1319" s="2">
        <v>1155</v>
      </c>
      <c r="E1319" s="1">
        <v>43052</v>
      </c>
      <c r="F1319" t="str">
        <f>"122000506/1030158"</f>
        <v>122000506/1030158</v>
      </c>
      <c r="G1319" t="str">
        <f>"INV 122000506"</f>
        <v>INV 122000506</v>
      </c>
      <c r="H1319" s="2">
        <v>462</v>
      </c>
      <c r="I1319" t="str">
        <f>"INV 122000506"</f>
        <v>INV 122000506</v>
      </c>
    </row>
    <row r="1320" spans="1:9" x14ac:dyDescent="0.3">
      <c r="A1320" t="str">
        <f>""</f>
        <v/>
      </c>
      <c r="F1320" t="str">
        <f>""</f>
        <v/>
      </c>
      <c r="G1320" t="str">
        <f>""</f>
        <v/>
      </c>
      <c r="I1320" t="str">
        <f>"INV 1030158"</f>
        <v>INV 1030158</v>
      </c>
    </row>
    <row r="1321" spans="1:9" x14ac:dyDescent="0.3">
      <c r="A1321" t="str">
        <f>""</f>
        <v/>
      </c>
      <c r="F1321" t="str">
        <f>"BREAD"</f>
        <v>BREAD</v>
      </c>
      <c r="G1321" t="str">
        <f>"INV 1015395"</f>
        <v>INV 1015395</v>
      </c>
      <c r="H1321" s="2">
        <v>693</v>
      </c>
      <c r="I1321" t="str">
        <f>"INV 1015395"</f>
        <v>INV 1015395</v>
      </c>
    </row>
    <row r="1322" spans="1:9" x14ac:dyDescent="0.3">
      <c r="A1322" t="str">
        <f>""</f>
        <v/>
      </c>
      <c r="F1322" t="str">
        <f>""</f>
        <v/>
      </c>
      <c r="G1322" t="str">
        <f>""</f>
        <v/>
      </c>
      <c r="I1322" t="str">
        <f>"INV 1022791"</f>
        <v>INV 1022791</v>
      </c>
    </row>
    <row r="1323" spans="1:9" x14ac:dyDescent="0.3">
      <c r="A1323" t="str">
        <f>""</f>
        <v/>
      </c>
      <c r="F1323" t="str">
        <f>""</f>
        <v/>
      </c>
      <c r="G1323" t="str">
        <f>""</f>
        <v/>
      </c>
      <c r="I1323" t="str">
        <f>"INV 122000220"</f>
        <v>INV 122000220</v>
      </c>
    </row>
    <row r="1324" spans="1:9" x14ac:dyDescent="0.3">
      <c r="A1324" t="str">
        <f>"001015"</f>
        <v>001015</v>
      </c>
      <c r="B1324" t="s">
        <v>440</v>
      </c>
      <c r="C1324">
        <v>73914</v>
      </c>
      <c r="D1324" s="2">
        <v>693</v>
      </c>
      <c r="E1324" s="1">
        <v>43066</v>
      </c>
      <c r="F1324" t="str">
        <f>"1033176/1040779"</f>
        <v>1033176/1040779</v>
      </c>
      <c r="G1324" t="str">
        <f>"INV 1033176"</f>
        <v>INV 1033176</v>
      </c>
      <c r="H1324" s="2">
        <v>693</v>
      </c>
      <c r="I1324" t="str">
        <f>"INV 1033176"</f>
        <v>INV 1033176</v>
      </c>
    </row>
    <row r="1325" spans="1:9" x14ac:dyDescent="0.3">
      <c r="A1325" t="str">
        <f>""</f>
        <v/>
      </c>
      <c r="F1325" t="str">
        <f>""</f>
        <v/>
      </c>
      <c r="G1325" t="str">
        <f>""</f>
        <v/>
      </c>
      <c r="I1325" t="str">
        <f>"INV 1040779"</f>
        <v>INV 1040779</v>
      </c>
    </row>
    <row r="1326" spans="1:9" x14ac:dyDescent="0.3">
      <c r="A1326" t="str">
        <f>""</f>
        <v/>
      </c>
      <c r="F1326" t="str">
        <f>""</f>
        <v/>
      </c>
      <c r="G1326" t="str">
        <f>""</f>
        <v/>
      </c>
      <c r="I1326" t="str">
        <f>"INV 122000184"</f>
        <v>INV 122000184</v>
      </c>
    </row>
    <row r="1327" spans="1:9" x14ac:dyDescent="0.3">
      <c r="A1327" t="str">
        <f>"T5769"</f>
        <v>T5769</v>
      </c>
      <c r="B1327" t="s">
        <v>441</v>
      </c>
      <c r="C1327">
        <v>73669</v>
      </c>
      <c r="D1327" s="2">
        <v>4083.53</v>
      </c>
      <c r="E1327" s="1">
        <v>43052</v>
      </c>
      <c r="F1327" t="str">
        <f>"8641831"</f>
        <v>8641831</v>
      </c>
      <c r="G1327" t="str">
        <f>"Bill# 8641831"</f>
        <v>Bill# 8641831</v>
      </c>
      <c r="H1327" s="2">
        <v>4083.53</v>
      </c>
      <c r="I1327" t="str">
        <f>"Ord# 969055583001"</f>
        <v>Ord# 969055583001</v>
      </c>
    </row>
    <row r="1328" spans="1:9" x14ac:dyDescent="0.3">
      <c r="A1328" t="str">
        <f>""</f>
        <v/>
      </c>
      <c r="F1328" t="str">
        <f>""</f>
        <v/>
      </c>
      <c r="G1328" t="str">
        <f>""</f>
        <v/>
      </c>
      <c r="I1328" t="str">
        <f>"Ord# 970575801001"</f>
        <v>Ord# 970575801001</v>
      </c>
    </row>
    <row r="1329" spans="1:9" x14ac:dyDescent="0.3">
      <c r="A1329" t="str">
        <f>""</f>
        <v/>
      </c>
      <c r="F1329" t="str">
        <f>""</f>
        <v/>
      </c>
      <c r="G1329" t="str">
        <f>""</f>
        <v/>
      </c>
      <c r="I1329" t="str">
        <f>"Ord# 971131178001"</f>
        <v>Ord# 971131178001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>"Ord# 967883679001"</f>
        <v>Ord# 967883679001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>"Ord# 967883772001"</f>
        <v>Ord# 967883772001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>"Ord# 968832810001"</f>
        <v>Ord# 968832810001</v>
      </c>
    </row>
    <row r="1333" spans="1:9" x14ac:dyDescent="0.3">
      <c r="A1333" t="str">
        <f>""</f>
        <v/>
      </c>
      <c r="F1333" t="str">
        <f>""</f>
        <v/>
      </c>
      <c r="G1333" t="str">
        <f>""</f>
        <v/>
      </c>
      <c r="I1333" t="str">
        <f>"Ord# 968832812001"</f>
        <v>Ord# 968832812001</v>
      </c>
    </row>
    <row r="1334" spans="1:9" x14ac:dyDescent="0.3">
      <c r="A1334" t="str">
        <f>"T5769"</f>
        <v>T5769</v>
      </c>
      <c r="B1334" t="s">
        <v>441</v>
      </c>
      <c r="C1334">
        <v>73915</v>
      </c>
      <c r="D1334" s="2">
        <v>4033.15</v>
      </c>
      <c r="E1334" s="1">
        <v>43066</v>
      </c>
      <c r="F1334" t="str">
        <f>"8732358"</f>
        <v>8732358</v>
      </c>
      <c r="G1334" t="str">
        <f>"Bill# 8732358"</f>
        <v>Bill# 8732358</v>
      </c>
      <c r="H1334" s="2">
        <v>4033.15</v>
      </c>
      <c r="I1334" t="str">
        <f>"Ord# 976622180001"</f>
        <v>Ord# 976622180001</v>
      </c>
    </row>
    <row r="1335" spans="1:9" x14ac:dyDescent="0.3">
      <c r="A1335" t="str">
        <f>""</f>
        <v/>
      </c>
      <c r="F1335" t="str">
        <f>""</f>
        <v/>
      </c>
      <c r="G1335" t="str">
        <f>""</f>
        <v/>
      </c>
      <c r="I1335" t="str">
        <f>"Ord# 976622531001"</f>
        <v>Ord# 976622531001</v>
      </c>
    </row>
    <row r="1336" spans="1:9" x14ac:dyDescent="0.3">
      <c r="A1336" t="str">
        <f>""</f>
        <v/>
      </c>
      <c r="F1336" t="str">
        <f>""</f>
        <v/>
      </c>
      <c r="G1336" t="str">
        <f>""</f>
        <v/>
      </c>
      <c r="I1336" t="str">
        <f>"Ord# 973003347001"</f>
        <v>Ord# 973003347001</v>
      </c>
    </row>
    <row r="1337" spans="1:9" x14ac:dyDescent="0.3">
      <c r="A1337" t="str">
        <f>""</f>
        <v/>
      </c>
      <c r="F1337" t="str">
        <f>""</f>
        <v/>
      </c>
      <c r="G1337" t="str">
        <f>""</f>
        <v/>
      </c>
      <c r="I1337" t="str">
        <f>"Ord# 976896480001"</f>
        <v>Ord# 976896480001</v>
      </c>
    </row>
    <row r="1338" spans="1:9" x14ac:dyDescent="0.3">
      <c r="A1338" t="str">
        <f>""</f>
        <v/>
      </c>
      <c r="F1338" t="str">
        <f>""</f>
        <v/>
      </c>
      <c r="G1338" t="str">
        <f>""</f>
        <v/>
      </c>
      <c r="I1338" t="str">
        <f>"Ord# 975848697001"</f>
        <v>Ord# 975848697001</v>
      </c>
    </row>
    <row r="1339" spans="1:9" x14ac:dyDescent="0.3">
      <c r="A1339" t="str">
        <f>""</f>
        <v/>
      </c>
      <c r="F1339" t="str">
        <f>""</f>
        <v/>
      </c>
      <c r="G1339" t="str">
        <f>""</f>
        <v/>
      </c>
      <c r="I1339" t="str">
        <f>"Ord# 97459959001"</f>
        <v>Ord# 97459959001</v>
      </c>
    </row>
    <row r="1340" spans="1:9" x14ac:dyDescent="0.3">
      <c r="A1340" t="str">
        <f>""</f>
        <v/>
      </c>
      <c r="F1340" t="str">
        <f>""</f>
        <v/>
      </c>
      <c r="G1340" t="str">
        <f>""</f>
        <v/>
      </c>
      <c r="I1340" t="str">
        <f>"Ord# 974962382001"</f>
        <v>Ord# 974962382001</v>
      </c>
    </row>
    <row r="1341" spans="1:9" x14ac:dyDescent="0.3">
      <c r="A1341" t="str">
        <f>""</f>
        <v/>
      </c>
      <c r="F1341" t="str">
        <f>""</f>
        <v/>
      </c>
      <c r="G1341" t="str">
        <f>""</f>
        <v/>
      </c>
      <c r="I1341" t="str">
        <f>"Ord# 972574278001"</f>
        <v>Ord# 972574278001</v>
      </c>
    </row>
    <row r="1342" spans="1:9" x14ac:dyDescent="0.3">
      <c r="A1342" t="str">
        <f>""</f>
        <v/>
      </c>
      <c r="F1342" t="str">
        <f>""</f>
        <v/>
      </c>
      <c r="G1342" t="str">
        <f>""</f>
        <v/>
      </c>
      <c r="I1342" t="str">
        <f>"Ord# 972575079001"</f>
        <v>Ord# 972575079001</v>
      </c>
    </row>
    <row r="1343" spans="1:9" x14ac:dyDescent="0.3">
      <c r="A1343" t="str">
        <f>""</f>
        <v/>
      </c>
      <c r="F1343" t="str">
        <f>""</f>
        <v/>
      </c>
      <c r="G1343" t="str">
        <f>""</f>
        <v/>
      </c>
      <c r="I1343" t="str">
        <f>"Ord# 97257508001"</f>
        <v>Ord# 97257508001</v>
      </c>
    </row>
    <row r="1344" spans="1:9" x14ac:dyDescent="0.3">
      <c r="A1344" t="str">
        <f>""</f>
        <v/>
      </c>
      <c r="F1344" t="str">
        <f>""</f>
        <v/>
      </c>
      <c r="G1344" t="str">
        <f>""</f>
        <v/>
      </c>
      <c r="I1344" t="str">
        <f>"Ord# 972575081001"</f>
        <v>Ord# 972575081001</v>
      </c>
    </row>
    <row r="1345" spans="1:9" x14ac:dyDescent="0.3">
      <c r="A1345" t="str">
        <f>""</f>
        <v/>
      </c>
      <c r="F1345" t="str">
        <f>""</f>
        <v/>
      </c>
      <c r="G1345" t="str">
        <f>""</f>
        <v/>
      </c>
      <c r="I1345" t="str">
        <f>"Ord# 972575082002"</f>
        <v>Ord# 972575082002</v>
      </c>
    </row>
    <row r="1346" spans="1:9" x14ac:dyDescent="0.3">
      <c r="A1346" t="str">
        <f>""</f>
        <v/>
      </c>
      <c r="F1346" t="str">
        <f>""</f>
        <v/>
      </c>
      <c r="G1346" t="str">
        <f>""</f>
        <v/>
      </c>
      <c r="I1346" t="str">
        <f>"Ord# 974955483001"</f>
        <v>Ord# 974955483001</v>
      </c>
    </row>
    <row r="1347" spans="1:9" x14ac:dyDescent="0.3">
      <c r="A1347" t="str">
        <f>""</f>
        <v/>
      </c>
      <c r="F1347" t="str">
        <f>""</f>
        <v/>
      </c>
      <c r="G1347" t="str">
        <f>""</f>
        <v/>
      </c>
      <c r="I1347" t="str">
        <f>"Ord# 97385376001"</f>
        <v>Ord# 97385376001</v>
      </c>
    </row>
    <row r="1348" spans="1:9" x14ac:dyDescent="0.3">
      <c r="A1348" t="str">
        <f>""</f>
        <v/>
      </c>
      <c r="F1348" t="str">
        <f>""</f>
        <v/>
      </c>
      <c r="G1348" t="str">
        <f>""</f>
        <v/>
      </c>
      <c r="I1348" t="str">
        <f>"Ord# 975994088001"</f>
        <v>Ord# 975994088001</v>
      </c>
    </row>
    <row r="1349" spans="1:9" x14ac:dyDescent="0.3">
      <c r="A1349" t="str">
        <f>""</f>
        <v/>
      </c>
      <c r="F1349" t="str">
        <f>""</f>
        <v/>
      </c>
      <c r="G1349" t="str">
        <f>""</f>
        <v/>
      </c>
      <c r="I1349" t="str">
        <f>"Ord# 974748033001"</f>
        <v>Ord# 974748033001</v>
      </c>
    </row>
    <row r="1350" spans="1:9" x14ac:dyDescent="0.3">
      <c r="A1350" t="str">
        <f>""</f>
        <v/>
      </c>
      <c r="F1350" t="str">
        <f>""</f>
        <v/>
      </c>
      <c r="G1350" t="str">
        <f>""</f>
        <v/>
      </c>
      <c r="I1350" t="str">
        <f>"Ord# 974748590001"</f>
        <v>Ord# 974748590001</v>
      </c>
    </row>
    <row r="1351" spans="1:9" x14ac:dyDescent="0.3">
      <c r="A1351" t="str">
        <f>""</f>
        <v/>
      </c>
      <c r="F1351" t="str">
        <f>""</f>
        <v/>
      </c>
      <c r="G1351" t="str">
        <f>""</f>
        <v/>
      </c>
      <c r="I1351" t="str">
        <f>"Ord# 974274676001"</f>
        <v>Ord# 974274676001</v>
      </c>
    </row>
    <row r="1352" spans="1:9" x14ac:dyDescent="0.3">
      <c r="A1352" t="str">
        <f>""</f>
        <v/>
      </c>
      <c r="F1352" t="str">
        <f>""</f>
        <v/>
      </c>
      <c r="G1352" t="str">
        <f>""</f>
        <v/>
      </c>
      <c r="I1352" t="str">
        <f>"Ord# 975902277001"</f>
        <v>Ord# 975902277001</v>
      </c>
    </row>
    <row r="1353" spans="1:9" x14ac:dyDescent="0.3">
      <c r="A1353" t="str">
        <f>""</f>
        <v/>
      </c>
      <c r="F1353" t="str">
        <f>""</f>
        <v/>
      </c>
      <c r="G1353" t="str">
        <f>""</f>
        <v/>
      </c>
      <c r="I1353" t="str">
        <f>"Ord# 975903483001"</f>
        <v>Ord# 975903483001</v>
      </c>
    </row>
    <row r="1354" spans="1:9" x14ac:dyDescent="0.3">
      <c r="A1354" t="str">
        <f>""</f>
        <v/>
      </c>
      <c r="F1354" t="str">
        <f>""</f>
        <v/>
      </c>
      <c r="G1354" t="str">
        <f>""</f>
        <v/>
      </c>
      <c r="I1354" t="str">
        <f>"Ord# 974685401001"</f>
        <v>Ord# 974685401001</v>
      </c>
    </row>
    <row r="1355" spans="1:9" x14ac:dyDescent="0.3">
      <c r="A1355" t="str">
        <f>""</f>
        <v/>
      </c>
      <c r="F1355" t="str">
        <f>""</f>
        <v/>
      </c>
      <c r="G1355" t="str">
        <f>""</f>
        <v/>
      </c>
      <c r="I1355" t="str">
        <f>"Ord# 976622180001"</f>
        <v>Ord# 976622180001</v>
      </c>
    </row>
    <row r="1356" spans="1:9" x14ac:dyDescent="0.3">
      <c r="A1356" t="str">
        <f>""</f>
        <v/>
      </c>
      <c r="F1356" t="str">
        <f>""</f>
        <v/>
      </c>
      <c r="G1356" t="str">
        <f>""</f>
        <v/>
      </c>
      <c r="I1356" t="str">
        <f>"Ord# 973003658001"</f>
        <v>Ord# 973003658001</v>
      </c>
    </row>
    <row r="1357" spans="1:9" x14ac:dyDescent="0.3">
      <c r="A1357" t="str">
        <f>"004879"</f>
        <v>004879</v>
      </c>
      <c r="B1357" t="s">
        <v>442</v>
      </c>
      <c r="C1357">
        <v>73916</v>
      </c>
      <c r="D1357" s="2">
        <v>7476.7</v>
      </c>
      <c r="E1357" s="1">
        <v>43066</v>
      </c>
      <c r="F1357" t="str">
        <f>"200626528"</f>
        <v>200626528</v>
      </c>
      <c r="G1357" t="str">
        <f>"CUST#255120/COLD MIX/PCT#2"</f>
        <v>CUST#255120/COLD MIX/PCT#2</v>
      </c>
      <c r="H1357" s="2">
        <v>7476.7</v>
      </c>
      <c r="I1357" t="str">
        <f>"CUST#255120/COLD MIX/PCT#2"</f>
        <v>CUST#255120/COLD MIX/PCT#2</v>
      </c>
    </row>
    <row r="1358" spans="1:9" x14ac:dyDescent="0.3">
      <c r="A1358" t="str">
        <f>"005285"</f>
        <v>005285</v>
      </c>
      <c r="B1358" t="s">
        <v>443</v>
      </c>
      <c r="C1358">
        <v>73670</v>
      </c>
      <c r="D1358" s="2">
        <v>80</v>
      </c>
      <c r="E1358" s="1">
        <v>43052</v>
      </c>
      <c r="F1358" t="str">
        <f>"201711086439"</f>
        <v>201711086439</v>
      </c>
      <c r="G1358" t="str">
        <f>"FERAL HOGS"</f>
        <v>FERAL HOGS</v>
      </c>
      <c r="H1358" s="2">
        <v>25</v>
      </c>
      <c r="I1358" t="str">
        <f>"FERAL HOGS"</f>
        <v>FERAL HOGS</v>
      </c>
    </row>
    <row r="1359" spans="1:9" x14ac:dyDescent="0.3">
      <c r="A1359" t="str">
        <f>""</f>
        <v/>
      </c>
      <c r="F1359" t="str">
        <f>"201711086440"</f>
        <v>201711086440</v>
      </c>
      <c r="G1359" t="str">
        <f>"FERAL HOGS"</f>
        <v>FERAL HOGS</v>
      </c>
      <c r="H1359" s="2">
        <v>40</v>
      </c>
      <c r="I1359" t="str">
        <f>"FERAL HOGS"</f>
        <v>FERAL HOGS</v>
      </c>
    </row>
    <row r="1360" spans="1:9" x14ac:dyDescent="0.3">
      <c r="A1360" t="str">
        <f>""</f>
        <v/>
      </c>
      <c r="F1360" t="str">
        <f>"201711086441"</f>
        <v>201711086441</v>
      </c>
      <c r="G1360" t="str">
        <f>"FERAL HOGS"</f>
        <v>FERAL HOGS</v>
      </c>
      <c r="H1360" s="2">
        <v>5</v>
      </c>
      <c r="I1360" t="str">
        <f>"FERAL HOGS"</f>
        <v>FERAL HOGS</v>
      </c>
    </row>
    <row r="1361" spans="1:9" x14ac:dyDescent="0.3">
      <c r="A1361" t="str">
        <f>""</f>
        <v/>
      </c>
      <c r="F1361" t="str">
        <f>"201711086442"</f>
        <v>201711086442</v>
      </c>
      <c r="G1361" t="str">
        <f>"FERAL HOGS"</f>
        <v>FERAL HOGS</v>
      </c>
      <c r="H1361" s="2">
        <v>10</v>
      </c>
      <c r="I1361" t="str">
        <f>"FERAL HOGS"</f>
        <v>FERAL HOGS</v>
      </c>
    </row>
    <row r="1362" spans="1:9" x14ac:dyDescent="0.3">
      <c r="A1362" t="str">
        <f>"OP"</f>
        <v>OP</v>
      </c>
      <c r="B1362" t="s">
        <v>444</v>
      </c>
      <c r="C1362">
        <v>73671</v>
      </c>
      <c r="D1362" s="2">
        <v>5721.02</v>
      </c>
      <c r="E1362" s="1">
        <v>43052</v>
      </c>
      <c r="F1362" t="str">
        <f>"16635"</f>
        <v>16635</v>
      </c>
      <c r="G1362" t="str">
        <f>"UNSTOP DRINKING FOUNTAIN"</f>
        <v>UNSTOP DRINKING FOUNTAIN</v>
      </c>
      <c r="H1362" s="2">
        <v>192</v>
      </c>
      <c r="I1362" t="str">
        <f>"UNSTOP DRINKING FOUNTAIN"</f>
        <v>UNSTOP DRINKING FOUNTAIN</v>
      </c>
    </row>
    <row r="1363" spans="1:9" x14ac:dyDescent="0.3">
      <c r="A1363" t="str">
        <f>""</f>
        <v/>
      </c>
      <c r="F1363" t="str">
        <f>"16670"</f>
        <v>16670</v>
      </c>
      <c r="G1363" t="str">
        <f>"PLUMBING SVCS"</f>
        <v>PLUMBING SVCS</v>
      </c>
      <c r="H1363" s="2">
        <v>5529.02</v>
      </c>
      <c r="I1363" t="str">
        <f>"PLUMBING SVCS"</f>
        <v>PLUMBING SVCS</v>
      </c>
    </row>
    <row r="1364" spans="1:9" x14ac:dyDescent="0.3">
      <c r="A1364" t="str">
        <f>"OP"</f>
        <v>OP</v>
      </c>
      <c r="B1364" t="s">
        <v>444</v>
      </c>
      <c r="C1364">
        <v>73917</v>
      </c>
      <c r="D1364" s="2">
        <v>2667</v>
      </c>
      <c r="E1364" s="1">
        <v>43066</v>
      </c>
      <c r="F1364" t="str">
        <f>"16802"</f>
        <v>16802</v>
      </c>
      <c r="G1364" t="str">
        <f>"PLUMBING SVCS"</f>
        <v>PLUMBING SVCS</v>
      </c>
      <c r="H1364" s="2">
        <v>297</v>
      </c>
      <c r="I1364" t="str">
        <f>"PLUMBING SVCS"</f>
        <v>PLUMBING SVCS</v>
      </c>
    </row>
    <row r="1365" spans="1:9" x14ac:dyDescent="0.3">
      <c r="A1365" t="str">
        <f>""</f>
        <v/>
      </c>
      <c r="F1365" t="str">
        <f>"INV16757"</f>
        <v>INV16757</v>
      </c>
      <c r="G1365" t="str">
        <f>"INV 16757"</f>
        <v>INV 16757</v>
      </c>
      <c r="H1365" s="2">
        <v>2370</v>
      </c>
      <c r="I1365" t="str">
        <f>"INV 16757"</f>
        <v>INV 16757</v>
      </c>
    </row>
    <row r="1366" spans="1:9" x14ac:dyDescent="0.3">
      <c r="A1366" t="str">
        <f>"005152"</f>
        <v>005152</v>
      </c>
      <c r="B1366" t="s">
        <v>445</v>
      </c>
      <c r="C1366">
        <v>73794</v>
      </c>
      <c r="D1366" s="2">
        <v>378</v>
      </c>
      <c r="E1366" s="1">
        <v>43055</v>
      </c>
      <c r="F1366" t="str">
        <f>"244571 Reissue"</f>
        <v>244571 Reissue</v>
      </c>
      <c r="G1366" t="str">
        <f>"MATERIALS - REISSUE PMT"</f>
        <v>MATERIALS - REISSUE PMT</v>
      </c>
      <c r="H1366" s="2">
        <v>378</v>
      </c>
      <c r="I1366" t="str">
        <f>"MATERIALS - REISSUE PMT"</f>
        <v>MATERIALS - REISSUE PMT</v>
      </c>
    </row>
    <row r="1367" spans="1:9" x14ac:dyDescent="0.3">
      <c r="A1367" t="str">
        <f>"005292"</f>
        <v>005292</v>
      </c>
      <c r="B1367" t="s">
        <v>446</v>
      </c>
      <c r="C1367">
        <v>73918</v>
      </c>
      <c r="D1367" s="2">
        <v>184.48</v>
      </c>
      <c r="E1367" s="1">
        <v>43066</v>
      </c>
      <c r="F1367" t="str">
        <f>"3015315"</f>
        <v>3015315</v>
      </c>
      <c r="G1367" t="str">
        <f>"INV 3015315"</f>
        <v>INV 3015315</v>
      </c>
      <c r="H1367" s="2">
        <v>184.48</v>
      </c>
      <c r="I1367" t="str">
        <f>"INV 3015315"</f>
        <v>INV 3015315</v>
      </c>
    </row>
    <row r="1368" spans="1:9" x14ac:dyDescent="0.3">
      <c r="A1368" t="str">
        <f>"PAIGE"</f>
        <v>PAIGE</v>
      </c>
      <c r="B1368" t="s">
        <v>447</v>
      </c>
      <c r="C1368">
        <v>73919</v>
      </c>
      <c r="D1368" s="2">
        <v>2368.91</v>
      </c>
      <c r="E1368" s="1">
        <v>43066</v>
      </c>
      <c r="F1368" t="str">
        <f>"58459"</f>
        <v>58459</v>
      </c>
      <c r="G1368" t="str">
        <f>"PAIGE TRACTORS INC"</f>
        <v>PAIGE TRACTORS INC</v>
      </c>
      <c r="H1368" s="2">
        <v>2368.91</v>
      </c>
      <c r="I1368" t="str">
        <f>"TRIMMER"</f>
        <v>TRIMMER</v>
      </c>
    </row>
    <row r="1369" spans="1:9" x14ac:dyDescent="0.3">
      <c r="A1369" t="str">
        <f>"005226"</f>
        <v>005226</v>
      </c>
      <c r="B1369" t="s">
        <v>448</v>
      </c>
      <c r="C1369">
        <v>999999</v>
      </c>
      <c r="D1369" s="2">
        <v>3101</v>
      </c>
      <c r="E1369" s="1">
        <v>43067</v>
      </c>
      <c r="F1369" t="str">
        <f>"40481"</f>
        <v>40481</v>
      </c>
      <c r="G1369" t="str">
        <f>"Anesthesia"</f>
        <v>Anesthesia</v>
      </c>
      <c r="H1369" s="2">
        <v>3101</v>
      </c>
      <c r="I1369" t="str">
        <f>"Anesthesia Machine"</f>
        <v>Anesthesia Machine</v>
      </c>
    </row>
    <row r="1370" spans="1:9" x14ac:dyDescent="0.3">
      <c r="A1370" t="str">
        <f>""</f>
        <v/>
      </c>
      <c r="F1370" t="str">
        <f>""</f>
        <v/>
      </c>
      <c r="G1370" t="str">
        <f>""</f>
        <v/>
      </c>
      <c r="I1370" t="str">
        <f>"Dbl Oxygen Manifold"</f>
        <v>Dbl Oxygen Manifold</v>
      </c>
    </row>
    <row r="1371" spans="1:9" x14ac:dyDescent="0.3">
      <c r="A1371" t="str">
        <f>""</f>
        <v/>
      </c>
      <c r="F1371" t="str">
        <f>""</f>
        <v/>
      </c>
      <c r="G1371" t="str">
        <f>""</f>
        <v/>
      </c>
      <c r="I1371" t="str">
        <f>"shipping"</f>
        <v>shipping</v>
      </c>
    </row>
    <row r="1372" spans="1:9" x14ac:dyDescent="0.3">
      <c r="A1372" t="str">
        <f>"003566"</f>
        <v>003566</v>
      </c>
      <c r="B1372" t="s">
        <v>449</v>
      </c>
      <c r="C1372">
        <v>73672</v>
      </c>
      <c r="D1372" s="2">
        <v>311.3</v>
      </c>
      <c r="E1372" s="1">
        <v>43052</v>
      </c>
      <c r="F1372" t="str">
        <f>"201711076347"</f>
        <v>201711076347</v>
      </c>
      <c r="G1372" t="str">
        <f>"ACCT#1137/PCT#4"</f>
        <v>ACCT#1137/PCT#4</v>
      </c>
      <c r="H1372" s="2">
        <v>311.3</v>
      </c>
      <c r="I1372" t="str">
        <f>"ACCT#1137/PCT#4"</f>
        <v>ACCT#1137/PCT#4</v>
      </c>
    </row>
    <row r="1373" spans="1:9" x14ac:dyDescent="0.3">
      <c r="A1373" t="str">
        <f>"T5411"</f>
        <v>T5411</v>
      </c>
      <c r="B1373" t="s">
        <v>450</v>
      </c>
      <c r="C1373">
        <v>73920</v>
      </c>
      <c r="D1373" s="2">
        <v>2055.5500000000002</v>
      </c>
      <c r="E1373" s="1">
        <v>43066</v>
      </c>
      <c r="F1373" t="str">
        <f>"024761"</f>
        <v>024761</v>
      </c>
      <c r="G1373" t="str">
        <f>"SIgn Materials"</f>
        <v>SIgn Materials</v>
      </c>
      <c r="H1373" s="2">
        <v>863.55</v>
      </c>
      <c r="I1373" t="s">
        <v>451</v>
      </c>
    </row>
    <row r="1374" spans="1:9" x14ac:dyDescent="0.3">
      <c r="A1374" t="str">
        <f>""</f>
        <v/>
      </c>
      <c r="F1374" t="str">
        <f>""</f>
        <v/>
      </c>
      <c r="G1374" t="str">
        <f>""</f>
        <v/>
      </c>
      <c r="I1374" t="str">
        <f>"180 Degree"</f>
        <v>180 Degree</v>
      </c>
    </row>
    <row r="1375" spans="1:9" x14ac:dyDescent="0.3">
      <c r="A1375" t="str">
        <f>""</f>
        <v/>
      </c>
      <c r="F1375" t="str">
        <f>""</f>
        <v/>
      </c>
      <c r="G1375" t="str">
        <f>""</f>
        <v/>
      </c>
      <c r="I1375" t="str">
        <f>"90 Degree"</f>
        <v>90 Degree</v>
      </c>
    </row>
    <row r="1376" spans="1:9" x14ac:dyDescent="0.3">
      <c r="A1376" t="str">
        <f>""</f>
        <v/>
      </c>
      <c r="F1376" t="str">
        <f>""</f>
        <v/>
      </c>
      <c r="G1376" t="str">
        <f>""</f>
        <v/>
      </c>
      <c r="I1376" t="str">
        <f>"Cross"</f>
        <v>Cross</v>
      </c>
    </row>
    <row r="1377" spans="1:9" x14ac:dyDescent="0.3">
      <c r="A1377" t="str">
        <f>""</f>
        <v/>
      </c>
      <c r="F1377" t="str">
        <f>"025337"</f>
        <v>025337</v>
      </c>
      <c r="G1377" t="str">
        <f>"Grn U-Channel Post"</f>
        <v>Grn U-Channel Post</v>
      </c>
      <c r="H1377" s="2">
        <v>1192</v>
      </c>
      <c r="I1377" t="str">
        <f>"Grn U-Channel Post"</f>
        <v>Grn U-Channel Post</v>
      </c>
    </row>
    <row r="1378" spans="1:9" x14ac:dyDescent="0.3">
      <c r="A1378" t="str">
        <f>"002370"</f>
        <v>002370</v>
      </c>
      <c r="B1378" t="s">
        <v>452</v>
      </c>
      <c r="C1378">
        <v>73673</v>
      </c>
      <c r="D1378" s="2">
        <v>2920.15</v>
      </c>
      <c r="E1378" s="1">
        <v>43052</v>
      </c>
      <c r="F1378" t="str">
        <f>"2008301"</f>
        <v>2008301</v>
      </c>
      <c r="G1378" t="str">
        <f>"MATERIALS/LABOR/PCT#1"</f>
        <v>MATERIALS/LABOR/PCT#1</v>
      </c>
      <c r="H1378" s="2">
        <v>2920.15</v>
      </c>
      <c r="I1378" t="str">
        <f>"MATERIALS/LABOR/PCT#1"</f>
        <v>MATERIALS/LABOR/PCT#1</v>
      </c>
    </row>
    <row r="1379" spans="1:9" x14ac:dyDescent="0.3">
      <c r="A1379" t="str">
        <f>"002370"</f>
        <v>002370</v>
      </c>
      <c r="B1379" t="s">
        <v>452</v>
      </c>
      <c r="C1379">
        <v>73921</v>
      </c>
      <c r="D1379" s="2">
        <v>5339.95</v>
      </c>
      <c r="E1379" s="1">
        <v>43066</v>
      </c>
      <c r="F1379" t="str">
        <f>"2008300/303/305"</f>
        <v>2008300/303/305</v>
      </c>
      <c r="G1379" t="str">
        <f>"Electrical Services"</f>
        <v>Electrical Services</v>
      </c>
      <c r="H1379" s="2">
        <v>5339.95</v>
      </c>
      <c r="I1379" t="str">
        <f>"Removed time clock"</f>
        <v>Removed time clock</v>
      </c>
    </row>
    <row r="1380" spans="1:9" x14ac:dyDescent="0.3">
      <c r="A1380" t="str">
        <f>""</f>
        <v/>
      </c>
      <c r="F1380" t="str">
        <f>""</f>
        <v/>
      </c>
      <c r="G1380" t="str">
        <f>""</f>
        <v/>
      </c>
      <c r="I1380" t="str">
        <f>"Circuit/Outlet added"</f>
        <v>Circuit/Outlet added</v>
      </c>
    </row>
    <row r="1381" spans="1:9" x14ac:dyDescent="0.3">
      <c r="A1381" t="str">
        <f>""</f>
        <v/>
      </c>
      <c r="F1381" t="str">
        <f>""</f>
        <v/>
      </c>
      <c r="G1381" t="str">
        <f>""</f>
        <v/>
      </c>
      <c r="I1381" t="str">
        <f>"Outlet Added"</f>
        <v>Outlet Added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>"Replace Sign - Roof"</f>
        <v>Replace Sign - Roof</v>
      </c>
    </row>
    <row r="1383" spans="1:9" x14ac:dyDescent="0.3">
      <c r="A1383" t="str">
        <f>"003321"</f>
        <v>003321</v>
      </c>
      <c r="B1383" t="s">
        <v>453</v>
      </c>
      <c r="C1383">
        <v>73674</v>
      </c>
      <c r="D1383" s="2">
        <v>125</v>
      </c>
      <c r="E1383" s="1">
        <v>43052</v>
      </c>
      <c r="F1383" t="str">
        <f>"201711086443"</f>
        <v>201711086443</v>
      </c>
      <c r="G1383" t="str">
        <f>"FERAL HOGS"</f>
        <v>FERAL HOGS</v>
      </c>
      <c r="H1383" s="2">
        <v>20</v>
      </c>
      <c r="I1383" t="str">
        <f>"FERAL HOGS"</f>
        <v>FERAL HOGS</v>
      </c>
    </row>
    <row r="1384" spans="1:9" x14ac:dyDescent="0.3">
      <c r="A1384" t="str">
        <f>""</f>
        <v/>
      </c>
      <c r="F1384" t="str">
        <f>"201711086444"</f>
        <v>201711086444</v>
      </c>
      <c r="G1384" t="str">
        <f>"FERAL HOGS"</f>
        <v>FERAL HOGS</v>
      </c>
      <c r="H1384" s="2">
        <v>85</v>
      </c>
      <c r="I1384" t="str">
        <f>"FERAL HOGS"</f>
        <v>FERAL HOGS</v>
      </c>
    </row>
    <row r="1385" spans="1:9" x14ac:dyDescent="0.3">
      <c r="A1385" t="str">
        <f>""</f>
        <v/>
      </c>
      <c r="F1385" t="str">
        <f>"201711086445"</f>
        <v>201711086445</v>
      </c>
      <c r="G1385" t="str">
        <f>"FERAL HOGS"</f>
        <v>FERAL HOGS</v>
      </c>
      <c r="H1385" s="2">
        <v>20</v>
      </c>
      <c r="I1385" t="str">
        <f>"FERAL HOGS"</f>
        <v>FERAL HOGS</v>
      </c>
    </row>
    <row r="1386" spans="1:9" x14ac:dyDescent="0.3">
      <c r="A1386" t="str">
        <f>"WEBSTE"</f>
        <v>WEBSTE</v>
      </c>
      <c r="B1386" t="s">
        <v>454</v>
      </c>
      <c r="C1386">
        <v>73675</v>
      </c>
      <c r="D1386" s="2">
        <v>6476.78</v>
      </c>
      <c r="E1386" s="1">
        <v>43052</v>
      </c>
      <c r="F1386" t="str">
        <f>"201711086486"</f>
        <v>201711086486</v>
      </c>
      <c r="G1386" t="str">
        <f>"ACCT#0200140783/ANIMAL SVCS"</f>
        <v>ACCT#0200140783/ANIMAL SVCS</v>
      </c>
      <c r="H1386" s="2">
        <v>6476.78</v>
      </c>
      <c r="I1386" t="str">
        <f>"ACCT#0200140783/ANIMAL SVCS"</f>
        <v>ACCT#0200140783/ANIMAL SVCS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>"ACCT#0200140783/ANIMAL SVCS"</f>
        <v>ACCT#0200140783/ANIMAL SVCS</v>
      </c>
    </row>
    <row r="1388" spans="1:9" x14ac:dyDescent="0.3">
      <c r="A1388" t="str">
        <f>"003382"</f>
        <v>003382</v>
      </c>
      <c r="B1388" t="s">
        <v>455</v>
      </c>
      <c r="C1388">
        <v>73676</v>
      </c>
      <c r="D1388" s="2">
        <v>75</v>
      </c>
      <c r="E1388" s="1">
        <v>43052</v>
      </c>
      <c r="F1388" t="str">
        <f>"201711086446"</f>
        <v>201711086446</v>
      </c>
      <c r="G1388" t="str">
        <f>"FERAL HOGS"</f>
        <v>FERAL HOGS</v>
      </c>
      <c r="H1388" s="2">
        <v>75</v>
      </c>
      <c r="I1388" t="str">
        <f>"FERAL HOGS"</f>
        <v>FERAL HOGS</v>
      </c>
    </row>
    <row r="1389" spans="1:9" x14ac:dyDescent="0.3">
      <c r="A1389" t="str">
        <f>"001854"</f>
        <v>001854</v>
      </c>
      <c r="B1389" t="s">
        <v>456</v>
      </c>
      <c r="C1389">
        <v>73677</v>
      </c>
      <c r="D1389" s="2">
        <v>591.5</v>
      </c>
      <c r="E1389" s="1">
        <v>43052</v>
      </c>
      <c r="F1389" t="str">
        <f>"201711076361"</f>
        <v>201711076361</v>
      </c>
      <c r="G1389" t="str">
        <f>"TRASH RMVL/10-24 TO 10-31/PCT4"</f>
        <v>TRASH RMVL/10-24 TO 10-31/PCT4</v>
      </c>
      <c r="H1389" s="2">
        <v>299</v>
      </c>
      <c r="I1389" t="str">
        <f>"TRASH RMVL/10-24 TO 10-31/PCT4"</f>
        <v>TRASH RMVL/10-24 TO 10-31/PCT4</v>
      </c>
    </row>
    <row r="1390" spans="1:9" x14ac:dyDescent="0.3">
      <c r="A1390" t="str">
        <f>""</f>
        <v/>
      </c>
      <c r="F1390" t="str">
        <f>"201711076362"</f>
        <v>201711076362</v>
      </c>
      <c r="G1390" t="str">
        <f>"TRASH RMVL/11-2 TO 11-9/PCT4"</f>
        <v>TRASH RMVL/11-2 TO 11-9/PCT4</v>
      </c>
      <c r="H1390" s="2">
        <v>292.5</v>
      </c>
      <c r="I1390" t="str">
        <f>"TRASH RMVL/11-2 TO 11-9/PCT4"</f>
        <v>TRASH RMVL/11-2 TO 11-9/PCT4</v>
      </c>
    </row>
    <row r="1391" spans="1:9" x14ac:dyDescent="0.3">
      <c r="A1391" t="str">
        <f>"T8651"</f>
        <v>T8651</v>
      </c>
      <c r="B1391" t="s">
        <v>457</v>
      </c>
      <c r="C1391">
        <v>73922</v>
      </c>
      <c r="D1391" s="2">
        <v>3229</v>
      </c>
      <c r="E1391" s="1">
        <v>43066</v>
      </c>
      <c r="F1391" t="str">
        <f>"77729"</f>
        <v>77729</v>
      </c>
      <c r="G1391" t="str">
        <f>"Carpet for Auditors offic"</f>
        <v>Carpet for Auditors offic</v>
      </c>
      <c r="H1391" s="2">
        <v>3229</v>
      </c>
      <c r="I1391" t="str">
        <f>"Inv# 77729"</f>
        <v>Inv# 77729</v>
      </c>
    </row>
    <row r="1392" spans="1:9" x14ac:dyDescent="0.3">
      <c r="A1392" t="str">
        <f>"005304"</f>
        <v>005304</v>
      </c>
      <c r="B1392" t="s">
        <v>458</v>
      </c>
      <c r="C1392">
        <v>73923</v>
      </c>
      <c r="D1392" s="2">
        <v>76707.75</v>
      </c>
      <c r="E1392" s="1">
        <v>43066</v>
      </c>
      <c r="F1392" t="str">
        <f>"0395"</f>
        <v>0395</v>
      </c>
      <c r="G1392" t="str">
        <f>"Inv# 0395"</f>
        <v>Inv# 0395</v>
      </c>
      <c r="H1392" s="2">
        <v>76707.75</v>
      </c>
      <c r="I1392" t="str">
        <f>"Inv# 0395"</f>
        <v>Inv# 0395</v>
      </c>
    </row>
    <row r="1393" spans="1:9" x14ac:dyDescent="0.3">
      <c r="A1393" t="str">
        <f>"003795"</f>
        <v>003795</v>
      </c>
      <c r="B1393" t="s">
        <v>459</v>
      </c>
      <c r="C1393">
        <v>73678</v>
      </c>
      <c r="D1393" s="2">
        <v>22079.38</v>
      </c>
      <c r="E1393" s="1">
        <v>43052</v>
      </c>
      <c r="F1393" t="str">
        <f>"IVC00037401"</f>
        <v>IVC00037401</v>
      </c>
      <c r="G1393" t="str">
        <f>"FEE FOR PROF SVCS/JP1/7/1-9/30"</f>
        <v>FEE FOR PROF SVCS/JP1/7/1-9/30</v>
      </c>
      <c r="H1393" s="2">
        <v>3807.48</v>
      </c>
      <c r="I1393" t="str">
        <f>"FEE FOR PROF SVCS/JP1/7/1-9/30"</f>
        <v>FEE FOR PROF SVCS/JP1/7/1-9/30</v>
      </c>
    </row>
    <row r="1394" spans="1:9" x14ac:dyDescent="0.3">
      <c r="A1394" t="str">
        <f>""</f>
        <v/>
      </c>
      <c r="F1394" t="str">
        <f>"IVC00037403"</f>
        <v>IVC00037403</v>
      </c>
      <c r="G1394" t="str">
        <f>"ATTORNEYS FEES 7/1/17-9/30/17"</f>
        <v>ATTORNEYS FEES 7/1/17-9/30/17</v>
      </c>
      <c r="H1394" s="2">
        <v>8115.98</v>
      </c>
      <c r="I1394" t="str">
        <f>"ATTORNEYS FEES 7/1/17-9/30/17"</f>
        <v>ATTORNEYS FEES 7/1/17-9/30/17</v>
      </c>
    </row>
    <row r="1395" spans="1:9" x14ac:dyDescent="0.3">
      <c r="A1395" t="str">
        <f>""</f>
        <v/>
      </c>
      <c r="F1395" t="str">
        <f>"IVC00037404"</f>
        <v>IVC00037404</v>
      </c>
      <c r="G1395" t="str">
        <f>"FEE FOR PROF SVCS/JP4/7/1-9/30"</f>
        <v>FEE FOR PROF SVCS/JP4/7/1-9/30</v>
      </c>
      <c r="H1395" s="2">
        <v>10155.92</v>
      </c>
      <c r="I1395" t="str">
        <f>"ATTY'S FEE PROF SVCS 7/1-9/30"</f>
        <v>ATTY'S FEE PROF SVCS 7/1-9/30</v>
      </c>
    </row>
    <row r="1396" spans="1:9" x14ac:dyDescent="0.3">
      <c r="A1396" t="str">
        <f>"PRD"</f>
        <v>PRD</v>
      </c>
      <c r="B1396" t="s">
        <v>460</v>
      </c>
      <c r="C1396">
        <v>999999</v>
      </c>
      <c r="D1396" s="2">
        <v>1254</v>
      </c>
      <c r="E1396" s="1">
        <v>43053</v>
      </c>
      <c r="F1396" t="str">
        <f>"201710276031"</f>
        <v>201710276031</v>
      </c>
      <c r="G1396" t="str">
        <f>"54685"</f>
        <v>54685</v>
      </c>
      <c r="H1396" s="2">
        <v>250</v>
      </c>
      <c r="I1396" t="str">
        <f>"54685"</f>
        <v>54685</v>
      </c>
    </row>
    <row r="1397" spans="1:9" x14ac:dyDescent="0.3">
      <c r="A1397" t="str">
        <f>""</f>
        <v/>
      </c>
      <c r="F1397" t="str">
        <f>"201710276032"</f>
        <v>201710276032</v>
      </c>
      <c r="G1397" t="str">
        <f>"16-18018"</f>
        <v>16-18018</v>
      </c>
      <c r="H1397" s="2">
        <v>235</v>
      </c>
      <c r="I1397" t="str">
        <f>"16-18018"</f>
        <v>16-18018</v>
      </c>
    </row>
    <row r="1398" spans="1:9" x14ac:dyDescent="0.3">
      <c r="A1398" t="str">
        <f>""</f>
        <v/>
      </c>
      <c r="F1398" t="str">
        <f>"201710276033"</f>
        <v>201710276033</v>
      </c>
      <c r="G1398" t="str">
        <f>"17-18119"</f>
        <v>17-18119</v>
      </c>
      <c r="H1398" s="2">
        <v>769</v>
      </c>
      <c r="I1398" t="str">
        <f>"17-18119"</f>
        <v>17-18119</v>
      </c>
    </row>
    <row r="1399" spans="1:9" x14ac:dyDescent="0.3">
      <c r="A1399" t="str">
        <f>"PRD"</f>
        <v>PRD</v>
      </c>
      <c r="B1399" t="s">
        <v>460</v>
      </c>
      <c r="C1399">
        <v>999999</v>
      </c>
      <c r="D1399" s="2">
        <v>718</v>
      </c>
      <c r="E1399" s="1">
        <v>43067</v>
      </c>
      <c r="F1399" t="str">
        <f>"201711146567"</f>
        <v>201711146567</v>
      </c>
      <c r="G1399" t="str">
        <f>"17-18576"</f>
        <v>17-18576</v>
      </c>
      <c r="H1399" s="2">
        <v>468</v>
      </c>
      <c r="I1399" t="str">
        <f>"17-18576"</f>
        <v>17-18576</v>
      </c>
    </row>
    <row r="1400" spans="1:9" x14ac:dyDescent="0.3">
      <c r="A1400" t="str">
        <f>""</f>
        <v/>
      </c>
      <c r="F1400" t="str">
        <f>"201711176698"</f>
        <v>201711176698</v>
      </c>
      <c r="G1400" t="str">
        <f>"55585"</f>
        <v>55585</v>
      </c>
      <c r="H1400" s="2">
        <v>250</v>
      </c>
      <c r="I1400" t="str">
        <f>"55585"</f>
        <v>55585</v>
      </c>
    </row>
    <row r="1401" spans="1:9" x14ac:dyDescent="0.3">
      <c r="A1401" t="str">
        <f>"PH"</f>
        <v>PH</v>
      </c>
      <c r="B1401" t="s">
        <v>461</v>
      </c>
      <c r="C1401">
        <v>73788</v>
      </c>
      <c r="D1401" s="2">
        <v>140.49</v>
      </c>
      <c r="E1401" s="1">
        <v>43055</v>
      </c>
      <c r="F1401" t="str">
        <f>"209450"</f>
        <v>209450</v>
      </c>
      <c r="G1401" t="str">
        <f>"PIZZA - JURY CAUSE #16.001"</f>
        <v>PIZZA - JURY CAUSE #16.001</v>
      </c>
      <c r="H1401" s="2">
        <v>140.49</v>
      </c>
      <c r="I1401" t="str">
        <f>"PIZZA - JURY CAUSE #16.001"</f>
        <v>PIZZA - JURY CAUSE #16.001</v>
      </c>
    </row>
    <row r="1402" spans="1:9" x14ac:dyDescent="0.3">
      <c r="A1402" t="str">
        <f>"003293"</f>
        <v>003293</v>
      </c>
      <c r="B1402" t="s">
        <v>462</v>
      </c>
      <c r="C1402">
        <v>73679</v>
      </c>
      <c r="D1402" s="2">
        <v>500</v>
      </c>
      <c r="E1402" s="1">
        <v>43052</v>
      </c>
      <c r="F1402" t="str">
        <f>"201711036124"</f>
        <v>201711036124</v>
      </c>
      <c r="G1402" t="str">
        <f>"52 670"</f>
        <v>52 670</v>
      </c>
      <c r="H1402" s="2">
        <v>250</v>
      </c>
      <c r="I1402" t="str">
        <f>"52 670"</f>
        <v>52 670</v>
      </c>
    </row>
    <row r="1403" spans="1:9" x14ac:dyDescent="0.3">
      <c r="A1403" t="str">
        <f>""</f>
        <v/>
      </c>
      <c r="F1403" t="str">
        <f>"201711036125"</f>
        <v>201711036125</v>
      </c>
      <c r="G1403" t="str">
        <f>"55 225"</f>
        <v>55 225</v>
      </c>
      <c r="H1403" s="2">
        <v>250</v>
      </c>
      <c r="I1403" t="str">
        <f>"55 225"</f>
        <v>55 225</v>
      </c>
    </row>
    <row r="1404" spans="1:9" x14ac:dyDescent="0.3">
      <c r="A1404" t="str">
        <f>"PM"</f>
        <v>PM</v>
      </c>
      <c r="B1404" t="s">
        <v>463</v>
      </c>
      <c r="C1404">
        <v>73680</v>
      </c>
      <c r="D1404" s="2">
        <v>2155</v>
      </c>
      <c r="E1404" s="1">
        <v>43052</v>
      </c>
      <c r="F1404" t="str">
        <f>"201710265987"</f>
        <v>201710265987</v>
      </c>
      <c r="G1404" t="str">
        <f>"BRM ANNUAL MAINTENANCE"</f>
        <v>BRM ANNUAL MAINTENANCE</v>
      </c>
      <c r="H1404" s="2">
        <v>685</v>
      </c>
      <c r="I1404" t="str">
        <f>"BRM ANNUAL MAINTENANCE"</f>
        <v>BRM ANNUAL MAINTENANCE</v>
      </c>
    </row>
    <row r="1405" spans="1:9" x14ac:dyDescent="0.3">
      <c r="A1405" t="str">
        <f>""</f>
        <v/>
      </c>
      <c r="F1405" t="str">
        <f>"201711086415"</f>
        <v>201711086415</v>
      </c>
      <c r="G1405" t="str">
        <f>"POSTAGE STAMPS"</f>
        <v>POSTAGE STAMPS</v>
      </c>
      <c r="H1405" s="2">
        <v>1470</v>
      </c>
      <c r="I1405" t="str">
        <f>"POSTAGE STAMPS"</f>
        <v>POSTAGE STAMPS</v>
      </c>
    </row>
    <row r="1406" spans="1:9" x14ac:dyDescent="0.3">
      <c r="A1406" t="str">
        <f>"WOSC"</f>
        <v>WOSC</v>
      </c>
      <c r="B1406" t="s">
        <v>464</v>
      </c>
      <c r="C1406">
        <v>73924</v>
      </c>
      <c r="D1406" s="2">
        <v>29.65</v>
      </c>
      <c r="E1406" s="1">
        <v>43066</v>
      </c>
      <c r="F1406" t="str">
        <f>"79697018"</f>
        <v>79697018</v>
      </c>
      <c r="G1406" t="str">
        <f>"CUST#71745122/BCAC"</f>
        <v>CUST#71745122/BCAC</v>
      </c>
      <c r="H1406" s="2">
        <v>29.65</v>
      </c>
      <c r="I1406" t="str">
        <f>"CUST#71745122/BCAC"</f>
        <v>CUST#71745122/BCAC</v>
      </c>
    </row>
    <row r="1407" spans="1:9" x14ac:dyDescent="0.3">
      <c r="A1407" t="str">
        <f>"T11244"</f>
        <v>T11244</v>
      </c>
      <c r="B1407" t="s">
        <v>465</v>
      </c>
      <c r="C1407">
        <v>73681</v>
      </c>
      <c r="D1407" s="2">
        <v>150</v>
      </c>
      <c r="E1407" s="1">
        <v>43052</v>
      </c>
      <c r="F1407" t="str">
        <f>"139999"</f>
        <v>139999</v>
      </c>
      <c r="G1407" t="str">
        <f>"INSTALL BACK GLASS/PCT#4"</f>
        <v>INSTALL BACK GLASS/PCT#4</v>
      </c>
      <c r="H1407" s="2">
        <v>150</v>
      </c>
      <c r="I1407" t="str">
        <f>"INSTALL BACK GLASS/PCT#4"</f>
        <v>INSTALL BACK GLASS/PCT#4</v>
      </c>
    </row>
    <row r="1408" spans="1:9" x14ac:dyDescent="0.3">
      <c r="A1408" t="str">
        <f>"002297"</f>
        <v>002297</v>
      </c>
      <c r="B1408" t="s">
        <v>466</v>
      </c>
      <c r="C1408">
        <v>73925</v>
      </c>
      <c r="D1408" s="2">
        <v>395</v>
      </c>
      <c r="E1408" s="1">
        <v>43066</v>
      </c>
      <c r="F1408" t="str">
        <f>"2017116"</f>
        <v>2017116</v>
      </c>
      <c r="G1408" t="str">
        <f>"TRANSPORT-D. MYERS"</f>
        <v>TRANSPORT-D. MYERS</v>
      </c>
      <c r="H1408" s="2">
        <v>395</v>
      </c>
      <c r="I1408" t="str">
        <f>"TRANSPORT-D. MYERS"</f>
        <v>TRANSPORT-D. MYERS</v>
      </c>
    </row>
    <row r="1409" spans="1:10" x14ac:dyDescent="0.3">
      <c r="A1409" t="str">
        <f>"004709"</f>
        <v>004709</v>
      </c>
      <c r="B1409" t="s">
        <v>467</v>
      </c>
      <c r="C1409">
        <v>73682</v>
      </c>
      <c r="D1409" s="2">
        <v>495</v>
      </c>
      <c r="E1409" s="1">
        <v>43052</v>
      </c>
      <c r="F1409" t="str">
        <f>"TRAINING-K.LITTLE"</f>
        <v>TRAINING-K.LITTLE</v>
      </c>
      <c r="G1409" t="str">
        <f>"KEVIN LITTLE 03/12/2017"</f>
        <v>KEVIN LITTLE 03/12/2017</v>
      </c>
      <c r="H1409" s="2">
        <v>495</v>
      </c>
      <c r="I1409" t="str">
        <f>"KEVIN LITTLE 03/12/2017"</f>
        <v>KEVIN LITTLE 03/12/2017</v>
      </c>
    </row>
    <row r="1410" spans="1:10" x14ac:dyDescent="0.3">
      <c r="A1410" t="str">
        <f>"004709"</f>
        <v>004709</v>
      </c>
      <c r="B1410" t="s">
        <v>467</v>
      </c>
      <c r="C1410">
        <v>73926</v>
      </c>
      <c r="D1410" s="2">
        <v>295</v>
      </c>
      <c r="E1410" s="1">
        <v>43066</v>
      </c>
      <c r="F1410" t="str">
        <f>"TRAINING-C.BRIMHAL"</f>
        <v>TRAINING-C.BRIMHAL</v>
      </c>
      <c r="G1410" t="str">
        <f>"TRAINING"</f>
        <v>TRAINING</v>
      </c>
      <c r="H1410" s="2">
        <v>295</v>
      </c>
      <c r="I1410" t="str">
        <f>"C. BRIMHALL / #15270"</f>
        <v>C. BRIMHALL / #15270</v>
      </c>
    </row>
    <row r="1411" spans="1:10" x14ac:dyDescent="0.3">
      <c r="A1411" t="str">
        <f>"T11156"</f>
        <v>T11156</v>
      </c>
      <c r="B1411" t="s">
        <v>468</v>
      </c>
      <c r="C1411">
        <v>73683</v>
      </c>
      <c r="D1411" s="2">
        <v>46.23</v>
      </c>
      <c r="E1411" s="1">
        <v>43052</v>
      </c>
      <c r="F1411" t="str">
        <f>"201711086518"</f>
        <v>201711086518</v>
      </c>
      <c r="G1411" t="str">
        <f>"INDIGENT HEALTH"</f>
        <v>INDIGENT HEALTH</v>
      </c>
      <c r="H1411" s="2">
        <v>46.23</v>
      </c>
      <c r="I1411" t="str">
        <f>"INDIGENT HEALTH"</f>
        <v>INDIGENT HEALTH</v>
      </c>
    </row>
    <row r="1412" spans="1:10" x14ac:dyDescent="0.3">
      <c r="A1412" t="str">
        <f>"T11156"</f>
        <v>T11156</v>
      </c>
      <c r="B1412" t="s">
        <v>468</v>
      </c>
      <c r="C1412">
        <v>73927</v>
      </c>
      <c r="D1412" s="2">
        <v>58.06</v>
      </c>
      <c r="E1412" s="1">
        <v>43066</v>
      </c>
      <c r="F1412" t="str">
        <f>"201711166655"</f>
        <v>201711166655</v>
      </c>
      <c r="G1412" t="str">
        <f>"INDIGENT HEALTH"</f>
        <v>INDIGENT HEALTH</v>
      </c>
      <c r="H1412" s="2">
        <v>58.06</v>
      </c>
      <c r="I1412" t="str">
        <f>"INDIGENT HEALTH"</f>
        <v>INDIGENT HEALTH</v>
      </c>
    </row>
    <row r="1413" spans="1:10" x14ac:dyDescent="0.3">
      <c r="A1413" t="str">
        <f>"000303"</f>
        <v>000303</v>
      </c>
      <c r="B1413" t="s">
        <v>469</v>
      </c>
      <c r="C1413">
        <v>73684</v>
      </c>
      <c r="D1413" s="2">
        <v>68.260000000000005</v>
      </c>
      <c r="E1413" s="1">
        <v>43052</v>
      </c>
      <c r="F1413" t="str">
        <f>"201710255943"</f>
        <v>201710255943</v>
      </c>
      <c r="G1413" t="str">
        <f>"REIMBURSE-CONFERENCE FEE"</f>
        <v>REIMBURSE-CONFERENCE FEE</v>
      </c>
      <c r="H1413" s="2">
        <v>55</v>
      </c>
      <c r="I1413" t="str">
        <f>"REIMBURSE-CONFERENCE FEE"</f>
        <v>REIMBURSE-CONFERENCE FEE</v>
      </c>
    </row>
    <row r="1414" spans="1:10" x14ac:dyDescent="0.3">
      <c r="A1414" t="str">
        <f>""</f>
        <v/>
      </c>
      <c r="F1414" t="str">
        <f>"201710255944"</f>
        <v>201710255944</v>
      </c>
      <c r="G1414" t="str">
        <f>"PER DIEM"</f>
        <v>PER DIEM</v>
      </c>
      <c r="H1414" s="2">
        <v>13.26</v>
      </c>
      <c r="I1414" t="str">
        <f>"PER DIEM"</f>
        <v>PER DIEM</v>
      </c>
    </row>
    <row r="1415" spans="1:10" x14ac:dyDescent="0.3">
      <c r="A1415" t="str">
        <f>"000303"</f>
        <v>000303</v>
      </c>
      <c r="B1415" t="s">
        <v>469</v>
      </c>
      <c r="C1415">
        <v>73928</v>
      </c>
      <c r="D1415" s="2">
        <v>100</v>
      </c>
      <c r="E1415" s="1">
        <v>43066</v>
      </c>
      <c r="F1415" t="str">
        <f>"201711146558"</f>
        <v>201711146558</v>
      </c>
      <c r="G1415" t="str">
        <f>"2018 DUES-TX CO AG AGENTS ASSO"</f>
        <v>2018 DUES-TX CO AG AGENTS ASSO</v>
      </c>
      <c r="H1415" s="2">
        <v>100</v>
      </c>
      <c r="I1415" t="str">
        <f>"2018 DUES-TX CO AG AGENTS ASSO"</f>
        <v>2018 DUES-TX CO AG AGENTS ASSO</v>
      </c>
    </row>
    <row r="1416" spans="1:10" x14ac:dyDescent="0.3">
      <c r="A1416" t="str">
        <f>"002673"</f>
        <v>002673</v>
      </c>
      <c r="B1416" t="s">
        <v>470</v>
      </c>
      <c r="C1416">
        <v>73929</v>
      </c>
      <c r="D1416" s="2">
        <v>2500</v>
      </c>
      <c r="E1416" s="1">
        <v>43066</v>
      </c>
      <c r="F1416" t="str">
        <f>"4412"</f>
        <v>4412</v>
      </c>
      <c r="G1416" t="str">
        <f>"RANDAL'S TOWER TECH INC"</f>
        <v>RANDAL'S TOWER TECH INC</v>
      </c>
      <c r="H1416" s="2">
        <v>2500</v>
      </c>
      <c r="I1416" t="str">
        <f>"Microwave Link Insp"</f>
        <v>Microwave Link Insp</v>
      </c>
    </row>
    <row r="1417" spans="1:10" x14ac:dyDescent="0.3">
      <c r="A1417" t="str">
        <f>"T5804"</f>
        <v>T5804</v>
      </c>
      <c r="B1417" t="s">
        <v>471</v>
      </c>
      <c r="C1417">
        <v>73685</v>
      </c>
      <c r="D1417" s="2">
        <v>4757.9799999999996</v>
      </c>
      <c r="E1417" s="1">
        <v>43052</v>
      </c>
      <c r="F1417" t="str">
        <f>"PARTS/LABOR"</f>
        <v>PARTS/LABOR</v>
      </c>
      <c r="G1417" t="str">
        <f>"Loader Cylinder Repair"</f>
        <v>Loader Cylinder Repair</v>
      </c>
      <c r="H1417" s="2">
        <v>4757.9799999999996</v>
      </c>
      <c r="I1417" t="str">
        <f>"Parts"</f>
        <v>Parts</v>
      </c>
    </row>
    <row r="1418" spans="1:10" x14ac:dyDescent="0.3">
      <c r="A1418" t="str">
        <f>""</f>
        <v/>
      </c>
      <c r="F1418" t="str">
        <f>""</f>
        <v/>
      </c>
      <c r="G1418" t="str">
        <f>""</f>
        <v/>
      </c>
      <c r="I1418" t="str">
        <f>"Labor"</f>
        <v>Labor</v>
      </c>
    </row>
    <row r="1419" spans="1:10" x14ac:dyDescent="0.3">
      <c r="A1419" t="str">
        <f>""</f>
        <v/>
      </c>
      <c r="F1419" t="str">
        <f>""</f>
        <v/>
      </c>
      <c r="G1419" t="str">
        <f>""</f>
        <v/>
      </c>
      <c r="I1419" t="str">
        <f>"SRV ACC/HAZ MAT"</f>
        <v>SRV ACC/HAZ MAT</v>
      </c>
    </row>
    <row r="1420" spans="1:10" x14ac:dyDescent="0.3">
      <c r="A1420" t="str">
        <f>"T5804"</f>
        <v>T5804</v>
      </c>
      <c r="B1420" t="s">
        <v>471</v>
      </c>
      <c r="C1420">
        <v>73930</v>
      </c>
      <c r="D1420" s="2">
        <v>1233.1300000000001</v>
      </c>
      <c r="E1420" s="1">
        <v>43066</v>
      </c>
      <c r="F1420" t="str">
        <f>"W92458"</f>
        <v>W92458</v>
      </c>
      <c r="G1420" t="str">
        <f>"Backhoe Maint"</f>
        <v>Backhoe Maint</v>
      </c>
      <c r="H1420" s="2">
        <v>1233.1300000000001</v>
      </c>
      <c r="I1420" t="str">
        <f>"Backhoe Maint"</f>
        <v>Backhoe Maint</v>
      </c>
    </row>
    <row r="1421" spans="1:10" x14ac:dyDescent="0.3">
      <c r="A1421" t="str">
        <f>"005240"</f>
        <v>005240</v>
      </c>
      <c r="B1421" t="s">
        <v>472</v>
      </c>
      <c r="C1421">
        <v>73686</v>
      </c>
      <c r="D1421" s="2">
        <v>50</v>
      </c>
      <c r="E1421" s="1">
        <v>43052</v>
      </c>
      <c r="F1421" t="s">
        <v>200</v>
      </c>
      <c r="G1421" t="s">
        <v>473</v>
      </c>
      <c r="H1421" s="2" t="str">
        <f>"RESTITUTION-D. NEELY"</f>
        <v>RESTITUTION-D. NEELY</v>
      </c>
      <c r="I1421" t="str">
        <f>"210-0000"</f>
        <v>210-0000</v>
      </c>
      <c r="J1421">
        <v>50</v>
      </c>
    </row>
    <row r="1422" spans="1:10" x14ac:dyDescent="0.3">
      <c r="A1422" t="str">
        <f>"T13964"</f>
        <v>T13964</v>
      </c>
      <c r="B1422" t="s">
        <v>474</v>
      </c>
      <c r="C1422">
        <v>73687</v>
      </c>
      <c r="D1422" s="2">
        <v>229.98</v>
      </c>
      <c r="E1422" s="1">
        <v>43052</v>
      </c>
      <c r="F1422" t="str">
        <f>"966877"</f>
        <v>966877</v>
      </c>
      <c r="G1422" t="str">
        <f>"02240D/96386"</f>
        <v>02240D/96386</v>
      </c>
      <c r="H1422" s="2">
        <v>229.98</v>
      </c>
      <c r="I1422" t="str">
        <f>"02240D/96386"</f>
        <v>02240D/96386</v>
      </c>
    </row>
    <row r="1423" spans="1:10" x14ac:dyDescent="0.3">
      <c r="A1423" t="str">
        <f>"003737"</f>
        <v>003737</v>
      </c>
      <c r="B1423" t="s">
        <v>475</v>
      </c>
      <c r="C1423">
        <v>73465</v>
      </c>
      <c r="D1423" s="2">
        <v>328.25</v>
      </c>
      <c r="E1423" s="1">
        <v>43048</v>
      </c>
      <c r="F1423" t="str">
        <f>"0843-001391660"</f>
        <v>0843-001391660</v>
      </c>
      <c r="G1423" t="str">
        <f>"ACCT#3-0843-1269216 / AC"</f>
        <v>ACCT#3-0843-1269216 / AC</v>
      </c>
      <c r="H1423" s="2">
        <v>328.25</v>
      </c>
      <c r="I1423" t="str">
        <f>"REPUBLIC SERVICES INC BFI WAST"</f>
        <v>REPUBLIC SERVICES INC BFI WAST</v>
      </c>
    </row>
    <row r="1424" spans="1:10" x14ac:dyDescent="0.3">
      <c r="A1424" t="str">
        <f>"003737"</f>
        <v>003737</v>
      </c>
      <c r="B1424" t="s">
        <v>475</v>
      </c>
      <c r="C1424">
        <v>73791</v>
      </c>
      <c r="D1424" s="2">
        <v>1961.28</v>
      </c>
      <c r="E1424" s="1">
        <v>43055</v>
      </c>
      <c r="F1424" t="str">
        <f>"0843-001392928"</f>
        <v>0843-001392928</v>
      </c>
      <c r="G1424" t="str">
        <f>"ACCT#3-0843-0017094 - 10/31/17"</f>
        <v>ACCT#3-0843-0017094 - 10/31/17</v>
      </c>
      <c r="H1424" s="2">
        <v>1961.28</v>
      </c>
      <c r="I1424" t="str">
        <f>"ACCT#3-0843-0017094 - 10/31/17"</f>
        <v>ACCT#3-0843-0017094 - 10/31/17</v>
      </c>
    </row>
    <row r="1425" spans="1:9" x14ac:dyDescent="0.3">
      <c r="A1425" t="str">
        <f>"004822"</f>
        <v>004822</v>
      </c>
      <c r="B1425" t="s">
        <v>476</v>
      </c>
      <c r="C1425">
        <v>73688</v>
      </c>
      <c r="D1425" s="2">
        <v>2424.6999999999998</v>
      </c>
      <c r="E1425" s="1">
        <v>43052</v>
      </c>
      <c r="F1425" t="str">
        <f>"0000008496"</f>
        <v>0000008496</v>
      </c>
      <c r="G1425" t="str">
        <f>"WK ORD#0000009362/PCT#4"</f>
        <v>WK ORD#0000009362/PCT#4</v>
      </c>
      <c r="H1425" s="2">
        <v>1271.52</v>
      </c>
      <c r="I1425" t="str">
        <f>"WK ORD#0000009362/PCT#4"</f>
        <v>WK ORD#0000009362/PCT#4</v>
      </c>
    </row>
    <row r="1426" spans="1:9" x14ac:dyDescent="0.3">
      <c r="A1426" t="str">
        <f>""</f>
        <v/>
      </c>
      <c r="F1426" t="str">
        <f>"0000008555"</f>
        <v>0000008555</v>
      </c>
      <c r="G1426" t="str">
        <f>"ORD#0000009403/'14 WTR TRK/P4"</f>
        <v>ORD#0000009403/'14 WTR TRK/P4</v>
      </c>
      <c r="H1426" s="2">
        <v>776.18</v>
      </c>
      <c r="I1426" t="str">
        <f>"ORD#0000009403/'14 WTR TRK/P4"</f>
        <v>ORD#0000009403/'14 WTR TRK/P4</v>
      </c>
    </row>
    <row r="1427" spans="1:9" x14ac:dyDescent="0.3">
      <c r="A1427" t="str">
        <f>""</f>
        <v/>
      </c>
      <c r="F1427" t="str">
        <f>"0000008562"</f>
        <v>0000008562</v>
      </c>
      <c r="G1427" t="str">
        <f>"WK ORD#0000009471/PCT#4"</f>
        <v>WK ORD#0000009471/PCT#4</v>
      </c>
      <c r="H1427" s="2">
        <v>377</v>
      </c>
      <c r="I1427" t="str">
        <f>"WK ORD#0000009471/PCT#4"</f>
        <v>WK ORD#0000009471/PCT#4</v>
      </c>
    </row>
    <row r="1428" spans="1:9" x14ac:dyDescent="0.3">
      <c r="A1428" t="str">
        <f>"004822"</f>
        <v>004822</v>
      </c>
      <c r="B1428" t="s">
        <v>476</v>
      </c>
      <c r="C1428">
        <v>73931</v>
      </c>
      <c r="D1428" s="2">
        <v>2590.98</v>
      </c>
      <c r="E1428" s="1">
        <v>43066</v>
      </c>
      <c r="F1428" t="str">
        <f>"0000008642"</f>
        <v>0000008642</v>
      </c>
      <c r="G1428" t="str">
        <f>"SERVICE CALL/PCT#4"</f>
        <v>SERVICE CALL/PCT#4</v>
      </c>
      <c r="H1428" s="2">
        <v>409.5</v>
      </c>
      <c r="I1428" t="str">
        <f>"SERVICE CALL/PCT#4"</f>
        <v>SERVICE CALL/PCT#4</v>
      </c>
    </row>
    <row r="1429" spans="1:9" x14ac:dyDescent="0.3">
      <c r="A1429" t="str">
        <f>""</f>
        <v/>
      </c>
      <c r="F1429" t="str">
        <f>"0000008707"</f>
        <v>0000008707</v>
      </c>
      <c r="G1429" t="str">
        <f>"2014 WATER TRUCK/PCT#4"</f>
        <v>2014 WATER TRUCK/PCT#4</v>
      </c>
      <c r="H1429" s="2">
        <v>2181.48</v>
      </c>
      <c r="I1429" t="str">
        <f>"2014 WATER TRUCK/PCT#4"</f>
        <v>2014 WATER TRUCK/PCT#4</v>
      </c>
    </row>
    <row r="1430" spans="1:9" x14ac:dyDescent="0.3">
      <c r="A1430" t="str">
        <f>"004766"</f>
        <v>004766</v>
      </c>
      <c r="B1430" t="s">
        <v>477</v>
      </c>
      <c r="C1430">
        <v>73932</v>
      </c>
      <c r="D1430" s="2">
        <v>4390</v>
      </c>
      <c r="E1430" s="1">
        <v>43066</v>
      </c>
      <c r="F1430" t="str">
        <f>"201711166666"</f>
        <v>201711166666</v>
      </c>
      <c r="G1430" t="str">
        <f>"PINE VALLEY CT CONCRETE WK/P2"</f>
        <v>PINE VALLEY CT CONCRETE WK/P2</v>
      </c>
      <c r="H1430" s="2">
        <v>2592</v>
      </c>
      <c r="I1430" t="str">
        <f>"PINE VALLEY CT CONCRETE WK/P2"</f>
        <v>PINE VALLEY CT CONCRETE WK/P2</v>
      </c>
    </row>
    <row r="1431" spans="1:9" x14ac:dyDescent="0.3">
      <c r="A1431" t="str">
        <f>""</f>
        <v/>
      </c>
      <c r="F1431" t="str">
        <f>"201711166667"</f>
        <v>201711166667</v>
      </c>
      <c r="G1431" t="str">
        <f>"LABOR AT BIG BOW/TEJAS/PCT#2"</f>
        <v>LABOR AT BIG BOW/TEJAS/PCT#2</v>
      </c>
      <c r="H1431" s="2">
        <v>1798</v>
      </c>
      <c r="I1431" t="str">
        <f>"LABOR AT BIG BOW/TEJAS/PCT#2"</f>
        <v>LABOR AT BIG BOW/TEJAS/PCT#2</v>
      </c>
    </row>
    <row r="1432" spans="1:9" x14ac:dyDescent="0.3">
      <c r="A1432" t="str">
        <f>"T11385"</f>
        <v>T11385</v>
      </c>
      <c r="B1432" t="s">
        <v>478</v>
      </c>
      <c r="C1432">
        <v>999999</v>
      </c>
      <c r="D1432" s="2">
        <v>750</v>
      </c>
      <c r="E1432" s="1">
        <v>43053</v>
      </c>
      <c r="F1432" t="str">
        <f>"201711036121"</f>
        <v>201711036121</v>
      </c>
      <c r="G1432" t="str">
        <f>"CH-20170513"</f>
        <v>CH-20170513</v>
      </c>
      <c r="H1432" s="2">
        <v>250</v>
      </c>
      <c r="I1432" t="str">
        <f>"CH-20170513"</f>
        <v>CH-20170513</v>
      </c>
    </row>
    <row r="1433" spans="1:9" x14ac:dyDescent="0.3">
      <c r="A1433" t="str">
        <f>""</f>
        <v/>
      </c>
      <c r="F1433" t="str">
        <f>"201711036122"</f>
        <v>201711036122</v>
      </c>
      <c r="G1433" t="str">
        <f>"02-1028-2  55134"</f>
        <v>02-1028-2  55134</v>
      </c>
      <c r="H1433" s="2">
        <v>250</v>
      </c>
      <c r="I1433" t="str">
        <f>"02-1028-2  55134"</f>
        <v>02-1028-2  55134</v>
      </c>
    </row>
    <row r="1434" spans="1:9" x14ac:dyDescent="0.3">
      <c r="A1434" t="str">
        <f>""</f>
        <v/>
      </c>
      <c r="F1434" t="str">
        <f>"201711036123"</f>
        <v>201711036123</v>
      </c>
      <c r="G1434" t="str">
        <f>"CH-20170528"</f>
        <v>CH-20170528</v>
      </c>
      <c r="H1434" s="2">
        <v>250</v>
      </c>
      <c r="I1434" t="str">
        <f>"CH-20170528"</f>
        <v>CH-20170528</v>
      </c>
    </row>
    <row r="1435" spans="1:9" x14ac:dyDescent="0.3">
      <c r="A1435" t="str">
        <f>"T9868"</f>
        <v>T9868</v>
      </c>
      <c r="B1435" t="s">
        <v>479</v>
      </c>
      <c r="C1435">
        <v>73689</v>
      </c>
      <c r="D1435" s="2">
        <v>500</v>
      </c>
      <c r="E1435" s="1">
        <v>43052</v>
      </c>
      <c r="F1435" t="str">
        <f>"201710306058"</f>
        <v>201710306058</v>
      </c>
      <c r="G1435" t="str">
        <f>"423-5264"</f>
        <v>423-5264</v>
      </c>
      <c r="H1435" s="2">
        <v>500</v>
      </c>
      <c r="I1435" t="str">
        <f>"423-5264"</f>
        <v>423-5264</v>
      </c>
    </row>
    <row r="1436" spans="1:9" x14ac:dyDescent="0.3">
      <c r="A1436" t="str">
        <f>"005287"</f>
        <v>005287</v>
      </c>
      <c r="B1436" t="s">
        <v>480</v>
      </c>
      <c r="C1436">
        <v>73690</v>
      </c>
      <c r="D1436" s="2">
        <v>20</v>
      </c>
      <c r="E1436" s="1">
        <v>43052</v>
      </c>
      <c r="F1436" t="str">
        <f>"201711086447"</f>
        <v>201711086447</v>
      </c>
      <c r="G1436" t="str">
        <f>"FERAL HOGS"</f>
        <v>FERAL HOGS</v>
      </c>
      <c r="H1436" s="2">
        <v>20</v>
      </c>
      <c r="I1436" t="str">
        <f>"FERAL HOGS"</f>
        <v>FERAL HOGS</v>
      </c>
    </row>
    <row r="1437" spans="1:9" x14ac:dyDescent="0.3">
      <c r="A1437" t="str">
        <f>"002590"</f>
        <v>002590</v>
      </c>
      <c r="B1437" t="s">
        <v>481</v>
      </c>
      <c r="C1437">
        <v>73933</v>
      </c>
      <c r="D1437" s="2">
        <v>5.61</v>
      </c>
      <c r="E1437" s="1">
        <v>43066</v>
      </c>
      <c r="F1437" t="str">
        <f>"99671875"</f>
        <v>99671875</v>
      </c>
      <c r="G1437" t="str">
        <f>"ACCT#1437799-378856"</f>
        <v>ACCT#1437799-378856</v>
      </c>
      <c r="H1437" s="2">
        <v>5.61</v>
      </c>
      <c r="I1437" t="str">
        <f>"ACCT#1437799-378856"</f>
        <v>ACCT#1437799-378856</v>
      </c>
    </row>
    <row r="1438" spans="1:9" x14ac:dyDescent="0.3">
      <c r="A1438" t="str">
        <f>"001322"</f>
        <v>001322</v>
      </c>
      <c r="B1438" t="s">
        <v>482</v>
      </c>
      <c r="C1438">
        <v>999999</v>
      </c>
      <c r="D1438" s="2">
        <v>426</v>
      </c>
      <c r="E1438" s="1">
        <v>43053</v>
      </c>
      <c r="F1438" t="str">
        <f>"5051047962"</f>
        <v>5051047962</v>
      </c>
      <c r="G1438" t="str">
        <f>"CUST#12647097/CONTRACT#4137666"</f>
        <v>CUST#12647097/CONTRACT#4137666</v>
      </c>
      <c r="H1438" s="2">
        <v>426</v>
      </c>
      <c r="I1438" t="str">
        <f>"CUST#12647097/CONTRACT#4137666"</f>
        <v>CUST#12647097/CONTRACT#4137666</v>
      </c>
    </row>
    <row r="1439" spans="1:9" x14ac:dyDescent="0.3">
      <c r="A1439" t="str">
        <f>"000972"</f>
        <v>000972</v>
      </c>
      <c r="B1439" t="s">
        <v>483</v>
      </c>
      <c r="C1439">
        <v>73691</v>
      </c>
      <c r="D1439" s="2">
        <v>7159.58</v>
      </c>
      <c r="E1439" s="1">
        <v>43052</v>
      </c>
      <c r="F1439" t="str">
        <f>"31010713"</f>
        <v>31010713</v>
      </c>
      <c r="G1439" t="str">
        <f>"CUST#2000172616"</f>
        <v>CUST#2000172616</v>
      </c>
      <c r="H1439" s="2">
        <v>7159.58</v>
      </c>
      <c r="I1439" t="str">
        <f t="shared" ref="I1439:I1460" si="18">"CUST#2000172616"</f>
        <v>CUST#2000172616</v>
      </c>
    </row>
    <row r="1440" spans="1:9" x14ac:dyDescent="0.3">
      <c r="A1440" t="str">
        <f>""</f>
        <v/>
      </c>
      <c r="F1440" t="str">
        <f>""</f>
        <v/>
      </c>
      <c r="G1440" t="str">
        <f>""</f>
        <v/>
      </c>
      <c r="I1440" t="str">
        <f t="shared" si="18"/>
        <v>CUST#2000172616</v>
      </c>
    </row>
    <row r="1441" spans="1:9" x14ac:dyDescent="0.3">
      <c r="A1441" t="str">
        <f>""</f>
        <v/>
      </c>
      <c r="F1441" t="str">
        <f>""</f>
        <v/>
      </c>
      <c r="G1441" t="str">
        <f>""</f>
        <v/>
      </c>
      <c r="I1441" t="str">
        <f t="shared" si="18"/>
        <v>CUST#2000172616</v>
      </c>
    </row>
    <row r="1442" spans="1:9" x14ac:dyDescent="0.3">
      <c r="A1442" t="str">
        <f>""</f>
        <v/>
      </c>
      <c r="F1442" t="str">
        <f>""</f>
        <v/>
      </c>
      <c r="G1442" t="str">
        <f>""</f>
        <v/>
      </c>
      <c r="I1442" t="str">
        <f t="shared" si="18"/>
        <v>CUST#2000172616</v>
      </c>
    </row>
    <row r="1443" spans="1:9" x14ac:dyDescent="0.3">
      <c r="A1443" t="str">
        <f>""</f>
        <v/>
      </c>
      <c r="F1443" t="str">
        <f>""</f>
        <v/>
      </c>
      <c r="G1443" t="str">
        <f>""</f>
        <v/>
      </c>
      <c r="I1443" t="str">
        <f t="shared" si="18"/>
        <v>CUST#2000172616</v>
      </c>
    </row>
    <row r="1444" spans="1:9" x14ac:dyDescent="0.3">
      <c r="A1444" t="str">
        <f>""</f>
        <v/>
      </c>
      <c r="F1444" t="str">
        <f>""</f>
        <v/>
      </c>
      <c r="G1444" t="str">
        <f>""</f>
        <v/>
      </c>
      <c r="I1444" t="str">
        <f t="shared" si="18"/>
        <v>CUST#2000172616</v>
      </c>
    </row>
    <row r="1445" spans="1:9" x14ac:dyDescent="0.3">
      <c r="A1445" t="str">
        <f>""</f>
        <v/>
      </c>
      <c r="F1445" t="str">
        <f>""</f>
        <v/>
      </c>
      <c r="G1445" t="str">
        <f>""</f>
        <v/>
      </c>
      <c r="I1445" t="str">
        <f t="shared" si="18"/>
        <v>CUST#2000172616</v>
      </c>
    </row>
    <row r="1446" spans="1:9" x14ac:dyDescent="0.3">
      <c r="A1446" t="str">
        <f>""</f>
        <v/>
      </c>
      <c r="F1446" t="str">
        <f>""</f>
        <v/>
      </c>
      <c r="G1446" t="str">
        <f>""</f>
        <v/>
      </c>
      <c r="I1446" t="str">
        <f t="shared" si="18"/>
        <v>CUST#2000172616</v>
      </c>
    </row>
    <row r="1447" spans="1:9" x14ac:dyDescent="0.3">
      <c r="A1447" t="str">
        <f>""</f>
        <v/>
      </c>
      <c r="F1447" t="str">
        <f>""</f>
        <v/>
      </c>
      <c r="G1447" t="str">
        <f>""</f>
        <v/>
      </c>
      <c r="I1447" t="str">
        <f t="shared" si="18"/>
        <v>CUST#2000172616</v>
      </c>
    </row>
    <row r="1448" spans="1:9" x14ac:dyDescent="0.3">
      <c r="A1448" t="str">
        <f>""</f>
        <v/>
      </c>
      <c r="F1448" t="str">
        <f>""</f>
        <v/>
      </c>
      <c r="G1448" t="str">
        <f>""</f>
        <v/>
      </c>
      <c r="I1448" t="str">
        <f t="shared" si="18"/>
        <v>CUST#2000172616</v>
      </c>
    </row>
    <row r="1449" spans="1:9" x14ac:dyDescent="0.3">
      <c r="A1449" t="str">
        <f>""</f>
        <v/>
      </c>
      <c r="F1449" t="str">
        <f>""</f>
        <v/>
      </c>
      <c r="G1449" t="str">
        <f>""</f>
        <v/>
      </c>
      <c r="I1449" t="str">
        <f t="shared" si="18"/>
        <v>CUST#2000172616</v>
      </c>
    </row>
    <row r="1450" spans="1:9" x14ac:dyDescent="0.3">
      <c r="A1450" t="str">
        <f>""</f>
        <v/>
      </c>
      <c r="F1450" t="str">
        <f>""</f>
        <v/>
      </c>
      <c r="G1450" t="str">
        <f>""</f>
        <v/>
      </c>
      <c r="I1450" t="str">
        <f t="shared" si="18"/>
        <v>CUST#2000172616</v>
      </c>
    </row>
    <row r="1451" spans="1:9" x14ac:dyDescent="0.3">
      <c r="A1451" t="str">
        <f>""</f>
        <v/>
      </c>
      <c r="F1451" t="str">
        <f>""</f>
        <v/>
      </c>
      <c r="G1451" t="str">
        <f>""</f>
        <v/>
      </c>
      <c r="I1451" t="str">
        <f t="shared" si="18"/>
        <v>CUST#2000172616</v>
      </c>
    </row>
    <row r="1452" spans="1:9" x14ac:dyDescent="0.3">
      <c r="A1452" t="str">
        <f>""</f>
        <v/>
      </c>
      <c r="F1452" t="str">
        <f>""</f>
        <v/>
      </c>
      <c r="G1452" t="str">
        <f>""</f>
        <v/>
      </c>
      <c r="I1452" t="str">
        <f t="shared" si="18"/>
        <v>CUST#2000172616</v>
      </c>
    </row>
    <row r="1453" spans="1:9" x14ac:dyDescent="0.3">
      <c r="A1453" t="str">
        <f>""</f>
        <v/>
      </c>
      <c r="F1453" t="str">
        <f>""</f>
        <v/>
      </c>
      <c r="G1453" t="str">
        <f>""</f>
        <v/>
      </c>
      <c r="I1453" t="str">
        <f t="shared" si="18"/>
        <v>CUST#2000172616</v>
      </c>
    </row>
    <row r="1454" spans="1:9" x14ac:dyDescent="0.3">
      <c r="A1454" t="str">
        <f>""</f>
        <v/>
      </c>
      <c r="F1454" t="str">
        <f>""</f>
        <v/>
      </c>
      <c r="G1454" t="str">
        <f>""</f>
        <v/>
      </c>
      <c r="I1454" t="str">
        <f t="shared" si="18"/>
        <v>CUST#2000172616</v>
      </c>
    </row>
    <row r="1455" spans="1:9" x14ac:dyDescent="0.3">
      <c r="A1455" t="str">
        <f>""</f>
        <v/>
      </c>
      <c r="F1455" t="str">
        <f>""</f>
        <v/>
      </c>
      <c r="G1455" t="str">
        <f>""</f>
        <v/>
      </c>
      <c r="I1455" t="str">
        <f t="shared" si="18"/>
        <v>CUST#2000172616</v>
      </c>
    </row>
    <row r="1456" spans="1:9" x14ac:dyDescent="0.3">
      <c r="A1456" t="str">
        <f>""</f>
        <v/>
      </c>
      <c r="F1456" t="str">
        <f>""</f>
        <v/>
      </c>
      <c r="G1456" t="str">
        <f>""</f>
        <v/>
      </c>
      <c r="I1456" t="str">
        <f t="shared" si="18"/>
        <v>CUST#2000172616</v>
      </c>
    </row>
    <row r="1457" spans="1:9" x14ac:dyDescent="0.3">
      <c r="A1457" t="str">
        <f>""</f>
        <v/>
      </c>
      <c r="F1457" t="str">
        <f>""</f>
        <v/>
      </c>
      <c r="G1457" t="str">
        <f>""</f>
        <v/>
      </c>
      <c r="I1457" t="str">
        <f t="shared" si="18"/>
        <v>CUST#2000172616</v>
      </c>
    </row>
    <row r="1458" spans="1:9" x14ac:dyDescent="0.3">
      <c r="A1458" t="str">
        <f>""</f>
        <v/>
      </c>
      <c r="F1458" t="str">
        <f>""</f>
        <v/>
      </c>
      <c r="G1458" t="str">
        <f>""</f>
        <v/>
      </c>
      <c r="I1458" t="str">
        <f t="shared" si="18"/>
        <v>CUST#2000172616</v>
      </c>
    </row>
    <row r="1459" spans="1:9" x14ac:dyDescent="0.3">
      <c r="A1459" t="str">
        <f>""</f>
        <v/>
      </c>
      <c r="F1459" t="str">
        <f>""</f>
        <v/>
      </c>
      <c r="G1459" t="str">
        <f>""</f>
        <v/>
      </c>
      <c r="I1459" t="str">
        <f t="shared" si="18"/>
        <v>CUST#2000172616</v>
      </c>
    </row>
    <row r="1460" spans="1:9" x14ac:dyDescent="0.3">
      <c r="A1460" t="str">
        <f>""</f>
        <v/>
      </c>
      <c r="F1460" t="str">
        <f>""</f>
        <v/>
      </c>
      <c r="G1460" t="str">
        <f>""</f>
        <v/>
      </c>
      <c r="I1460" t="str">
        <f t="shared" si="18"/>
        <v>CUST#2000172616</v>
      </c>
    </row>
    <row r="1461" spans="1:9" x14ac:dyDescent="0.3">
      <c r="A1461" t="str">
        <f>"004549"</f>
        <v>004549</v>
      </c>
      <c r="B1461" t="s">
        <v>484</v>
      </c>
      <c r="C1461">
        <v>73692</v>
      </c>
      <c r="D1461" s="2">
        <v>275</v>
      </c>
      <c r="E1461" s="1">
        <v>43052</v>
      </c>
      <c r="F1461" t="str">
        <f>"721180"</f>
        <v>721180</v>
      </c>
      <c r="G1461" t="str">
        <f>"LANDSCAPE SVCS/708 BULL RUN/P4"</f>
        <v>LANDSCAPE SVCS/708 BULL RUN/P4</v>
      </c>
      <c r="H1461" s="2">
        <v>125</v>
      </c>
      <c r="I1461" t="str">
        <f>"LANDSCAPE SVCS/708 BULL RUN/P4"</f>
        <v>LANDSCAPE SVCS/708 BULL RUN/P4</v>
      </c>
    </row>
    <row r="1462" spans="1:9" x14ac:dyDescent="0.3">
      <c r="A1462" t="str">
        <f>""</f>
        <v/>
      </c>
      <c r="F1462" t="str">
        <f>"721181"</f>
        <v>721181</v>
      </c>
      <c r="G1462" t="str">
        <f>"LANDSCAPING SVCS/PCT#4"</f>
        <v>LANDSCAPING SVCS/PCT#4</v>
      </c>
      <c r="H1462" s="2">
        <v>150</v>
      </c>
      <c r="I1462" t="str">
        <f>"LANDSCAPING SVCS/PCT#4"</f>
        <v>LANDSCAPING SVCS/PCT#4</v>
      </c>
    </row>
    <row r="1463" spans="1:9" x14ac:dyDescent="0.3">
      <c r="A1463" t="str">
        <f>"004549"</f>
        <v>004549</v>
      </c>
      <c r="B1463" t="s">
        <v>484</v>
      </c>
      <c r="C1463">
        <v>73934</v>
      </c>
      <c r="D1463" s="2">
        <v>275</v>
      </c>
      <c r="E1463" s="1">
        <v>43066</v>
      </c>
      <c r="F1463" t="str">
        <f>"721183"</f>
        <v>721183</v>
      </c>
      <c r="G1463" t="str">
        <f>"LANDSCAPING SVCS/PCT#4"</f>
        <v>LANDSCAPING SVCS/PCT#4</v>
      </c>
      <c r="H1463" s="2">
        <v>125</v>
      </c>
      <c r="I1463" t="str">
        <f>"LANDSCAPING SVCS/PCT#4"</f>
        <v>LANDSCAPING SVCS/PCT#4</v>
      </c>
    </row>
    <row r="1464" spans="1:9" x14ac:dyDescent="0.3">
      <c r="A1464" t="str">
        <f>""</f>
        <v/>
      </c>
      <c r="F1464" t="str">
        <f>"721184"</f>
        <v>721184</v>
      </c>
      <c r="G1464" t="str">
        <f>"LANDSCAPING SCVS/PCT#4"</f>
        <v>LANDSCAPING SCVS/PCT#4</v>
      </c>
      <c r="H1464" s="2">
        <v>150</v>
      </c>
      <c r="I1464" t="str">
        <f>"LANDSCAPING SCVS/PCT#4"</f>
        <v>LANDSCAPING SCVS/PCT#4</v>
      </c>
    </row>
    <row r="1465" spans="1:9" x14ac:dyDescent="0.3">
      <c r="A1465" t="str">
        <f>"000374"</f>
        <v>000374</v>
      </c>
      <c r="B1465" t="s">
        <v>485</v>
      </c>
      <c r="C1465">
        <v>73935</v>
      </c>
      <c r="D1465" s="2">
        <v>1062.93</v>
      </c>
      <c r="E1465" s="1">
        <v>43066</v>
      </c>
      <c r="F1465" t="str">
        <f>"GLASS REPAIR"</f>
        <v>GLASS REPAIR</v>
      </c>
      <c r="G1465" t="str">
        <f>"RUNKLE ENTERPRISES"</f>
        <v>RUNKLE ENTERPRISES</v>
      </c>
      <c r="H1465" s="2">
        <v>1062.93</v>
      </c>
      <c r="I1465" t="str">
        <f>"901 Pecan Repair"</f>
        <v>901 Pecan Repair</v>
      </c>
    </row>
    <row r="1466" spans="1:9" x14ac:dyDescent="0.3">
      <c r="A1466" t="str">
        <f>""</f>
        <v/>
      </c>
      <c r="F1466" t="str">
        <f>""</f>
        <v/>
      </c>
      <c r="G1466" t="str">
        <f>""</f>
        <v/>
      </c>
      <c r="I1466" t="str">
        <f>"804 Pecan Repair"</f>
        <v>804 Pecan Repair</v>
      </c>
    </row>
    <row r="1467" spans="1:9" x14ac:dyDescent="0.3">
      <c r="A1467" t="str">
        <f>"000374"</f>
        <v>000374</v>
      </c>
      <c r="B1467" t="s">
        <v>485</v>
      </c>
      <c r="C1467">
        <v>999999</v>
      </c>
      <c r="D1467" s="2">
        <v>12.5</v>
      </c>
      <c r="E1467" s="1">
        <v>43053</v>
      </c>
      <c r="F1467" t="str">
        <f>"IO11433"</f>
        <v>IO11433</v>
      </c>
      <c r="G1467" t="str">
        <f>"ADHESIVE/PCT#3"</f>
        <v>ADHESIVE/PCT#3</v>
      </c>
      <c r="H1467" s="2">
        <v>12.5</v>
      </c>
      <c r="I1467" t="str">
        <f>"ADHESIVE/PCT#3"</f>
        <v>ADHESIVE/PCT#3</v>
      </c>
    </row>
    <row r="1468" spans="1:9" x14ac:dyDescent="0.3">
      <c r="A1468" t="str">
        <f>"004417"</f>
        <v>004417</v>
      </c>
      <c r="B1468" t="s">
        <v>486</v>
      </c>
      <c r="C1468">
        <v>999999</v>
      </c>
      <c r="D1468" s="2">
        <v>1400</v>
      </c>
      <c r="E1468" s="1">
        <v>43053</v>
      </c>
      <c r="F1468" t="str">
        <f>"BCSOJUL17"</f>
        <v>BCSOJUL17</v>
      </c>
      <c r="G1468" t="str">
        <f>"INV BCSOJUL17"</f>
        <v>INV BCSOJUL17</v>
      </c>
      <c r="H1468" s="2">
        <v>650</v>
      </c>
      <c r="I1468" t="str">
        <f>"INV BCSOJUL17"</f>
        <v>INV BCSOJUL17</v>
      </c>
    </row>
    <row r="1469" spans="1:9" x14ac:dyDescent="0.3">
      <c r="A1469" t="str">
        <f>""</f>
        <v/>
      </c>
      <c r="F1469" t="str">
        <f>"BCSOOCT2017"</f>
        <v>BCSOOCT2017</v>
      </c>
      <c r="G1469" t="str">
        <f>"INV BCSOOCT2017"</f>
        <v>INV BCSOOCT2017</v>
      </c>
      <c r="H1469" s="2">
        <v>750</v>
      </c>
      <c r="I1469" t="str">
        <f>"INV BCSOOCT2017"</f>
        <v>INV BCSOOCT2017</v>
      </c>
    </row>
    <row r="1470" spans="1:9" x14ac:dyDescent="0.3">
      <c r="A1470" t="str">
        <f>"MADDEN"</f>
        <v>MADDEN</v>
      </c>
      <c r="B1470" t="s">
        <v>487</v>
      </c>
      <c r="C1470">
        <v>73693</v>
      </c>
      <c r="D1470" s="2">
        <v>70.84</v>
      </c>
      <c r="E1470" s="1">
        <v>43052</v>
      </c>
      <c r="F1470" t="str">
        <f>"4116495"</f>
        <v>4116495</v>
      </c>
      <c r="G1470" t="str">
        <f>"INV 4116495"</f>
        <v>INV 4116495</v>
      </c>
      <c r="H1470" s="2">
        <v>70.84</v>
      </c>
      <c r="I1470" t="str">
        <f>"INV 4116495"</f>
        <v>INV 4116495</v>
      </c>
    </row>
    <row r="1471" spans="1:9" x14ac:dyDescent="0.3">
      <c r="A1471" t="str">
        <f>"MADDEN"</f>
        <v>MADDEN</v>
      </c>
      <c r="B1471" t="s">
        <v>487</v>
      </c>
      <c r="C1471">
        <v>73936</v>
      </c>
      <c r="D1471" s="2">
        <v>1254.24</v>
      </c>
      <c r="E1471" s="1">
        <v>43066</v>
      </c>
      <c r="F1471" t="str">
        <f>"4115708"</f>
        <v>4115708</v>
      </c>
      <c r="G1471" t="str">
        <f>"INV 4115708"</f>
        <v>INV 4115708</v>
      </c>
      <c r="H1471" s="2">
        <v>1014.94</v>
      </c>
      <c r="I1471" t="str">
        <f>"INV 4115708"</f>
        <v>INV 4115708</v>
      </c>
    </row>
    <row r="1472" spans="1:9" x14ac:dyDescent="0.3">
      <c r="A1472" t="str">
        <f>""</f>
        <v/>
      </c>
      <c r="F1472" t="str">
        <f>"4122566/4122513"</f>
        <v>4122566/4122513</v>
      </c>
      <c r="G1472" t="str">
        <f>"INV 4122566"</f>
        <v>INV 4122566</v>
      </c>
      <c r="H1472" s="2">
        <v>32.01</v>
      </c>
      <c r="I1472" t="str">
        <f>"INV 4122566"</f>
        <v>INV 4122566</v>
      </c>
    </row>
    <row r="1473" spans="1:9" x14ac:dyDescent="0.3">
      <c r="A1473" t="str">
        <f>""</f>
        <v/>
      </c>
      <c r="F1473" t="str">
        <f>""</f>
        <v/>
      </c>
      <c r="G1473" t="str">
        <f>""</f>
        <v/>
      </c>
      <c r="I1473" t="str">
        <f>"INV 4122513"</f>
        <v>INV 4122513</v>
      </c>
    </row>
    <row r="1474" spans="1:9" x14ac:dyDescent="0.3">
      <c r="A1474" t="str">
        <f>""</f>
        <v/>
      </c>
      <c r="F1474" t="str">
        <f>"4123210"</f>
        <v>4123210</v>
      </c>
      <c r="G1474" t="str">
        <f>"INV 4123210"</f>
        <v>INV 4123210</v>
      </c>
      <c r="H1474" s="2">
        <v>207.29</v>
      </c>
      <c r="I1474" t="str">
        <f>"INV 4123210"</f>
        <v>INV 4123210</v>
      </c>
    </row>
    <row r="1475" spans="1:9" x14ac:dyDescent="0.3">
      <c r="A1475" t="str">
        <f>"005290"</f>
        <v>005290</v>
      </c>
      <c r="B1475" t="s">
        <v>488</v>
      </c>
      <c r="C1475">
        <v>73694</v>
      </c>
      <c r="D1475" s="2">
        <v>25</v>
      </c>
      <c r="E1475" s="1">
        <v>43052</v>
      </c>
      <c r="F1475" t="str">
        <f>"201711086487"</f>
        <v>201711086487</v>
      </c>
      <c r="G1475" t="str">
        <f>"REFUND-ADOPTION FEE"</f>
        <v>REFUND-ADOPTION FEE</v>
      </c>
      <c r="H1475" s="2">
        <v>25</v>
      </c>
      <c r="I1475" t="str">
        <f>"REFUND-ADOPTION FEE"</f>
        <v>REFUND-ADOPTION FEE</v>
      </c>
    </row>
    <row r="1476" spans="1:9" x14ac:dyDescent="0.3">
      <c r="A1476" t="str">
        <f>"T8555"</f>
        <v>T8555</v>
      </c>
      <c r="B1476" t="s">
        <v>489</v>
      </c>
      <c r="C1476">
        <v>999999</v>
      </c>
      <c r="D1476" s="2">
        <v>7</v>
      </c>
      <c r="E1476" s="1">
        <v>43067</v>
      </c>
      <c r="F1476" t="str">
        <f>"18475"</f>
        <v>18475</v>
      </c>
      <c r="G1476" t="str">
        <f>"2004 GMC INSPECTION/PCT#2"</f>
        <v>2004 GMC INSPECTION/PCT#2</v>
      </c>
      <c r="H1476" s="2">
        <v>7</v>
      </c>
      <c r="I1476" t="str">
        <f>"2004 GMC INSPECTION/PCT#2"</f>
        <v>2004 GMC INSPECTION/PCT#2</v>
      </c>
    </row>
    <row r="1477" spans="1:9" x14ac:dyDescent="0.3">
      <c r="A1477" t="str">
        <f>"004360"</f>
        <v>004360</v>
      </c>
      <c r="B1477" t="s">
        <v>490</v>
      </c>
      <c r="C1477">
        <v>73695</v>
      </c>
      <c r="D1477" s="2">
        <v>25</v>
      </c>
      <c r="E1477" s="1">
        <v>43052</v>
      </c>
      <c r="F1477" t="str">
        <f>"201711086448"</f>
        <v>201711086448</v>
      </c>
      <c r="G1477" t="str">
        <f>"FERAL HOGS"</f>
        <v>FERAL HOGS</v>
      </c>
      <c r="H1477" s="2">
        <v>25</v>
      </c>
      <c r="I1477" t="str">
        <f>"FERAL HOGS"</f>
        <v>FERAL HOGS</v>
      </c>
    </row>
    <row r="1478" spans="1:9" x14ac:dyDescent="0.3">
      <c r="A1478" t="str">
        <f>"004991"</f>
        <v>004991</v>
      </c>
      <c r="B1478" t="s">
        <v>491</v>
      </c>
      <c r="C1478">
        <v>73696</v>
      </c>
      <c r="D1478" s="2">
        <v>318</v>
      </c>
      <c r="E1478" s="1">
        <v>43052</v>
      </c>
      <c r="F1478" t="str">
        <f>"201711086490"</f>
        <v>201711086490</v>
      </c>
      <c r="G1478" t="str">
        <f>"LPHCP RECORDING FEES"</f>
        <v>LPHCP RECORDING FEES</v>
      </c>
      <c r="H1478" s="2">
        <v>318</v>
      </c>
      <c r="I1478" t="str">
        <f>"LPHCP RECORDING FEES"</f>
        <v>LPHCP RECORDING FEES</v>
      </c>
    </row>
    <row r="1479" spans="1:9" x14ac:dyDescent="0.3">
      <c r="A1479" t="str">
        <f>"RP-CC"</f>
        <v>RP-CC</v>
      </c>
      <c r="B1479" t="s">
        <v>491</v>
      </c>
      <c r="C1479">
        <v>73697</v>
      </c>
      <c r="D1479" s="2">
        <v>233</v>
      </c>
      <c r="E1479" s="1">
        <v>43052</v>
      </c>
      <c r="F1479" t="str">
        <f>"201711086434"</f>
        <v>201711086434</v>
      </c>
      <c r="G1479" t="str">
        <f>"DEVELOPMENT SVCS RECORDING FEE"</f>
        <v>DEVELOPMENT SVCS RECORDING FEE</v>
      </c>
      <c r="H1479" s="2">
        <v>233</v>
      </c>
      <c r="I1479" t="str">
        <f>"DEVELOPMENT SVCS RECORDING FEE"</f>
        <v>DEVELOPMENT SVCS RECORDING FEE</v>
      </c>
    </row>
    <row r="1480" spans="1:9" x14ac:dyDescent="0.3">
      <c r="A1480" t="str">
        <f>"RP-CC"</f>
        <v>RP-CC</v>
      </c>
      <c r="B1480" t="s">
        <v>491</v>
      </c>
      <c r="C1480">
        <v>73937</v>
      </c>
      <c r="D1480" s="2">
        <v>172</v>
      </c>
      <c r="E1480" s="1">
        <v>43066</v>
      </c>
      <c r="F1480" t="str">
        <f>"201711206721"</f>
        <v>201711206721</v>
      </c>
      <c r="G1480" t="str">
        <f>"DEVELOPMENT SVCS FEE"</f>
        <v>DEVELOPMENT SVCS FEE</v>
      </c>
      <c r="H1480" s="2">
        <v>172</v>
      </c>
      <c r="I1480" t="str">
        <f>"DEVELOPMENT SVCS FEE"</f>
        <v>DEVELOPMENT SVCS FEE</v>
      </c>
    </row>
    <row r="1481" spans="1:9" x14ac:dyDescent="0.3">
      <c r="A1481" t="str">
        <f>"002112"</f>
        <v>002112</v>
      </c>
      <c r="B1481" t="s">
        <v>492</v>
      </c>
      <c r="C1481">
        <v>73698</v>
      </c>
      <c r="D1481" s="2">
        <v>265.97000000000003</v>
      </c>
      <c r="E1481" s="1">
        <v>43052</v>
      </c>
      <c r="F1481" t="str">
        <f>"201711086519"</f>
        <v>201711086519</v>
      </c>
      <c r="G1481" t="str">
        <f>"INDIGENT HEALTH"</f>
        <v>INDIGENT HEALTH</v>
      </c>
      <c r="H1481" s="2">
        <v>265.97000000000003</v>
      </c>
      <c r="I1481" t="str">
        <f>"INDIGENT HEALTH"</f>
        <v>INDIGENT HEALTH</v>
      </c>
    </row>
    <row r="1482" spans="1:9" x14ac:dyDescent="0.3">
      <c r="A1482" t="str">
        <f>"002035"</f>
        <v>002035</v>
      </c>
      <c r="B1482" t="s">
        <v>493</v>
      </c>
      <c r="C1482">
        <v>73938</v>
      </c>
      <c r="D1482" s="2">
        <v>247.5</v>
      </c>
      <c r="E1482" s="1">
        <v>43066</v>
      </c>
      <c r="F1482" t="str">
        <f>"85681"</f>
        <v>85681</v>
      </c>
      <c r="G1482" t="str">
        <f>"Monitor Arm"</f>
        <v>Monitor Arm</v>
      </c>
      <c r="H1482" s="2">
        <v>247.5</v>
      </c>
      <c r="I1482" t="str">
        <f>"DAC-MA-01-SW-S"</f>
        <v>DAC-MA-01-SW-S</v>
      </c>
    </row>
    <row r="1483" spans="1:9" x14ac:dyDescent="0.3">
      <c r="A1483" t="str">
        <f>"T11094"</f>
        <v>T11094</v>
      </c>
      <c r="B1483" t="s">
        <v>494</v>
      </c>
      <c r="C1483">
        <v>73699</v>
      </c>
      <c r="D1483" s="2">
        <v>1320</v>
      </c>
      <c r="E1483" s="1">
        <v>43052</v>
      </c>
      <c r="F1483" t="str">
        <f>"46697"</f>
        <v>46697</v>
      </c>
      <c r="G1483" t="str">
        <f>"INSTALL RADIOS/PCT#1"</f>
        <v>INSTALL RADIOS/PCT#1</v>
      </c>
      <c r="H1483" s="2">
        <v>380</v>
      </c>
      <c r="I1483" t="str">
        <f>"INSTALL RADIOS/PCT#1"</f>
        <v>INSTALL RADIOS/PCT#1</v>
      </c>
    </row>
    <row r="1484" spans="1:9" x14ac:dyDescent="0.3">
      <c r="A1484" t="str">
        <f>""</f>
        <v/>
      </c>
      <c r="F1484" t="str">
        <f>"46752"</f>
        <v>46752</v>
      </c>
      <c r="G1484" t="str">
        <f>"REPAIR MOBILE RADIO/PCT#4"</f>
        <v>REPAIR MOBILE RADIO/PCT#4</v>
      </c>
      <c r="H1484" s="2">
        <v>150</v>
      </c>
      <c r="I1484" t="str">
        <f>"REPAIR MOBILE RADIO/PCT#4"</f>
        <v>REPAIR MOBILE RADIO/PCT#4</v>
      </c>
    </row>
    <row r="1485" spans="1:9" x14ac:dyDescent="0.3">
      <c r="A1485" t="str">
        <f>""</f>
        <v/>
      </c>
      <c r="F1485" t="str">
        <f>"46778"</f>
        <v>46778</v>
      </c>
      <c r="G1485" t="str">
        <f>"ANTENNAS FOR SHERIFF"</f>
        <v>ANTENNAS FOR SHERIFF</v>
      </c>
      <c r="H1485" s="2">
        <v>790</v>
      </c>
      <c r="I1485" t="str">
        <f>"BUMPER ANTENNA"</f>
        <v>BUMPER ANTENNA</v>
      </c>
    </row>
    <row r="1486" spans="1:9" x14ac:dyDescent="0.3">
      <c r="A1486" t="str">
        <f>""</f>
        <v/>
      </c>
      <c r="F1486" t="str">
        <f>""</f>
        <v/>
      </c>
      <c r="G1486" t="str">
        <f>""</f>
        <v/>
      </c>
      <c r="I1486" t="str">
        <f>"CONCEALED INT ANTEN"</f>
        <v>CONCEALED INT ANTEN</v>
      </c>
    </row>
    <row r="1487" spans="1:9" x14ac:dyDescent="0.3">
      <c r="A1487" t="str">
        <f>""</f>
        <v/>
      </c>
      <c r="F1487" t="str">
        <f>""</f>
        <v/>
      </c>
      <c r="G1487" t="str">
        <f>""</f>
        <v/>
      </c>
      <c r="I1487" t="str">
        <f>"SHIPPING"</f>
        <v>SHIPPING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>"INSTALLATION"</f>
        <v>INSTALLATION</v>
      </c>
    </row>
    <row r="1489" spans="1:9" x14ac:dyDescent="0.3">
      <c r="A1489" t="str">
        <f>"T11094"</f>
        <v>T11094</v>
      </c>
      <c r="B1489" t="s">
        <v>494</v>
      </c>
      <c r="C1489">
        <v>73939</v>
      </c>
      <c r="D1489" s="2">
        <v>455</v>
      </c>
      <c r="E1489" s="1">
        <v>43066</v>
      </c>
      <c r="F1489" t="str">
        <f>"46696"</f>
        <v>46696</v>
      </c>
      <c r="G1489" t="str">
        <f>"INSTALL RADIO/PCT#2"</f>
        <v>INSTALL RADIO/PCT#2</v>
      </c>
      <c r="H1489" s="2">
        <v>455</v>
      </c>
      <c r="I1489" t="str">
        <f>"INSTALL RADIO/PCT#2"</f>
        <v>INSTALL RADIO/PCT#2</v>
      </c>
    </row>
    <row r="1490" spans="1:9" x14ac:dyDescent="0.3">
      <c r="A1490" t="str">
        <f>"004125"</f>
        <v>004125</v>
      </c>
      <c r="B1490" t="s">
        <v>495</v>
      </c>
      <c r="C1490">
        <v>73940</v>
      </c>
      <c r="D1490" s="2">
        <v>1931</v>
      </c>
      <c r="E1490" s="1">
        <v>43066</v>
      </c>
      <c r="F1490" t="str">
        <f>"201711206728"</f>
        <v>201711206728</v>
      </c>
      <c r="G1490" t="str">
        <f>"17-S-04246/S. ROBINSON"</f>
        <v>17-S-04246/S. ROBINSON</v>
      </c>
      <c r="H1490" s="2">
        <v>978</v>
      </c>
      <c r="I1490" t="str">
        <f>"17-S-04246/S. ROBINSON"</f>
        <v>17-S-04246/S. ROBINSON</v>
      </c>
    </row>
    <row r="1491" spans="1:9" x14ac:dyDescent="0.3">
      <c r="A1491" t="str">
        <f>""</f>
        <v/>
      </c>
      <c r="F1491" t="str">
        <f>"201711206729"</f>
        <v>201711206729</v>
      </c>
      <c r="G1491" t="str">
        <f>"17-S-04962/T.LIMUEL"</f>
        <v>17-S-04962/T.LIMUEL</v>
      </c>
      <c r="H1491" s="2">
        <v>953</v>
      </c>
      <c r="I1491" t="str">
        <f>"17-S-04962/T.LIMUEL"</f>
        <v>17-S-04962/T.LIMUEL</v>
      </c>
    </row>
    <row r="1492" spans="1:9" x14ac:dyDescent="0.3">
      <c r="A1492" t="str">
        <f>"T13933"</f>
        <v>T13933</v>
      </c>
      <c r="B1492" t="s">
        <v>496</v>
      </c>
      <c r="C1492">
        <v>73941</v>
      </c>
      <c r="D1492" s="2">
        <v>502.25</v>
      </c>
      <c r="E1492" s="1">
        <v>43066</v>
      </c>
      <c r="F1492" t="str">
        <f>"LODGING-R. KING"</f>
        <v>LODGING-R. KING</v>
      </c>
      <c r="G1492" t="str">
        <f>"LODGING"</f>
        <v>LODGING</v>
      </c>
      <c r="H1492" s="2">
        <v>502.25</v>
      </c>
    </row>
    <row r="1493" spans="1:9" x14ac:dyDescent="0.3">
      <c r="A1493" t="str">
        <f>"003697"</f>
        <v>003697</v>
      </c>
      <c r="B1493" t="s">
        <v>497</v>
      </c>
      <c r="C1493">
        <v>73700</v>
      </c>
      <c r="D1493" s="2">
        <v>82.75</v>
      </c>
      <c r="E1493" s="1">
        <v>43052</v>
      </c>
      <c r="F1493" t="str">
        <f>"22582"</f>
        <v>22582</v>
      </c>
      <c r="G1493" t="str">
        <f>"ORD#C4002/PARTS"</f>
        <v>ORD#C4002/PARTS</v>
      </c>
      <c r="H1493" s="2">
        <v>82.75</v>
      </c>
      <c r="I1493" t="str">
        <f>"ORD#C4002/PARTS"</f>
        <v>ORD#C4002/PARTS</v>
      </c>
    </row>
    <row r="1494" spans="1:9" x14ac:dyDescent="0.3">
      <c r="A1494" t="str">
        <f>"T11973"</f>
        <v>T11973</v>
      </c>
      <c r="B1494" t="s">
        <v>498</v>
      </c>
      <c r="C1494">
        <v>999999</v>
      </c>
      <c r="D1494" s="2">
        <v>359.62</v>
      </c>
      <c r="E1494" s="1">
        <v>43053</v>
      </c>
      <c r="F1494" t="str">
        <f>"201711086505"</f>
        <v>201711086505</v>
      </c>
      <c r="G1494" t="str">
        <f>"INDIGENT HEALTH"</f>
        <v>INDIGENT HEALTH</v>
      </c>
      <c r="H1494" s="2">
        <v>359.62</v>
      </c>
      <c r="I1494" t="str">
        <f>"INDIGENT HEALTH"</f>
        <v>INDIGENT HEALTH</v>
      </c>
    </row>
    <row r="1495" spans="1:9" x14ac:dyDescent="0.3">
      <c r="A1495" t="str">
        <f>"T11973"</f>
        <v>T11973</v>
      </c>
      <c r="B1495" t="s">
        <v>498</v>
      </c>
      <c r="C1495">
        <v>999999</v>
      </c>
      <c r="D1495" s="2">
        <v>113.27</v>
      </c>
      <c r="E1495" s="1">
        <v>43067</v>
      </c>
      <c r="F1495" t="str">
        <f>"201711166656"</f>
        <v>201711166656</v>
      </c>
      <c r="G1495" t="str">
        <f>"INDIGENT HEALTH"</f>
        <v>INDIGENT HEALTH</v>
      </c>
      <c r="H1495" s="2">
        <v>113.27</v>
      </c>
      <c r="I1495" t="str">
        <f>"INDIGENT HEALTH"</f>
        <v>INDIGENT HEALTH</v>
      </c>
    </row>
    <row r="1496" spans="1:9" x14ac:dyDescent="0.3">
      <c r="A1496" t="str">
        <f>"005288"</f>
        <v>005288</v>
      </c>
      <c r="B1496" t="s">
        <v>499</v>
      </c>
      <c r="C1496">
        <v>73701</v>
      </c>
      <c r="D1496" s="2">
        <v>20</v>
      </c>
      <c r="E1496" s="1">
        <v>43052</v>
      </c>
      <c r="F1496" t="str">
        <f>"201711086449"</f>
        <v>201711086449</v>
      </c>
      <c r="G1496" t="str">
        <f>"FERAL HOGS"</f>
        <v>FERAL HOGS</v>
      </c>
      <c r="H1496" s="2">
        <v>20</v>
      </c>
      <c r="I1496" t="str">
        <f>"FERAL HOGS"</f>
        <v>FERAL HOGS</v>
      </c>
    </row>
    <row r="1497" spans="1:9" x14ac:dyDescent="0.3">
      <c r="A1497" t="str">
        <f>"004167"</f>
        <v>004167</v>
      </c>
      <c r="B1497" t="s">
        <v>500</v>
      </c>
      <c r="C1497">
        <v>73702</v>
      </c>
      <c r="D1497" s="2">
        <v>90</v>
      </c>
      <c r="E1497" s="1">
        <v>43052</v>
      </c>
      <c r="F1497" t="str">
        <f>"12078"</f>
        <v>12078</v>
      </c>
      <c r="G1497" t="str">
        <f>"SERVICE  08/30/17"</f>
        <v>SERVICE  08/30/17</v>
      </c>
      <c r="H1497" s="2">
        <v>90</v>
      </c>
      <c r="I1497" t="str">
        <f>"SERVICE  08/30/17"</f>
        <v>SERVICE  08/30/17</v>
      </c>
    </row>
    <row r="1498" spans="1:9" x14ac:dyDescent="0.3">
      <c r="A1498" t="str">
        <f>"002195"</f>
        <v>002195</v>
      </c>
      <c r="B1498" t="s">
        <v>501</v>
      </c>
      <c r="C1498">
        <v>73789</v>
      </c>
      <c r="D1498" s="2">
        <v>13.79</v>
      </c>
      <c r="E1498" s="1">
        <v>43055</v>
      </c>
      <c r="F1498" t="str">
        <f>"201711166642"</f>
        <v>201711166642</v>
      </c>
      <c r="G1498" t="str">
        <f>"REIMBURSE JURY LUNCH"</f>
        <v>REIMBURSE JURY LUNCH</v>
      </c>
      <c r="H1498" s="2">
        <v>13.79</v>
      </c>
      <c r="I1498" t="str">
        <f>"REIMBURSE JURY LUNCH"</f>
        <v>REIMBURSE JURY LUNCH</v>
      </c>
    </row>
    <row r="1499" spans="1:9" x14ac:dyDescent="0.3">
      <c r="A1499" t="str">
        <f>"004828"</f>
        <v>004828</v>
      </c>
      <c r="B1499" t="s">
        <v>502</v>
      </c>
      <c r="C1499">
        <v>73703</v>
      </c>
      <c r="D1499" s="2">
        <v>465</v>
      </c>
      <c r="E1499" s="1">
        <v>43052</v>
      </c>
      <c r="F1499" t="str">
        <f>"201711086450"</f>
        <v>201711086450</v>
      </c>
      <c r="G1499" t="str">
        <f>"FERAL HOGS"</f>
        <v>FERAL HOGS</v>
      </c>
      <c r="H1499" s="2">
        <v>465</v>
      </c>
      <c r="I1499" t="str">
        <f>"FERAL HOGS"</f>
        <v>FERAL HOGS</v>
      </c>
    </row>
    <row r="1500" spans="1:9" x14ac:dyDescent="0.3">
      <c r="A1500" t="str">
        <f>"003131"</f>
        <v>003131</v>
      </c>
      <c r="B1500" t="s">
        <v>503</v>
      </c>
      <c r="C1500">
        <v>73942</v>
      </c>
      <c r="D1500" s="2">
        <v>3333</v>
      </c>
      <c r="E1500" s="1">
        <v>43066</v>
      </c>
      <c r="F1500" t="str">
        <f>"1020171"</f>
        <v>1020171</v>
      </c>
      <c r="G1500" t="str">
        <f>"PRESCRIPTION ASSISTANCE PROG"</f>
        <v>PRESCRIPTION ASSISTANCE PROG</v>
      </c>
      <c r="H1500" s="2">
        <v>3333</v>
      </c>
      <c r="I1500" t="str">
        <f>"PRESCRIPTION ASSISTANCE PROG"</f>
        <v>PRESCRIPTION ASSISTANCE PROG</v>
      </c>
    </row>
    <row r="1501" spans="1:9" x14ac:dyDescent="0.3">
      <c r="A1501" t="str">
        <f>"002423"</f>
        <v>002423</v>
      </c>
      <c r="B1501" t="s">
        <v>504</v>
      </c>
      <c r="C1501">
        <v>73704</v>
      </c>
      <c r="D1501" s="2">
        <v>425.9</v>
      </c>
      <c r="E1501" s="1">
        <v>43052</v>
      </c>
      <c r="F1501" t="str">
        <f>"201711086526"</f>
        <v>201711086526</v>
      </c>
      <c r="G1501" t="str">
        <f>"INDIGENT HEALTH"</f>
        <v>INDIGENT HEALTH</v>
      </c>
      <c r="H1501" s="2">
        <v>425.9</v>
      </c>
      <c r="I1501" t="str">
        <f>"INDIGENT HEALTH"</f>
        <v>INDIGENT HEALTH</v>
      </c>
    </row>
    <row r="1502" spans="1:9" x14ac:dyDescent="0.3">
      <c r="A1502" t="str">
        <f>"003086"</f>
        <v>003086</v>
      </c>
      <c r="B1502" t="s">
        <v>168</v>
      </c>
      <c r="C1502">
        <v>73705</v>
      </c>
      <c r="D1502" s="2">
        <v>4693.09</v>
      </c>
      <c r="E1502" s="1">
        <v>43052</v>
      </c>
      <c r="F1502" t="str">
        <f>"201711076369"</f>
        <v>201711076369</v>
      </c>
      <c r="G1502" t="str">
        <f>"INDIGENT HEALTH - JAIL"</f>
        <v>INDIGENT HEALTH - JAIL</v>
      </c>
      <c r="H1502" s="2">
        <v>2562.5300000000002</v>
      </c>
      <c r="I1502" t="str">
        <f>"INDIGENT HEALTH - JAIL"</f>
        <v>INDIGENT HEALTH - JAIL</v>
      </c>
    </row>
    <row r="1503" spans="1:9" x14ac:dyDescent="0.3">
      <c r="A1503" t="str">
        <f>""</f>
        <v/>
      </c>
      <c r="F1503" t="str">
        <f>"201711086521"</f>
        <v>201711086521</v>
      </c>
      <c r="G1503" t="str">
        <f>"INDIGENT HEALTH"</f>
        <v>INDIGENT HEALTH</v>
      </c>
      <c r="H1503" s="2">
        <v>2130.56</v>
      </c>
      <c r="I1503" t="str">
        <f>"INDIGENT HEALTH"</f>
        <v>INDIGENT HEALTH</v>
      </c>
    </row>
    <row r="1504" spans="1:9" x14ac:dyDescent="0.3">
      <c r="A1504" t="str">
        <f>"003086"</f>
        <v>003086</v>
      </c>
      <c r="B1504" t="s">
        <v>168</v>
      </c>
      <c r="C1504">
        <v>73943</v>
      </c>
      <c r="D1504" s="2">
        <v>2366.85</v>
      </c>
      <c r="E1504" s="1">
        <v>43066</v>
      </c>
      <c r="F1504" t="str">
        <f>"201711166657"</f>
        <v>201711166657</v>
      </c>
      <c r="G1504" t="str">
        <f>"INDIGENT HEALTH"</f>
        <v>INDIGENT HEALTH</v>
      </c>
      <c r="H1504" s="2">
        <v>411.82</v>
      </c>
      <c r="I1504" t="str">
        <f>"INDIGENT HEALTH"</f>
        <v>INDIGENT HEALTH</v>
      </c>
    </row>
    <row r="1505" spans="1:10" x14ac:dyDescent="0.3">
      <c r="A1505" t="str">
        <f>""</f>
        <v/>
      </c>
      <c r="F1505" t="str">
        <f>"201711166658"</f>
        <v>201711166658</v>
      </c>
      <c r="G1505" t="str">
        <f>"INDIGENT HEALTH"</f>
        <v>INDIGENT HEALTH</v>
      </c>
      <c r="H1505" s="2">
        <v>326.82</v>
      </c>
      <c r="I1505" t="str">
        <f>"INDIGENT HEALTH"</f>
        <v>INDIGENT HEALTH</v>
      </c>
    </row>
    <row r="1506" spans="1:10" x14ac:dyDescent="0.3">
      <c r="A1506" t="str">
        <f>""</f>
        <v/>
      </c>
      <c r="F1506" t="str">
        <f>"201711166659"</f>
        <v>201711166659</v>
      </c>
      <c r="G1506" t="str">
        <f>"INDIGENT HEALTH"</f>
        <v>INDIGENT HEALTH</v>
      </c>
      <c r="H1506" s="2">
        <v>1628.21</v>
      </c>
      <c r="I1506" t="str">
        <f>"INDIGENT HEALTH"</f>
        <v>INDIGENT HEALTH</v>
      </c>
    </row>
    <row r="1507" spans="1:10" x14ac:dyDescent="0.3">
      <c r="A1507" t="str">
        <f>"004521"</f>
        <v>004521</v>
      </c>
      <c r="B1507" t="s">
        <v>505</v>
      </c>
      <c r="C1507">
        <v>73706</v>
      </c>
      <c r="D1507" s="2">
        <v>60</v>
      </c>
      <c r="E1507" s="1">
        <v>43052</v>
      </c>
      <c r="F1507" t="s">
        <v>267</v>
      </c>
      <c r="G1507" t="s">
        <v>506</v>
      </c>
      <c r="H1507" s="2" t="str">
        <f>"RESTITUTION-D. MCCOMB"</f>
        <v>RESTITUTION-D. MCCOMB</v>
      </c>
      <c r="I1507" t="str">
        <f>"210-0000"</f>
        <v>210-0000</v>
      </c>
      <c r="J1507">
        <v>60</v>
      </c>
    </row>
    <row r="1508" spans="1:10" x14ac:dyDescent="0.3">
      <c r="A1508" t="str">
        <f>"005081"</f>
        <v>005081</v>
      </c>
      <c r="B1508" t="s">
        <v>507</v>
      </c>
      <c r="C1508">
        <v>73707</v>
      </c>
      <c r="D1508" s="2">
        <v>286.72000000000003</v>
      </c>
      <c r="E1508" s="1">
        <v>43052</v>
      </c>
      <c r="F1508" t="str">
        <f>"201711086488"</f>
        <v>201711086488</v>
      </c>
      <c r="G1508" t="str">
        <f>"ACCT#20147/ANIMAL SVCS"</f>
        <v>ACCT#20147/ANIMAL SVCS</v>
      </c>
      <c r="H1508" s="2">
        <v>286.72000000000003</v>
      </c>
      <c r="I1508" t="str">
        <f>"ACCT#20147/ANIMAL SVCS"</f>
        <v>ACCT#20147/ANIMAL SVCS</v>
      </c>
    </row>
    <row r="1509" spans="1:10" x14ac:dyDescent="0.3">
      <c r="A1509" t="str">
        <f>"T10195"</f>
        <v>T10195</v>
      </c>
      <c r="B1509" t="s">
        <v>508</v>
      </c>
      <c r="C1509">
        <v>73708</v>
      </c>
      <c r="D1509" s="2">
        <v>36130.07</v>
      </c>
      <c r="E1509" s="1">
        <v>43052</v>
      </c>
      <c r="F1509" t="str">
        <f>"14097286"</f>
        <v>14097286</v>
      </c>
      <c r="G1509" t="str">
        <f>"LEC Network PDU &amp; UPS's"</f>
        <v>LEC Network PDU &amp; UPS's</v>
      </c>
      <c r="H1509" s="2">
        <v>2029.05</v>
      </c>
      <c r="I1509" t="str">
        <f>"Part#: SMT750RM2UNC"</f>
        <v>Part#: SMT750RM2UNC</v>
      </c>
    </row>
    <row r="1510" spans="1:10" x14ac:dyDescent="0.3">
      <c r="A1510" t="str">
        <f>""</f>
        <v/>
      </c>
      <c r="F1510" t="str">
        <f>""</f>
        <v/>
      </c>
      <c r="G1510" t="str">
        <f>""</f>
        <v/>
      </c>
      <c r="I1510" t="str">
        <f>"Part#: SMT1500RM2UNC"</f>
        <v>Part#: SMT1500RM2UNC</v>
      </c>
    </row>
    <row r="1511" spans="1:10" x14ac:dyDescent="0.3">
      <c r="A1511" t="str">
        <f>""</f>
        <v/>
      </c>
      <c r="F1511" t="str">
        <f>""</f>
        <v/>
      </c>
      <c r="G1511" t="str">
        <f>""</f>
        <v/>
      </c>
      <c r="I1511" t="str">
        <f>"Part#: AP7811B "</f>
        <v>Part#: AP7811B </v>
      </c>
    </row>
    <row r="1512" spans="1:10" x14ac:dyDescent="0.3">
      <c r="A1512" t="str">
        <f>""</f>
        <v/>
      </c>
      <c r="F1512" t="str">
        <f>"GB00256996"</f>
        <v>GB00256996</v>
      </c>
      <c r="G1512" t="str">
        <f>"ESET Renewal"</f>
        <v>ESET Renewal</v>
      </c>
      <c r="H1512" s="2">
        <v>4320</v>
      </c>
      <c r="I1512" t="str">
        <f>"Part#: ESE-R1-G"</f>
        <v>Part#: ESE-R1-G</v>
      </c>
    </row>
    <row r="1513" spans="1:10" x14ac:dyDescent="0.3">
      <c r="A1513" t="str">
        <f>""</f>
        <v/>
      </c>
      <c r="F1513" t="str">
        <f>"GB00257508"</f>
        <v>GB00257508</v>
      </c>
      <c r="G1513" t="str">
        <f>"Quotation #:   14016200"</f>
        <v>Quotation #:   14016200</v>
      </c>
      <c r="H1513" s="2">
        <v>7350</v>
      </c>
      <c r="I1513" t="str">
        <f>"Part#: ESA-ESI-3Y-S2"</f>
        <v>Part#: ESA-ESI-3Y-S2</v>
      </c>
    </row>
    <row r="1514" spans="1:10" x14ac:dyDescent="0.3">
      <c r="A1514" t="str">
        <f>""</f>
        <v/>
      </c>
      <c r="F1514" t="str">
        <f>"GB00258684"</f>
        <v>GB00258684</v>
      </c>
      <c r="G1514" t="str">
        <f>"Forcepoint Quot# 14297603"</f>
        <v>Forcepoint Quot# 14297603</v>
      </c>
      <c r="H1514" s="2">
        <v>17220</v>
      </c>
      <c r="I1514" t="str">
        <f>"Part# PRSN-X-CP12-N"</f>
        <v>Part# PRSN-X-CP12-N</v>
      </c>
    </row>
    <row r="1515" spans="1:10" x14ac:dyDescent="0.3">
      <c r="A1515" t="str">
        <f>""</f>
        <v/>
      </c>
      <c r="F1515" t="str">
        <f>""</f>
        <v/>
      </c>
      <c r="G1515" t="str">
        <f>""</f>
        <v/>
      </c>
      <c r="I1515" t="str">
        <f>"Part# WSPA-C-CP12-R"</f>
        <v>Part# WSPA-C-CP12-R</v>
      </c>
    </row>
    <row r="1516" spans="1:10" x14ac:dyDescent="0.3">
      <c r="A1516" t="str">
        <f>""</f>
        <v/>
      </c>
      <c r="F1516" t="str">
        <f>"GS00385638"</f>
        <v>GS00385638</v>
      </c>
      <c r="G1516" t="str">
        <f>"Cisco SmartNet Renewal"</f>
        <v>Cisco SmartNet Renewal</v>
      </c>
      <c r="H1516" s="2">
        <v>4414.7700000000004</v>
      </c>
      <c r="I1516" t="str">
        <f>"1 Year"</f>
        <v>1 Year</v>
      </c>
    </row>
    <row r="1517" spans="1:10" x14ac:dyDescent="0.3">
      <c r="A1517" t="str">
        <f>""</f>
        <v/>
      </c>
      <c r="F1517" t="str">
        <f>"GS00388449"</f>
        <v>GS00388449</v>
      </c>
      <c r="G1517" t="str">
        <f>"NetMotion Renewal"</f>
        <v>NetMotion Renewal</v>
      </c>
      <c r="H1517" s="2">
        <v>796.25</v>
      </c>
      <c r="I1517" t="str">
        <f>"Part# 04NDXP25"</f>
        <v>Part# 04NDXP25</v>
      </c>
    </row>
    <row r="1518" spans="1:10" x14ac:dyDescent="0.3">
      <c r="A1518" t="str">
        <f>"T10195"</f>
        <v>T10195</v>
      </c>
      <c r="B1518" t="s">
        <v>508</v>
      </c>
      <c r="C1518">
        <v>73944</v>
      </c>
      <c r="D1518" s="2">
        <v>1227.8800000000001</v>
      </c>
      <c r="E1518" s="1">
        <v>43066</v>
      </c>
      <c r="F1518" t="str">
        <f>"TRANSCEIVER"</f>
        <v>TRANSCEIVER</v>
      </c>
      <c r="G1518" t="str">
        <f>"Transceiver"</f>
        <v>Transceiver</v>
      </c>
      <c r="H1518" s="2">
        <v>1227.8800000000001</v>
      </c>
      <c r="I1518" t="str">
        <f>"Transceiver"</f>
        <v>Transceiver</v>
      </c>
    </row>
    <row r="1519" spans="1:10" x14ac:dyDescent="0.3">
      <c r="A1519" t="str">
        <f>"004840"</f>
        <v>004840</v>
      </c>
      <c r="B1519" t="s">
        <v>509</v>
      </c>
      <c r="C1519">
        <v>73709</v>
      </c>
      <c r="D1519" s="2">
        <v>176.46</v>
      </c>
      <c r="E1519" s="1">
        <v>43052</v>
      </c>
      <c r="F1519" t="str">
        <f>"761706"</f>
        <v>761706</v>
      </c>
      <c r="G1519" t="str">
        <f>"ACCT#550615/PARTS/PCT#3"</f>
        <v>ACCT#550615/PARTS/PCT#3</v>
      </c>
      <c r="H1519" s="2">
        <v>176.46</v>
      </c>
      <c r="I1519" t="str">
        <f>"ACCT#550615/PARTS/PCT#3"</f>
        <v>ACCT#550615/PARTS/PCT#3</v>
      </c>
    </row>
    <row r="1520" spans="1:10" x14ac:dyDescent="0.3">
      <c r="A1520" t="str">
        <f>"001260"</f>
        <v>001260</v>
      </c>
      <c r="B1520" t="s">
        <v>510</v>
      </c>
      <c r="C1520">
        <v>73710</v>
      </c>
      <c r="D1520" s="2">
        <v>192.61</v>
      </c>
      <c r="E1520" s="1">
        <v>43052</v>
      </c>
      <c r="F1520" t="str">
        <f>"201711086522"</f>
        <v>201711086522</v>
      </c>
      <c r="G1520" t="str">
        <f>"INDIGENT HEALTH"</f>
        <v>INDIGENT HEALTH</v>
      </c>
      <c r="H1520" s="2">
        <v>192.61</v>
      </c>
      <c r="I1520" t="str">
        <f>"INDIGENT HEALTH"</f>
        <v>INDIGENT HEALTH</v>
      </c>
    </row>
    <row r="1521" spans="1:9" x14ac:dyDescent="0.3">
      <c r="A1521" t="str">
        <f>"001260"</f>
        <v>001260</v>
      </c>
      <c r="B1521" t="s">
        <v>510</v>
      </c>
      <c r="C1521">
        <v>73945</v>
      </c>
      <c r="D1521" s="2">
        <v>110.26</v>
      </c>
      <c r="E1521" s="1">
        <v>43066</v>
      </c>
      <c r="F1521" t="str">
        <f>"201711166660"</f>
        <v>201711166660</v>
      </c>
      <c r="G1521" t="str">
        <f>"INDIGENT HEALTH"</f>
        <v>INDIGENT HEALTH</v>
      </c>
      <c r="H1521" s="2">
        <v>110.26</v>
      </c>
      <c r="I1521" t="str">
        <f>"INDIGENT HEALTH"</f>
        <v>INDIGENT HEALTH</v>
      </c>
    </row>
    <row r="1522" spans="1:9" x14ac:dyDescent="0.3">
      <c r="A1522" t="str">
        <f>"003483"</f>
        <v>003483</v>
      </c>
      <c r="B1522" t="s">
        <v>511</v>
      </c>
      <c r="C1522">
        <v>73946</v>
      </c>
      <c r="D1522" s="2">
        <v>1427.39</v>
      </c>
      <c r="E1522" s="1">
        <v>43066</v>
      </c>
      <c r="F1522" t="str">
        <f>"77181"</f>
        <v>77181</v>
      </c>
      <c r="G1522" t="str">
        <f>"INV 77181 /UNIT 3106"</f>
        <v>INV 77181 /UNIT 3106</v>
      </c>
      <c r="H1522" s="2">
        <v>1427.39</v>
      </c>
      <c r="I1522" t="str">
        <f>"INV 77181"</f>
        <v>INV 77181</v>
      </c>
    </row>
    <row r="1523" spans="1:9" x14ac:dyDescent="0.3">
      <c r="A1523" t="str">
        <f>"SS"</f>
        <v>SS</v>
      </c>
      <c r="B1523" t="s">
        <v>512</v>
      </c>
      <c r="C1523">
        <v>73947</v>
      </c>
      <c r="D1523" s="2">
        <v>455.5</v>
      </c>
      <c r="E1523" s="1">
        <v>43066</v>
      </c>
      <c r="F1523" t="str">
        <f>"201711156602"</f>
        <v>201711156602</v>
      </c>
      <c r="G1523" t="str">
        <f>"STATEMENT#25725/PCT#2"</f>
        <v>STATEMENT#25725/PCT#2</v>
      </c>
      <c r="H1523" s="2">
        <v>455.5</v>
      </c>
      <c r="I1523" t="str">
        <f>"STATEMENT#25725/PCT#2"</f>
        <v>STATEMENT#25725/PCT#2</v>
      </c>
    </row>
    <row r="1524" spans="1:9" x14ac:dyDescent="0.3">
      <c r="A1524" t="str">
        <f>"SAP"</f>
        <v>SAP</v>
      </c>
      <c r="B1524" t="s">
        <v>513</v>
      </c>
      <c r="C1524">
        <v>73948</v>
      </c>
      <c r="D1524" s="2">
        <v>1902.04</v>
      </c>
      <c r="E1524" s="1">
        <v>43066</v>
      </c>
      <c r="F1524" t="str">
        <f>"201711156603"</f>
        <v>201711156603</v>
      </c>
      <c r="G1524" t="str">
        <f>"ACCT#260/PCT#2"</f>
        <v>ACCT#260/PCT#2</v>
      </c>
      <c r="H1524" s="2">
        <v>1902.04</v>
      </c>
      <c r="I1524" t="str">
        <f>"ACCT#260/PCT#2"</f>
        <v>ACCT#260/PCT#2</v>
      </c>
    </row>
    <row r="1525" spans="1:9" x14ac:dyDescent="0.3">
      <c r="A1525" t="str">
        <f>"T13973"</f>
        <v>T13973</v>
      </c>
      <c r="B1525" t="s">
        <v>514</v>
      </c>
      <c r="C1525">
        <v>73711</v>
      </c>
      <c r="D1525" s="2">
        <v>2500</v>
      </c>
      <c r="E1525" s="1">
        <v>43052</v>
      </c>
      <c r="F1525" t="str">
        <f>"201710255978"</f>
        <v>201710255978</v>
      </c>
      <c r="G1525" t="str">
        <f>"ALLOCATED FUNDING FOR 2017"</f>
        <v>ALLOCATED FUNDING FOR 2017</v>
      </c>
      <c r="H1525" s="2">
        <v>2500</v>
      </c>
      <c r="I1525" t="str">
        <f>"ALLOCATED FUNDING FOR 2017"</f>
        <v>ALLOCATED FUNDING FOR 2017</v>
      </c>
    </row>
    <row r="1526" spans="1:9" x14ac:dyDescent="0.3">
      <c r="A1526" t="str">
        <f>"002694"</f>
        <v>002694</v>
      </c>
      <c r="B1526" t="s">
        <v>515</v>
      </c>
      <c r="C1526">
        <v>73712</v>
      </c>
      <c r="D1526" s="2">
        <v>642</v>
      </c>
      <c r="E1526" s="1">
        <v>43052</v>
      </c>
      <c r="F1526" t="str">
        <f>"MAINT RENEWAL"</f>
        <v>MAINT RENEWAL</v>
      </c>
      <c r="G1526" t="str">
        <f>"MAINTENANCE RENEWAL"</f>
        <v>MAINTENANCE RENEWAL</v>
      </c>
      <c r="H1526" s="2">
        <v>642</v>
      </c>
      <c r="I1526" t="str">
        <f>"MAINTENANCE RENEWAL"</f>
        <v>MAINTENANCE RENEWAL</v>
      </c>
    </row>
    <row r="1527" spans="1:9" x14ac:dyDescent="0.3">
      <c r="A1527" t="str">
        <f>"STM"</f>
        <v>STM</v>
      </c>
      <c r="B1527" t="s">
        <v>516</v>
      </c>
      <c r="C1527">
        <v>73713</v>
      </c>
      <c r="D1527" s="2">
        <v>6199.65</v>
      </c>
      <c r="E1527" s="1">
        <v>43052</v>
      </c>
      <c r="F1527" t="str">
        <f>"63228679"</f>
        <v>63228679</v>
      </c>
      <c r="G1527" t="str">
        <f>"CUST#52157/TIRE SVCS/PCT#3"</f>
        <v>CUST#52157/TIRE SVCS/PCT#3</v>
      </c>
      <c r="H1527" s="2">
        <v>6025.2</v>
      </c>
      <c r="I1527" t="str">
        <f>"CUST#52157/TIRE SVCS/PCT#3"</f>
        <v>CUST#52157/TIRE SVCS/PCT#3</v>
      </c>
    </row>
    <row r="1528" spans="1:9" x14ac:dyDescent="0.3">
      <c r="A1528" t="str">
        <f>""</f>
        <v/>
      </c>
      <c r="F1528" t="str">
        <f>"63230056"</f>
        <v>63230056</v>
      </c>
      <c r="G1528" t="str">
        <f>"CUST#52157/TIRE SVCS/PCT#3"</f>
        <v>CUST#52157/TIRE SVCS/PCT#3</v>
      </c>
      <c r="H1528" s="2">
        <v>174.45</v>
      </c>
      <c r="I1528" t="str">
        <f>"CUST#52157/TIRE SVCS/PCT#3"</f>
        <v>CUST#52157/TIRE SVCS/PCT#3</v>
      </c>
    </row>
    <row r="1529" spans="1:9" x14ac:dyDescent="0.3">
      <c r="A1529" t="str">
        <f>"T11061"</f>
        <v>T11061</v>
      </c>
      <c r="B1529" t="s">
        <v>517</v>
      </c>
      <c r="C1529">
        <v>73949</v>
      </c>
      <c r="D1529" s="2">
        <v>23.04</v>
      </c>
      <c r="E1529" s="1">
        <v>43066</v>
      </c>
      <c r="F1529" t="str">
        <f>"9604456 110917"</f>
        <v>9604456 110917</v>
      </c>
      <c r="G1529" t="str">
        <f>"ACCT#46668439604456/JP#2"</f>
        <v>ACCT#46668439604456/JP#2</v>
      </c>
      <c r="H1529" s="2">
        <v>23.04</v>
      </c>
      <c r="I1529" t="str">
        <f>"ACCT#46668439604456/JP#2"</f>
        <v>ACCT#46668439604456/JP#2</v>
      </c>
    </row>
    <row r="1530" spans="1:9" x14ac:dyDescent="0.3">
      <c r="A1530" t="str">
        <f>"003747"</f>
        <v>003747</v>
      </c>
      <c r="B1530" t="s">
        <v>518</v>
      </c>
      <c r="C1530">
        <v>73714</v>
      </c>
      <c r="D1530" s="2">
        <v>10.62</v>
      </c>
      <c r="E1530" s="1">
        <v>43052</v>
      </c>
      <c r="F1530" t="str">
        <f>"A0698356V"</f>
        <v>A0698356V</v>
      </c>
      <c r="G1530" t="str">
        <f>"ACCT#0698356V"</f>
        <v>ACCT#0698356V</v>
      </c>
      <c r="H1530" s="2">
        <v>10.62</v>
      </c>
      <c r="I1530" t="str">
        <f>"ACCT#0698356V"</f>
        <v>ACCT#0698356V</v>
      </c>
    </row>
    <row r="1531" spans="1:9" x14ac:dyDescent="0.3">
      <c r="A1531" t="str">
        <f>"003747"</f>
        <v>003747</v>
      </c>
      <c r="B1531" t="s">
        <v>518</v>
      </c>
      <c r="C1531">
        <v>73950</v>
      </c>
      <c r="D1531" s="2">
        <v>10.62</v>
      </c>
      <c r="E1531" s="1">
        <v>43066</v>
      </c>
      <c r="F1531" t="str">
        <f>"A0698356W"</f>
        <v>A0698356W</v>
      </c>
      <c r="G1531" t="str">
        <f>"ACCT# 0698356-3/OEM"</f>
        <v>ACCT# 0698356-3/OEM</v>
      </c>
      <c r="H1531" s="2">
        <v>10.62</v>
      </c>
      <c r="I1531" t="str">
        <f>"ACCT# 0698356-3/OEM"</f>
        <v>ACCT# 0698356-3/OEM</v>
      </c>
    </row>
    <row r="1532" spans="1:9" x14ac:dyDescent="0.3">
      <c r="A1532" t="str">
        <f>"SDHCS"</f>
        <v>SDHCS</v>
      </c>
      <c r="B1532" t="s">
        <v>519</v>
      </c>
      <c r="C1532">
        <v>73715</v>
      </c>
      <c r="D1532" s="2">
        <v>3084.63</v>
      </c>
      <c r="E1532" s="1">
        <v>43052</v>
      </c>
      <c r="F1532" t="str">
        <f>"201711086523"</f>
        <v>201711086523</v>
      </c>
      <c r="G1532" t="str">
        <f>"INDIGENT HEALTH"</f>
        <v>INDIGENT HEALTH</v>
      </c>
      <c r="H1532" s="2">
        <v>218.76</v>
      </c>
      <c r="I1532" t="str">
        <f>"INDIGENT HEALTH"</f>
        <v>INDIGENT HEALTH</v>
      </c>
    </row>
    <row r="1533" spans="1:9" x14ac:dyDescent="0.3">
      <c r="A1533" t="str">
        <f>""</f>
        <v/>
      </c>
      <c r="F1533" t="str">
        <f>"201711086524"</f>
        <v>201711086524</v>
      </c>
      <c r="G1533" t="str">
        <f>"INDIGENT HEALTH"</f>
        <v>INDIGENT HEALTH</v>
      </c>
      <c r="H1533" s="2">
        <v>801.99</v>
      </c>
      <c r="I1533" t="str">
        <f>"INDIGENT HEALTH"</f>
        <v>INDIGENT HEALTH</v>
      </c>
    </row>
    <row r="1534" spans="1:9" x14ac:dyDescent="0.3">
      <c r="A1534" t="str">
        <f>""</f>
        <v/>
      </c>
      <c r="F1534" t="str">
        <f>"201711086525"</f>
        <v>201711086525</v>
      </c>
      <c r="G1534" t="str">
        <f>"INDIGENT HEALTH"</f>
        <v>INDIGENT HEALTH</v>
      </c>
      <c r="H1534" s="2">
        <v>2063.88</v>
      </c>
      <c r="I1534" t="str">
        <f>"INDIGENT HEALTH"</f>
        <v>INDIGENT HEALTH</v>
      </c>
    </row>
    <row r="1535" spans="1:9" x14ac:dyDescent="0.3">
      <c r="A1535" t="str">
        <f>"SDHCS"</f>
        <v>SDHCS</v>
      </c>
      <c r="B1535" t="s">
        <v>519</v>
      </c>
      <c r="C1535">
        <v>73951</v>
      </c>
      <c r="D1535" s="2">
        <v>591.57000000000005</v>
      </c>
      <c r="E1535" s="1">
        <v>43066</v>
      </c>
      <c r="F1535" t="str">
        <f>"201711166661"</f>
        <v>201711166661</v>
      </c>
      <c r="G1535" t="str">
        <f>"INDIGENT HEALTH"</f>
        <v>INDIGENT HEALTH</v>
      </c>
      <c r="H1535" s="2">
        <v>591.57000000000005</v>
      </c>
      <c r="I1535" t="str">
        <f>"INDIGENT HEALTH"</f>
        <v>INDIGENT HEALTH</v>
      </c>
    </row>
    <row r="1536" spans="1:9" x14ac:dyDescent="0.3">
      <c r="A1536" t="str">
        <f>"003508"</f>
        <v>003508</v>
      </c>
      <c r="B1536" t="s">
        <v>520</v>
      </c>
      <c r="C1536">
        <v>73716</v>
      </c>
      <c r="D1536" s="2">
        <v>1538.35</v>
      </c>
      <c r="E1536" s="1">
        <v>43052</v>
      </c>
      <c r="F1536" t="str">
        <f>"8046948512"</f>
        <v>8046948512</v>
      </c>
      <c r="G1536" t="str">
        <f>"SumInv# 8046948512"</f>
        <v>SumInv# 8046948512</v>
      </c>
      <c r="H1536" s="2">
        <v>1538.35</v>
      </c>
      <c r="I1536" t="str">
        <f>"Inv# 335242148"</f>
        <v>Inv# 335242148</v>
      </c>
    </row>
    <row r="1537" spans="1:9" x14ac:dyDescent="0.3">
      <c r="A1537" t="str">
        <f>""</f>
        <v/>
      </c>
      <c r="F1537" t="str">
        <f>""</f>
        <v/>
      </c>
      <c r="G1537" t="str">
        <f>""</f>
        <v/>
      </c>
      <c r="I1537" t="str">
        <f>"Inv# 3356242146"</f>
        <v>Inv# 3356242146</v>
      </c>
    </row>
    <row r="1538" spans="1:9" x14ac:dyDescent="0.3">
      <c r="A1538" t="str">
        <f>""</f>
        <v/>
      </c>
      <c r="F1538" t="str">
        <f>""</f>
        <v/>
      </c>
      <c r="G1538" t="str">
        <f>""</f>
        <v/>
      </c>
      <c r="I1538" t="str">
        <f>"Inv# 3356242147"</f>
        <v>Inv# 3356242147</v>
      </c>
    </row>
    <row r="1539" spans="1:9" x14ac:dyDescent="0.3">
      <c r="A1539" t="str">
        <f>""</f>
        <v/>
      </c>
      <c r="F1539" t="str">
        <f>""</f>
        <v/>
      </c>
      <c r="G1539" t="str">
        <f>""</f>
        <v/>
      </c>
      <c r="I1539" t="str">
        <f>"Inv# 3356242149"</f>
        <v>Inv# 3356242149</v>
      </c>
    </row>
    <row r="1540" spans="1:9" x14ac:dyDescent="0.3">
      <c r="A1540" t="str">
        <f>""</f>
        <v/>
      </c>
      <c r="F1540" t="str">
        <f>""</f>
        <v/>
      </c>
      <c r="G1540" t="str">
        <f>""</f>
        <v/>
      </c>
      <c r="I1540" t="str">
        <f>"Inv# 3356242150"</f>
        <v>Inv# 3356242150</v>
      </c>
    </row>
    <row r="1541" spans="1:9" x14ac:dyDescent="0.3">
      <c r="A1541" t="str">
        <f>""</f>
        <v/>
      </c>
      <c r="F1541" t="str">
        <f>""</f>
        <v/>
      </c>
      <c r="G1541" t="str">
        <f>""</f>
        <v/>
      </c>
      <c r="I1541" t="str">
        <f>"Inv# 335242155"</f>
        <v>Inv# 335242155</v>
      </c>
    </row>
    <row r="1542" spans="1:9" x14ac:dyDescent="0.3">
      <c r="A1542" t="str">
        <f>""</f>
        <v/>
      </c>
      <c r="F1542" t="str">
        <f>""</f>
        <v/>
      </c>
      <c r="G1542" t="str">
        <f>""</f>
        <v/>
      </c>
      <c r="I1542" t="str">
        <f>"Inv# 335242156"</f>
        <v>Inv# 335242156</v>
      </c>
    </row>
    <row r="1543" spans="1:9" x14ac:dyDescent="0.3">
      <c r="A1543" t="str">
        <f>""</f>
        <v/>
      </c>
      <c r="F1543" t="str">
        <f>""</f>
        <v/>
      </c>
      <c r="G1543" t="str">
        <f>""</f>
        <v/>
      </c>
      <c r="I1543" t="str">
        <f>"Inv# 3356242153"</f>
        <v>Inv# 3356242153</v>
      </c>
    </row>
    <row r="1544" spans="1:9" x14ac:dyDescent="0.3">
      <c r="A1544" t="str">
        <f>""</f>
        <v/>
      </c>
      <c r="F1544" t="str">
        <f>""</f>
        <v/>
      </c>
      <c r="G1544" t="str">
        <f>""</f>
        <v/>
      </c>
      <c r="I1544" t="str">
        <f>"Inv# 3356242154"</f>
        <v>Inv# 3356242154</v>
      </c>
    </row>
    <row r="1545" spans="1:9" x14ac:dyDescent="0.3">
      <c r="A1545" t="str">
        <f>""</f>
        <v/>
      </c>
      <c r="F1545" t="str">
        <f>""</f>
        <v/>
      </c>
      <c r="G1545" t="str">
        <f>""</f>
        <v/>
      </c>
      <c r="I1545" t="str">
        <f>"Inv# 3356242151"</f>
        <v>Inv# 3356242151</v>
      </c>
    </row>
    <row r="1546" spans="1:9" x14ac:dyDescent="0.3">
      <c r="A1546" t="str">
        <f>""</f>
        <v/>
      </c>
      <c r="F1546" t="str">
        <f>""</f>
        <v/>
      </c>
      <c r="G1546" t="str">
        <f>""</f>
        <v/>
      </c>
      <c r="I1546" t="str">
        <f>"Inv# 3356242152"</f>
        <v>Inv# 3356242152</v>
      </c>
    </row>
    <row r="1547" spans="1:9" x14ac:dyDescent="0.3">
      <c r="A1547" t="str">
        <f>""</f>
        <v/>
      </c>
      <c r="F1547" t="str">
        <f>""</f>
        <v/>
      </c>
      <c r="G1547" t="str">
        <f>""</f>
        <v/>
      </c>
      <c r="I1547" t="str">
        <f>"Inv# 3356242144"</f>
        <v>Inv# 3356242144</v>
      </c>
    </row>
    <row r="1548" spans="1:9" x14ac:dyDescent="0.3">
      <c r="A1548" t="str">
        <f>""</f>
        <v/>
      </c>
      <c r="F1548" t="str">
        <f>""</f>
        <v/>
      </c>
      <c r="G1548" t="str">
        <f>""</f>
        <v/>
      </c>
      <c r="I1548" t="str">
        <f>"Inv# 3356242145"</f>
        <v>Inv# 3356242145</v>
      </c>
    </row>
    <row r="1549" spans="1:9" x14ac:dyDescent="0.3">
      <c r="A1549" t="str">
        <f>"003508"</f>
        <v>003508</v>
      </c>
      <c r="B1549" t="s">
        <v>520</v>
      </c>
      <c r="C1549">
        <v>73952</v>
      </c>
      <c r="D1549" s="2">
        <v>2537.38</v>
      </c>
      <c r="E1549" s="1">
        <v>43066</v>
      </c>
      <c r="F1549" t="str">
        <f>"8047202180"</f>
        <v>8047202180</v>
      </c>
      <c r="G1549" t="str">
        <f>"Sum Inv# 8047202180"</f>
        <v>Sum Inv# 8047202180</v>
      </c>
      <c r="H1549" s="2">
        <v>2537.38</v>
      </c>
      <c r="I1549" t="str">
        <f>"Inv# 3358226674"</f>
        <v>Inv# 3358226674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>"Inv# 3358226687"</f>
        <v>Inv# 3358226687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>"Inv# 3358226688"</f>
        <v>Inv# 3358226688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>"Inv# 3358226689"</f>
        <v>Inv# 3358226689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>"Inv# 3358226690"</f>
        <v>Inv# 3358226690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>"Inv# 3358226686"</f>
        <v>Inv# 3358226686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>"Inv# 3358226691"</f>
        <v>Inv# 3358226691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>"Inv# 3358226707"</f>
        <v>Inv# 3358226707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>"Inv# 3358226696"</f>
        <v>Inv# 3358226696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>"Inv# 3358226697"</f>
        <v>Inv# 3358226697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"Inv# 3358226698"</f>
        <v>Inv# 3358226698</v>
      </c>
    </row>
    <row r="1560" spans="1:9" x14ac:dyDescent="0.3">
      <c r="A1560" t="str">
        <f>""</f>
        <v/>
      </c>
      <c r="F1560" t="str">
        <f>""</f>
        <v/>
      </c>
      <c r="G1560" t="str">
        <f>""</f>
        <v/>
      </c>
      <c r="I1560" t="str">
        <f>"Inv# 3358226700"</f>
        <v>Inv# 3358226700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>"Inv# 3358226701"</f>
        <v>Inv# 3358226701</v>
      </c>
    </row>
    <row r="1562" spans="1:9" x14ac:dyDescent="0.3">
      <c r="A1562" t="str">
        <f>""</f>
        <v/>
      </c>
      <c r="F1562" t="str">
        <f>""</f>
        <v/>
      </c>
      <c r="G1562" t="str">
        <f>""</f>
        <v/>
      </c>
      <c r="I1562" t="str">
        <f>"Inv# 3358226702"</f>
        <v>Inv# 3358226702</v>
      </c>
    </row>
    <row r="1563" spans="1:9" x14ac:dyDescent="0.3">
      <c r="A1563" t="str">
        <f>""</f>
        <v/>
      </c>
      <c r="F1563" t="str">
        <f>""</f>
        <v/>
      </c>
      <c r="G1563" t="str">
        <f>""</f>
        <v/>
      </c>
      <c r="I1563" t="str">
        <f>"Inv# 3358226703"</f>
        <v>Inv# 3358226703</v>
      </c>
    </row>
    <row r="1564" spans="1:9" x14ac:dyDescent="0.3">
      <c r="A1564" t="str">
        <f>""</f>
        <v/>
      </c>
      <c r="F1564" t="str">
        <f>""</f>
        <v/>
      </c>
      <c r="G1564" t="str">
        <f>""</f>
        <v/>
      </c>
      <c r="I1564" t="str">
        <f>"Inv# 3358226704"</f>
        <v>Inv# 3358226704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>"Inv# 3358226708"</f>
        <v>Inv# 3358226708</v>
      </c>
    </row>
    <row r="1566" spans="1:9" x14ac:dyDescent="0.3">
      <c r="A1566" t="str">
        <f>""</f>
        <v/>
      </c>
      <c r="F1566" t="str">
        <f>""</f>
        <v/>
      </c>
      <c r="G1566" t="str">
        <f>""</f>
        <v/>
      </c>
      <c r="I1566" t="str">
        <f>"Inv# 3358226682"</f>
        <v>Inv# 3358226682</v>
      </c>
    </row>
    <row r="1567" spans="1:9" x14ac:dyDescent="0.3">
      <c r="A1567" t="str">
        <f>""</f>
        <v/>
      </c>
      <c r="F1567" t="str">
        <f>""</f>
        <v/>
      </c>
      <c r="G1567" t="str">
        <f>""</f>
        <v/>
      </c>
      <c r="I1567" t="str">
        <f>"Inv# 3358226683"</f>
        <v>Inv# 3358226683</v>
      </c>
    </row>
    <row r="1568" spans="1:9" x14ac:dyDescent="0.3">
      <c r="A1568" t="str">
        <f>""</f>
        <v/>
      </c>
      <c r="F1568" t="str">
        <f>""</f>
        <v/>
      </c>
      <c r="G1568" t="str">
        <f>""</f>
        <v/>
      </c>
      <c r="I1568" t="str">
        <f>"Inv# 3358226684"</f>
        <v>Inv# 3358226684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>"Inv# 3358226685"</f>
        <v>Inv# 3358226685</v>
      </c>
    </row>
    <row r="1570" spans="1:9" x14ac:dyDescent="0.3">
      <c r="A1570" t="str">
        <f>""</f>
        <v/>
      </c>
      <c r="F1570" t="str">
        <f>""</f>
        <v/>
      </c>
      <c r="G1570" t="str">
        <f>""</f>
        <v/>
      </c>
      <c r="I1570" t="str">
        <f>"Inv# 3358226695"</f>
        <v>Inv# 3358226695</v>
      </c>
    </row>
    <row r="1571" spans="1:9" x14ac:dyDescent="0.3">
      <c r="A1571" t="str">
        <f>""</f>
        <v/>
      </c>
      <c r="F1571" t="str">
        <f>""</f>
        <v/>
      </c>
      <c r="G1571" t="str">
        <f>""</f>
        <v/>
      </c>
      <c r="I1571" t="str">
        <f>"Inv# 3358226680"</f>
        <v>Inv# 3358226680</v>
      </c>
    </row>
    <row r="1572" spans="1:9" x14ac:dyDescent="0.3">
      <c r="A1572" t="str">
        <f>"ST"</f>
        <v>ST</v>
      </c>
      <c r="B1572" t="s">
        <v>521</v>
      </c>
      <c r="C1572">
        <v>73396</v>
      </c>
      <c r="D1572" s="2">
        <v>575</v>
      </c>
      <c r="E1572" s="1">
        <v>43042</v>
      </c>
      <c r="F1572" t="str">
        <f>"201711036115"</f>
        <v>201711036115</v>
      </c>
      <c r="G1572" t="str">
        <f>"Judicial Court Personnel Fee"</f>
        <v>Judicial Court Personnel Fee</v>
      </c>
      <c r="H1572" s="2">
        <v>575</v>
      </c>
      <c r="I1572" t="str">
        <f>"Judicial Court Personnel Fee"</f>
        <v>Judicial Court Personnel Fee</v>
      </c>
    </row>
    <row r="1573" spans="1:9" x14ac:dyDescent="0.3">
      <c r="A1573" t="str">
        <f>"T459"</f>
        <v>T459</v>
      </c>
      <c r="B1573" t="s">
        <v>522</v>
      </c>
      <c r="C1573">
        <v>73717</v>
      </c>
      <c r="D1573" s="2">
        <v>255</v>
      </c>
      <c r="E1573" s="1">
        <v>43052</v>
      </c>
      <c r="F1573" t="str">
        <f>"201711016087"</f>
        <v>201711016087</v>
      </c>
      <c r="G1573" t="str">
        <f>"SEPTEMBER 2017"</f>
        <v>SEPTEMBER 2017</v>
      </c>
      <c r="H1573" s="2">
        <v>255</v>
      </c>
      <c r="I1573" t="str">
        <f>"SEPTEMBER 2017"</f>
        <v>SEPTEMBER 2017</v>
      </c>
    </row>
    <row r="1574" spans="1:9" x14ac:dyDescent="0.3">
      <c r="A1574" t="str">
        <f>"T459"</f>
        <v>T459</v>
      </c>
      <c r="B1574" t="s">
        <v>522</v>
      </c>
      <c r="C1574">
        <v>73953</v>
      </c>
      <c r="D1574" s="2">
        <v>611.11</v>
      </c>
      <c r="E1574" s="1">
        <v>43066</v>
      </c>
      <c r="F1574" t="str">
        <f>"201711206725"</f>
        <v>201711206725</v>
      </c>
      <c r="G1574" t="str">
        <f>"#74-6000226 / OCTOBER 2017"</f>
        <v>#74-6000226 / OCTOBER 2017</v>
      </c>
      <c r="H1574" s="2">
        <v>611.11</v>
      </c>
      <c r="I1574" t="str">
        <f>"#74-6000226 / OCTOBER 2017"</f>
        <v>#74-6000226 / OCTOBER 2017</v>
      </c>
    </row>
    <row r="1575" spans="1:9" x14ac:dyDescent="0.3">
      <c r="A1575" t="str">
        <f>"001687"</f>
        <v>001687</v>
      </c>
      <c r="B1575" t="s">
        <v>523</v>
      </c>
      <c r="C1575">
        <v>73718</v>
      </c>
      <c r="D1575" s="2">
        <v>1725</v>
      </c>
      <c r="E1575" s="1">
        <v>43052</v>
      </c>
      <c r="F1575" t="str">
        <f>"201710306075"</f>
        <v>201710306075</v>
      </c>
      <c r="G1575" t="str">
        <f>"15 988"</f>
        <v>15 988</v>
      </c>
      <c r="H1575" s="2">
        <v>1725</v>
      </c>
      <c r="I1575" t="str">
        <f>"15 988"</f>
        <v>15 988</v>
      </c>
    </row>
    <row r="1576" spans="1:9" x14ac:dyDescent="0.3">
      <c r="A1576" t="str">
        <f>"004808"</f>
        <v>004808</v>
      </c>
      <c r="B1576" t="s">
        <v>524</v>
      </c>
      <c r="C1576">
        <v>73719</v>
      </c>
      <c r="D1576" s="2">
        <v>620</v>
      </c>
      <c r="E1576" s="1">
        <v>43052</v>
      </c>
      <c r="F1576" t="str">
        <f>"201711086451"</f>
        <v>201711086451</v>
      </c>
      <c r="G1576" t="str">
        <f t="shared" ref="G1576:G1584" si="19">"FERAL HOGS"</f>
        <v>FERAL HOGS</v>
      </c>
      <c r="H1576" s="2">
        <v>105</v>
      </c>
      <c r="I1576" t="str">
        <f t="shared" ref="I1576:I1584" si="20">"FERAL HOGS"</f>
        <v>FERAL HOGS</v>
      </c>
    </row>
    <row r="1577" spans="1:9" x14ac:dyDescent="0.3">
      <c r="A1577" t="str">
        <f>""</f>
        <v/>
      </c>
      <c r="F1577" t="str">
        <f>"201711086452"</f>
        <v>201711086452</v>
      </c>
      <c r="G1577" t="str">
        <f t="shared" si="19"/>
        <v>FERAL HOGS</v>
      </c>
      <c r="H1577" s="2">
        <v>35</v>
      </c>
      <c r="I1577" t="str">
        <f t="shared" si="20"/>
        <v>FERAL HOGS</v>
      </c>
    </row>
    <row r="1578" spans="1:9" x14ac:dyDescent="0.3">
      <c r="A1578" t="str">
        <f>""</f>
        <v/>
      </c>
      <c r="F1578" t="str">
        <f>"201711086453"</f>
        <v>201711086453</v>
      </c>
      <c r="G1578" t="str">
        <f t="shared" si="19"/>
        <v>FERAL HOGS</v>
      </c>
      <c r="H1578" s="2">
        <v>10</v>
      </c>
      <c r="I1578" t="str">
        <f t="shared" si="20"/>
        <v>FERAL HOGS</v>
      </c>
    </row>
    <row r="1579" spans="1:9" x14ac:dyDescent="0.3">
      <c r="A1579" t="str">
        <f>""</f>
        <v/>
      </c>
      <c r="F1579" t="str">
        <f>"201711086454"</f>
        <v>201711086454</v>
      </c>
      <c r="G1579" t="str">
        <f t="shared" si="19"/>
        <v>FERAL HOGS</v>
      </c>
      <c r="H1579" s="2">
        <v>5</v>
      </c>
      <c r="I1579" t="str">
        <f t="shared" si="20"/>
        <v>FERAL HOGS</v>
      </c>
    </row>
    <row r="1580" spans="1:9" x14ac:dyDescent="0.3">
      <c r="A1580" t="str">
        <f>""</f>
        <v/>
      </c>
      <c r="F1580" t="str">
        <f>"201711086455"</f>
        <v>201711086455</v>
      </c>
      <c r="G1580" t="str">
        <f t="shared" si="19"/>
        <v>FERAL HOGS</v>
      </c>
      <c r="H1580" s="2">
        <v>15</v>
      </c>
      <c r="I1580" t="str">
        <f t="shared" si="20"/>
        <v>FERAL HOGS</v>
      </c>
    </row>
    <row r="1581" spans="1:9" x14ac:dyDescent="0.3">
      <c r="A1581" t="str">
        <f>""</f>
        <v/>
      </c>
      <c r="F1581" t="str">
        <f>"201711086456"</f>
        <v>201711086456</v>
      </c>
      <c r="G1581" t="str">
        <f t="shared" si="19"/>
        <v>FERAL HOGS</v>
      </c>
      <c r="H1581" s="2">
        <v>35</v>
      </c>
      <c r="I1581" t="str">
        <f t="shared" si="20"/>
        <v>FERAL HOGS</v>
      </c>
    </row>
    <row r="1582" spans="1:9" x14ac:dyDescent="0.3">
      <c r="A1582" t="str">
        <f>""</f>
        <v/>
      </c>
      <c r="F1582" t="str">
        <f>"201711086457"</f>
        <v>201711086457</v>
      </c>
      <c r="G1582" t="str">
        <f t="shared" si="19"/>
        <v>FERAL HOGS</v>
      </c>
      <c r="H1582" s="2">
        <v>200</v>
      </c>
      <c r="I1582" t="str">
        <f t="shared" si="20"/>
        <v>FERAL HOGS</v>
      </c>
    </row>
    <row r="1583" spans="1:9" x14ac:dyDescent="0.3">
      <c r="A1583" t="str">
        <f>""</f>
        <v/>
      </c>
      <c r="F1583" t="str">
        <f>"201711086458"</f>
        <v>201711086458</v>
      </c>
      <c r="G1583" t="str">
        <f t="shared" si="19"/>
        <v>FERAL HOGS</v>
      </c>
      <c r="H1583" s="2">
        <v>55</v>
      </c>
      <c r="I1583" t="str">
        <f t="shared" si="20"/>
        <v>FERAL HOGS</v>
      </c>
    </row>
    <row r="1584" spans="1:9" x14ac:dyDescent="0.3">
      <c r="A1584" t="str">
        <f>""</f>
        <v/>
      </c>
      <c r="F1584" t="str">
        <f>"201711086459"</f>
        <v>201711086459</v>
      </c>
      <c r="G1584" t="str">
        <f t="shared" si="19"/>
        <v>FERAL HOGS</v>
      </c>
      <c r="H1584" s="2">
        <v>160</v>
      </c>
      <c r="I1584" t="str">
        <f t="shared" si="20"/>
        <v>FERAL HOGS</v>
      </c>
    </row>
    <row r="1585" spans="1:10" x14ac:dyDescent="0.3">
      <c r="A1585" t="str">
        <f>"T8648"</f>
        <v>T8648</v>
      </c>
      <c r="B1585" t="s">
        <v>525</v>
      </c>
      <c r="C1585">
        <v>73720</v>
      </c>
      <c r="D1585" s="2">
        <v>1447.22</v>
      </c>
      <c r="E1585" s="1">
        <v>43052</v>
      </c>
      <c r="F1585" t="str">
        <f>"4007416578"</f>
        <v>4007416578</v>
      </c>
      <c r="G1585" t="str">
        <f>"INV 4007416578"</f>
        <v>INV 4007416578</v>
      </c>
      <c r="H1585" s="2">
        <v>1447.22</v>
      </c>
      <c r="I1585" t="str">
        <f>"INV 4007416578"</f>
        <v>INV 4007416578</v>
      </c>
    </row>
    <row r="1586" spans="1:10" x14ac:dyDescent="0.3">
      <c r="A1586" t="str">
        <f>"002260"</f>
        <v>002260</v>
      </c>
      <c r="B1586" t="s">
        <v>526</v>
      </c>
      <c r="C1586">
        <v>73721</v>
      </c>
      <c r="D1586" s="2">
        <v>591.5</v>
      </c>
      <c r="E1586" s="1">
        <v>43052</v>
      </c>
      <c r="F1586" t="str">
        <f>"201711076359"</f>
        <v>201711076359</v>
      </c>
      <c r="G1586" t="str">
        <f>"TRASH RMVL/10-23 TO 10-31/PCT4"</f>
        <v>TRASH RMVL/10-23 TO 10-31/PCT4</v>
      </c>
      <c r="H1586" s="2">
        <v>299</v>
      </c>
      <c r="I1586" t="str">
        <f>"TRASH REMOVAL/PCT#4"</f>
        <v>TRASH REMOVAL/PCT#4</v>
      </c>
    </row>
    <row r="1587" spans="1:10" x14ac:dyDescent="0.3">
      <c r="A1587" t="str">
        <f>""</f>
        <v/>
      </c>
      <c r="F1587" t="str">
        <f>"201711076360"</f>
        <v>201711076360</v>
      </c>
      <c r="G1587" t="str">
        <f>"TRASH RMVL/11-1 TO 11-10/PCT4"</f>
        <v>TRASH RMVL/11-1 TO 11-10/PCT4</v>
      </c>
      <c r="H1587" s="2">
        <v>292.5</v>
      </c>
      <c r="I1587" t="str">
        <f>"TRASH RMVL/11-1 TO 11-10/PCT4"</f>
        <v>TRASH RMVL/11-1 TO 11-10/PCT4</v>
      </c>
    </row>
    <row r="1588" spans="1:10" x14ac:dyDescent="0.3">
      <c r="A1588" t="str">
        <f>"001804"</f>
        <v>001804</v>
      </c>
      <c r="B1588" t="s">
        <v>527</v>
      </c>
      <c r="C1588">
        <v>73722</v>
      </c>
      <c r="D1588" s="2">
        <v>60</v>
      </c>
      <c r="E1588" s="1">
        <v>43052</v>
      </c>
      <c r="F1588" t="str">
        <f>"201711086427"</f>
        <v>201711086427</v>
      </c>
      <c r="G1588" t="str">
        <f>"PER DIEM-IT CONFERENCE"</f>
        <v>PER DIEM-IT CONFERENCE</v>
      </c>
      <c r="H1588" s="2">
        <v>60</v>
      </c>
      <c r="I1588" t="str">
        <f>"TRAVEL ADVANCE-IT CONFERENCE"</f>
        <v>TRAVEL ADVANCE-IT CONFERENCE</v>
      </c>
    </row>
    <row r="1589" spans="1:10" x14ac:dyDescent="0.3">
      <c r="A1589" t="str">
        <f>"T11566"</f>
        <v>T11566</v>
      </c>
      <c r="B1589" t="s">
        <v>528</v>
      </c>
      <c r="C1589">
        <v>73723</v>
      </c>
      <c r="D1589" s="2">
        <v>130</v>
      </c>
      <c r="E1589" s="1">
        <v>43052</v>
      </c>
      <c r="F1589" t="str">
        <f>"201711086460"</f>
        <v>201711086460</v>
      </c>
      <c r="G1589" t="str">
        <f>"FERAL HOGS"</f>
        <v>FERAL HOGS</v>
      </c>
      <c r="H1589" s="2">
        <v>5</v>
      </c>
      <c r="I1589" t="str">
        <f>"FERAL HOGS"</f>
        <v>FERAL HOGS</v>
      </c>
    </row>
    <row r="1590" spans="1:10" x14ac:dyDescent="0.3">
      <c r="A1590" t="str">
        <f>""</f>
        <v/>
      </c>
      <c r="F1590" t="str">
        <f>"201711086461"</f>
        <v>201711086461</v>
      </c>
      <c r="G1590" t="str">
        <f>"FERAL HOGS"</f>
        <v>FERAL HOGS</v>
      </c>
      <c r="H1590" s="2">
        <v>75</v>
      </c>
      <c r="I1590" t="str">
        <f>"FERAL HOGS"</f>
        <v>FERAL HOGS</v>
      </c>
    </row>
    <row r="1591" spans="1:10" x14ac:dyDescent="0.3">
      <c r="A1591" t="str">
        <f>""</f>
        <v/>
      </c>
      <c r="F1591" t="str">
        <f>"201711086462"</f>
        <v>201711086462</v>
      </c>
      <c r="G1591" t="str">
        <f>"FERAL HOGS"</f>
        <v>FERAL HOGS</v>
      </c>
      <c r="H1591" s="2">
        <v>50</v>
      </c>
      <c r="I1591" t="str">
        <f>"FERAL HOGS"</f>
        <v>FERAL HOGS</v>
      </c>
    </row>
    <row r="1592" spans="1:10" x14ac:dyDescent="0.3">
      <c r="A1592" t="str">
        <f>"004775"</f>
        <v>004775</v>
      </c>
      <c r="B1592" t="s">
        <v>529</v>
      </c>
      <c r="C1592">
        <v>999999</v>
      </c>
      <c r="D1592" s="2">
        <v>10240</v>
      </c>
      <c r="E1592" s="1">
        <v>43053</v>
      </c>
      <c r="F1592" t="str">
        <f>"110"</f>
        <v>110</v>
      </c>
      <c r="G1592" t="str">
        <f>"SHREDDING MOWING/PCT#2"</f>
        <v>SHREDDING MOWING/PCT#2</v>
      </c>
      <c r="H1592" s="2">
        <v>10240</v>
      </c>
      <c r="I1592" t="str">
        <f>"SHREDDING MOWING/PCT#2"</f>
        <v>SHREDDING MOWING/PCT#2</v>
      </c>
    </row>
    <row r="1593" spans="1:10" x14ac:dyDescent="0.3">
      <c r="A1593" t="str">
        <f>"T13968"</f>
        <v>T13968</v>
      </c>
      <c r="B1593" t="s">
        <v>530</v>
      </c>
      <c r="C1593">
        <v>73724</v>
      </c>
      <c r="D1593" s="2">
        <v>150</v>
      </c>
      <c r="E1593" s="1">
        <v>43052</v>
      </c>
      <c r="F1593" t="str">
        <f>"300001888"</f>
        <v>300001888</v>
      </c>
      <c r="G1593" t="str">
        <f>"AGENCY/ORG MEMBERSHIP-K. UNGER"</f>
        <v>AGENCY/ORG MEMBERSHIP-K. UNGER</v>
      </c>
      <c r="H1593" s="2">
        <v>150</v>
      </c>
      <c r="I1593" t="str">
        <f>"AGENCY/ORG MEMBERSHIP-K. UNGER"</f>
        <v>AGENCY/ORG MEMBERSHIP-K. UNGER</v>
      </c>
    </row>
    <row r="1594" spans="1:10" x14ac:dyDescent="0.3">
      <c r="A1594" t="str">
        <f>"001979"</f>
        <v>001979</v>
      </c>
      <c r="B1594" t="s">
        <v>531</v>
      </c>
      <c r="C1594">
        <v>73954</v>
      </c>
      <c r="D1594" s="2">
        <v>35.44</v>
      </c>
      <c r="E1594" s="1">
        <v>43066</v>
      </c>
      <c r="F1594" t="str">
        <f>"REIMBURSE OFF SUP"</f>
        <v>REIMBURSE OFF SUP</v>
      </c>
      <c r="G1594" t="str">
        <f>"REIMBURSEMENT"</f>
        <v>REIMBURSEMENT</v>
      </c>
      <c r="H1594" s="2">
        <v>35.44</v>
      </c>
      <c r="I1594" t="str">
        <f>"CUTTING TO CARD SIZE"</f>
        <v>CUTTING TO CARD SIZE</v>
      </c>
    </row>
    <row r="1595" spans="1:10" x14ac:dyDescent="0.3">
      <c r="A1595" t="str">
        <f>""</f>
        <v/>
      </c>
      <c r="F1595" t="str">
        <f>""</f>
        <v/>
      </c>
      <c r="G1595" t="str">
        <f>""</f>
        <v/>
      </c>
      <c r="I1595" t="str">
        <f>"COLORED PAPER"</f>
        <v>COLORED PAPER</v>
      </c>
    </row>
    <row r="1596" spans="1:10" x14ac:dyDescent="0.3">
      <c r="A1596" t="str">
        <f>"002839"</f>
        <v>002839</v>
      </c>
      <c r="B1596" t="s">
        <v>532</v>
      </c>
      <c r="C1596">
        <v>73955</v>
      </c>
      <c r="D1596" s="2">
        <v>75</v>
      </c>
      <c r="E1596" s="1">
        <v>43066</v>
      </c>
      <c r="F1596" t="s">
        <v>64</v>
      </c>
      <c r="G1596" t="s">
        <v>70</v>
      </c>
      <c r="H1596" s="2" t="str">
        <f>"SERVICE"</f>
        <v>SERVICE</v>
      </c>
      <c r="I1596" t="str">
        <f>"995-4110"</f>
        <v>995-4110</v>
      </c>
      <c r="J1596">
        <v>75</v>
      </c>
    </row>
    <row r="1597" spans="1:10" x14ac:dyDescent="0.3">
      <c r="A1597" t="str">
        <f>"004087"</f>
        <v>004087</v>
      </c>
      <c r="B1597" t="s">
        <v>533</v>
      </c>
      <c r="C1597">
        <v>999999</v>
      </c>
      <c r="D1597" s="2">
        <v>77.52</v>
      </c>
      <c r="E1597" s="1">
        <v>43053</v>
      </c>
      <c r="F1597" t="str">
        <f>"17110210"</f>
        <v>17110210</v>
      </c>
      <c r="G1597" t="str">
        <f>"SERVICE CONTRACT"</f>
        <v>SERVICE CONTRACT</v>
      </c>
      <c r="H1597" s="2">
        <v>77.52</v>
      </c>
      <c r="I1597" t="str">
        <f>"SERVICE CONTRACT"</f>
        <v>SERVICE CONTRACT</v>
      </c>
    </row>
    <row r="1598" spans="1:10" x14ac:dyDescent="0.3">
      <c r="A1598" t="str">
        <f>"TAE"</f>
        <v>TAE</v>
      </c>
      <c r="B1598" t="s">
        <v>534</v>
      </c>
      <c r="C1598">
        <v>73725</v>
      </c>
      <c r="D1598" s="2">
        <v>356.2</v>
      </c>
      <c r="E1598" s="1">
        <v>43052</v>
      </c>
      <c r="F1598" t="str">
        <f>"55029"</f>
        <v>55029</v>
      </c>
      <c r="G1598" t="str">
        <f>"PART#410-12130/PCT#4"</f>
        <v>PART#410-12130/PCT#4</v>
      </c>
      <c r="H1598" s="2">
        <v>179.1</v>
      </c>
      <c r="I1598" t="str">
        <f>"PART#410-12130/PCT#4"</f>
        <v>PART#410-12130/PCT#4</v>
      </c>
    </row>
    <row r="1599" spans="1:10" x14ac:dyDescent="0.3">
      <c r="A1599" t="str">
        <f>""</f>
        <v/>
      </c>
      <c r="F1599" t="str">
        <f>"55055"</f>
        <v>55055</v>
      </c>
      <c r="G1599" t="str">
        <f>"PARTS/66-113 &amp; 54-123/PCT#3"</f>
        <v>PARTS/66-113 &amp; 54-123/PCT#3</v>
      </c>
      <c r="H1599" s="2">
        <v>177.1</v>
      </c>
      <c r="I1599" t="str">
        <f>"PARTS/66-113 &amp; 54-123/PCT#3"</f>
        <v>PARTS/66-113 &amp; 54-123/PCT#3</v>
      </c>
    </row>
    <row r="1600" spans="1:10" x14ac:dyDescent="0.3">
      <c r="A1600" t="str">
        <f>"T14477"</f>
        <v>T14477</v>
      </c>
      <c r="B1600" t="s">
        <v>535</v>
      </c>
      <c r="C1600">
        <v>73726</v>
      </c>
      <c r="D1600" s="2">
        <v>75</v>
      </c>
      <c r="E1600" s="1">
        <v>43052</v>
      </c>
      <c r="F1600" t="str">
        <f>"RTI#407707"</f>
        <v>RTI#407707</v>
      </c>
      <c r="G1600" t="str">
        <f>"INV 18-0019"</f>
        <v>INV 18-0019</v>
      </c>
      <c r="H1600" s="2">
        <v>75</v>
      </c>
      <c r="I1600" t="str">
        <f>"RTI #407707"</f>
        <v>RTI #407707</v>
      </c>
    </row>
    <row r="1601" spans="1:9" x14ac:dyDescent="0.3">
      <c r="A1601" t="str">
        <f>"T14477"</f>
        <v>T14477</v>
      </c>
      <c r="B1601" t="s">
        <v>535</v>
      </c>
      <c r="C1601">
        <v>73956</v>
      </c>
      <c r="D1601" s="2">
        <v>125</v>
      </c>
      <c r="E1601" s="1">
        <v>43066</v>
      </c>
      <c r="F1601" t="str">
        <f>"6595"</f>
        <v>6595</v>
      </c>
      <c r="G1601" t="str">
        <f>"TCOLE Licensing Fee"</f>
        <v>TCOLE Licensing Fee</v>
      </c>
      <c r="H1601" s="2">
        <v>25</v>
      </c>
    </row>
    <row r="1602" spans="1:9" x14ac:dyDescent="0.3">
      <c r="A1602" t="str">
        <f>""</f>
        <v/>
      </c>
      <c r="F1602" t="str">
        <f>"6596"</f>
        <v>6596</v>
      </c>
      <c r="G1602" t="str">
        <f>"TCOLE Licensing"</f>
        <v>TCOLE Licensing</v>
      </c>
      <c r="H1602" s="2">
        <v>25</v>
      </c>
    </row>
    <row r="1603" spans="1:9" x14ac:dyDescent="0.3">
      <c r="A1603" t="str">
        <f>""</f>
        <v/>
      </c>
      <c r="F1603" t="str">
        <f>"6597"</f>
        <v>6597</v>
      </c>
      <c r="G1603" t="str">
        <f>"TCOLE Licensing Fee"</f>
        <v>TCOLE Licensing Fee</v>
      </c>
      <c r="H1603" s="2">
        <v>25</v>
      </c>
    </row>
    <row r="1604" spans="1:9" x14ac:dyDescent="0.3">
      <c r="A1604" t="str">
        <f>""</f>
        <v/>
      </c>
      <c r="F1604" t="str">
        <f>"6598"</f>
        <v>6598</v>
      </c>
      <c r="G1604" t="str">
        <f>"Licensing Fee"</f>
        <v>Licensing Fee</v>
      </c>
      <c r="H1604" s="2">
        <v>25</v>
      </c>
    </row>
    <row r="1605" spans="1:9" x14ac:dyDescent="0.3">
      <c r="A1605" t="str">
        <f>""</f>
        <v/>
      </c>
      <c r="F1605" t="str">
        <f>"6599"</f>
        <v>6599</v>
      </c>
      <c r="G1605" t="str">
        <f>"TX COMM ON LAW ENFORCEMENT"</f>
        <v>TX COMM ON LAW ENFORCEMENT</v>
      </c>
      <c r="H1605" s="2">
        <v>25</v>
      </c>
    </row>
    <row r="1606" spans="1:9" x14ac:dyDescent="0.3">
      <c r="A1606" t="str">
        <f>"T14477"</f>
        <v>T14477</v>
      </c>
      <c r="B1606" t="s">
        <v>535</v>
      </c>
      <c r="C1606">
        <v>73956</v>
      </c>
      <c r="D1606" s="2">
        <v>125</v>
      </c>
      <c r="E1606" s="1">
        <v>43066</v>
      </c>
      <c r="F1606" t="str">
        <f>"CHECK"</f>
        <v>CHECK</v>
      </c>
      <c r="G1606" t="str">
        <f>""</f>
        <v/>
      </c>
      <c r="H1606" s="2">
        <v>125</v>
      </c>
    </row>
    <row r="1607" spans="1:9" x14ac:dyDescent="0.3">
      <c r="A1607" t="str">
        <f>"T14477"</f>
        <v>T14477</v>
      </c>
      <c r="B1607" t="s">
        <v>535</v>
      </c>
      <c r="C1607">
        <v>73989</v>
      </c>
      <c r="D1607" s="2">
        <v>25</v>
      </c>
      <c r="E1607" s="1">
        <v>43067</v>
      </c>
      <c r="F1607" t="str">
        <f>"201711286771"</f>
        <v>201711286771</v>
      </c>
      <c r="G1607" t="str">
        <f>"40 HOUR BASIC - GUY HALL"</f>
        <v>40 HOUR BASIC - GUY HALL</v>
      </c>
      <c r="H1607" s="2">
        <v>25</v>
      </c>
      <c r="I1607" t="str">
        <f>"40 HOUR BASIC - GUY HALL"</f>
        <v>40 HOUR BASIC - GUY HALL</v>
      </c>
    </row>
    <row r="1608" spans="1:9" x14ac:dyDescent="0.3">
      <c r="A1608" t="str">
        <f>"T14477"</f>
        <v>T14477</v>
      </c>
      <c r="B1608" t="s">
        <v>535</v>
      </c>
      <c r="C1608">
        <v>73990</v>
      </c>
      <c r="D1608" s="2">
        <v>25</v>
      </c>
      <c r="E1608" s="1">
        <v>43067</v>
      </c>
      <c r="F1608" t="str">
        <f>"201711286774"</f>
        <v>201711286774</v>
      </c>
      <c r="G1608" t="str">
        <f>"40 HR BASIC - MEGHAN BARNES"</f>
        <v>40 HR BASIC - MEGHAN BARNES</v>
      </c>
      <c r="H1608" s="2">
        <v>25</v>
      </c>
      <c r="I1608" t="str">
        <f>"40 HR BASIC - MEGHAN BARNES"</f>
        <v>40 HR BASIC - MEGHAN BARNES</v>
      </c>
    </row>
    <row r="1609" spans="1:9" x14ac:dyDescent="0.3">
      <c r="A1609" t="str">
        <f>"T14477"</f>
        <v>T14477</v>
      </c>
      <c r="B1609" t="s">
        <v>535</v>
      </c>
      <c r="C1609">
        <v>73991</v>
      </c>
      <c r="D1609" s="2">
        <v>25</v>
      </c>
      <c r="E1609" s="1">
        <v>43067</v>
      </c>
      <c r="F1609" t="str">
        <f>"201711286775"</f>
        <v>201711286775</v>
      </c>
      <c r="G1609" t="str">
        <f>"40 HR BASIC - JESSICA JAMES"</f>
        <v>40 HR BASIC - JESSICA JAMES</v>
      </c>
      <c r="H1609" s="2">
        <v>25</v>
      </c>
      <c r="I1609" t="str">
        <f>"40 HR BASIC - JESSICA JAMES"</f>
        <v>40 HR BASIC - JESSICA JAMES</v>
      </c>
    </row>
    <row r="1610" spans="1:9" x14ac:dyDescent="0.3">
      <c r="A1610" t="str">
        <f>"T8745"</f>
        <v>T8745</v>
      </c>
      <c r="B1610" t="s">
        <v>536</v>
      </c>
      <c r="C1610">
        <v>999999</v>
      </c>
      <c r="D1610" s="2">
        <v>193</v>
      </c>
      <c r="E1610" s="1">
        <v>43067</v>
      </c>
      <c r="F1610" t="str">
        <f>"1712056"</f>
        <v>1712056</v>
      </c>
      <c r="G1610" t="str">
        <f>"MONTHLY CONTRACT BILLING"</f>
        <v>MONTHLY CONTRACT BILLING</v>
      </c>
      <c r="H1610" s="2">
        <v>193</v>
      </c>
      <c r="I1610" t="str">
        <f>"MONTHLY CONTRACT BILLING"</f>
        <v>MONTHLY CONTRACT BILLING</v>
      </c>
    </row>
    <row r="1611" spans="1:9" x14ac:dyDescent="0.3">
      <c r="A1611" t="str">
        <f>"T11830"</f>
        <v>T11830</v>
      </c>
      <c r="B1611" t="s">
        <v>537</v>
      </c>
      <c r="C1611">
        <v>73957</v>
      </c>
      <c r="D1611" s="2">
        <v>64.8</v>
      </c>
      <c r="E1611" s="1">
        <v>43066</v>
      </c>
      <c r="F1611" t="str">
        <f>"201711176709"</f>
        <v>201711176709</v>
      </c>
      <c r="G1611" t="str">
        <f>"MILEAGE REIMBURSEMENT"</f>
        <v>MILEAGE REIMBURSEMENT</v>
      </c>
      <c r="H1611" s="2">
        <v>64.8</v>
      </c>
      <c r="I1611" t="str">
        <f>"MILEAGE REIMBURSEMENT"</f>
        <v>MILEAGE REIMBURSEMENT</v>
      </c>
    </row>
    <row r="1612" spans="1:9" x14ac:dyDescent="0.3">
      <c r="A1612" t="str">
        <f>"TERRY"</f>
        <v>TERRY</v>
      </c>
      <c r="B1612" t="s">
        <v>538</v>
      </c>
      <c r="C1612">
        <v>73727</v>
      </c>
      <c r="D1612" s="2">
        <v>5</v>
      </c>
      <c r="E1612" s="1">
        <v>43052</v>
      </c>
      <c r="F1612" t="str">
        <f>"201711086464"</f>
        <v>201711086464</v>
      </c>
      <c r="G1612" t="str">
        <f>"FERAL HOGS"</f>
        <v>FERAL HOGS</v>
      </c>
      <c r="H1612" s="2">
        <v>5</v>
      </c>
      <c r="I1612" t="str">
        <f>"FERAL HOGS"</f>
        <v>FERAL HOGS</v>
      </c>
    </row>
    <row r="1613" spans="1:9" x14ac:dyDescent="0.3">
      <c r="A1613" t="str">
        <f>"004336"</f>
        <v>004336</v>
      </c>
      <c r="B1613" t="s">
        <v>539</v>
      </c>
      <c r="C1613">
        <v>73728</v>
      </c>
      <c r="D1613" s="2">
        <v>190</v>
      </c>
      <c r="E1613" s="1">
        <v>43052</v>
      </c>
      <c r="F1613" t="str">
        <f>"201711086463"</f>
        <v>201711086463</v>
      </c>
      <c r="G1613" t="str">
        <f>"FERAL HOGS"</f>
        <v>FERAL HOGS</v>
      </c>
      <c r="H1613" s="2">
        <v>190</v>
      </c>
      <c r="I1613" t="str">
        <f>"FERAL HOGS"</f>
        <v>FERAL HOGS</v>
      </c>
    </row>
    <row r="1614" spans="1:9" x14ac:dyDescent="0.3">
      <c r="A1614" t="str">
        <f>"T13574"</f>
        <v>T13574</v>
      </c>
      <c r="B1614" t="s">
        <v>540</v>
      </c>
      <c r="C1614">
        <v>999999</v>
      </c>
      <c r="D1614" s="2">
        <v>256.35000000000002</v>
      </c>
      <c r="E1614" s="1">
        <v>43053</v>
      </c>
      <c r="F1614" t="str">
        <f>"70639"</f>
        <v>70639</v>
      </c>
      <c r="G1614" t="str">
        <f>"ACCT#63275/CUST ID#BASCO1/PCT3"</f>
        <v>ACCT#63275/CUST ID#BASCO1/PCT3</v>
      </c>
      <c r="H1614" s="2">
        <v>94</v>
      </c>
      <c r="I1614" t="str">
        <f>"ACCT#63275/CUST ID#BASCO1/PCT3"</f>
        <v>ACCT#63275/CUST ID#BASCO1/PCT3</v>
      </c>
    </row>
    <row r="1615" spans="1:9" x14ac:dyDescent="0.3">
      <c r="A1615" t="str">
        <f>""</f>
        <v/>
      </c>
      <c r="F1615" t="str">
        <f>"70944"</f>
        <v>70944</v>
      </c>
      <c r="G1615" t="str">
        <f>"ACCT#63275/CUST#BASCO1/PCT#2"</f>
        <v>ACCT#63275/CUST#BASCO1/PCT#2</v>
      </c>
      <c r="H1615" s="2">
        <v>111.1</v>
      </c>
      <c r="I1615" t="str">
        <f>"ACCT#63275/CUST#BASCO1/PCT#2"</f>
        <v>ACCT#63275/CUST#BASCO1/PCT#2</v>
      </c>
    </row>
    <row r="1616" spans="1:9" x14ac:dyDescent="0.3">
      <c r="A1616" t="str">
        <f>""</f>
        <v/>
      </c>
      <c r="F1616" t="str">
        <f>"70948"</f>
        <v>70948</v>
      </c>
      <c r="G1616" t="str">
        <f>"ACCT#63275/CUST#BASCO1/BCAS"</f>
        <v>ACCT#63275/CUST#BASCO1/BCAS</v>
      </c>
      <c r="H1616" s="2">
        <v>36.25</v>
      </c>
      <c r="I1616" t="str">
        <f>"ACCT#63275/CUST#BASCO1/BCAS"</f>
        <v>ACCT#63275/CUST#BASCO1/BCAS</v>
      </c>
    </row>
    <row r="1617" spans="1:9" x14ac:dyDescent="0.3">
      <c r="A1617" t="str">
        <f>""</f>
        <v/>
      </c>
      <c r="F1617" t="str">
        <f>"70971"</f>
        <v>70971</v>
      </c>
      <c r="G1617" t="str">
        <f>"ACCT#63275/CUST#BASCO1/PCT#1"</f>
        <v>ACCT#63275/CUST#BASCO1/PCT#1</v>
      </c>
      <c r="H1617" s="2">
        <v>15</v>
      </c>
      <c r="I1617" t="str">
        <f>"ACCT#63275/CUST#BASCO1/PCT#1"</f>
        <v>ACCT#63275/CUST#BASCO1/PCT#1</v>
      </c>
    </row>
    <row r="1618" spans="1:9" x14ac:dyDescent="0.3">
      <c r="A1618" t="str">
        <f>"T6855"</f>
        <v>T6855</v>
      </c>
      <c r="B1618" t="s">
        <v>541</v>
      </c>
      <c r="C1618">
        <v>73729</v>
      </c>
      <c r="D1618" s="2">
        <v>5455.85</v>
      </c>
      <c r="E1618" s="1">
        <v>43052</v>
      </c>
      <c r="F1618" t="str">
        <f>"0688169-IN"</f>
        <v>0688169-IN</v>
      </c>
      <c r="G1618" t="str">
        <f>"INV 0688169-IN"</f>
        <v>INV 0688169-IN</v>
      </c>
      <c r="H1618" s="2">
        <v>469.63</v>
      </c>
      <c r="I1618" t="str">
        <f>"INV 0688169-IN"</f>
        <v>INV 0688169-IN</v>
      </c>
    </row>
    <row r="1619" spans="1:9" x14ac:dyDescent="0.3">
      <c r="A1619" t="str">
        <f>""</f>
        <v/>
      </c>
      <c r="F1619" t="str">
        <f>"0691279-IN"</f>
        <v>0691279-IN</v>
      </c>
      <c r="G1619" t="str">
        <f>"ACCT#01-0112917/GASOLINE/PCT#3"</f>
        <v>ACCT#01-0112917/GASOLINE/PCT#3</v>
      </c>
      <c r="H1619" s="2">
        <v>907.41</v>
      </c>
      <c r="I1619" t="str">
        <f>"ACCT#01-0112917/GASOLINE/PCT#3"</f>
        <v>ACCT#01-0112917/GASOLINE/PCT#3</v>
      </c>
    </row>
    <row r="1620" spans="1:9" x14ac:dyDescent="0.3">
      <c r="A1620" t="str">
        <f>""</f>
        <v/>
      </c>
      <c r="F1620" t="str">
        <f>"0694377-IN"</f>
        <v>0694377-IN</v>
      </c>
      <c r="G1620" t="str">
        <f>"ACCT#01-0112917/ORD#0694377/P3"</f>
        <v>ACCT#01-0112917/ORD#0694377/P3</v>
      </c>
      <c r="H1620" s="2">
        <v>4078.81</v>
      </c>
      <c r="I1620" t="str">
        <f>"ACCT#01-0112917/ORD#0694377/P3"</f>
        <v>ACCT#01-0112917/ORD#0694377/P3</v>
      </c>
    </row>
    <row r="1621" spans="1:9" x14ac:dyDescent="0.3">
      <c r="A1621" t="str">
        <f>"T6855"</f>
        <v>T6855</v>
      </c>
      <c r="B1621" t="s">
        <v>541</v>
      </c>
      <c r="C1621">
        <v>73958</v>
      </c>
      <c r="D1621" s="2">
        <v>9664.14</v>
      </c>
      <c r="E1621" s="1">
        <v>43066</v>
      </c>
      <c r="F1621" t="str">
        <f>"0689117-IN"</f>
        <v>0689117-IN</v>
      </c>
      <c r="G1621" t="str">
        <f>"ACCT#01-0112917/BOL#250577/P2"</f>
        <v>ACCT#01-0112917/BOL#250577/P2</v>
      </c>
      <c r="H1621" s="2">
        <v>3001.03</v>
      </c>
      <c r="I1621" t="str">
        <f>"ACCT#01-0112917/BOL#250577/P2"</f>
        <v>ACCT#01-0112917/BOL#250577/P2</v>
      </c>
    </row>
    <row r="1622" spans="1:9" x14ac:dyDescent="0.3">
      <c r="A1622" t="str">
        <f>""</f>
        <v/>
      </c>
      <c r="F1622" t="str">
        <f>"0693547-IN"</f>
        <v>0693547-IN</v>
      </c>
      <c r="G1622" t="str">
        <f>"ORD#0693547/ITEM#204200/PCT#2"</f>
        <v>ORD#0693547/ITEM#204200/PCT#2</v>
      </c>
      <c r="H1622" s="2">
        <v>3721.02</v>
      </c>
      <c r="I1622" t="str">
        <f>"ORD#0693547/ITEM#204200/PCT#2"</f>
        <v>ORD#0693547/ITEM#204200/PCT#2</v>
      </c>
    </row>
    <row r="1623" spans="1:9" x14ac:dyDescent="0.3">
      <c r="A1623" t="str">
        <f>""</f>
        <v/>
      </c>
      <c r="F1623" t="str">
        <f>"0696996-IN"</f>
        <v>0696996-IN</v>
      </c>
      <c r="G1623" t="str">
        <f>"ACCT#01-0112917/BOL#253433/P2"</f>
        <v>ACCT#01-0112917/BOL#253433/P2</v>
      </c>
      <c r="H1623" s="2">
        <v>2942.09</v>
      </c>
      <c r="I1623" t="str">
        <f>"ACCT#01-0112917/BOL#253433/P2"</f>
        <v>ACCT#01-0112917/BOL#253433/P2</v>
      </c>
    </row>
    <row r="1624" spans="1:9" x14ac:dyDescent="0.3">
      <c r="A1624" t="str">
        <f>"T14371"</f>
        <v>T14371</v>
      </c>
      <c r="B1624" t="s">
        <v>542</v>
      </c>
      <c r="C1624">
        <v>73730</v>
      </c>
      <c r="D1624" s="2">
        <v>353.82</v>
      </c>
      <c r="E1624" s="1">
        <v>43052</v>
      </c>
      <c r="F1624" t="str">
        <f>"201711086527"</f>
        <v>201711086527</v>
      </c>
      <c r="G1624" t="str">
        <f>"INDIGENT HEALTH"</f>
        <v>INDIGENT HEALTH</v>
      </c>
      <c r="H1624" s="2">
        <v>353.82</v>
      </c>
      <c r="I1624" t="str">
        <f>"INDIGENT HEALTH"</f>
        <v>INDIGENT HEALTH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>"INDIGENT HEALTH"</f>
        <v>INDIGENT HEALTH</v>
      </c>
    </row>
    <row r="1626" spans="1:9" x14ac:dyDescent="0.3">
      <c r="A1626" t="str">
        <f>"T14371"</f>
        <v>T14371</v>
      </c>
      <c r="B1626" t="s">
        <v>542</v>
      </c>
      <c r="C1626">
        <v>73959</v>
      </c>
      <c r="D1626" s="2">
        <v>195</v>
      </c>
      <c r="E1626" s="1">
        <v>43066</v>
      </c>
      <c r="F1626" t="str">
        <f>"201711166662"</f>
        <v>201711166662</v>
      </c>
      <c r="G1626" t="str">
        <f>"INDIGENT HEALTH"</f>
        <v>INDIGENT HEALTH</v>
      </c>
      <c r="H1626" s="2">
        <v>195</v>
      </c>
      <c r="I1626" t="str">
        <f>"INDIGENT HEALTH"</f>
        <v>INDIGENT HEALTH</v>
      </c>
    </row>
    <row r="1627" spans="1:9" x14ac:dyDescent="0.3">
      <c r="A1627" t="str">
        <f>"T5238"</f>
        <v>T5238</v>
      </c>
      <c r="B1627" t="s">
        <v>543</v>
      </c>
      <c r="C1627">
        <v>73731</v>
      </c>
      <c r="D1627" s="2">
        <v>910</v>
      </c>
      <c r="E1627" s="1">
        <v>43052</v>
      </c>
      <c r="F1627" t="str">
        <f>"A800226"</f>
        <v>A800226</v>
      </c>
      <c r="G1627" t="str">
        <f>"CUST#0000000000368/SOFTWARE"</f>
        <v>CUST#0000000000368/SOFTWARE</v>
      </c>
      <c r="H1627" s="2">
        <v>35</v>
      </c>
      <c r="I1627" t="str">
        <f>"CUST#0000000000368/SOFTWARE"</f>
        <v>CUST#0000000000368/SOFTWARE</v>
      </c>
    </row>
    <row r="1628" spans="1:9" x14ac:dyDescent="0.3">
      <c r="A1628" t="str">
        <f>""</f>
        <v/>
      </c>
      <c r="F1628" t="str">
        <f>"A800232"</f>
        <v>A800232</v>
      </c>
      <c r="G1628" t="str">
        <f>"CUST#0000000000368/EXT OFF"</f>
        <v>CUST#0000000000368/EXT OFF</v>
      </c>
      <c r="H1628" s="2">
        <v>875</v>
      </c>
      <c r="I1628" t="str">
        <f>"CUST#0000000000368/EXT OFF"</f>
        <v>CUST#0000000000368/EXT OFF</v>
      </c>
    </row>
    <row r="1629" spans="1:9" x14ac:dyDescent="0.3">
      <c r="A1629" t="str">
        <f>"TXAGG"</f>
        <v>TXAGG</v>
      </c>
      <c r="B1629" t="s">
        <v>544</v>
      </c>
      <c r="C1629">
        <v>999999</v>
      </c>
      <c r="D1629" s="2">
        <v>3461.64</v>
      </c>
      <c r="E1629" s="1">
        <v>43067</v>
      </c>
      <c r="F1629" t="str">
        <f>"91900"</f>
        <v>91900</v>
      </c>
      <c r="G1629" t="str">
        <f>"BULLROCK/PCT#1"</f>
        <v>BULLROCK/PCT#1</v>
      </c>
      <c r="H1629" s="2">
        <v>3461.64</v>
      </c>
      <c r="I1629" t="str">
        <f>"BULLROCK/PCT#1"</f>
        <v>BULLROCK/PCT#1</v>
      </c>
    </row>
    <row r="1630" spans="1:9" x14ac:dyDescent="0.3">
      <c r="A1630" t="str">
        <f>"T4094"</f>
        <v>T4094</v>
      </c>
      <c r="B1630" t="s">
        <v>545</v>
      </c>
      <c r="C1630">
        <v>999999</v>
      </c>
      <c r="D1630" s="2">
        <v>344.35</v>
      </c>
      <c r="E1630" s="1">
        <v>43053</v>
      </c>
      <c r="F1630" t="str">
        <f>"1034543"</f>
        <v>1034543</v>
      </c>
      <c r="G1630" t="str">
        <f>"CUST#431/ITEM#141-995ZN/PCT#2"</f>
        <v>CUST#431/ITEM#141-995ZN/PCT#2</v>
      </c>
      <c r="H1630" s="2">
        <v>344.35</v>
      </c>
      <c r="I1630" t="str">
        <f>"CUST#431/ITEM#141-995ZN/PCT#2"</f>
        <v>CUST#431/ITEM#141-995ZN/PCT#2</v>
      </c>
    </row>
    <row r="1631" spans="1:9" x14ac:dyDescent="0.3">
      <c r="A1631" t="str">
        <f>"T4094"</f>
        <v>T4094</v>
      </c>
      <c r="B1631" t="s">
        <v>545</v>
      </c>
      <c r="C1631">
        <v>999999</v>
      </c>
      <c r="D1631" s="2">
        <v>265</v>
      </c>
      <c r="E1631" s="1">
        <v>43067</v>
      </c>
      <c r="F1631" t="str">
        <f>"1034616"</f>
        <v>1034616</v>
      </c>
      <c r="G1631" t="str">
        <f>"CUST#431/ORD#813362/PCT#2"</f>
        <v>CUST#431/ORD#813362/PCT#2</v>
      </c>
      <c r="H1631" s="2">
        <v>265</v>
      </c>
      <c r="I1631" t="str">
        <f>"CUST#431/ORD#813362/PCT#2"</f>
        <v>CUST#431/ORD#813362/PCT#2</v>
      </c>
    </row>
    <row r="1632" spans="1:9" x14ac:dyDescent="0.3">
      <c r="A1632" t="str">
        <f>"001468"</f>
        <v>001468</v>
      </c>
      <c r="B1632" t="s">
        <v>546</v>
      </c>
      <c r="C1632">
        <v>73732</v>
      </c>
      <c r="D1632" s="2">
        <v>200</v>
      </c>
      <c r="E1632" s="1">
        <v>43052</v>
      </c>
      <c r="F1632" t="str">
        <f>"43932"</f>
        <v>43932</v>
      </c>
      <c r="G1632" t="str">
        <f>"POL#63383146/BOND/D. BLAKE"</f>
        <v>POL#63383146/BOND/D. BLAKE</v>
      </c>
      <c r="H1632" s="2">
        <v>50</v>
      </c>
      <c r="I1632" t="str">
        <f>"POL#63383146/BOND/D. BLAKE"</f>
        <v>POL#63383146/BOND/D. BLAKE</v>
      </c>
    </row>
    <row r="1633" spans="1:9" x14ac:dyDescent="0.3">
      <c r="A1633" t="str">
        <f>""</f>
        <v/>
      </c>
      <c r="F1633" t="str">
        <f>"43933"</f>
        <v>43933</v>
      </c>
      <c r="G1633" t="str">
        <f>"POL#63383219/BOND/R.ETHEREDGE"</f>
        <v>POL#63383219/BOND/R.ETHEREDGE</v>
      </c>
      <c r="H1633" s="2">
        <v>50</v>
      </c>
      <c r="I1633" t="str">
        <f>"POL#63383219/BOND/R.ETHEREDGE"</f>
        <v>POL#63383219/BOND/R.ETHEREDGE</v>
      </c>
    </row>
    <row r="1634" spans="1:9" x14ac:dyDescent="0.3">
      <c r="A1634" t="str">
        <f>""</f>
        <v/>
      </c>
      <c r="F1634" t="str">
        <f>"43948"</f>
        <v>43948</v>
      </c>
      <c r="G1634" t="str">
        <f>"POL#15219391/BOND/J.PACHECO"</f>
        <v>POL#15219391/BOND/J.PACHECO</v>
      </c>
      <c r="H1634" s="2">
        <v>50</v>
      </c>
      <c r="I1634" t="str">
        <f>"POL#15219391/BOND/J.PACHECO"</f>
        <v>POL#15219391/BOND/J.PACHECO</v>
      </c>
    </row>
    <row r="1635" spans="1:9" x14ac:dyDescent="0.3">
      <c r="A1635" t="str">
        <f>""</f>
        <v/>
      </c>
      <c r="F1635" t="str">
        <f>"43949"</f>
        <v>43949</v>
      </c>
      <c r="G1635" t="str">
        <f>"POL#24855174/BOND/M. KINCAID"</f>
        <v>POL#24855174/BOND/M. KINCAID</v>
      </c>
      <c r="H1635" s="2">
        <v>50</v>
      </c>
      <c r="I1635" t="str">
        <f>"POL#24855174/BOND/M. KINCAID"</f>
        <v>POL#24855174/BOND/M. KINCAID</v>
      </c>
    </row>
    <row r="1636" spans="1:9" x14ac:dyDescent="0.3">
      <c r="A1636" t="str">
        <f>"001468"</f>
        <v>001468</v>
      </c>
      <c r="B1636" t="s">
        <v>546</v>
      </c>
      <c r="C1636">
        <v>73960</v>
      </c>
      <c r="D1636" s="2">
        <v>400</v>
      </c>
      <c r="E1636" s="1">
        <v>43066</v>
      </c>
      <c r="F1636" t="str">
        <f>"OCTOBER '17 RENEWA"</f>
        <v>OCTOBER '17 RENEWA</v>
      </c>
      <c r="G1636" t="str">
        <f>"OCTOBER RENEWALS"</f>
        <v>OCTOBER RENEWALS</v>
      </c>
      <c r="H1636" s="2">
        <v>400</v>
      </c>
      <c r="I1636" t="str">
        <f>"OCTOBER RENEWALS"</f>
        <v>OCTOBER RENEWALS</v>
      </c>
    </row>
    <row r="1637" spans="1:9" x14ac:dyDescent="0.3">
      <c r="A1637" t="str">
        <f>"002122"</f>
        <v>002122</v>
      </c>
      <c r="B1637" t="s">
        <v>547</v>
      </c>
      <c r="C1637">
        <v>999999</v>
      </c>
      <c r="D1637" s="2">
        <v>608.92999999999995</v>
      </c>
      <c r="E1637" s="1">
        <v>43053</v>
      </c>
      <c r="F1637" t="str">
        <f>"201711076348"</f>
        <v>201711076348</v>
      </c>
      <c r="G1637" t="str">
        <f>"ACCT#0005/PCT#4"</f>
        <v>ACCT#0005/PCT#4</v>
      </c>
      <c r="H1637" s="2">
        <v>608.92999999999995</v>
      </c>
      <c r="I1637" t="str">
        <f>"ACCT#0005/PCT#4"</f>
        <v>ACCT#0005/PCT#4</v>
      </c>
    </row>
    <row r="1638" spans="1:9" x14ac:dyDescent="0.3">
      <c r="A1638" t="str">
        <f>"004259"</f>
        <v>004259</v>
      </c>
      <c r="B1638" t="s">
        <v>548</v>
      </c>
      <c r="C1638">
        <v>73967</v>
      </c>
      <c r="D1638" s="2">
        <v>1729.86</v>
      </c>
      <c r="E1638" s="1">
        <v>43066</v>
      </c>
      <c r="F1638" t="str">
        <f>"1001"</f>
        <v>1001</v>
      </c>
      <c r="G1638" t="str">
        <f>"WORK BOOTS/PCT#2"</f>
        <v>WORK BOOTS/PCT#2</v>
      </c>
      <c r="H1638" s="2">
        <v>1729.86</v>
      </c>
      <c r="I1638" t="str">
        <f>"WORK BOOTS/PCT#2"</f>
        <v>WORK BOOTS/PCT#2</v>
      </c>
    </row>
    <row r="1639" spans="1:9" x14ac:dyDescent="0.3">
      <c r="A1639" t="str">
        <f>"T13642"</f>
        <v>T13642</v>
      </c>
      <c r="B1639" t="s">
        <v>549</v>
      </c>
      <c r="C1639">
        <v>73961</v>
      </c>
      <c r="D1639" s="2">
        <v>2500</v>
      </c>
      <c r="E1639" s="1">
        <v>43066</v>
      </c>
      <c r="F1639" t="str">
        <f>"201711166631"</f>
        <v>201711166631</v>
      </c>
      <c r="G1639" t="str">
        <f>"TCRFC DUES 2018-B. RETZLAFF"</f>
        <v>TCRFC DUES 2018-B. RETZLAFF</v>
      </c>
      <c r="H1639" s="2">
        <v>1000</v>
      </c>
      <c r="I1639" t="str">
        <f>"TCRFC DUES 2018"</f>
        <v>TCRFC DUES 2018</v>
      </c>
    </row>
    <row r="1640" spans="1:9" x14ac:dyDescent="0.3">
      <c r="A1640" t="str">
        <f>""</f>
        <v/>
      </c>
      <c r="F1640" t="str">
        <f>"201711166632"</f>
        <v>201711166632</v>
      </c>
      <c r="G1640" t="str">
        <f>"TCRFC DUES 2018-C. BECKETT"</f>
        <v>TCRFC DUES 2018-C. BECKETT</v>
      </c>
      <c r="H1640" s="2">
        <v>1500</v>
      </c>
      <c r="I1640" t="str">
        <f>"TCRFC DUES 2018-C. BECKETT"</f>
        <v>TCRFC DUES 2018-C. BECKETT</v>
      </c>
    </row>
    <row r="1641" spans="1:9" x14ac:dyDescent="0.3">
      <c r="A1641" t="str">
        <f>"TCSC"</f>
        <v>TCSC</v>
      </c>
      <c r="B1641" t="s">
        <v>550</v>
      </c>
      <c r="C1641">
        <v>73733</v>
      </c>
      <c r="D1641" s="2">
        <v>1843.56</v>
      </c>
      <c r="E1641" s="1">
        <v>43052</v>
      </c>
      <c r="F1641" t="str">
        <f>"45022"</f>
        <v>45022</v>
      </c>
      <c r="G1641" t="str">
        <f>"CUST#1574/STAND BASE/PCT#4"</f>
        <v>CUST#1574/STAND BASE/PCT#4</v>
      </c>
      <c r="H1641" s="2">
        <v>847.3</v>
      </c>
      <c r="I1641" t="str">
        <f>"CUST#1574/STAND BASE/PCT#4"</f>
        <v>CUST#1574/STAND BASE/PCT#4</v>
      </c>
    </row>
    <row r="1642" spans="1:9" x14ac:dyDescent="0.3">
      <c r="A1642" t="str">
        <f>""</f>
        <v/>
      </c>
      <c r="F1642" t="str">
        <f>"45156"</f>
        <v>45156</v>
      </c>
      <c r="G1642" t="str">
        <f>"CUST#1574/STAND BASE/PCT#4"</f>
        <v>CUST#1574/STAND BASE/PCT#4</v>
      </c>
      <c r="H1642" s="2">
        <v>996.26</v>
      </c>
      <c r="I1642" t="str">
        <f>"CUST#1574/STAND BASE/PCT#4"</f>
        <v>CUST#1574/STAND BASE/PCT#4</v>
      </c>
    </row>
    <row r="1643" spans="1:9" x14ac:dyDescent="0.3">
      <c r="A1643" t="str">
        <f>"TCSC"</f>
        <v>TCSC</v>
      </c>
      <c r="B1643" t="s">
        <v>550</v>
      </c>
      <c r="C1643">
        <v>73962</v>
      </c>
      <c r="D1643" s="2">
        <v>6818.32</v>
      </c>
      <c r="E1643" s="1">
        <v>43066</v>
      </c>
      <c r="F1643" t="str">
        <f>"45368"</f>
        <v>45368</v>
      </c>
      <c r="G1643" t="str">
        <f t="shared" ref="G1643:G1648" si="21">"CUST#1574/STANDARD BASE/PCT#4"</f>
        <v>CUST#1574/STANDARD BASE/PCT#4</v>
      </c>
      <c r="H1643" s="2">
        <v>854.74</v>
      </c>
      <c r="I1643" t="str">
        <f t="shared" ref="I1643:I1648" si="22">"CUST#1574/STANDARD BASE/PCT#4"</f>
        <v>CUST#1574/STANDARD BASE/PCT#4</v>
      </c>
    </row>
    <row r="1644" spans="1:9" x14ac:dyDescent="0.3">
      <c r="A1644" t="str">
        <f>""</f>
        <v/>
      </c>
      <c r="F1644" t="str">
        <f>"45587"</f>
        <v>45587</v>
      </c>
      <c r="G1644" t="str">
        <f t="shared" si="21"/>
        <v>CUST#1574/STANDARD BASE/PCT#4</v>
      </c>
      <c r="H1644" s="2">
        <v>562.71</v>
      </c>
      <c r="I1644" t="str">
        <f t="shared" si="22"/>
        <v>CUST#1574/STANDARD BASE/PCT#4</v>
      </c>
    </row>
    <row r="1645" spans="1:9" x14ac:dyDescent="0.3">
      <c r="A1645" t="str">
        <f>""</f>
        <v/>
      </c>
      <c r="F1645" t="str">
        <f>"45792"</f>
        <v>45792</v>
      </c>
      <c r="G1645" t="str">
        <f t="shared" si="21"/>
        <v>CUST#1574/STANDARD BASE/PCT#4</v>
      </c>
      <c r="H1645" s="2">
        <v>720.56</v>
      </c>
      <c r="I1645" t="str">
        <f t="shared" si="22"/>
        <v>CUST#1574/STANDARD BASE/PCT#4</v>
      </c>
    </row>
    <row r="1646" spans="1:9" x14ac:dyDescent="0.3">
      <c r="A1646" t="str">
        <f>""</f>
        <v/>
      </c>
      <c r="F1646" t="str">
        <f>"46039"</f>
        <v>46039</v>
      </c>
      <c r="G1646" t="str">
        <f t="shared" si="21"/>
        <v>CUST#1574/STANDARD BASE/PCT#4</v>
      </c>
      <c r="H1646" s="2">
        <v>1427.93</v>
      </c>
      <c r="I1646" t="str">
        <f t="shared" si="22"/>
        <v>CUST#1574/STANDARD BASE/PCT#4</v>
      </c>
    </row>
    <row r="1647" spans="1:9" x14ac:dyDescent="0.3">
      <c r="A1647" t="str">
        <f>""</f>
        <v/>
      </c>
      <c r="F1647" t="str">
        <f>"46245"</f>
        <v>46245</v>
      </c>
      <c r="G1647" t="str">
        <f t="shared" si="21"/>
        <v>CUST#1574/STANDARD BASE/PCT#4</v>
      </c>
      <c r="H1647" s="2">
        <v>426.65</v>
      </c>
      <c r="I1647" t="str">
        <f t="shared" si="22"/>
        <v>CUST#1574/STANDARD BASE/PCT#4</v>
      </c>
    </row>
    <row r="1648" spans="1:9" x14ac:dyDescent="0.3">
      <c r="A1648" t="str">
        <f>""</f>
        <v/>
      </c>
      <c r="F1648" t="str">
        <f>"46429"</f>
        <v>46429</v>
      </c>
      <c r="G1648" t="str">
        <f t="shared" si="21"/>
        <v>CUST#1574/STANDARD BASE/PCT#4</v>
      </c>
      <c r="H1648" s="2">
        <v>430.28</v>
      </c>
      <c r="I1648" t="str">
        <f t="shared" si="22"/>
        <v>CUST#1574/STANDARD BASE/PCT#4</v>
      </c>
    </row>
    <row r="1649" spans="1:10" x14ac:dyDescent="0.3">
      <c r="A1649" t="str">
        <f>""</f>
        <v/>
      </c>
      <c r="F1649" t="str">
        <f>"46646"</f>
        <v>46646</v>
      </c>
      <c r="G1649" t="str">
        <f>"CUST#1574/STAND BASE/PCT#4"</f>
        <v>CUST#1574/STAND BASE/PCT#4</v>
      </c>
      <c r="H1649" s="2">
        <v>1260.95</v>
      </c>
      <c r="I1649" t="str">
        <f>"CUST#1574/STAND BASE/PCT#4"</f>
        <v>CUST#1574/STAND BASE/PCT#4</v>
      </c>
    </row>
    <row r="1650" spans="1:10" x14ac:dyDescent="0.3">
      <c r="A1650" t="str">
        <f>""</f>
        <v/>
      </c>
      <c r="F1650" t="str">
        <f>"46909"</f>
        <v>46909</v>
      </c>
      <c r="G1650" t="str">
        <f>"CUST#1574/STAND BASE/PCT#4"</f>
        <v>CUST#1574/STAND BASE/PCT#4</v>
      </c>
      <c r="H1650" s="2">
        <v>567.49</v>
      </c>
      <c r="I1650" t="str">
        <f>"CUST#1574/STAND BASE/PCT#4"</f>
        <v>CUST#1574/STAND BASE/PCT#4</v>
      </c>
    </row>
    <row r="1651" spans="1:10" x14ac:dyDescent="0.3">
      <c r="A1651" t="str">
        <f>""</f>
        <v/>
      </c>
      <c r="F1651" t="str">
        <f>"47140"</f>
        <v>47140</v>
      </c>
      <c r="G1651" t="str">
        <f>"CUST#1574/STAND BASE/PCT#4"</f>
        <v>CUST#1574/STAND BASE/PCT#4</v>
      </c>
      <c r="H1651" s="2">
        <v>567.01</v>
      </c>
      <c r="I1651" t="str">
        <f>"CUST#1574/STAND BASE/PCT#4"</f>
        <v>CUST#1574/STAND BASE/PCT#4</v>
      </c>
    </row>
    <row r="1652" spans="1:10" x14ac:dyDescent="0.3">
      <c r="A1652" t="str">
        <f>"004093"</f>
        <v>004093</v>
      </c>
      <c r="B1652" t="s">
        <v>551</v>
      </c>
      <c r="C1652">
        <v>73734</v>
      </c>
      <c r="D1652" s="2">
        <v>140</v>
      </c>
      <c r="E1652" s="1">
        <v>43052</v>
      </c>
      <c r="F1652" t="str">
        <f>"UI420305"</f>
        <v>UI420305</v>
      </c>
      <c r="G1652" t="str">
        <f>"Custom Seal"</f>
        <v>Custom Seal</v>
      </c>
      <c r="H1652" s="2">
        <v>140</v>
      </c>
      <c r="I1652" t="str">
        <f>"Custom Seal"</f>
        <v>Custom Seal</v>
      </c>
    </row>
    <row r="1653" spans="1:10" x14ac:dyDescent="0.3">
      <c r="A1653" t="str">
        <f>"002354"</f>
        <v>002354</v>
      </c>
      <c r="B1653" t="s">
        <v>552</v>
      </c>
      <c r="C1653">
        <v>73735</v>
      </c>
      <c r="D1653" s="2">
        <v>100</v>
      </c>
      <c r="E1653" s="1">
        <v>43052</v>
      </c>
      <c r="F1653" t="s">
        <v>553</v>
      </c>
      <c r="G1653" t="s">
        <v>554</v>
      </c>
      <c r="H1653" s="2" t="str">
        <f>"RESTITUTION-J. RIVERA"</f>
        <v>RESTITUTION-J. RIVERA</v>
      </c>
      <c r="I1653" t="str">
        <f>"210-0000"</f>
        <v>210-0000</v>
      </c>
      <c r="J1653">
        <v>50</v>
      </c>
    </row>
    <row r="1654" spans="1:10" x14ac:dyDescent="0.3">
      <c r="A1654" t="str">
        <f>""</f>
        <v/>
      </c>
      <c r="F1654" t="s">
        <v>553</v>
      </c>
      <c r="G1654" t="s">
        <v>555</v>
      </c>
      <c r="H1654" s="2" t="str">
        <f>"RESTITUTION-R. STEPHENS"</f>
        <v>RESTITUTION-R. STEPHENS</v>
      </c>
      <c r="I1654" t="str">
        <f>"210-0000"</f>
        <v>210-0000</v>
      </c>
      <c r="J1654">
        <v>50</v>
      </c>
    </row>
    <row r="1655" spans="1:10" x14ac:dyDescent="0.3">
      <c r="A1655" t="str">
        <f>"005305"</f>
        <v>005305</v>
      </c>
      <c r="B1655" t="s">
        <v>556</v>
      </c>
      <c r="C1655">
        <v>73963</v>
      </c>
      <c r="D1655" s="2">
        <v>690</v>
      </c>
      <c r="E1655" s="1">
        <v>43066</v>
      </c>
      <c r="F1655" t="str">
        <f>"TRAINING"</f>
        <v>TRAINING</v>
      </c>
      <c r="G1655" t="str">
        <f>"TRAINING"</f>
        <v>TRAINING</v>
      </c>
      <c r="H1655" s="2">
        <v>690</v>
      </c>
      <c r="I1655" t="str">
        <f>"K. STEIN"</f>
        <v>K. STEIN</v>
      </c>
    </row>
    <row r="1656" spans="1:10" x14ac:dyDescent="0.3">
      <c r="A1656" t="str">
        <f>""</f>
        <v/>
      </c>
      <c r="F1656" t="str">
        <f>""</f>
        <v/>
      </c>
      <c r="G1656" t="str">
        <f>""</f>
        <v/>
      </c>
      <c r="I1656" t="str">
        <f>"JENNIFER TOMASZYCKI"</f>
        <v>JENNIFER TOMASZYCKI</v>
      </c>
    </row>
    <row r="1657" spans="1:10" x14ac:dyDescent="0.3">
      <c r="A1657" t="str">
        <f>"T6071"</f>
        <v>T6071</v>
      </c>
      <c r="B1657" t="s">
        <v>557</v>
      </c>
      <c r="C1657">
        <v>73964</v>
      </c>
      <c r="D1657" s="2">
        <v>54.39</v>
      </c>
      <c r="E1657" s="1">
        <v>43066</v>
      </c>
      <c r="F1657" t="str">
        <f>"201711166663"</f>
        <v>201711166663</v>
      </c>
      <c r="G1657" t="str">
        <f>"INDIGENT HEALTH"</f>
        <v>INDIGENT HEALTH</v>
      </c>
      <c r="H1657" s="2">
        <v>54.39</v>
      </c>
      <c r="I1657" t="str">
        <f>"INDIGENT HEALTH"</f>
        <v>INDIGENT HEALTH</v>
      </c>
    </row>
    <row r="1658" spans="1:10" x14ac:dyDescent="0.3">
      <c r="A1658" t="str">
        <f>""</f>
        <v/>
      </c>
      <c r="F1658" t="str">
        <f>""</f>
        <v/>
      </c>
      <c r="G1658" t="str">
        <f>""</f>
        <v/>
      </c>
      <c r="I1658" t="str">
        <f>"INDIGENT HEALTH"</f>
        <v>INDIGENT HEALTH</v>
      </c>
    </row>
    <row r="1659" spans="1:10" x14ac:dyDescent="0.3">
      <c r="A1659" t="str">
        <f>"T7170"</f>
        <v>T7170</v>
      </c>
      <c r="B1659" t="s">
        <v>558</v>
      </c>
      <c r="C1659">
        <v>73736</v>
      </c>
      <c r="D1659" s="2">
        <v>229.5</v>
      </c>
      <c r="E1659" s="1">
        <v>43052</v>
      </c>
      <c r="F1659" t="str">
        <f>"3CO-3462-17"</f>
        <v>3CO-3462-17</v>
      </c>
      <c r="G1659" t="str">
        <f>"A8243984  J. ESPINOZA-TORRES"</f>
        <v>A8243984  J. ESPINOZA-TORRES</v>
      </c>
      <c r="H1659" s="2">
        <v>114.75</v>
      </c>
      <c r="I1659" t="str">
        <f>"A8243984  J. ESPINOZA-TORRES"</f>
        <v>A8243984  J. ESPINOZA-TORRES</v>
      </c>
    </row>
    <row r="1660" spans="1:10" x14ac:dyDescent="0.3">
      <c r="A1660" t="str">
        <f>""</f>
        <v/>
      </c>
      <c r="F1660" t="str">
        <f>"3CO-3463-17"</f>
        <v>3CO-3463-17</v>
      </c>
      <c r="G1660" t="str">
        <f>"A8243983  CAMILO-UGARTE"</f>
        <v>A8243983  CAMILO-UGARTE</v>
      </c>
      <c r="H1660" s="2">
        <v>114.75</v>
      </c>
      <c r="I1660" t="str">
        <f>"A8243983  CAMILO-UGARTE"</f>
        <v>A8243983  CAMILO-UGARTE</v>
      </c>
    </row>
    <row r="1661" spans="1:10" x14ac:dyDescent="0.3">
      <c r="A1661" t="str">
        <f>"T7170"</f>
        <v>T7170</v>
      </c>
      <c r="B1661" t="s">
        <v>558</v>
      </c>
      <c r="C1661">
        <v>73965</v>
      </c>
      <c r="D1661" s="2">
        <v>701.25</v>
      </c>
      <c r="E1661" s="1">
        <v>43066</v>
      </c>
      <c r="F1661" t="str">
        <f>"17-3366J4"</f>
        <v>17-3366J4</v>
      </c>
      <c r="G1661" t="str">
        <f>"A8210952 - A RESENDIZ"</f>
        <v>A8210952 - A RESENDIZ</v>
      </c>
      <c r="H1661" s="2">
        <v>233.75</v>
      </c>
      <c r="I1661" t="str">
        <f>"A8210952 - A RESENDIZ"</f>
        <v>A8210952 - A RESENDIZ</v>
      </c>
    </row>
    <row r="1662" spans="1:10" x14ac:dyDescent="0.3">
      <c r="A1662" t="str">
        <f>""</f>
        <v/>
      </c>
      <c r="F1662" t="str">
        <f>"17-3368J4"</f>
        <v>17-3368J4</v>
      </c>
      <c r="G1662" t="str">
        <f>"A8210951 - J MUNOZ"</f>
        <v>A8210951 - J MUNOZ</v>
      </c>
      <c r="H1662" s="2">
        <v>233.75</v>
      </c>
      <c r="I1662" t="str">
        <f>"A8210951 - J MUNOZ"</f>
        <v>A8210951 - J MUNOZ</v>
      </c>
    </row>
    <row r="1663" spans="1:10" x14ac:dyDescent="0.3">
      <c r="A1663" t="str">
        <f>""</f>
        <v/>
      </c>
      <c r="F1663" t="str">
        <f>"17-3369J4"</f>
        <v>17-3369J4</v>
      </c>
      <c r="G1663" t="str">
        <f>"A8210950 - P VILLAGOS"</f>
        <v>A8210950 - P VILLAGOS</v>
      </c>
      <c r="H1663" s="2">
        <v>233.75</v>
      </c>
      <c r="I1663" t="str">
        <f>"A8210950 - P VILLAGOS"</f>
        <v>A8210950 - P VILLAGOS</v>
      </c>
    </row>
    <row r="1664" spans="1:10" x14ac:dyDescent="0.3">
      <c r="A1664" t="str">
        <f>"002911"</f>
        <v>002911</v>
      </c>
      <c r="B1664" t="s">
        <v>559</v>
      </c>
      <c r="C1664">
        <v>73737</v>
      </c>
      <c r="D1664" s="2">
        <v>18.25</v>
      </c>
      <c r="E1664" s="1">
        <v>43052</v>
      </c>
      <c r="F1664" t="str">
        <f>"201711036110"</f>
        <v>201711036110</v>
      </c>
      <c r="G1664" t="str">
        <f>"ACCT#23388111/PLATE#1352231"</f>
        <v>ACCT#23388111/PLATE#1352231</v>
      </c>
      <c r="H1664" s="2">
        <v>18.25</v>
      </c>
      <c r="I1664" t="str">
        <f>"ACCT#23388111/PLATE#1352231"</f>
        <v>ACCT#23388111/PLATE#1352231</v>
      </c>
    </row>
    <row r="1665" spans="1:9" x14ac:dyDescent="0.3">
      <c r="A1665" t="str">
        <f>"003946"</f>
        <v>003946</v>
      </c>
      <c r="B1665" t="s">
        <v>560</v>
      </c>
      <c r="C1665">
        <v>73738</v>
      </c>
      <c r="D1665" s="2">
        <v>250</v>
      </c>
      <c r="E1665" s="1">
        <v>43052</v>
      </c>
      <c r="F1665" t="str">
        <f>"201710276022"</f>
        <v>201710276022</v>
      </c>
      <c r="G1665" t="str">
        <f>"54495"</f>
        <v>54495</v>
      </c>
      <c r="H1665" s="2">
        <v>250</v>
      </c>
      <c r="I1665" t="str">
        <f>"54495"</f>
        <v>54495</v>
      </c>
    </row>
    <row r="1666" spans="1:9" x14ac:dyDescent="0.3">
      <c r="A1666" t="str">
        <f>"003946"</f>
        <v>003946</v>
      </c>
      <c r="B1666" t="s">
        <v>560</v>
      </c>
      <c r="C1666">
        <v>73966</v>
      </c>
      <c r="D1666" s="2">
        <v>250</v>
      </c>
      <c r="E1666" s="1">
        <v>43066</v>
      </c>
      <c r="F1666" t="str">
        <f>"201711166682"</f>
        <v>201711166682</v>
      </c>
      <c r="G1666" t="str">
        <f>"55320"</f>
        <v>55320</v>
      </c>
      <c r="H1666" s="2">
        <v>250</v>
      </c>
      <c r="I1666" t="str">
        <f>"55320"</f>
        <v>55320</v>
      </c>
    </row>
    <row r="1667" spans="1:9" x14ac:dyDescent="0.3">
      <c r="A1667" t="str">
        <f>"T10299"</f>
        <v>T10299</v>
      </c>
      <c r="B1667" t="s">
        <v>561</v>
      </c>
      <c r="C1667">
        <v>73739</v>
      </c>
      <c r="D1667" s="2">
        <v>175</v>
      </c>
      <c r="E1667" s="1">
        <v>43052</v>
      </c>
      <c r="F1667" t="str">
        <f>"13628544"</f>
        <v>13628544</v>
      </c>
      <c r="G1667" t="str">
        <f>"INV 13628544"</f>
        <v>INV 13628544</v>
      </c>
      <c r="H1667" s="2">
        <v>175</v>
      </c>
      <c r="I1667" t="str">
        <f>"INV 13628544"</f>
        <v>INV 13628544</v>
      </c>
    </row>
    <row r="1668" spans="1:9" x14ac:dyDescent="0.3">
      <c r="A1668" t="str">
        <f>"003252"</f>
        <v>003252</v>
      </c>
      <c r="B1668" t="s">
        <v>562</v>
      </c>
      <c r="C1668">
        <v>999999</v>
      </c>
      <c r="D1668" s="2">
        <v>164.08</v>
      </c>
      <c r="E1668" s="1">
        <v>43067</v>
      </c>
      <c r="F1668" t="str">
        <f>"206445"</f>
        <v>206445</v>
      </c>
      <c r="G1668" t="str">
        <f>"INV 206445"</f>
        <v>INV 206445</v>
      </c>
      <c r="H1668" s="2">
        <v>164.08</v>
      </c>
      <c r="I1668" t="str">
        <f>"INV 206445"</f>
        <v>INV 206445</v>
      </c>
    </row>
    <row r="1669" spans="1:9" x14ac:dyDescent="0.3">
      <c r="A1669" t="str">
        <f>"002317"</f>
        <v>002317</v>
      </c>
      <c r="B1669" t="s">
        <v>563</v>
      </c>
      <c r="C1669">
        <v>999999</v>
      </c>
      <c r="D1669" s="2">
        <v>2875</v>
      </c>
      <c r="E1669" s="1">
        <v>43053</v>
      </c>
      <c r="F1669" t="str">
        <f>"201710255970"</f>
        <v>201710255970</v>
      </c>
      <c r="G1669" t="str">
        <f>"C160069"</f>
        <v>C160069</v>
      </c>
      <c r="H1669" s="2">
        <v>400</v>
      </c>
      <c r="I1669" t="str">
        <f>"C160069"</f>
        <v>C160069</v>
      </c>
    </row>
    <row r="1670" spans="1:9" x14ac:dyDescent="0.3">
      <c r="A1670" t="str">
        <f>""</f>
        <v/>
      </c>
      <c r="F1670" t="str">
        <f>"201710255971"</f>
        <v>201710255971</v>
      </c>
      <c r="G1670" t="str">
        <f>"13 796"</f>
        <v>13 796</v>
      </c>
      <c r="H1670" s="2">
        <v>400</v>
      </c>
      <c r="I1670" t="str">
        <f>"13 796"</f>
        <v>13 796</v>
      </c>
    </row>
    <row r="1671" spans="1:9" x14ac:dyDescent="0.3">
      <c r="A1671" t="str">
        <f>""</f>
        <v/>
      </c>
      <c r="F1671" t="str">
        <f>"201710255980"</f>
        <v>201710255980</v>
      </c>
      <c r="G1671" t="str">
        <f>"16 290"</f>
        <v>16 290</v>
      </c>
      <c r="H1671" s="2">
        <v>400</v>
      </c>
      <c r="I1671" t="str">
        <f>"16 290"</f>
        <v>16 290</v>
      </c>
    </row>
    <row r="1672" spans="1:9" x14ac:dyDescent="0.3">
      <c r="A1672" t="str">
        <f>""</f>
        <v/>
      </c>
      <c r="F1672" t="str">
        <f>"201710276034"</f>
        <v>201710276034</v>
      </c>
      <c r="G1672" t="str">
        <f>"17-18269"</f>
        <v>17-18269</v>
      </c>
      <c r="H1672" s="2">
        <v>325</v>
      </c>
      <c r="I1672" t="str">
        <f>"17-18269"</f>
        <v>17-18269</v>
      </c>
    </row>
    <row r="1673" spans="1:9" x14ac:dyDescent="0.3">
      <c r="A1673" t="str">
        <f>""</f>
        <v/>
      </c>
      <c r="F1673" t="str">
        <f>"201710276035"</f>
        <v>201710276035</v>
      </c>
      <c r="G1673" t="str">
        <f>"16-18071"</f>
        <v>16-18071</v>
      </c>
      <c r="H1673" s="2">
        <v>475</v>
      </c>
      <c r="I1673" t="str">
        <f>"16-18071"</f>
        <v>16-18071</v>
      </c>
    </row>
    <row r="1674" spans="1:9" x14ac:dyDescent="0.3">
      <c r="A1674" t="str">
        <f>""</f>
        <v/>
      </c>
      <c r="F1674" t="str">
        <f>"201710276036"</f>
        <v>201710276036</v>
      </c>
      <c r="G1674" t="str">
        <f>"1-11141 D"</f>
        <v>1-11141 D</v>
      </c>
      <c r="H1674" s="2">
        <v>250</v>
      </c>
      <c r="I1674" t="str">
        <f>"1-11141 D"</f>
        <v>1-11141 D</v>
      </c>
    </row>
    <row r="1675" spans="1:9" x14ac:dyDescent="0.3">
      <c r="A1675" t="str">
        <f>""</f>
        <v/>
      </c>
      <c r="F1675" t="str">
        <f>"201711036165"</f>
        <v>201711036165</v>
      </c>
      <c r="G1675" t="str">
        <f>"CH20160617-B  CH20160617-A"</f>
        <v>CH20160617-B  CH20160617-A</v>
      </c>
      <c r="H1675" s="2">
        <v>375</v>
      </c>
      <c r="I1675" t="str">
        <f>"CH20160617-B  CH20160617-A"</f>
        <v>CH20160617-B  CH20160617-A</v>
      </c>
    </row>
    <row r="1676" spans="1:9" x14ac:dyDescent="0.3">
      <c r="A1676" t="str">
        <f>""</f>
        <v/>
      </c>
      <c r="F1676" t="str">
        <f>"201711036174"</f>
        <v>201711036174</v>
      </c>
      <c r="G1676" t="str">
        <f>"55 361"</f>
        <v>55 361</v>
      </c>
      <c r="H1676" s="2">
        <v>250</v>
      </c>
      <c r="I1676" t="str">
        <f>"55 361"</f>
        <v>55 361</v>
      </c>
    </row>
    <row r="1677" spans="1:9" x14ac:dyDescent="0.3">
      <c r="A1677" t="str">
        <f>"002317"</f>
        <v>002317</v>
      </c>
      <c r="B1677" t="s">
        <v>563</v>
      </c>
      <c r="C1677">
        <v>999999</v>
      </c>
      <c r="D1677" s="2">
        <v>975</v>
      </c>
      <c r="E1677" s="1">
        <v>43067</v>
      </c>
      <c r="F1677" t="str">
        <f>"201711146569"</f>
        <v>201711146569</v>
      </c>
      <c r="G1677" t="str">
        <f>"11-14521"</f>
        <v>11-14521</v>
      </c>
      <c r="H1677" s="2">
        <v>175</v>
      </c>
      <c r="I1677" t="str">
        <f>"11-14521"</f>
        <v>11-14521</v>
      </c>
    </row>
    <row r="1678" spans="1:9" x14ac:dyDescent="0.3">
      <c r="A1678" t="str">
        <f>""</f>
        <v/>
      </c>
      <c r="F1678" t="str">
        <f>"201711146575"</f>
        <v>201711146575</v>
      </c>
      <c r="G1678" t="str">
        <f>"17-18269"</f>
        <v>17-18269</v>
      </c>
      <c r="H1678" s="2">
        <v>150</v>
      </c>
      <c r="I1678" t="str">
        <f>"17-18269"</f>
        <v>17-18269</v>
      </c>
    </row>
    <row r="1679" spans="1:9" x14ac:dyDescent="0.3">
      <c r="A1679" t="str">
        <f>""</f>
        <v/>
      </c>
      <c r="F1679" t="str">
        <f>"201711146576"</f>
        <v>201711146576</v>
      </c>
      <c r="G1679" t="str">
        <f>"15-17030"</f>
        <v>15-17030</v>
      </c>
      <c r="H1679" s="2">
        <v>175</v>
      </c>
      <c r="I1679" t="str">
        <f>"15-17030"</f>
        <v>15-17030</v>
      </c>
    </row>
    <row r="1680" spans="1:9" x14ac:dyDescent="0.3">
      <c r="A1680" t="str">
        <f>""</f>
        <v/>
      </c>
      <c r="F1680" t="str">
        <f>"201711146577"</f>
        <v>201711146577</v>
      </c>
      <c r="G1680" t="str">
        <f>"16-18071"</f>
        <v>16-18071</v>
      </c>
      <c r="H1680" s="2">
        <v>150</v>
      </c>
      <c r="I1680" t="str">
        <f>"16-18071"</f>
        <v>16-18071</v>
      </c>
    </row>
    <row r="1681" spans="1:10" x14ac:dyDescent="0.3">
      <c r="A1681" t="str">
        <f>""</f>
        <v/>
      </c>
      <c r="F1681" t="str">
        <f>"201711146578"</f>
        <v>201711146578</v>
      </c>
      <c r="G1681" t="str">
        <f>"17-18269"</f>
        <v>17-18269</v>
      </c>
      <c r="H1681" s="2">
        <v>150</v>
      </c>
      <c r="I1681" t="str">
        <f>"17-18269"</f>
        <v>17-18269</v>
      </c>
    </row>
    <row r="1682" spans="1:10" x14ac:dyDescent="0.3">
      <c r="A1682" t="str">
        <f>""</f>
        <v/>
      </c>
      <c r="F1682" t="str">
        <f>"8866"</f>
        <v>8866</v>
      </c>
      <c r="G1682" t="str">
        <f>"AD LITEM FEE"</f>
        <v>AD LITEM FEE</v>
      </c>
      <c r="H1682" s="2">
        <v>175</v>
      </c>
      <c r="I1682" t="str">
        <f>"AD LITEM FEE"</f>
        <v>AD LITEM FEE</v>
      </c>
    </row>
    <row r="1683" spans="1:10" x14ac:dyDescent="0.3">
      <c r="A1683" t="str">
        <f>"T6860"</f>
        <v>T6860</v>
      </c>
      <c r="B1683" t="s">
        <v>564</v>
      </c>
      <c r="C1683">
        <v>999999</v>
      </c>
      <c r="D1683" s="2">
        <v>868532.55</v>
      </c>
      <c r="E1683" s="1">
        <v>43053</v>
      </c>
      <c r="F1683" t="str">
        <f>"221881"</f>
        <v>221881</v>
      </c>
      <c r="G1683" t="str">
        <f>"ORD#1*165201/CODE:BASTRCOU"</f>
        <v>ORD#1*165201/CODE:BASTRCOU</v>
      </c>
      <c r="H1683" s="2">
        <v>-153</v>
      </c>
      <c r="I1683" t="str">
        <f>"ORD#1*165201/CODE:BASTRCOU"</f>
        <v>ORD#1*165201/CODE:BASTRCOU</v>
      </c>
    </row>
    <row r="1684" spans="1:10" x14ac:dyDescent="0.3">
      <c r="A1684" t="str">
        <f>""</f>
        <v/>
      </c>
      <c r="F1684" t="str">
        <f>"201711016090"</f>
        <v>201711016090</v>
      </c>
      <c r="G1684" t="str">
        <f>"ACCT#BASTRCOU/INSURANCES"</f>
        <v>ACCT#BASTRCOU/INSURANCES</v>
      </c>
      <c r="H1684" s="2">
        <v>868102.55</v>
      </c>
      <c r="I1684" t="str">
        <f>"ACCT#BASTRCOU/INSURANCES"</f>
        <v>ACCT#BASTRCOU/INSURANCES</v>
      </c>
    </row>
    <row r="1685" spans="1:10" x14ac:dyDescent="0.3">
      <c r="A1685" t="str">
        <f>""</f>
        <v/>
      </c>
      <c r="F1685" t="str">
        <f>"221882"</f>
        <v>221882</v>
      </c>
      <c r="G1685" t="str">
        <f>"ORD#1*165202/CLIENT CODE:BASTR"</f>
        <v>ORD#1*165202/CLIENT CODE:BASTR</v>
      </c>
      <c r="H1685" s="2">
        <v>160</v>
      </c>
      <c r="I1685" t="str">
        <f>"ORD#1*165202/CLIENT CODE:BASTR"</f>
        <v>ORD#1*165202/CLIENT CODE:BASTR</v>
      </c>
    </row>
    <row r="1686" spans="1:10" x14ac:dyDescent="0.3">
      <c r="A1686" t="str">
        <f>""</f>
        <v/>
      </c>
      <c r="F1686" t="str">
        <f>"222472"</f>
        <v>222472</v>
      </c>
      <c r="G1686" t="str">
        <f>"ORD#1*165686/CLIENTCODE BASTRC"</f>
        <v>ORD#1*165686/CLIENTCODE BASTRC</v>
      </c>
      <c r="H1686" s="2">
        <v>184</v>
      </c>
      <c r="I1686" t="str">
        <f>"ORD#1*165686/CLIENTCODE BASTRC"</f>
        <v>ORD#1*165686/CLIENTCODE BASTRC</v>
      </c>
    </row>
    <row r="1687" spans="1:10" x14ac:dyDescent="0.3">
      <c r="A1687" t="str">
        <f>""</f>
        <v/>
      </c>
      <c r="F1687" t="str">
        <f>"223809"</f>
        <v>223809</v>
      </c>
      <c r="G1687" t="str">
        <f>"CLIENT CODE:BASTRCOU/1*166445"</f>
        <v>CLIENT CODE:BASTRCOU/1*166445</v>
      </c>
      <c r="H1687" s="2">
        <v>239</v>
      </c>
      <c r="I1687" t="str">
        <f>"CLIENT CODE:BASTRCOU/1*166445"</f>
        <v>CLIENT CODE:BASTRCOU/1*166445</v>
      </c>
    </row>
    <row r="1688" spans="1:10" x14ac:dyDescent="0.3">
      <c r="A1688" t="str">
        <f>"005289"</f>
        <v>005289</v>
      </c>
      <c r="B1688" t="s">
        <v>565</v>
      </c>
      <c r="C1688">
        <v>73740</v>
      </c>
      <c r="D1688" s="2">
        <v>195</v>
      </c>
      <c r="E1688" s="1">
        <v>43052</v>
      </c>
      <c r="F1688" t="str">
        <f>"201711086465"</f>
        <v>201711086465</v>
      </c>
      <c r="G1688" t="str">
        <f>"FERAL HOGS"</f>
        <v>FERAL HOGS</v>
      </c>
      <c r="H1688" s="2">
        <v>195</v>
      </c>
      <c r="I1688" t="str">
        <f>"FERAL HOGS"</f>
        <v>FERAL HOGS</v>
      </c>
    </row>
    <row r="1689" spans="1:10" x14ac:dyDescent="0.3">
      <c r="A1689" t="str">
        <f>"TIME"</f>
        <v>TIME</v>
      </c>
      <c r="B1689" t="s">
        <v>566</v>
      </c>
      <c r="C1689">
        <v>73741</v>
      </c>
      <c r="D1689" s="2">
        <v>10237.15</v>
      </c>
      <c r="E1689" s="1">
        <v>43052</v>
      </c>
      <c r="F1689" t="str">
        <f>"201711066345"</f>
        <v>201711066345</v>
      </c>
      <c r="G1689" t="str">
        <f>"ACCT#8260163000003669"</f>
        <v>ACCT#8260163000003669</v>
      </c>
      <c r="H1689" s="2">
        <v>10237.15</v>
      </c>
      <c r="I1689" t="str">
        <f>"ACCT#8260163000003669"</f>
        <v>ACCT#8260163000003669</v>
      </c>
    </row>
    <row r="1690" spans="1:10" x14ac:dyDescent="0.3">
      <c r="A1690" t="str">
        <f>""</f>
        <v/>
      </c>
      <c r="F1690" t="str">
        <f>""</f>
        <v/>
      </c>
      <c r="G1690" t="str">
        <f>""</f>
        <v/>
      </c>
      <c r="I1690" t="str">
        <f>"ACCT#8260163000003669"</f>
        <v>ACCT#8260163000003669</v>
      </c>
    </row>
    <row r="1691" spans="1:10" x14ac:dyDescent="0.3">
      <c r="A1691" t="str">
        <f>""</f>
        <v/>
      </c>
      <c r="F1691" t="str">
        <f>""</f>
        <v/>
      </c>
      <c r="G1691" t="str">
        <f>""</f>
        <v/>
      </c>
      <c r="I1691" t="str">
        <f>"ACCT#8260163000003669"</f>
        <v>ACCT#8260163000003669</v>
      </c>
    </row>
    <row r="1692" spans="1:10" x14ac:dyDescent="0.3">
      <c r="A1692" t="str">
        <f>"002337"</f>
        <v>002337</v>
      </c>
      <c r="B1692" t="s">
        <v>567</v>
      </c>
      <c r="C1692">
        <v>73742</v>
      </c>
      <c r="D1692" s="2">
        <v>1770</v>
      </c>
      <c r="E1692" s="1">
        <v>43052</v>
      </c>
      <c r="F1692" t="s">
        <v>60</v>
      </c>
      <c r="G1692" t="s">
        <v>62</v>
      </c>
      <c r="H1692" s="2" t="str">
        <f>"SERVICE"</f>
        <v>SERVICE</v>
      </c>
      <c r="I1692" t="str">
        <f>"995-4110"</f>
        <v>995-4110</v>
      </c>
      <c r="J1692">
        <v>420</v>
      </c>
    </row>
    <row r="1693" spans="1:10" x14ac:dyDescent="0.3">
      <c r="A1693" t="str">
        <f>""</f>
        <v/>
      </c>
      <c r="F1693" t="str">
        <f>"11736"</f>
        <v>11736</v>
      </c>
      <c r="G1693" t="str">
        <f>"SERVICE  09/28/17"</f>
        <v>SERVICE  09/28/17</v>
      </c>
      <c r="H1693" s="2">
        <v>450</v>
      </c>
      <c r="I1693" t="str">
        <f>"SERVICE  09/28/17"</f>
        <v>SERVICE  09/28/17</v>
      </c>
    </row>
    <row r="1694" spans="1:10" x14ac:dyDescent="0.3">
      <c r="A1694" t="str">
        <f>""</f>
        <v/>
      </c>
      <c r="F1694" t="str">
        <f>"11979"</f>
        <v>11979</v>
      </c>
      <c r="G1694" t="str">
        <f>"SERVICE  09/08/17"</f>
        <v>SERVICE  09/08/17</v>
      </c>
      <c r="H1694" s="2">
        <v>75</v>
      </c>
      <c r="I1694" t="str">
        <f>"SERVICE  09/08/17"</f>
        <v>SERVICE  09/08/17</v>
      </c>
    </row>
    <row r="1695" spans="1:10" x14ac:dyDescent="0.3">
      <c r="A1695" t="str">
        <f>""</f>
        <v/>
      </c>
      <c r="F1695" t="str">
        <f>"12267"</f>
        <v>12267</v>
      </c>
      <c r="G1695" t="str">
        <f>"SERVICE  08/30/17"</f>
        <v>SERVICE  08/30/17</v>
      </c>
      <c r="H1695" s="2">
        <v>75</v>
      </c>
      <c r="I1695" t="str">
        <f>"SERVICE  08/30/17"</f>
        <v>SERVICE  08/30/17</v>
      </c>
    </row>
    <row r="1696" spans="1:10" x14ac:dyDescent="0.3">
      <c r="A1696" t="str">
        <f>""</f>
        <v/>
      </c>
      <c r="F1696" t="str">
        <f>"12347"</f>
        <v>12347</v>
      </c>
      <c r="G1696" t="str">
        <f>"SERVICE  09/25/17"</f>
        <v>SERVICE  09/25/17</v>
      </c>
      <c r="H1696" s="2">
        <v>75</v>
      </c>
      <c r="I1696" t="str">
        <f>"SERVICE  09/25/17"</f>
        <v>SERVICE  09/25/17</v>
      </c>
    </row>
    <row r="1697" spans="1:10" x14ac:dyDescent="0.3">
      <c r="A1697" t="str">
        <f>""</f>
        <v/>
      </c>
      <c r="F1697" t="str">
        <f>"12504"</f>
        <v>12504</v>
      </c>
      <c r="G1697" t="str">
        <f>"SERVICE  09/13/17"</f>
        <v>SERVICE  09/13/17</v>
      </c>
      <c r="H1697" s="2">
        <v>150</v>
      </c>
      <c r="I1697" t="str">
        <f>"SERVICE  09/13/17"</f>
        <v>SERVICE  09/13/17</v>
      </c>
    </row>
    <row r="1698" spans="1:10" x14ac:dyDescent="0.3">
      <c r="A1698" t="str">
        <f>""</f>
        <v/>
      </c>
      <c r="F1698" t="str">
        <f>"12619"</f>
        <v>12619</v>
      </c>
      <c r="G1698" t="str">
        <f>"SERVICE  09/18/17"</f>
        <v>SERVICE  09/18/17</v>
      </c>
      <c r="H1698" s="2">
        <v>150</v>
      </c>
      <c r="I1698" t="str">
        <f>"SERVICE  09/18/17"</f>
        <v>SERVICE  09/18/17</v>
      </c>
    </row>
    <row r="1699" spans="1:10" x14ac:dyDescent="0.3">
      <c r="A1699" t="str">
        <f>""</f>
        <v/>
      </c>
      <c r="F1699" t="str">
        <f>"12716"</f>
        <v>12716</v>
      </c>
      <c r="G1699" t="str">
        <f>"SERVICE  09/11/2017"</f>
        <v>SERVICE  09/11/2017</v>
      </c>
      <c r="H1699" s="2">
        <v>150</v>
      </c>
      <c r="I1699" t="str">
        <f>"SERVICE  09/11/2017"</f>
        <v>SERVICE  09/11/2017</v>
      </c>
    </row>
    <row r="1700" spans="1:10" x14ac:dyDescent="0.3">
      <c r="A1700" t="str">
        <f>""</f>
        <v/>
      </c>
      <c r="F1700" t="str">
        <f>"12758"</f>
        <v>12758</v>
      </c>
      <c r="G1700" t="str">
        <f>"SERVICE  09/26/17"</f>
        <v>SERVICE  09/26/17</v>
      </c>
      <c r="H1700" s="2">
        <v>150</v>
      </c>
      <c r="I1700" t="str">
        <f>"SERVICE  09/26/17"</f>
        <v>SERVICE  09/26/17</v>
      </c>
    </row>
    <row r="1701" spans="1:10" x14ac:dyDescent="0.3">
      <c r="A1701" t="str">
        <f>""</f>
        <v/>
      </c>
      <c r="F1701" t="str">
        <f>"12771"</f>
        <v>12771</v>
      </c>
      <c r="G1701" t="str">
        <f>"SERVICE  09/14/17"</f>
        <v>SERVICE  09/14/17</v>
      </c>
      <c r="H1701" s="2">
        <v>75</v>
      </c>
      <c r="I1701" t="str">
        <f>"SERVICE  09/14/17"</f>
        <v>SERVICE  09/14/17</v>
      </c>
    </row>
    <row r="1702" spans="1:10" x14ac:dyDescent="0.3">
      <c r="A1702" t="str">
        <f>"002337"</f>
        <v>002337</v>
      </c>
      <c r="B1702" t="s">
        <v>567</v>
      </c>
      <c r="C1702">
        <v>73968</v>
      </c>
      <c r="D1702" s="2">
        <v>1185</v>
      </c>
      <c r="E1702" s="1">
        <v>43066</v>
      </c>
      <c r="F1702" t="str">
        <f>"10946"</f>
        <v>10946</v>
      </c>
      <c r="G1702" t="str">
        <f>"SERVICE"</f>
        <v>SERVICE</v>
      </c>
      <c r="H1702" s="2">
        <v>140</v>
      </c>
      <c r="I1702" t="str">
        <f>"SERVICE"</f>
        <v>SERVICE</v>
      </c>
    </row>
    <row r="1703" spans="1:10" x14ac:dyDescent="0.3">
      <c r="A1703" t="str">
        <f>""</f>
        <v/>
      </c>
      <c r="F1703" t="str">
        <f>"11313"</f>
        <v>11313</v>
      </c>
      <c r="G1703" t="str">
        <f>"SERVICE"</f>
        <v>SERVICE</v>
      </c>
      <c r="H1703" s="2">
        <v>70</v>
      </c>
      <c r="I1703" t="str">
        <f>"SERVICE"</f>
        <v>SERVICE</v>
      </c>
    </row>
    <row r="1704" spans="1:10" x14ac:dyDescent="0.3">
      <c r="A1704" t="str">
        <f>""</f>
        <v/>
      </c>
      <c r="F1704" t="s">
        <v>64</v>
      </c>
      <c r="G1704" t="s">
        <v>70</v>
      </c>
      <c r="H1704" s="2" t="str">
        <f>"SERVICE"</f>
        <v>SERVICE</v>
      </c>
      <c r="I1704" t="str">
        <f>"995-4110"</f>
        <v>995-4110</v>
      </c>
      <c r="J1704">
        <v>150</v>
      </c>
    </row>
    <row r="1705" spans="1:10" x14ac:dyDescent="0.3">
      <c r="A1705" t="str">
        <f>""</f>
        <v/>
      </c>
      <c r="F1705" t="str">
        <f>"12236"</f>
        <v>12236</v>
      </c>
      <c r="G1705" t="str">
        <f>"ABST FEE-$175 + SERVICE-$75"</f>
        <v>ABST FEE-$175 + SERVICE-$75</v>
      </c>
      <c r="H1705" s="2">
        <v>75</v>
      </c>
      <c r="I1705" t="str">
        <f>"ABST FEE-$175 + SERVICE-$75"</f>
        <v>ABST FEE-$175 + SERVICE-$75</v>
      </c>
    </row>
    <row r="1706" spans="1:10" x14ac:dyDescent="0.3">
      <c r="A1706" t="str">
        <f>""</f>
        <v/>
      </c>
      <c r="F1706" t="str">
        <f>"12248"</f>
        <v>12248</v>
      </c>
      <c r="G1706" t="str">
        <f t="shared" ref="G1706:G1711" si="23">"SERVICE"</f>
        <v>SERVICE</v>
      </c>
      <c r="H1706" s="2">
        <v>75</v>
      </c>
      <c r="I1706" t="str">
        <f t="shared" ref="I1706:I1711" si="24">"SERVICE"</f>
        <v>SERVICE</v>
      </c>
    </row>
    <row r="1707" spans="1:10" x14ac:dyDescent="0.3">
      <c r="A1707" t="str">
        <f>""</f>
        <v/>
      </c>
      <c r="F1707" t="str">
        <f>"12381"</f>
        <v>12381</v>
      </c>
      <c r="G1707" t="str">
        <f t="shared" si="23"/>
        <v>SERVICE</v>
      </c>
      <c r="H1707" s="2">
        <v>225</v>
      </c>
      <c r="I1707" t="str">
        <f t="shared" si="24"/>
        <v>SERVICE</v>
      </c>
    </row>
    <row r="1708" spans="1:10" x14ac:dyDescent="0.3">
      <c r="A1708" t="str">
        <f>""</f>
        <v/>
      </c>
      <c r="F1708" t="str">
        <f>"12577"</f>
        <v>12577</v>
      </c>
      <c r="G1708" t="str">
        <f t="shared" si="23"/>
        <v>SERVICE</v>
      </c>
      <c r="H1708" s="2">
        <v>150</v>
      </c>
      <c r="I1708" t="str">
        <f t="shared" si="24"/>
        <v>SERVICE</v>
      </c>
    </row>
    <row r="1709" spans="1:10" x14ac:dyDescent="0.3">
      <c r="A1709" t="str">
        <f>""</f>
        <v/>
      </c>
      <c r="F1709" t="str">
        <f>"12607"</f>
        <v>12607</v>
      </c>
      <c r="G1709" t="str">
        <f t="shared" si="23"/>
        <v>SERVICE</v>
      </c>
      <c r="H1709" s="2">
        <v>75</v>
      </c>
      <c r="I1709" t="str">
        <f t="shared" si="24"/>
        <v>SERVICE</v>
      </c>
    </row>
    <row r="1710" spans="1:10" x14ac:dyDescent="0.3">
      <c r="A1710" t="str">
        <f>""</f>
        <v/>
      </c>
      <c r="F1710" t="str">
        <f>"12611"</f>
        <v>12611</v>
      </c>
      <c r="G1710" t="str">
        <f t="shared" si="23"/>
        <v>SERVICE</v>
      </c>
      <c r="H1710" s="2">
        <v>75</v>
      </c>
      <c r="I1710" t="str">
        <f t="shared" si="24"/>
        <v>SERVICE</v>
      </c>
    </row>
    <row r="1711" spans="1:10" x14ac:dyDescent="0.3">
      <c r="A1711" t="str">
        <f>""</f>
        <v/>
      </c>
      <c r="F1711" t="str">
        <f>"12791"</f>
        <v>12791</v>
      </c>
      <c r="G1711" t="str">
        <f t="shared" si="23"/>
        <v>SERVICE</v>
      </c>
      <c r="H1711" s="2">
        <v>150</v>
      </c>
      <c r="I1711" t="str">
        <f t="shared" si="24"/>
        <v>SERVICE</v>
      </c>
    </row>
    <row r="1712" spans="1:10" x14ac:dyDescent="0.3">
      <c r="A1712" t="str">
        <f>"005136"</f>
        <v>005136</v>
      </c>
      <c r="B1712" t="s">
        <v>568</v>
      </c>
      <c r="C1712">
        <v>73743</v>
      </c>
      <c r="D1712" s="2">
        <v>5800</v>
      </c>
      <c r="E1712" s="1">
        <v>43052</v>
      </c>
      <c r="F1712" t="str">
        <f>"3300000804"</f>
        <v>3300000804</v>
      </c>
      <c r="G1712" t="str">
        <f>"CUST#100009/17-03413/17-03412"</f>
        <v>CUST#100009/17-03413/17-03412</v>
      </c>
      <c r="H1712" s="2">
        <v>5800</v>
      </c>
      <c r="I1712" t="str">
        <f>"CUST#100009/17-03413/17-03412"</f>
        <v>CUST#100009/17-03413/17-03412</v>
      </c>
    </row>
    <row r="1713" spans="1:9" x14ac:dyDescent="0.3">
      <c r="A1713" t="str">
        <f>"002944"</f>
        <v>002944</v>
      </c>
      <c r="B1713" t="s">
        <v>569</v>
      </c>
      <c r="C1713">
        <v>999999</v>
      </c>
      <c r="D1713" s="2">
        <v>3185.86</v>
      </c>
      <c r="E1713" s="1">
        <v>43053</v>
      </c>
      <c r="F1713" t="str">
        <f>"2 TIRES"</f>
        <v>2 TIRES</v>
      </c>
      <c r="G1713" t="str">
        <f>"INV 670128"</f>
        <v>INV 670128</v>
      </c>
      <c r="H1713" s="2">
        <v>318.66000000000003</v>
      </c>
      <c r="I1713" t="str">
        <f>"INV"</f>
        <v>INV</v>
      </c>
    </row>
    <row r="1714" spans="1:9" x14ac:dyDescent="0.3">
      <c r="A1714" t="str">
        <f>""</f>
        <v/>
      </c>
      <c r="F1714" t="str">
        <f>"673561"</f>
        <v>673561</v>
      </c>
      <c r="G1714" t="str">
        <f>"INV 673561"</f>
        <v>INV 673561</v>
      </c>
      <c r="H1714" s="2">
        <v>598.65</v>
      </c>
      <c r="I1714" t="str">
        <f>"INV 673561"</f>
        <v>INV 673561</v>
      </c>
    </row>
    <row r="1715" spans="1:9" x14ac:dyDescent="0.3">
      <c r="A1715" t="str">
        <f>""</f>
        <v/>
      </c>
      <c r="F1715" t="str">
        <f>"679521"</f>
        <v>679521</v>
      </c>
      <c r="G1715" t="str">
        <f>"INV 679521"</f>
        <v>INV 679521</v>
      </c>
      <c r="H1715" s="2">
        <v>334.77</v>
      </c>
      <c r="I1715" t="str">
        <f>"INV 679521"</f>
        <v>INV 679521</v>
      </c>
    </row>
    <row r="1716" spans="1:9" x14ac:dyDescent="0.3">
      <c r="A1716" t="str">
        <f>""</f>
        <v/>
      </c>
      <c r="F1716" t="str">
        <f>"679522"</f>
        <v>679522</v>
      </c>
      <c r="G1716" t="str">
        <f>"INV 679522 / UNIT 1668"</f>
        <v>INV 679522 / UNIT 1668</v>
      </c>
      <c r="H1716" s="2">
        <v>521.64</v>
      </c>
      <c r="I1716" t="str">
        <f>"INV 679522 / UNIT 1668"</f>
        <v>INV 679522 / UNIT 1668</v>
      </c>
    </row>
    <row r="1717" spans="1:9" x14ac:dyDescent="0.3">
      <c r="A1717" t="str">
        <f>""</f>
        <v/>
      </c>
      <c r="F1717" t="str">
        <f>"679523"</f>
        <v>679523</v>
      </c>
      <c r="G1717" t="str">
        <f>"INV 679523"</f>
        <v>INV 679523</v>
      </c>
      <c r="H1717" s="2">
        <v>130.41</v>
      </c>
      <c r="I1717" t="str">
        <f>"INV 679523"</f>
        <v>INV 679523</v>
      </c>
    </row>
    <row r="1718" spans="1:9" x14ac:dyDescent="0.3">
      <c r="A1718" t="str">
        <f>""</f>
        <v/>
      </c>
      <c r="F1718" t="str">
        <f>"681113"</f>
        <v>681113</v>
      </c>
      <c r="G1718" t="str">
        <f>"INV 681113"</f>
        <v>INV 681113</v>
      </c>
      <c r="H1718" s="2">
        <v>130.41</v>
      </c>
      <c r="I1718" t="str">
        <f>"INV 681113"</f>
        <v>INV 681113</v>
      </c>
    </row>
    <row r="1719" spans="1:9" x14ac:dyDescent="0.3">
      <c r="A1719" t="str">
        <f>""</f>
        <v/>
      </c>
      <c r="F1719" t="str">
        <f>"681587"</f>
        <v>681587</v>
      </c>
      <c r="G1719" t="str">
        <f>"INV 681587 / UNIT 3102"</f>
        <v>INV 681587 / UNIT 3102</v>
      </c>
      <c r="H1719" s="2">
        <v>629.67999999999995</v>
      </c>
      <c r="I1719" t="str">
        <f>"INV 681587 / UNIT 3102"</f>
        <v>INV 681587 / UNIT 3102</v>
      </c>
    </row>
    <row r="1720" spans="1:9" x14ac:dyDescent="0.3">
      <c r="A1720" t="str">
        <f>""</f>
        <v/>
      </c>
      <c r="F1720" t="str">
        <f>"681588"</f>
        <v>681588</v>
      </c>
      <c r="G1720" t="str">
        <f>"INV 681588 / UNIT 1672"</f>
        <v>INV 681588 / UNIT 1672</v>
      </c>
      <c r="H1720" s="2">
        <v>521.64</v>
      </c>
      <c r="I1720" t="str">
        <f>"INV 681588 / UNIT 1672"</f>
        <v>INV 681588 / UNIT 1672</v>
      </c>
    </row>
    <row r="1721" spans="1:9" x14ac:dyDescent="0.3">
      <c r="A1721" t="str">
        <f>"002944"</f>
        <v>002944</v>
      </c>
      <c r="B1721" t="s">
        <v>569</v>
      </c>
      <c r="C1721">
        <v>999999</v>
      </c>
      <c r="D1721" s="2">
        <v>127.82</v>
      </c>
      <c r="E1721" s="1">
        <v>43067</v>
      </c>
      <c r="F1721" t="str">
        <f>"INV662815"</f>
        <v>INV662815</v>
      </c>
      <c r="G1721" t="str">
        <f>"INV 662815"</f>
        <v>INV 662815</v>
      </c>
      <c r="H1721" s="2">
        <v>127.82</v>
      </c>
      <c r="I1721" t="str">
        <f>"INV 662815"</f>
        <v>INV 662815</v>
      </c>
    </row>
    <row r="1722" spans="1:9" x14ac:dyDescent="0.3">
      <c r="A1722" t="str">
        <f>"003883"</f>
        <v>003883</v>
      </c>
      <c r="B1722" t="s">
        <v>570</v>
      </c>
      <c r="C1722">
        <v>73744</v>
      </c>
      <c r="D1722" s="2">
        <v>100</v>
      </c>
      <c r="E1722" s="1">
        <v>43052</v>
      </c>
      <c r="F1722" t="str">
        <f>"201711086466"</f>
        <v>201711086466</v>
      </c>
      <c r="G1722" t="str">
        <f>"FERAL HOGS"</f>
        <v>FERAL HOGS</v>
      </c>
      <c r="H1722" s="2">
        <v>100</v>
      </c>
      <c r="I1722" t="str">
        <f>"FERAL HOGS"</f>
        <v>FERAL HOGS</v>
      </c>
    </row>
    <row r="1723" spans="1:9" x14ac:dyDescent="0.3">
      <c r="A1723" t="str">
        <f>"003838"</f>
        <v>003838</v>
      </c>
      <c r="B1723" t="s">
        <v>571</v>
      </c>
      <c r="C1723">
        <v>73745</v>
      </c>
      <c r="D1723" s="2">
        <v>781.86</v>
      </c>
      <c r="E1723" s="1">
        <v>43052</v>
      </c>
      <c r="F1723" t="str">
        <f>"201711086520"</f>
        <v>201711086520</v>
      </c>
      <c r="G1723" t="str">
        <f>"INDIGENT HEALTH"</f>
        <v>INDIGENT HEALTH</v>
      </c>
      <c r="H1723" s="2">
        <v>781.86</v>
      </c>
      <c r="I1723" t="str">
        <f>"INDIGENT HEALTH"</f>
        <v>INDIGENT HEALTH</v>
      </c>
    </row>
    <row r="1724" spans="1:9" x14ac:dyDescent="0.3">
      <c r="A1724" t="str">
        <f>"TRIPLE"</f>
        <v>TRIPLE</v>
      </c>
      <c r="B1724" t="s">
        <v>572</v>
      </c>
      <c r="C1724">
        <v>999999</v>
      </c>
      <c r="D1724" s="2">
        <v>11272.31</v>
      </c>
      <c r="E1724" s="1">
        <v>43067</v>
      </c>
      <c r="F1724" t="str">
        <f>"0012886-IN"</f>
        <v>0012886-IN</v>
      </c>
      <c r="G1724" t="str">
        <f>"CUST#0009084/PCT#1"</f>
        <v>CUST#0009084/PCT#1</v>
      </c>
      <c r="H1724" s="2">
        <v>900.28</v>
      </c>
      <c r="I1724" t="str">
        <f>"CUST#0009084/PCT#1"</f>
        <v>CUST#0009084/PCT#1</v>
      </c>
    </row>
    <row r="1725" spans="1:9" x14ac:dyDescent="0.3">
      <c r="A1725" t="str">
        <f>""</f>
        <v/>
      </c>
      <c r="F1725" t="str">
        <f>"0012922-IN"</f>
        <v>0012922-IN</v>
      </c>
      <c r="G1725" t="str">
        <f>"CUST#0009084"</f>
        <v>CUST#0009084</v>
      </c>
      <c r="H1725" s="2">
        <v>4731.83</v>
      </c>
      <c r="I1725" t="str">
        <f>"CUST#0009084"</f>
        <v>CUST#0009084</v>
      </c>
    </row>
    <row r="1726" spans="1:9" x14ac:dyDescent="0.3">
      <c r="A1726" t="str">
        <f>""</f>
        <v/>
      </c>
      <c r="F1726" t="str">
        <f>"0013012-IN"</f>
        <v>0013012-IN</v>
      </c>
      <c r="G1726" t="str">
        <f>"ORDER#0013012/CUST#0009087/P4"</f>
        <v>ORDER#0013012/CUST#0009087/P4</v>
      </c>
      <c r="H1726" s="2">
        <v>5640.2</v>
      </c>
      <c r="I1726" t="str">
        <f>"ORDER#0013012/CUST#0009087/P4"</f>
        <v>ORDER#0013012/CUST#0009087/P4</v>
      </c>
    </row>
    <row r="1727" spans="1:9" x14ac:dyDescent="0.3">
      <c r="A1727" t="str">
        <f>"TRACTO"</f>
        <v>TRACTO</v>
      </c>
      <c r="B1727" t="s">
        <v>573</v>
      </c>
      <c r="C1727">
        <v>73746</v>
      </c>
      <c r="D1727" s="2">
        <v>404.71</v>
      </c>
      <c r="E1727" s="1">
        <v>43052</v>
      </c>
      <c r="F1727" t="str">
        <f>"200440145/285/1005"</f>
        <v>200440145/285/1005</v>
      </c>
      <c r="G1727" t="str">
        <f>"Acct# 6035301200160982"</f>
        <v>Acct# 6035301200160982</v>
      </c>
      <c r="H1727" s="2">
        <v>292.60000000000002</v>
      </c>
      <c r="I1727" t="str">
        <f>"Inv# 100533714"</f>
        <v>Inv# 100533714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>"Inv# 200440145"</f>
        <v>Inv# 200440145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>"Inv# 200440285"</f>
        <v>Inv# 200440285</v>
      </c>
    </row>
    <row r="1730" spans="1:9" x14ac:dyDescent="0.3">
      <c r="A1730" t="str">
        <f>""</f>
        <v/>
      </c>
      <c r="F1730" t="str">
        <f>"6035301200160982"</f>
        <v>6035301200160982</v>
      </c>
      <c r="G1730" t="str">
        <f>"Acct# 6035301200160982"</f>
        <v>Acct# 6035301200160982</v>
      </c>
      <c r="H1730" s="2">
        <v>112.11</v>
      </c>
      <c r="I1730" t="str">
        <f>"Inv# 200443618"</f>
        <v>Inv# 200443618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>"Inv# 300410188"</f>
        <v>Inv# 300410188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>"Inv# 200445821"</f>
        <v>Inv# 200445821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>"Inv# 200445460"</f>
        <v>Inv# 200445460</v>
      </c>
    </row>
    <row r="1734" spans="1:9" x14ac:dyDescent="0.3">
      <c r="A1734" t="str">
        <f>"TULL"</f>
        <v>TULL</v>
      </c>
      <c r="B1734" t="s">
        <v>574</v>
      </c>
      <c r="C1734">
        <v>73747</v>
      </c>
      <c r="D1734" s="2">
        <v>500</v>
      </c>
      <c r="E1734" s="1">
        <v>43052</v>
      </c>
      <c r="F1734" t="str">
        <f>"201711036171"</f>
        <v>201711036171</v>
      </c>
      <c r="G1734" t="str">
        <f>"55 103"</f>
        <v>55 103</v>
      </c>
      <c r="H1734" s="2">
        <v>250</v>
      </c>
      <c r="I1734" t="str">
        <f>"55 103"</f>
        <v>55 103</v>
      </c>
    </row>
    <row r="1735" spans="1:9" x14ac:dyDescent="0.3">
      <c r="A1735" t="str">
        <f>""</f>
        <v/>
      </c>
      <c r="F1735" t="str">
        <f>"201711036173"</f>
        <v>201711036173</v>
      </c>
      <c r="G1735" t="str">
        <f>"55 194"</f>
        <v>55 194</v>
      </c>
      <c r="H1735" s="2">
        <v>250</v>
      </c>
      <c r="I1735" t="str">
        <f>"55 194"</f>
        <v>55 194</v>
      </c>
    </row>
    <row r="1736" spans="1:9" x14ac:dyDescent="0.3">
      <c r="A1736" t="str">
        <f>"TULL"</f>
        <v>TULL</v>
      </c>
      <c r="B1736" t="s">
        <v>574</v>
      </c>
      <c r="C1736">
        <v>73969</v>
      </c>
      <c r="D1736" s="2">
        <v>1525</v>
      </c>
      <c r="E1736" s="1">
        <v>43066</v>
      </c>
      <c r="F1736" t="str">
        <f>"201711146589"</f>
        <v>201711146589</v>
      </c>
      <c r="G1736" t="str">
        <f>"55 479"</f>
        <v>55 479</v>
      </c>
      <c r="H1736" s="2">
        <v>400</v>
      </c>
      <c r="I1736" t="str">
        <f>"55 479"</f>
        <v>55 479</v>
      </c>
    </row>
    <row r="1737" spans="1:9" x14ac:dyDescent="0.3">
      <c r="A1737" t="str">
        <f>""</f>
        <v/>
      </c>
      <c r="F1737" t="str">
        <f>"201711166637"</f>
        <v>201711166637</v>
      </c>
      <c r="G1737" t="str">
        <f>"16 225"</f>
        <v>16 225</v>
      </c>
      <c r="H1737" s="2">
        <v>400</v>
      </c>
      <c r="I1737" t="str">
        <f>"16 225"</f>
        <v>16 225</v>
      </c>
    </row>
    <row r="1738" spans="1:9" x14ac:dyDescent="0.3">
      <c r="A1738" t="str">
        <f>""</f>
        <v/>
      </c>
      <c r="F1738" t="str">
        <f>"201711166638"</f>
        <v>201711166638</v>
      </c>
      <c r="G1738" t="str">
        <f>"642-335"</f>
        <v>642-335</v>
      </c>
      <c r="H1738" s="2">
        <v>100</v>
      </c>
      <c r="I1738" t="str">
        <f>"642-335"</f>
        <v>642-335</v>
      </c>
    </row>
    <row r="1739" spans="1:9" x14ac:dyDescent="0.3">
      <c r="A1739" t="str">
        <f>""</f>
        <v/>
      </c>
      <c r="F1739" t="str">
        <f>"201711176699"</f>
        <v>201711176699</v>
      </c>
      <c r="G1739" t="str">
        <f>"16-S-00866  402086-2"</f>
        <v>16-S-00866  402086-2</v>
      </c>
      <c r="H1739" s="2">
        <v>375</v>
      </c>
      <c r="I1739" t="str">
        <f>"16-S-00866  402086-2"</f>
        <v>16-S-00866  402086-2</v>
      </c>
    </row>
    <row r="1740" spans="1:9" x14ac:dyDescent="0.3">
      <c r="A1740" t="str">
        <f>""</f>
        <v/>
      </c>
      <c r="F1740" t="str">
        <f>"201711176700"</f>
        <v>201711176700</v>
      </c>
      <c r="G1740" t="str">
        <f>"54 997"</f>
        <v>54 997</v>
      </c>
      <c r="H1740" s="2">
        <v>250</v>
      </c>
      <c r="I1740" t="str">
        <f>"54 997"</f>
        <v>54 997</v>
      </c>
    </row>
    <row r="1741" spans="1:9" x14ac:dyDescent="0.3">
      <c r="A1741" t="str">
        <f>"TXTAG"</f>
        <v>TXTAG</v>
      </c>
      <c r="B1741" t="s">
        <v>575</v>
      </c>
      <c r="C1741">
        <v>73748</v>
      </c>
      <c r="D1741" s="2">
        <v>25</v>
      </c>
      <c r="E1741" s="1">
        <v>43052</v>
      </c>
      <c r="F1741" t="str">
        <f>"201711086392"</f>
        <v>201711086392</v>
      </c>
      <c r="G1741" t="str">
        <f>"ACCT#25314038/EXTENSION OFFICE"</f>
        <v>ACCT#25314038/EXTENSION OFFICE</v>
      </c>
      <c r="H1741" s="2">
        <v>25</v>
      </c>
      <c r="I1741" t="str">
        <f>"ACCT#25314038/EXTENSION OFFICE"</f>
        <v>ACCT#25314038/EXTENSION OFFICE</v>
      </c>
    </row>
    <row r="1742" spans="1:9" x14ac:dyDescent="0.3">
      <c r="A1742" t="str">
        <f>"TXTAG"</f>
        <v>TXTAG</v>
      </c>
      <c r="B1742" t="s">
        <v>575</v>
      </c>
      <c r="C1742">
        <v>73970</v>
      </c>
      <c r="D1742" s="2">
        <v>798.98</v>
      </c>
      <c r="E1742" s="1">
        <v>43066</v>
      </c>
      <c r="F1742" t="str">
        <f>"TXTAG"</f>
        <v>TXTAG</v>
      </c>
      <c r="G1742" t="str">
        <f>"Acct# 349887291"</f>
        <v>Acct# 349887291</v>
      </c>
      <c r="H1742" s="2">
        <v>798.98</v>
      </c>
      <c r="I1742" t="str">
        <f>"Animal Services-Add"</f>
        <v>Animal Services-Add</v>
      </c>
    </row>
    <row r="1743" spans="1:9" x14ac:dyDescent="0.3">
      <c r="A1743" t="str">
        <f>""</f>
        <v/>
      </c>
      <c r="F1743" t="str">
        <f>""</f>
        <v/>
      </c>
      <c r="G1743" t="str">
        <f>""</f>
        <v/>
      </c>
      <c r="I1743" t="str">
        <f>"Pct 1 Add"</f>
        <v>Pct 1 Add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>"Pct 3 Add"</f>
        <v>Pct 3 Add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>"Pct 3 Usage Payment"</f>
        <v>Pct 3 Usage Payment</v>
      </c>
    </row>
    <row r="1746" spans="1:9" x14ac:dyDescent="0.3">
      <c r="A1746" t="str">
        <f>"001513"</f>
        <v>001513</v>
      </c>
      <c r="B1746" t="s">
        <v>576</v>
      </c>
      <c r="C1746">
        <v>73749</v>
      </c>
      <c r="D1746" s="2">
        <v>1913</v>
      </c>
      <c r="E1746" s="1">
        <v>43052</v>
      </c>
      <c r="F1746" t="str">
        <f>"0"</f>
        <v>0</v>
      </c>
      <c r="G1746" t="str">
        <f>"Inv# 030-11636"</f>
        <v>Inv# 030-11636</v>
      </c>
      <c r="H1746" s="2">
        <v>1913</v>
      </c>
      <c r="I1746" t="str">
        <f>"Inv# 030-11636"</f>
        <v>Inv# 030-11636</v>
      </c>
    </row>
    <row r="1747" spans="1:9" x14ac:dyDescent="0.3">
      <c r="A1747" t="str">
        <f>"TYLER"</f>
        <v>TYLER</v>
      </c>
      <c r="B1747" t="s">
        <v>577</v>
      </c>
      <c r="C1747">
        <v>999999</v>
      </c>
      <c r="D1747" s="2">
        <v>2919.41</v>
      </c>
      <c r="E1747" s="1">
        <v>43053</v>
      </c>
      <c r="F1747" t="str">
        <f>"025-204354"</f>
        <v>025-204354</v>
      </c>
      <c r="G1747" t="str">
        <f>"CUST#42161/ORD#85785"</f>
        <v>CUST#42161/ORD#85785</v>
      </c>
      <c r="H1747" s="2">
        <v>1006.41</v>
      </c>
      <c r="I1747" t="str">
        <f>"CUST#42161/ORD#85785"</f>
        <v>CUST#42161/ORD#85785</v>
      </c>
    </row>
    <row r="1748" spans="1:9" x14ac:dyDescent="0.3">
      <c r="A1748" t="str">
        <f>""</f>
        <v/>
      </c>
      <c r="F1748" t="str">
        <f>"030-11636"</f>
        <v>030-11636</v>
      </c>
      <c r="G1748" t="str">
        <f>"CUST#42161/ORD#6063"</f>
        <v>CUST#42161/ORD#6063</v>
      </c>
      <c r="H1748" s="2">
        <v>1913</v>
      </c>
      <c r="I1748" t="str">
        <f>"CUST#42161/ORD#6063"</f>
        <v>CUST#42161/ORD#6063</v>
      </c>
    </row>
    <row r="1749" spans="1:9" x14ac:dyDescent="0.3">
      <c r="A1749" t="str">
        <f>"000599"</f>
        <v>000599</v>
      </c>
      <c r="B1749" t="s">
        <v>578</v>
      </c>
      <c r="C1749">
        <v>73750</v>
      </c>
      <c r="D1749" s="2">
        <v>209.95</v>
      </c>
      <c r="E1749" s="1">
        <v>43052</v>
      </c>
      <c r="F1749" t="str">
        <f>"91404049"</f>
        <v>91404049</v>
      </c>
      <c r="G1749" t="str">
        <f>"INV 91404049"</f>
        <v>INV 91404049</v>
      </c>
      <c r="H1749" s="2">
        <v>209.95</v>
      </c>
      <c r="I1749" t="str">
        <f>"INV 91404049"</f>
        <v>INV 91404049</v>
      </c>
    </row>
    <row r="1750" spans="1:9" x14ac:dyDescent="0.3">
      <c r="A1750" t="str">
        <f>"T5739"</f>
        <v>T5739</v>
      </c>
      <c r="B1750" t="s">
        <v>579</v>
      </c>
      <c r="C1750">
        <v>73751</v>
      </c>
      <c r="D1750" s="2">
        <v>2098.92</v>
      </c>
      <c r="E1750" s="1">
        <v>43052</v>
      </c>
      <c r="F1750" t="str">
        <f>"59662334-00"</f>
        <v>59662334-00</v>
      </c>
      <c r="G1750" t="str">
        <f>"INV 59662334-00"</f>
        <v>INV 59662334-00</v>
      </c>
      <c r="H1750" s="2">
        <v>2098.92</v>
      </c>
      <c r="I1750" t="str">
        <f>"INV 59662334-00"</f>
        <v>INV 59662334-00</v>
      </c>
    </row>
    <row r="1751" spans="1:9" x14ac:dyDescent="0.3">
      <c r="A1751" t="str">
        <f>"001445"</f>
        <v>001445</v>
      </c>
      <c r="B1751" t="s">
        <v>580</v>
      </c>
      <c r="C1751">
        <v>73752</v>
      </c>
      <c r="D1751" s="2">
        <v>93.33</v>
      </c>
      <c r="E1751" s="1">
        <v>43052</v>
      </c>
      <c r="F1751" t="str">
        <f>"2004281"</f>
        <v>2004281</v>
      </c>
      <c r="G1751" t="str">
        <f>"REMOTE BIRTH ACCESS-OCT 1-31"</f>
        <v>REMOTE BIRTH ACCESS-OCT 1-31</v>
      </c>
      <c r="H1751" s="2">
        <v>93.33</v>
      </c>
      <c r="I1751" t="str">
        <f>"REMOTE BIRTH ACCESS-OCT 1-31"</f>
        <v>REMOTE BIRTH ACCESS-OCT 1-31</v>
      </c>
    </row>
    <row r="1752" spans="1:9" x14ac:dyDescent="0.3">
      <c r="A1752" t="str">
        <f>"002870"</f>
        <v>002870</v>
      </c>
      <c r="B1752" t="s">
        <v>581</v>
      </c>
      <c r="C1752">
        <v>73753</v>
      </c>
      <c r="D1752" s="2">
        <v>40.270000000000003</v>
      </c>
      <c r="E1752" s="1">
        <v>43052</v>
      </c>
      <c r="F1752" t="str">
        <f>"201711086528"</f>
        <v>201711086528</v>
      </c>
      <c r="G1752" t="str">
        <f>"INDIGENT HEALTH"</f>
        <v>INDIGENT HEALTH</v>
      </c>
      <c r="H1752" s="2">
        <v>40.270000000000003</v>
      </c>
      <c r="I1752" t="str">
        <f>"INDIGENT HEALTH"</f>
        <v>INDIGENT HEALTH</v>
      </c>
    </row>
    <row r="1753" spans="1:9" x14ac:dyDescent="0.3">
      <c r="A1753" t="str">
        <f>"VMC"</f>
        <v>VMC</v>
      </c>
      <c r="B1753" t="s">
        <v>582</v>
      </c>
      <c r="C1753">
        <v>73754</v>
      </c>
      <c r="D1753" s="2">
        <v>4963.9799999999996</v>
      </c>
      <c r="E1753" s="1">
        <v>43052</v>
      </c>
      <c r="F1753" t="str">
        <f>"61640041"</f>
        <v>61640041</v>
      </c>
      <c r="G1753" t="str">
        <f>"ORD#104056/PREMIX/PCT#3"</f>
        <v>ORD#104056/PREMIX/PCT#3</v>
      </c>
      <c r="H1753" s="2">
        <v>4963.9799999999996</v>
      </c>
      <c r="I1753" t="str">
        <f>"ORD#104056/PREMIX/PCT#3"</f>
        <v>ORD#104056/PREMIX/PCT#3</v>
      </c>
    </row>
    <row r="1754" spans="1:9" x14ac:dyDescent="0.3">
      <c r="A1754" t="str">
        <f>"VI"</f>
        <v>VI</v>
      </c>
      <c r="B1754" t="s">
        <v>583</v>
      </c>
      <c r="C1754">
        <v>73755</v>
      </c>
      <c r="D1754" s="2">
        <v>807.2</v>
      </c>
      <c r="E1754" s="1">
        <v>43052</v>
      </c>
      <c r="F1754" t="str">
        <f>"314898"</f>
        <v>314898</v>
      </c>
      <c r="G1754" t="str">
        <f>"Sign Materials"</f>
        <v>Sign Materials</v>
      </c>
      <c r="H1754" s="2">
        <v>807.2</v>
      </c>
      <c r="I1754" t="str">
        <f>"24X24"</f>
        <v>24X24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>"9X36"</f>
        <v>9X36</v>
      </c>
    </row>
    <row r="1756" spans="1:9" x14ac:dyDescent="0.3">
      <c r="A1756" t="str">
        <f>"003629"</f>
        <v>003629</v>
      </c>
      <c r="B1756" t="s">
        <v>584</v>
      </c>
      <c r="C1756">
        <v>999999</v>
      </c>
      <c r="D1756" s="2">
        <v>2622.95</v>
      </c>
      <c r="E1756" s="1">
        <v>43053</v>
      </c>
      <c r="F1756" t="str">
        <f>"13077"</f>
        <v>13077</v>
      </c>
      <c r="G1756" t="str">
        <f>"COLD MIX/PCT#1"</f>
        <v>COLD MIX/PCT#1</v>
      </c>
      <c r="H1756" s="2">
        <v>2622.95</v>
      </c>
      <c r="I1756" t="str">
        <f>"COLD MIX/PCT#1"</f>
        <v>COLD MIX/PCT#1</v>
      </c>
    </row>
    <row r="1757" spans="1:9" x14ac:dyDescent="0.3">
      <c r="A1757" t="str">
        <f>"003629"</f>
        <v>003629</v>
      </c>
      <c r="B1757" t="s">
        <v>584</v>
      </c>
      <c r="C1757">
        <v>999999</v>
      </c>
      <c r="D1757" s="2">
        <v>2607.6</v>
      </c>
      <c r="E1757" s="1">
        <v>43067</v>
      </c>
      <c r="F1757" t="str">
        <f>"13138"</f>
        <v>13138</v>
      </c>
      <c r="G1757" t="str">
        <f>"COLD MIX/PCT#4"</f>
        <v>COLD MIX/PCT#4</v>
      </c>
      <c r="H1757" s="2">
        <v>2607.6</v>
      </c>
      <c r="I1757" t="str">
        <f>"COLD MIX/PCT#4"</f>
        <v>COLD MIX/PCT#4</v>
      </c>
    </row>
    <row r="1758" spans="1:9" x14ac:dyDescent="0.3">
      <c r="A1758" t="str">
        <f>"WALMAR"</f>
        <v>WALMAR</v>
      </c>
      <c r="B1758" t="s">
        <v>585</v>
      </c>
      <c r="C1758">
        <v>73756</v>
      </c>
      <c r="D1758" s="2">
        <v>622.66</v>
      </c>
      <c r="E1758" s="1">
        <v>43052</v>
      </c>
      <c r="F1758" t="str">
        <f>"6032202005312476"</f>
        <v>6032202005312476</v>
      </c>
      <c r="G1758" t="str">
        <f>"Acct# 6032202005312476"</f>
        <v>Acct# 6032202005312476</v>
      </c>
      <c r="H1758" s="2">
        <v>622.66</v>
      </c>
      <c r="I1758" t="str">
        <f>"Inv# 007208"</f>
        <v>Inv# 007208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>"Inv# 007741"</f>
        <v>Inv# 007741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>"Inv# 005058"</f>
        <v>Inv# 005058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>"Inv# 007741"</f>
        <v>Inv# 007741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>"Inv# 005058"</f>
        <v>Inv# 005058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>"Inv# 007230"</f>
        <v>Inv# 007230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>"Inv# 005892"</f>
        <v>Inv# 005892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>"Inv# 005726"</f>
        <v>Inv# 005726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>"Inv# 002923"</f>
        <v>Inv# 002923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>"Inv# 004695"</f>
        <v>Inv# 004695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>"Inv# 004025"</f>
        <v>Inv# 004025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>"Inv# 004053"</f>
        <v>Inv# 004053</v>
      </c>
    </row>
    <row r="1770" spans="1:9" x14ac:dyDescent="0.3">
      <c r="A1770" t="str">
        <f>"T5926"</f>
        <v>T5926</v>
      </c>
      <c r="B1770" t="s">
        <v>586</v>
      </c>
      <c r="C1770">
        <v>73757</v>
      </c>
      <c r="D1770" s="2">
        <v>309.8</v>
      </c>
      <c r="E1770" s="1">
        <v>43052</v>
      </c>
      <c r="F1770" t="str">
        <f>"SCAUS0052487"</f>
        <v>SCAUS0052487</v>
      </c>
      <c r="G1770" t="str">
        <f>"ACCT#BASPR4/PCT#4"</f>
        <v>ACCT#BASPR4/PCT#4</v>
      </c>
      <c r="H1770" s="2">
        <v>309.8</v>
      </c>
      <c r="I1770" t="str">
        <f>"ACCT#BASPR4/PCT#4"</f>
        <v>ACCT#BASPR4/PCT#4</v>
      </c>
    </row>
    <row r="1771" spans="1:9" x14ac:dyDescent="0.3">
      <c r="A1771" t="str">
        <f>"005264"</f>
        <v>005264</v>
      </c>
      <c r="B1771" t="s">
        <v>587</v>
      </c>
      <c r="C1771">
        <v>73758</v>
      </c>
      <c r="D1771" s="2">
        <v>1050</v>
      </c>
      <c r="E1771" s="1">
        <v>43052</v>
      </c>
      <c r="F1771" t="str">
        <f>"201710265988"</f>
        <v>201710265988</v>
      </c>
      <c r="G1771" t="str">
        <f>"VIDEO/FB ADS"</f>
        <v>VIDEO/FB ADS</v>
      </c>
      <c r="H1771" s="2">
        <v>1050</v>
      </c>
      <c r="I1771" t="str">
        <f>"VIDEO/FB ADS"</f>
        <v>VIDEO/FB ADS</v>
      </c>
    </row>
    <row r="1772" spans="1:9" x14ac:dyDescent="0.3">
      <c r="A1772" t="str">
        <f>"004310"</f>
        <v>004310</v>
      </c>
      <c r="B1772" t="s">
        <v>588</v>
      </c>
      <c r="C1772">
        <v>73971</v>
      </c>
      <c r="D1772" s="2">
        <v>234.28</v>
      </c>
      <c r="E1772" s="1">
        <v>43066</v>
      </c>
      <c r="F1772" t="str">
        <f>"0035259-2162-7"</f>
        <v>0035259-2162-7</v>
      </c>
      <c r="G1772" t="str">
        <f>"CUST#16-27603-83003/ANIMAL SVC"</f>
        <v>CUST#16-27603-83003/ANIMAL SVC</v>
      </c>
      <c r="H1772" s="2">
        <v>234.28</v>
      </c>
      <c r="I1772" t="str">
        <f>"CUST#16-27603-83003/ANIMAL SVC"</f>
        <v>CUST#16-27603-83003/ANIMAL SVC</v>
      </c>
    </row>
    <row r="1773" spans="1:9" x14ac:dyDescent="0.3">
      <c r="A1773" t="str">
        <f>"004320"</f>
        <v>004320</v>
      </c>
      <c r="B1773" t="s">
        <v>589</v>
      </c>
      <c r="C1773">
        <v>73759</v>
      </c>
      <c r="D1773" s="2">
        <v>70</v>
      </c>
      <c r="E1773" s="1">
        <v>43052</v>
      </c>
      <c r="F1773" t="str">
        <f>"201711086467"</f>
        <v>201711086467</v>
      </c>
      <c r="G1773" t="str">
        <f>"FERAL HOGS"</f>
        <v>FERAL HOGS</v>
      </c>
      <c r="H1773" s="2">
        <v>70</v>
      </c>
      <c r="I1773" t="str">
        <f>"FERAL HOGS"</f>
        <v>FERAL HOGS</v>
      </c>
    </row>
    <row r="1774" spans="1:9" x14ac:dyDescent="0.3">
      <c r="A1774" t="str">
        <f>"004877"</f>
        <v>004877</v>
      </c>
      <c r="B1774" t="s">
        <v>590</v>
      </c>
      <c r="C1774">
        <v>73792</v>
      </c>
      <c r="D1774" s="2">
        <v>9284.01</v>
      </c>
      <c r="E1774" s="1">
        <v>43055</v>
      </c>
      <c r="F1774" t="str">
        <f>"1701822428"</f>
        <v>1701822428</v>
      </c>
      <c r="G1774" t="str">
        <f>"ACCT#5150-005129483 - 10/31/17"</f>
        <v>ACCT#5150-005129483 - 10/31/17</v>
      </c>
      <c r="H1774" s="2">
        <v>8163.5</v>
      </c>
      <c r="I1774" t="str">
        <f>"ACCT#5150-005129483 - 10/31/17"</f>
        <v>ACCT#5150-005129483 - 10/31/17</v>
      </c>
    </row>
    <row r="1775" spans="1:9" x14ac:dyDescent="0.3">
      <c r="A1775" t="str">
        <f>""</f>
        <v/>
      </c>
      <c r="F1775" t="str">
        <f>"1701823302"</f>
        <v>1701823302</v>
      </c>
      <c r="G1775" t="str">
        <f>"ACCT#5151-005117630 - 10/31/17"</f>
        <v>ACCT#5151-005117630 - 10/31/17</v>
      </c>
      <c r="H1775" s="2">
        <v>226.82</v>
      </c>
      <c r="I1775" t="str">
        <f>"PROGRESSIVE WASTE SOLUTIONS OF"</f>
        <v>PROGRESSIVE WASTE SOLUTIONS OF</v>
      </c>
    </row>
    <row r="1776" spans="1:9" x14ac:dyDescent="0.3">
      <c r="A1776" t="str">
        <f>""</f>
        <v/>
      </c>
      <c r="F1776" t="str">
        <f>"1701823303"</f>
        <v>1701823303</v>
      </c>
      <c r="G1776" t="str">
        <f>"ACCT#5151-005117766 - 10/31/17"</f>
        <v>ACCT#5151-005117766 - 10/31/17</v>
      </c>
      <c r="H1776" s="2">
        <v>104.64</v>
      </c>
      <c r="I1776" t="str">
        <f>"PROGRESSIVE WASTE SOLUTIONS OF"</f>
        <v>PROGRESSIVE WASTE SOLUTIONS OF</v>
      </c>
    </row>
    <row r="1777" spans="1:10" x14ac:dyDescent="0.3">
      <c r="A1777" t="str">
        <f>""</f>
        <v/>
      </c>
      <c r="F1777" t="str">
        <f>"1701823304"</f>
        <v>1701823304</v>
      </c>
      <c r="G1777" t="str">
        <f>"ACCT#5151-005117838 - 10/31/17"</f>
        <v>ACCT#5151-005117838 - 10/31/17</v>
      </c>
      <c r="H1777" s="2">
        <v>96.85</v>
      </c>
      <c r="I1777" t="str">
        <f>"ACCT#5151-005117838 - 10/31/17"</f>
        <v>ACCT#5151-005117838 - 10/31/17</v>
      </c>
    </row>
    <row r="1778" spans="1:10" x14ac:dyDescent="0.3">
      <c r="A1778" t="str">
        <f>""</f>
        <v/>
      </c>
      <c r="F1778" t="str">
        <f>"1701823306"</f>
        <v>1701823306</v>
      </c>
      <c r="G1778" t="str">
        <f>"ACCT#5151-005117882 - 10/31/17"</f>
        <v>ACCT#5151-005117882 - 10/31/17</v>
      </c>
      <c r="H1778" s="2">
        <v>130.78</v>
      </c>
      <c r="I1778" t="str">
        <f>"ACCT#5151-005117882 - 10/31/17"</f>
        <v>ACCT#5151-005117882 - 10/31/17</v>
      </c>
    </row>
    <row r="1779" spans="1:10" x14ac:dyDescent="0.3">
      <c r="A1779" t="str">
        <f>""</f>
        <v/>
      </c>
      <c r="F1779" t="str">
        <f>"1701823308"</f>
        <v>1701823308</v>
      </c>
      <c r="G1779" t="str">
        <f>"ACCT#5151-005118183 - 10/31/17"</f>
        <v>ACCT#5151-005118183 - 10/31/17</v>
      </c>
      <c r="H1779" s="2">
        <v>561.41999999999996</v>
      </c>
      <c r="I1779" t="str">
        <f>"ACCT#5151-005118183 - 10/31/17"</f>
        <v>ACCT#5151-005118183 - 10/31/17</v>
      </c>
    </row>
    <row r="1780" spans="1:10" x14ac:dyDescent="0.3">
      <c r="A1780" t="str">
        <f>"004877"</f>
        <v>004877</v>
      </c>
      <c r="B1780" t="s">
        <v>590</v>
      </c>
      <c r="C1780">
        <v>73972</v>
      </c>
      <c r="D1780" s="2">
        <v>593.76</v>
      </c>
      <c r="E1780" s="1">
        <v>43066</v>
      </c>
      <c r="F1780" t="str">
        <f>"1701823341"</f>
        <v>1701823341</v>
      </c>
      <c r="G1780" t="str">
        <f>"Inv# 1701823341"</f>
        <v>Inv# 1701823341</v>
      </c>
      <c r="H1780" s="2">
        <v>593.76</v>
      </c>
      <c r="I1780" t="str">
        <f>"Payment"</f>
        <v>Payment</v>
      </c>
    </row>
    <row r="1781" spans="1:10" x14ac:dyDescent="0.3">
      <c r="A1781" t="str">
        <f>"004874"</f>
        <v>004874</v>
      </c>
      <c r="B1781" t="s">
        <v>591</v>
      </c>
      <c r="C1781">
        <v>73760</v>
      </c>
      <c r="D1781" s="2">
        <v>386</v>
      </c>
      <c r="E1781" s="1">
        <v>43052</v>
      </c>
      <c r="F1781" t="str">
        <f>"146"</f>
        <v>146</v>
      </c>
      <c r="G1781" t="str">
        <f>"SHIRTS/HATS/HEALTH &amp; SANITATIO"</f>
        <v>SHIRTS/HATS/HEALTH &amp; SANITATIO</v>
      </c>
      <c r="H1781" s="2">
        <v>386</v>
      </c>
      <c r="I1781" t="str">
        <f>"SHIRTS/HATS/HEALTH &amp; SANITATIO"</f>
        <v>SHIRTS/HATS/HEALTH &amp; SANITATIO</v>
      </c>
    </row>
    <row r="1782" spans="1:10" x14ac:dyDescent="0.3">
      <c r="A1782" t="str">
        <f>"003479"</f>
        <v>003479</v>
      </c>
      <c r="B1782" t="s">
        <v>592</v>
      </c>
      <c r="C1782">
        <v>73973</v>
      </c>
      <c r="D1782" s="2">
        <v>502.85</v>
      </c>
      <c r="E1782" s="1">
        <v>43066</v>
      </c>
      <c r="F1782" t="str">
        <f>"242315"</f>
        <v>242315</v>
      </c>
      <c r="G1782" t="str">
        <f>"PARTS/PCT#1"</f>
        <v>PARTS/PCT#1</v>
      </c>
      <c r="H1782" s="2">
        <v>502.85</v>
      </c>
      <c r="I1782" t="str">
        <f>"PARTS/PCT#1"</f>
        <v>PARTS/PCT#1</v>
      </c>
    </row>
    <row r="1783" spans="1:10" x14ac:dyDescent="0.3">
      <c r="A1783" t="str">
        <f>"004207"</f>
        <v>004207</v>
      </c>
      <c r="B1783" t="s">
        <v>593</v>
      </c>
      <c r="C1783">
        <v>73761</v>
      </c>
      <c r="D1783" s="2">
        <v>320</v>
      </c>
      <c r="E1783" s="1">
        <v>43052</v>
      </c>
      <c r="F1783" t="s">
        <v>60</v>
      </c>
      <c r="G1783" t="s">
        <v>62</v>
      </c>
      <c r="H1783" s="2" t="str">
        <f>"SERVICE"</f>
        <v>SERVICE</v>
      </c>
      <c r="I1783" t="str">
        <f>"995-4110"</f>
        <v>995-4110</v>
      </c>
      <c r="J1783">
        <v>240</v>
      </c>
    </row>
    <row r="1784" spans="1:10" x14ac:dyDescent="0.3">
      <c r="A1784" t="str">
        <f>""</f>
        <v/>
      </c>
      <c r="F1784" t="str">
        <f>"11736"</f>
        <v>11736</v>
      </c>
      <c r="G1784" t="str">
        <f>"SERVICE  09/28/17"</f>
        <v>SERVICE  09/28/17</v>
      </c>
      <c r="H1784" s="2">
        <v>80</v>
      </c>
      <c r="I1784" t="str">
        <f>"SERVICE  09/28/17"</f>
        <v>SERVICE  09/28/17</v>
      </c>
    </row>
    <row r="1785" spans="1:10" x14ac:dyDescent="0.3">
      <c r="A1785" t="str">
        <f>"LIN"</f>
        <v>LIN</v>
      </c>
      <c r="B1785" t="s">
        <v>594</v>
      </c>
      <c r="C1785">
        <v>999999</v>
      </c>
      <c r="D1785" s="2">
        <v>12500</v>
      </c>
      <c r="E1785" s="1">
        <v>43067</v>
      </c>
      <c r="F1785" t="str">
        <f>"201711146593"</f>
        <v>201711146593</v>
      </c>
      <c r="G1785" t="str">
        <f>"MEDICAL CONTRACT"</f>
        <v>MEDICAL CONTRACT</v>
      </c>
      <c r="H1785" s="2">
        <v>12500</v>
      </c>
      <c r="I1785" t="str">
        <f>"MEDICAL CONTRACT"</f>
        <v>MEDICAL CONTRACT</v>
      </c>
    </row>
    <row r="1786" spans="1:10" x14ac:dyDescent="0.3">
      <c r="A1786" t="str">
        <f>"WPC"</f>
        <v>WPC</v>
      </c>
      <c r="B1786" t="s">
        <v>595</v>
      </c>
      <c r="C1786">
        <v>73974</v>
      </c>
      <c r="D1786" s="2">
        <v>554.32000000000005</v>
      </c>
      <c r="E1786" s="1">
        <v>43066</v>
      </c>
      <c r="F1786" t="str">
        <f>"837085067"</f>
        <v>837085067</v>
      </c>
      <c r="G1786" t="str">
        <f>"ACCT#1000648597/WEST INFO CHRG"</f>
        <v>ACCT#1000648597/WEST INFO CHRG</v>
      </c>
      <c r="H1786" s="2">
        <v>554.32000000000005</v>
      </c>
      <c r="I1786" t="str">
        <f>"ACCT#1000648597/WEST INFO CHRG"</f>
        <v>ACCT#1000648597/WEST INFO CHRG</v>
      </c>
    </row>
    <row r="1787" spans="1:10" x14ac:dyDescent="0.3">
      <c r="A1787" t="str">
        <f>"004074"</f>
        <v>004074</v>
      </c>
      <c r="B1787" t="s">
        <v>596</v>
      </c>
      <c r="C1787">
        <v>999999</v>
      </c>
      <c r="D1787" s="2">
        <v>2464.2399999999998</v>
      </c>
      <c r="E1787" s="1">
        <v>43067</v>
      </c>
      <c r="F1787" t="str">
        <f>"19230"</f>
        <v>19230</v>
      </c>
      <c r="G1787" t="str">
        <f>"INV 19230"</f>
        <v>INV 19230</v>
      </c>
      <c r="H1787" s="2">
        <v>2464.2399999999998</v>
      </c>
      <c r="I1787" t="str">
        <f>"INV 19230"</f>
        <v>INV 19230</v>
      </c>
    </row>
    <row r="1788" spans="1:10" x14ac:dyDescent="0.3">
      <c r="A1788" t="str">
        <f>"003498"</f>
        <v>003498</v>
      </c>
      <c r="B1788" t="s">
        <v>597</v>
      </c>
      <c r="C1788">
        <v>73762</v>
      </c>
      <c r="D1788" s="2">
        <v>385</v>
      </c>
      <c r="E1788" s="1">
        <v>43052</v>
      </c>
      <c r="F1788" t="str">
        <f>"201711086468"</f>
        <v>201711086468</v>
      </c>
      <c r="G1788" t="str">
        <f>"FERAL HOGS"</f>
        <v>FERAL HOGS</v>
      </c>
      <c r="H1788" s="2">
        <v>385</v>
      </c>
      <c r="I1788" t="str">
        <f>"FERAL HOGS"</f>
        <v>FERAL HOGS</v>
      </c>
    </row>
    <row r="1789" spans="1:10" x14ac:dyDescent="0.3">
      <c r="A1789" t="str">
        <f>"002552"</f>
        <v>002552</v>
      </c>
      <c r="B1789" t="s">
        <v>598</v>
      </c>
      <c r="C1789">
        <v>73763</v>
      </c>
      <c r="D1789" s="2">
        <v>140</v>
      </c>
      <c r="E1789" s="1">
        <v>43052</v>
      </c>
      <c r="F1789" t="s">
        <v>60</v>
      </c>
      <c r="G1789" t="s">
        <v>62</v>
      </c>
      <c r="H1789" s="2" t="str">
        <f>"SERVICE"</f>
        <v>SERVICE</v>
      </c>
      <c r="I1789" t="str">
        <f>"995-4110"</f>
        <v>995-4110</v>
      </c>
      <c r="J1789">
        <v>70</v>
      </c>
    </row>
    <row r="1790" spans="1:10" x14ac:dyDescent="0.3">
      <c r="A1790" t="str">
        <f>""</f>
        <v/>
      </c>
      <c r="F1790" t="str">
        <f>"11736"</f>
        <v>11736</v>
      </c>
      <c r="G1790" t="str">
        <f>"SERVICE  09/28/17"</f>
        <v>SERVICE  09/28/17</v>
      </c>
      <c r="H1790" s="2">
        <v>70</v>
      </c>
      <c r="I1790" t="str">
        <f>"SERVICE  09/28/17"</f>
        <v>SERVICE  09/28/17</v>
      </c>
    </row>
    <row r="1791" spans="1:10" x14ac:dyDescent="0.3">
      <c r="A1791" t="str">
        <f>"004240"</f>
        <v>004240</v>
      </c>
      <c r="B1791" t="s">
        <v>599</v>
      </c>
      <c r="C1791">
        <v>73764</v>
      </c>
      <c r="D1791" s="2">
        <v>61824.7</v>
      </c>
      <c r="E1791" s="1">
        <v>43052</v>
      </c>
      <c r="F1791" t="str">
        <f>"1252"</f>
        <v>1252</v>
      </c>
      <c r="G1791" t="str">
        <f>"OLD PINEY TRAIL/BRUSH/CULVERT"</f>
        <v>OLD PINEY TRAIL/BRUSH/CULVERT</v>
      </c>
      <c r="H1791" s="2">
        <v>6220</v>
      </c>
      <c r="I1791" t="str">
        <f>"OLD PINEY TRAIL/BRUSH/CULVERT"</f>
        <v>OLD PINEY TRAIL/BRUSH/CULVERT</v>
      </c>
    </row>
    <row r="1792" spans="1:10" x14ac:dyDescent="0.3">
      <c r="A1792" t="str">
        <f>""</f>
        <v/>
      </c>
      <c r="F1792" t="str">
        <f>"1253"</f>
        <v>1253</v>
      </c>
      <c r="G1792" t="str">
        <f>"ROAD REPAIR"</f>
        <v>ROAD REPAIR</v>
      </c>
      <c r="H1792" s="2">
        <v>4581</v>
      </c>
      <c r="I1792" t="str">
        <f>"ROAD REPAIR"</f>
        <v>ROAD REPAIR</v>
      </c>
    </row>
    <row r="1793" spans="1:10" x14ac:dyDescent="0.3">
      <c r="A1793" t="str">
        <f>""</f>
        <v/>
      </c>
      <c r="F1793" t="str">
        <f>"1254"</f>
        <v>1254</v>
      </c>
      <c r="G1793" t="str">
        <f>"ROAD REPAIR/CONCRETE"</f>
        <v>ROAD REPAIR/CONCRETE</v>
      </c>
      <c r="H1793" s="2">
        <v>51023.7</v>
      </c>
      <c r="I1793" t="str">
        <f>"ROAD REPAIR/CONCRETE"</f>
        <v>ROAD REPAIR/CONCRETE</v>
      </c>
    </row>
    <row r="1794" spans="1:10" x14ac:dyDescent="0.3">
      <c r="A1794" t="str">
        <f>"004240"</f>
        <v>004240</v>
      </c>
      <c r="B1794" t="s">
        <v>599</v>
      </c>
      <c r="C1794">
        <v>73975</v>
      </c>
      <c r="D1794" s="2">
        <v>159750</v>
      </c>
      <c r="E1794" s="1">
        <v>43066</v>
      </c>
      <c r="F1794" t="str">
        <f>"1256"</f>
        <v>1256</v>
      </c>
      <c r="G1794" t="str">
        <f>"PROJ#17BCP08F/FILL/PCT#2"</f>
        <v>PROJ#17BCP08F/FILL/PCT#2</v>
      </c>
      <c r="H1794" s="2">
        <v>159750</v>
      </c>
      <c r="I1794" t="str">
        <f>"PROJ#17BCP08F/FILL/PCT#2"</f>
        <v>PROJ#17BCP08F/FILL/PCT#2</v>
      </c>
    </row>
    <row r="1795" spans="1:10" x14ac:dyDescent="0.3">
      <c r="A1795" t="str">
        <f>"004285"</f>
        <v>004285</v>
      </c>
      <c r="B1795" t="s">
        <v>600</v>
      </c>
      <c r="C1795">
        <v>73765</v>
      </c>
      <c r="D1795" s="2">
        <v>300</v>
      </c>
      <c r="E1795" s="1">
        <v>43052</v>
      </c>
      <c r="F1795" t="s">
        <v>553</v>
      </c>
      <c r="G1795" t="s">
        <v>601</v>
      </c>
      <c r="H1795" s="2" t="str">
        <f>"RESTITUTION-E.TREVINO"</f>
        <v>RESTITUTION-E.TREVINO</v>
      </c>
      <c r="I1795" t="str">
        <f>"210-0000"</f>
        <v>210-0000</v>
      </c>
      <c r="J1795">
        <v>300</v>
      </c>
    </row>
    <row r="1796" spans="1:10" x14ac:dyDescent="0.3">
      <c r="A1796" t="str">
        <f>"XEROXC"</f>
        <v>XEROXC</v>
      </c>
      <c r="B1796" t="s">
        <v>602</v>
      </c>
      <c r="C1796">
        <v>73766</v>
      </c>
      <c r="D1796" s="2">
        <v>177.35</v>
      </c>
      <c r="E1796" s="1">
        <v>43052</v>
      </c>
      <c r="F1796" t="str">
        <f>"091119369"</f>
        <v>091119369</v>
      </c>
      <c r="G1796" t="str">
        <f>"CUST#662445931/CATCH TRAY"</f>
        <v>CUST#662445931/CATCH TRAY</v>
      </c>
      <c r="H1796" s="2">
        <v>106.45</v>
      </c>
      <c r="I1796" t="str">
        <f>"CUST#662445931/CATCH TRAY"</f>
        <v>CUST#662445931/CATCH TRAY</v>
      </c>
    </row>
    <row r="1797" spans="1:10" x14ac:dyDescent="0.3">
      <c r="A1797" t="str">
        <f>""</f>
        <v/>
      </c>
      <c r="F1797" t="str">
        <f>"091119370"</f>
        <v>091119370</v>
      </c>
      <c r="G1797" t="str">
        <f>"CUST#662445931/CABINET STAND"</f>
        <v>CUST#662445931/CABINET STAND</v>
      </c>
      <c r="H1797" s="2">
        <v>35.450000000000003</v>
      </c>
      <c r="I1797" t="str">
        <f>"CUST#662445931/CABINET STAND"</f>
        <v>CUST#662445931/CABINET STAND</v>
      </c>
    </row>
    <row r="1798" spans="1:10" x14ac:dyDescent="0.3">
      <c r="A1798" t="str">
        <f>""</f>
        <v/>
      </c>
      <c r="F1798" t="str">
        <f>"091119377"</f>
        <v>091119377</v>
      </c>
      <c r="G1798" t="str">
        <f>"CUST#723230843/CABINET STAND"</f>
        <v>CUST#723230843/CABINET STAND</v>
      </c>
      <c r="H1798" s="2">
        <v>35.450000000000003</v>
      </c>
      <c r="I1798" t="str">
        <f>"CUST#723230843/CABINET STAND"</f>
        <v>CUST#723230843/CABINET STAND</v>
      </c>
    </row>
    <row r="1799" spans="1:10" x14ac:dyDescent="0.3">
      <c r="A1799" t="str">
        <f>"T5024"</f>
        <v>T5024</v>
      </c>
      <c r="B1799" t="s">
        <v>603</v>
      </c>
      <c r="C1799">
        <v>73767</v>
      </c>
      <c r="D1799" s="2">
        <v>331.88</v>
      </c>
      <c r="E1799" s="1">
        <v>43052</v>
      </c>
      <c r="F1799" t="str">
        <f>"201710306077"</f>
        <v>201710306077</v>
      </c>
      <c r="G1799" t="str">
        <f>"REIMBURSE FOOD/LODGING"</f>
        <v>REIMBURSE FOOD/LODGING</v>
      </c>
      <c r="H1799" s="2">
        <v>331.88</v>
      </c>
      <c r="I1799" t="str">
        <f>"REIMBURSE MILEAGE/FOOD/LODGING"</f>
        <v>REIMBURSE MILEAGE/FOOD/LODGING</v>
      </c>
    </row>
    <row r="1800" spans="1:10" x14ac:dyDescent="0.3">
      <c r="A1800" t="str">
        <f>"T5024"</f>
        <v>T5024</v>
      </c>
      <c r="B1800" t="s">
        <v>603</v>
      </c>
      <c r="C1800">
        <v>73976</v>
      </c>
      <c r="D1800" s="2">
        <v>19.37</v>
      </c>
      <c r="E1800" s="1">
        <v>43066</v>
      </c>
      <c r="F1800" t="str">
        <f>"201711166664"</f>
        <v>201711166664</v>
      </c>
      <c r="G1800" t="str">
        <f>"MILEAGE REIMBURSEMENT"</f>
        <v>MILEAGE REIMBURSEMENT</v>
      </c>
      <c r="H1800" s="2">
        <v>19.37</v>
      </c>
      <c r="I1800" t="str">
        <f>"MILEAGE REIMBURSEMENT"</f>
        <v>MILEAGE REIMBURSEMENT</v>
      </c>
    </row>
    <row r="1801" spans="1:10" x14ac:dyDescent="0.3">
      <c r="A1801" t="str">
        <f>"005225"</f>
        <v>005225</v>
      </c>
      <c r="B1801" t="s">
        <v>604</v>
      </c>
      <c r="C1801">
        <v>73768</v>
      </c>
      <c r="D1801" s="2">
        <v>2235</v>
      </c>
      <c r="E1801" s="1">
        <v>43052</v>
      </c>
      <c r="F1801" t="str">
        <f>"29293"</f>
        <v>29293</v>
      </c>
      <c r="G1801" t="str">
        <f>"INV 29293"</f>
        <v>INV 29293</v>
      </c>
      <c r="H1801" s="2">
        <v>2235</v>
      </c>
      <c r="I1801" t="str">
        <f>"INV 29293"</f>
        <v>INV 29293</v>
      </c>
    </row>
    <row r="1802" spans="1:10" x14ac:dyDescent="0.3">
      <c r="A1802" t="str">
        <f>"005225"</f>
        <v>005225</v>
      </c>
      <c r="B1802" t="s">
        <v>604</v>
      </c>
      <c r="C1802">
        <v>73977</v>
      </c>
      <c r="D1802" s="2">
        <v>3142</v>
      </c>
      <c r="E1802" s="1">
        <v>43066</v>
      </c>
      <c r="F1802" t="str">
        <f>"29355"</f>
        <v>29355</v>
      </c>
      <c r="G1802" t="str">
        <f>"INV 29355"</f>
        <v>INV 29355</v>
      </c>
      <c r="H1802" s="2">
        <v>1590</v>
      </c>
      <c r="I1802" t="str">
        <f>"INV 29355"</f>
        <v>INV 29355</v>
      </c>
    </row>
    <row r="1803" spans="1:10" x14ac:dyDescent="0.3">
      <c r="A1803" t="str">
        <f>""</f>
        <v/>
      </c>
      <c r="F1803" t="str">
        <f>"29357"</f>
        <v>29357</v>
      </c>
      <c r="G1803" t="str">
        <f>"INV 29357"</f>
        <v>INV 29357</v>
      </c>
      <c r="H1803" s="2">
        <v>1552</v>
      </c>
      <c r="I1803" t="str">
        <f>"INV 29357"</f>
        <v>INV 29357</v>
      </c>
    </row>
    <row r="1804" spans="1:10" x14ac:dyDescent="0.3">
      <c r="A1804" t="str">
        <f>"000598"</f>
        <v>000598</v>
      </c>
      <c r="B1804" t="s">
        <v>10</v>
      </c>
      <c r="C1804">
        <v>73769</v>
      </c>
      <c r="D1804" s="2">
        <v>5391.78</v>
      </c>
      <c r="E1804" s="1">
        <v>43052</v>
      </c>
      <c r="F1804" t="str">
        <f>"9725-001-95772"</f>
        <v>9725-001-95772</v>
      </c>
      <c r="G1804" t="str">
        <f>"ACCT#9725-001/REC BASE/PCT#2"</f>
        <v>ACCT#9725-001/REC BASE/PCT#2</v>
      </c>
      <c r="H1804" s="2">
        <v>836.41</v>
      </c>
      <c r="I1804" t="str">
        <f>"ACCT#9725-001/REC BASE/PCT#2"</f>
        <v>ACCT#9725-001/REC BASE/PCT#2</v>
      </c>
    </row>
    <row r="1805" spans="1:10" x14ac:dyDescent="0.3">
      <c r="A1805" t="str">
        <f>""</f>
        <v/>
      </c>
      <c r="F1805" t="str">
        <f>"9725-001-95793"</f>
        <v>9725-001-95793</v>
      </c>
      <c r="G1805" t="str">
        <f>"ACCT#9725-001/REC BASE/PCT#2"</f>
        <v>ACCT#9725-001/REC BASE/PCT#2</v>
      </c>
      <c r="H1805" s="2">
        <v>1045.3800000000001</v>
      </c>
      <c r="I1805" t="str">
        <f>"ACCT#9725-001/REC BASE/PCT#2"</f>
        <v>ACCT#9725-001/REC BASE/PCT#2</v>
      </c>
    </row>
    <row r="1806" spans="1:10" x14ac:dyDescent="0.3">
      <c r="A1806" t="str">
        <f>""</f>
        <v/>
      </c>
      <c r="F1806" t="str">
        <f>"9725-001-95823"</f>
        <v>9725-001-95823</v>
      </c>
      <c r="G1806" t="str">
        <f>"973 MATERIALS  LLC"</f>
        <v>973 MATERIALS  LLC</v>
      </c>
      <c r="H1806" s="2">
        <v>387.63</v>
      </c>
      <c r="I1806" t="str">
        <f>"973 MATERIALS  LLC"</f>
        <v>973 MATERIALS  LLC</v>
      </c>
    </row>
    <row r="1807" spans="1:10" x14ac:dyDescent="0.3">
      <c r="A1807" t="str">
        <f>""</f>
        <v/>
      </c>
      <c r="F1807" t="str">
        <f>"9725-001-95851"</f>
        <v>9725-001-95851</v>
      </c>
      <c r="G1807" t="str">
        <f>"ACCT#9725-001/REC BASE/PCT#2"</f>
        <v>ACCT#9725-001/REC BASE/PCT#2</v>
      </c>
      <c r="H1807" s="2">
        <v>3122.36</v>
      </c>
      <c r="I1807" t="str">
        <f>"ACCT#9725-001/REC BASE/PCT#2"</f>
        <v>ACCT#9725-001/REC BASE/PCT#2</v>
      </c>
    </row>
    <row r="1808" spans="1:10" x14ac:dyDescent="0.3">
      <c r="A1808" t="str">
        <f>"001018"</f>
        <v>001018</v>
      </c>
      <c r="B1808" t="s">
        <v>11</v>
      </c>
      <c r="C1808">
        <v>73770</v>
      </c>
      <c r="D1808" s="2">
        <v>50</v>
      </c>
      <c r="E1808" s="1">
        <v>43052</v>
      </c>
      <c r="F1808" t="str">
        <f>"SKID STEER #5"</f>
        <v>SKID STEER #5</v>
      </c>
      <c r="G1808" t="str">
        <f>"REPAIRED SLACK MULCHING HD/OEM"</f>
        <v>REPAIRED SLACK MULCHING HD/OEM</v>
      </c>
      <c r="H1808" s="2">
        <v>50</v>
      </c>
      <c r="I1808" t="str">
        <f>"REPAIRED SLACK MULCHING HD/OEM"</f>
        <v>REPAIRED SLACK MULCHING HD/OEM</v>
      </c>
    </row>
    <row r="1809" spans="1:9" x14ac:dyDescent="0.3">
      <c r="A1809" t="str">
        <f>"AQUAB"</f>
        <v>AQUAB</v>
      </c>
      <c r="B1809" t="s">
        <v>37</v>
      </c>
      <c r="C1809">
        <v>73771</v>
      </c>
      <c r="D1809" s="2">
        <v>173.02</v>
      </c>
      <c r="E1809" s="1">
        <v>43052</v>
      </c>
      <c r="F1809" t="str">
        <f>"201711066245"</f>
        <v>201711066245</v>
      </c>
      <c r="G1809" t="str">
        <f>"ACCT#015397/BOOT CAMP"</f>
        <v>ACCT#015397/BOOT CAMP</v>
      </c>
      <c r="H1809" s="2">
        <v>120.18</v>
      </c>
      <c r="I1809" t="str">
        <f>"ACCT#015397/BOOT CAMP"</f>
        <v>ACCT#015397/BOOT CAMP</v>
      </c>
    </row>
    <row r="1810" spans="1:9" x14ac:dyDescent="0.3">
      <c r="A1810" t="str">
        <f>""</f>
        <v/>
      </c>
      <c r="F1810" t="str">
        <f>"209926/212425"</f>
        <v>209926/212425</v>
      </c>
      <c r="G1810" t="str">
        <f>"ACCT#014877/OEM"</f>
        <v>ACCT#014877/OEM</v>
      </c>
      <c r="H1810" s="2">
        <v>52.84</v>
      </c>
      <c r="I1810" t="str">
        <f>"ACCT#014877/OEM"</f>
        <v>ACCT#014877/OEM</v>
      </c>
    </row>
    <row r="1811" spans="1:9" x14ac:dyDescent="0.3">
      <c r="A1811" t="str">
        <f>"AWS"</f>
        <v>AWS</v>
      </c>
      <c r="B1811" t="s">
        <v>38</v>
      </c>
      <c r="C1811">
        <v>73978</v>
      </c>
      <c r="D1811" s="2">
        <v>789.25</v>
      </c>
      <c r="E1811" s="1">
        <v>43066</v>
      </c>
      <c r="F1811" t="str">
        <f>"201711156608"</f>
        <v>201711156608</v>
      </c>
      <c r="G1811" t="str">
        <f>"ACCT#7700010026/77 LD WTR/PCT3"</f>
        <v>ACCT#7700010026/77 LD WTR/PCT3</v>
      </c>
      <c r="H1811" s="2">
        <v>789.25</v>
      </c>
      <c r="I1811" t="str">
        <f>"ACCT#7700010026/77 LD WTR/PCT3"</f>
        <v>ACCT#7700010026/77 LD WTR/PCT3</v>
      </c>
    </row>
    <row r="1812" spans="1:9" x14ac:dyDescent="0.3">
      <c r="A1812" t="str">
        <f>"B&amp;B"</f>
        <v>B&amp;B</v>
      </c>
      <c r="B1812" t="s">
        <v>55</v>
      </c>
      <c r="C1812">
        <v>73772</v>
      </c>
      <c r="D1812" s="2">
        <v>1355.79</v>
      </c>
      <c r="E1812" s="1">
        <v>43052</v>
      </c>
      <c r="F1812" t="str">
        <f>"201711016094"</f>
        <v>201711016094</v>
      </c>
      <c r="G1812" t="str">
        <f>"CUST#1645/AUTO PARTS/OEM"</f>
        <v>CUST#1645/AUTO PARTS/OEM</v>
      </c>
      <c r="H1812" s="2">
        <v>1355.79</v>
      </c>
      <c r="I1812" t="str">
        <f>"CUST#1645/AUTO PARTS/OEM"</f>
        <v>CUST#1645/AUTO PARTS/OEM</v>
      </c>
    </row>
    <row r="1813" spans="1:9" x14ac:dyDescent="0.3">
      <c r="A1813" t="str">
        <f>"BASCO"</f>
        <v>BASCO</v>
      </c>
      <c r="B1813" t="s">
        <v>71</v>
      </c>
      <c r="C1813">
        <v>73773</v>
      </c>
      <c r="D1813" s="2">
        <v>143.13999999999999</v>
      </c>
      <c r="E1813" s="1">
        <v>43052</v>
      </c>
      <c r="F1813" t="str">
        <f>"10284"</f>
        <v>10284</v>
      </c>
      <c r="G1813" t="str">
        <f>"ACCT #BC01 / 10/31/2017"</f>
        <v>ACCT #BC01 / 10/31/2017</v>
      </c>
      <c r="H1813" s="2">
        <v>143.13999999999999</v>
      </c>
      <c r="I1813" t="str">
        <f>"ACCT #BC01 / 10/31/2017"</f>
        <v>ACCT #BC01 / 10/31/2017</v>
      </c>
    </row>
    <row r="1814" spans="1:9" x14ac:dyDescent="0.3">
      <c r="A1814" t="str">
        <f>"T3799"</f>
        <v>T3799</v>
      </c>
      <c r="B1814" t="s">
        <v>75</v>
      </c>
      <c r="C1814">
        <v>73774</v>
      </c>
      <c r="D1814" s="2">
        <v>3395.97</v>
      </c>
      <c r="E1814" s="1">
        <v>43052</v>
      </c>
      <c r="F1814" t="str">
        <f>"168"</f>
        <v>168</v>
      </c>
      <c r="G1814" t="str">
        <f>"FUEL"</f>
        <v>FUEL</v>
      </c>
      <c r="H1814" s="2">
        <v>3395.97</v>
      </c>
      <c r="I1814" t="str">
        <f>"FUEL"</f>
        <v>FUEL</v>
      </c>
    </row>
    <row r="1815" spans="1:9" x14ac:dyDescent="0.3">
      <c r="A1815" t="str">
        <f>"T3799"</f>
        <v>T3799</v>
      </c>
      <c r="B1815" t="s">
        <v>75</v>
      </c>
      <c r="C1815">
        <v>73979</v>
      </c>
      <c r="D1815" s="2">
        <v>7669.71</v>
      </c>
      <c r="E1815" s="1">
        <v>43066</v>
      </c>
      <c r="F1815" t="str">
        <f>"1027"</f>
        <v>1027</v>
      </c>
      <c r="G1815" t="str">
        <f>"BOOT CAMP EXPENSES"</f>
        <v>BOOT CAMP EXPENSES</v>
      </c>
      <c r="H1815" s="2">
        <v>7669.71</v>
      </c>
      <c r="I1815" t="str">
        <f>"BOOT CAMP EXPENSES"</f>
        <v>BOOT CAMP EXPENSES</v>
      </c>
    </row>
    <row r="1816" spans="1:9" x14ac:dyDescent="0.3">
      <c r="A1816" t="str">
        <f>"001112"</f>
        <v>001112</v>
      </c>
      <c r="B1816" t="s">
        <v>88</v>
      </c>
      <c r="C1816">
        <v>73980</v>
      </c>
      <c r="D1816" s="2">
        <v>139.97999999999999</v>
      </c>
      <c r="E1816" s="1">
        <v>43066</v>
      </c>
      <c r="F1816" t="str">
        <f>"2938441"</f>
        <v>2938441</v>
      </c>
      <c r="G1816" t="str">
        <f>"Cust# 14659"</f>
        <v>Cust# 14659</v>
      </c>
      <c r="H1816" s="2">
        <v>139.97999999999999</v>
      </c>
      <c r="I1816" t="str">
        <f>"Inv# 2938441"</f>
        <v>Inv# 2938441</v>
      </c>
    </row>
    <row r="1817" spans="1:9" x14ac:dyDescent="0.3">
      <c r="A1817" t="str">
        <f>"BEC"</f>
        <v>BEC</v>
      </c>
      <c r="B1817" t="s">
        <v>98</v>
      </c>
      <c r="C1817">
        <v>73793</v>
      </c>
      <c r="D1817" s="2">
        <v>185.3</v>
      </c>
      <c r="E1817" s="1">
        <v>43055</v>
      </c>
      <c r="F1817" t="str">
        <f>"201711156623"</f>
        <v>201711156623</v>
      </c>
      <c r="G1817" t="str">
        <f>"ACCT#5000057374 - 11/04/2017"</f>
        <v>ACCT#5000057374 - 11/04/2017</v>
      </c>
      <c r="H1817" s="2">
        <v>185.3</v>
      </c>
      <c r="I1817" t="str">
        <f>"ACCT#5000057374 - 11/04/2017"</f>
        <v>ACCT#5000057374 - 11/04/2017</v>
      </c>
    </row>
    <row r="1818" spans="1:9" x14ac:dyDescent="0.3">
      <c r="A1818" t="str">
        <f>"004069"</f>
        <v>004069</v>
      </c>
      <c r="B1818" t="s">
        <v>605</v>
      </c>
      <c r="C1818">
        <v>73981</v>
      </c>
      <c r="D1818" s="2">
        <v>1276.05</v>
      </c>
      <c r="E1818" s="1">
        <v>43066</v>
      </c>
      <c r="F1818" t="str">
        <f>"90099"</f>
        <v>90099</v>
      </c>
      <c r="G1818" t="str">
        <f>"ACCT#1268/BASE/PCT#3"</f>
        <v>ACCT#1268/BASE/PCT#3</v>
      </c>
      <c r="H1818" s="2">
        <v>1276.05</v>
      </c>
      <c r="I1818" t="str">
        <f>"ACCT#1268/BASE/PCT#3"</f>
        <v>ACCT#1268/BASE/PCT#3</v>
      </c>
    </row>
    <row r="1819" spans="1:9" x14ac:dyDescent="0.3">
      <c r="A1819" t="str">
        <f>"002469"</f>
        <v>002469</v>
      </c>
      <c r="B1819" t="s">
        <v>606</v>
      </c>
      <c r="C1819">
        <v>73982</v>
      </c>
      <c r="D1819" s="2">
        <v>5957.35</v>
      </c>
      <c r="E1819" s="1">
        <v>43066</v>
      </c>
      <c r="F1819" t="str">
        <f>"15901-24"</f>
        <v>15901-24</v>
      </c>
      <c r="G1819" t="str">
        <f>"PROJ#B15159.01/FIRE STAT#4"</f>
        <v>PROJ#B15159.01/FIRE STAT#4</v>
      </c>
      <c r="H1819" s="2">
        <v>5957.35</v>
      </c>
      <c r="I1819" t="str">
        <f>"PROJ#B15159.01/FIRE STAT#4"</f>
        <v>PROJ#B15159.01/FIRE STAT#4</v>
      </c>
    </row>
    <row r="1820" spans="1:9" x14ac:dyDescent="0.3">
      <c r="A1820" t="str">
        <f>"CENTEX"</f>
        <v>CENTEX</v>
      </c>
      <c r="B1820" t="s">
        <v>120</v>
      </c>
      <c r="C1820">
        <v>73775</v>
      </c>
      <c r="D1820" s="2">
        <v>17173.59</v>
      </c>
      <c r="E1820" s="1">
        <v>43052</v>
      </c>
      <c r="F1820" t="str">
        <f>"30121482"</f>
        <v>30121482</v>
      </c>
      <c r="G1820" t="str">
        <f>"CUST#BASPCT2/ORD#37-18894"</f>
        <v>CUST#BASPCT2/ORD#37-18894</v>
      </c>
      <c r="H1820" s="2">
        <v>6702.99</v>
      </c>
      <c r="I1820" t="str">
        <f>"CUST#BASPCT2/ORD#37-18894"</f>
        <v>CUST#BASPCT2/ORD#37-18894</v>
      </c>
    </row>
    <row r="1821" spans="1:9" x14ac:dyDescent="0.3">
      <c r="A1821" t="str">
        <f>""</f>
        <v/>
      </c>
      <c r="F1821" t="str">
        <f>"30121516"</f>
        <v>30121516</v>
      </c>
      <c r="G1821" t="str">
        <f>"CUST#BASPCT2/ORD#37-17595"</f>
        <v>CUST#BASPCT2/ORD#37-17595</v>
      </c>
      <c r="H1821" s="2">
        <v>501.27</v>
      </c>
      <c r="I1821" t="str">
        <f>"CUST#BASPCT2/ORD#37-17595"</f>
        <v>CUST#BASPCT2/ORD#37-17595</v>
      </c>
    </row>
    <row r="1822" spans="1:9" x14ac:dyDescent="0.3">
      <c r="A1822" t="str">
        <f>""</f>
        <v/>
      </c>
      <c r="F1822" t="str">
        <f>"30121517"</f>
        <v>30121517</v>
      </c>
      <c r="G1822" t="str">
        <f>"CUST#BASPCT2/ORD#37-18894"</f>
        <v>CUST#BASPCT2/ORD#37-18894</v>
      </c>
      <c r="H1822" s="2">
        <v>3016.65</v>
      </c>
      <c r="I1822" t="str">
        <f>"CUST#BASPCT2/ORD#37-18894"</f>
        <v>CUST#BASPCT2/ORD#37-18894</v>
      </c>
    </row>
    <row r="1823" spans="1:9" x14ac:dyDescent="0.3">
      <c r="A1823" t="str">
        <f>""</f>
        <v/>
      </c>
      <c r="F1823" t="str">
        <f>"30121561"</f>
        <v>30121561</v>
      </c>
      <c r="G1823" t="str">
        <f>"CUST#BASPCT2/ORD#37-18894"</f>
        <v>CUST#BASPCT2/ORD#37-18894</v>
      </c>
      <c r="H1823" s="2">
        <v>2930.76</v>
      </c>
      <c r="I1823" t="str">
        <f>"CUST#BASPCT2/ORD#37-18894"</f>
        <v>CUST#BASPCT2/ORD#37-18894</v>
      </c>
    </row>
    <row r="1824" spans="1:9" x14ac:dyDescent="0.3">
      <c r="A1824" t="str">
        <f>""</f>
        <v/>
      </c>
      <c r="F1824" t="str">
        <f>"30121601"</f>
        <v>30121601</v>
      </c>
      <c r="G1824" t="str">
        <f>"CUST#BASPCT2/ORD#37-18894"</f>
        <v>CUST#BASPCT2/ORD#37-18894</v>
      </c>
      <c r="H1824" s="2">
        <v>4021.92</v>
      </c>
      <c r="I1824" t="str">
        <f>"CUST#BASPCT2/ORD#37-18894"</f>
        <v>CUST#BASPCT2/ORD#37-18894</v>
      </c>
    </row>
    <row r="1825" spans="1:9" x14ac:dyDescent="0.3">
      <c r="A1825" t="str">
        <f>"COB"</f>
        <v>COB</v>
      </c>
      <c r="B1825" t="s">
        <v>134</v>
      </c>
      <c r="C1825">
        <v>73776</v>
      </c>
      <c r="D1825" s="2">
        <v>177443.95</v>
      </c>
      <c r="E1825" s="1">
        <v>43052</v>
      </c>
      <c r="F1825" t="str">
        <f>"201710255979"</f>
        <v>201710255979</v>
      </c>
      <c r="G1825" t="str">
        <f>"SHELTER GRANT REIMBURSE REQ #5"</f>
        <v>SHELTER GRANT REIMBURSE REQ #5</v>
      </c>
      <c r="H1825" s="2">
        <v>177443.95</v>
      </c>
      <c r="I1825" t="str">
        <f>"SHELTER GRANT REIMBURSE REQ #5"</f>
        <v>SHELTER GRANT REIMBURSE REQ #5</v>
      </c>
    </row>
    <row r="1826" spans="1:9" x14ac:dyDescent="0.3">
      <c r="A1826" t="str">
        <f>"CONTEC"</f>
        <v>CONTEC</v>
      </c>
      <c r="B1826" t="s">
        <v>146</v>
      </c>
      <c r="C1826">
        <v>73777</v>
      </c>
      <c r="D1826" s="2">
        <v>40.5</v>
      </c>
      <c r="E1826" s="1">
        <v>43052</v>
      </c>
      <c r="F1826" t="str">
        <f>"15777575"</f>
        <v>15777575</v>
      </c>
      <c r="G1826" t="str">
        <f>"ACT#434304/REF#12655883SO/BND"</f>
        <v>ACT#434304/REF#12655883SO/BND</v>
      </c>
      <c r="H1826" s="2">
        <v>40.5</v>
      </c>
      <c r="I1826" t="str">
        <f>"ACT#434304/REF#12655883SO/BND"</f>
        <v>ACT#434304/REF#12655883SO/BND</v>
      </c>
    </row>
    <row r="1827" spans="1:9" x14ac:dyDescent="0.3">
      <c r="A1827" t="str">
        <f>"005270"</f>
        <v>005270</v>
      </c>
      <c r="B1827" t="s">
        <v>607</v>
      </c>
      <c r="C1827">
        <v>73778</v>
      </c>
      <c r="D1827" s="2">
        <v>400</v>
      </c>
      <c r="E1827" s="1">
        <v>43052</v>
      </c>
      <c r="F1827" t="str">
        <f>"20170823-01"</f>
        <v>20170823-01</v>
      </c>
      <c r="G1827" t="str">
        <f>"SERVICE/599 COOL WATER"</f>
        <v>SERVICE/599 COOL WATER</v>
      </c>
      <c r="H1827" s="2">
        <v>400</v>
      </c>
      <c r="I1827" t="str">
        <f>"SERVICE/599 COOL WATER"</f>
        <v>SERVICE/599 COOL WATER</v>
      </c>
    </row>
    <row r="1828" spans="1:9" x14ac:dyDescent="0.3">
      <c r="A1828" t="str">
        <f>"000589"</f>
        <v>000589</v>
      </c>
      <c r="B1828" t="s">
        <v>194</v>
      </c>
      <c r="C1828">
        <v>73779</v>
      </c>
      <c r="D1828" s="2">
        <v>24461.67</v>
      </c>
      <c r="E1828" s="1">
        <v>43052</v>
      </c>
      <c r="F1828" t="str">
        <f>"9401732061"</f>
        <v>9401732061</v>
      </c>
      <c r="G1828" t="str">
        <f>"ACCT#912904/BOL#912904/PCT#2"</f>
        <v>ACCT#912904/BOL#912904/PCT#2</v>
      </c>
      <c r="H1828" s="2">
        <v>-11845.66</v>
      </c>
      <c r="I1828" t="str">
        <f>"ACCT#912904/BOL#912904/PCT#2"</f>
        <v>ACCT#912904/BOL#912904/PCT#2</v>
      </c>
    </row>
    <row r="1829" spans="1:9" x14ac:dyDescent="0.3">
      <c r="A1829" t="str">
        <f>""</f>
        <v/>
      </c>
      <c r="F1829" t="str">
        <f>"9401735844"</f>
        <v>9401735844</v>
      </c>
      <c r="G1829" t="str">
        <f>"ACCT#912904/BOL#21261/PCT#2"</f>
        <v>ACCT#912904/BOL#21261/PCT#2</v>
      </c>
      <c r="H1829" s="2">
        <v>12703.41</v>
      </c>
      <c r="I1829" t="str">
        <f>"ACCT#912904/BOL#21261/PCT#2"</f>
        <v>ACCT#912904/BOL#21261/PCT#2</v>
      </c>
    </row>
    <row r="1830" spans="1:9" x14ac:dyDescent="0.3">
      <c r="A1830" t="str">
        <f>""</f>
        <v/>
      </c>
      <c r="F1830" t="str">
        <f>"9401735845"</f>
        <v>9401735845</v>
      </c>
      <c r="G1830" t="str">
        <f>"ACCT#912904/BOL#21270/PCT#2"</f>
        <v>ACCT#912904/BOL#21270/PCT#2</v>
      </c>
      <c r="H1830" s="2">
        <v>12984.38</v>
      </c>
      <c r="I1830" t="str">
        <f>"ERGON ASPHALT &amp; EMULSIONS INC"</f>
        <v>ERGON ASPHALT &amp; EMULSIONS INC</v>
      </c>
    </row>
    <row r="1831" spans="1:9" x14ac:dyDescent="0.3">
      <c r="A1831" t="str">
        <f>""</f>
        <v/>
      </c>
      <c r="F1831" t="str">
        <f>"9401744545"</f>
        <v>9401744545</v>
      </c>
      <c r="G1831" t="str">
        <f>"ACCT #912897 - BASE / P3"</f>
        <v>ACCT #912897 - BASE / P3</v>
      </c>
      <c r="H1831" s="2">
        <v>10619.54</v>
      </c>
      <c r="I1831" t="str">
        <f>"ACCT #912897 - BASE / P3"</f>
        <v>ACCT #912897 - BASE / P3</v>
      </c>
    </row>
    <row r="1832" spans="1:9" x14ac:dyDescent="0.3">
      <c r="A1832" t="str">
        <f>"FNB"</f>
        <v>FNB</v>
      </c>
      <c r="B1832" t="s">
        <v>608</v>
      </c>
      <c r="C1832">
        <v>0</v>
      </c>
      <c r="D1832" s="2">
        <v>168337.5</v>
      </c>
      <c r="E1832" s="1">
        <v>43066</v>
      </c>
      <c r="F1832" t="str">
        <f>"201711156617"</f>
        <v>201711156617</v>
      </c>
      <c r="G1832" t="str">
        <f>"LOAN#BASTROP13/RB 2013"</f>
        <v>LOAN#BASTROP13/RB 2013</v>
      </c>
      <c r="H1832" s="2">
        <v>99562.5</v>
      </c>
      <c r="I1832" t="str">
        <f>"LOAN#BASTROP13/RB 2013"</f>
        <v>LOAN#BASTROP13/RB 2013</v>
      </c>
    </row>
    <row r="1833" spans="1:9" x14ac:dyDescent="0.3">
      <c r="A1833" t="str">
        <f>""</f>
        <v/>
      </c>
      <c r="F1833" t="str">
        <f>"201711156618"</f>
        <v>201711156618</v>
      </c>
      <c r="G1833" t="str">
        <f>"LOAN#BASTROP12/RB 2012"</f>
        <v>LOAN#BASTROP12/RB 2012</v>
      </c>
      <c r="H1833" s="2">
        <v>50575</v>
      </c>
      <c r="I1833" t="str">
        <f>"LOAN#BASTROP12/RB 2012"</f>
        <v>LOAN#BASTROP12/RB 2012</v>
      </c>
    </row>
    <row r="1834" spans="1:9" x14ac:dyDescent="0.3">
      <c r="A1834" t="str">
        <f>""</f>
        <v/>
      </c>
      <c r="F1834" t="str">
        <f>"BAST01122017"</f>
        <v>BAST01122017</v>
      </c>
      <c r="G1834" t="str">
        <f>"ACCT#BAST509LTR"</f>
        <v>ACCT#BAST509LTR</v>
      </c>
      <c r="H1834" s="2">
        <v>18200</v>
      </c>
      <c r="I1834" t="str">
        <f>"ACCT#BAST509LTR"</f>
        <v>ACCT#BAST509LTR</v>
      </c>
    </row>
    <row r="1835" spans="1:9" x14ac:dyDescent="0.3">
      <c r="A1835" t="str">
        <f>"004691"</f>
        <v>004691</v>
      </c>
      <c r="B1835" t="s">
        <v>202</v>
      </c>
      <c r="C1835">
        <v>73780</v>
      </c>
      <c r="D1835" s="2">
        <v>20.93</v>
      </c>
      <c r="E1835" s="1">
        <v>43052</v>
      </c>
      <c r="F1835" t="str">
        <f>"NP51687707 11/01/1"</f>
        <v>NP51687707 11/01/1</v>
      </c>
      <c r="G1835" t="str">
        <f>"STMT# NP51687707"</f>
        <v>STMT# NP51687707</v>
      </c>
      <c r="H1835" s="2">
        <v>20.93</v>
      </c>
      <c r="I1835" t="str">
        <f>"OEM"</f>
        <v>OEM</v>
      </c>
    </row>
    <row r="1836" spans="1:9" x14ac:dyDescent="0.3">
      <c r="A1836" t="str">
        <f>"WWGI"</f>
        <v>WWGI</v>
      </c>
      <c r="B1836" t="s">
        <v>222</v>
      </c>
      <c r="C1836">
        <v>73983</v>
      </c>
      <c r="D1836" s="2">
        <v>222.16</v>
      </c>
      <c r="E1836" s="1">
        <v>43066</v>
      </c>
      <c r="F1836" t="str">
        <f>"9604038050"</f>
        <v>9604038050</v>
      </c>
      <c r="G1836" t="str">
        <f>"ACCT#886119927/OFFICE SUPPLIES"</f>
        <v>ACCT#886119927/OFFICE SUPPLIES</v>
      </c>
      <c r="H1836" s="2">
        <v>222.16</v>
      </c>
      <c r="I1836" t="str">
        <f>"ACCT#886119927/OFFICE SUPPLIES"</f>
        <v>ACCT#886119927/OFFICE SUPPLIES</v>
      </c>
    </row>
    <row r="1837" spans="1:9" x14ac:dyDescent="0.3">
      <c r="A1837" t="str">
        <f>"005119"</f>
        <v>005119</v>
      </c>
      <c r="B1837" t="s">
        <v>609</v>
      </c>
      <c r="C1837">
        <v>73984</v>
      </c>
      <c r="D1837" s="2">
        <v>34410.53</v>
      </c>
      <c r="E1837" s="1">
        <v>43066</v>
      </c>
      <c r="F1837" t="str">
        <f>"201710091"</f>
        <v>201710091</v>
      </c>
      <c r="G1837" t="str">
        <f>"PROJ#2017072/ER OPS AND IT CTR"</f>
        <v>PROJ#2017072/ER OPS AND IT CTR</v>
      </c>
      <c r="H1837" s="2">
        <v>34410.53</v>
      </c>
      <c r="I1837" t="str">
        <f>"PROJ#2017072/ER OPS AND IT CTR"</f>
        <v>PROJ#2017072/ER OPS AND IT CTR</v>
      </c>
    </row>
    <row r="1838" spans="1:9" x14ac:dyDescent="0.3">
      <c r="A1838" t="str">
        <f>"T13475"</f>
        <v>T13475</v>
      </c>
      <c r="B1838" t="s">
        <v>610</v>
      </c>
      <c r="C1838">
        <v>73781</v>
      </c>
      <c r="D1838" s="2">
        <v>1725</v>
      </c>
      <c r="E1838" s="1">
        <v>43052</v>
      </c>
      <c r="F1838" t="str">
        <f>"3389"</f>
        <v>3389</v>
      </c>
      <c r="G1838" t="str">
        <f>"HMGP ADMIN"</f>
        <v>HMGP ADMIN</v>
      </c>
      <c r="H1838" s="2">
        <v>1725</v>
      </c>
      <c r="I1838" t="str">
        <f>"HMGP ADMIN"</f>
        <v>HMGP ADMIN</v>
      </c>
    </row>
    <row r="1839" spans="1:9" x14ac:dyDescent="0.3">
      <c r="A1839" t="str">
        <f>"T13475"</f>
        <v>T13475</v>
      </c>
      <c r="B1839" t="s">
        <v>610</v>
      </c>
      <c r="C1839">
        <v>73782</v>
      </c>
      <c r="D1839" s="2">
        <v>45636.71</v>
      </c>
      <c r="E1839" s="1">
        <v>43052</v>
      </c>
      <c r="F1839" t="str">
        <f>"3397"</f>
        <v>3397</v>
      </c>
      <c r="G1839" t="str">
        <f>"CONSTRUCTION SVCS"</f>
        <v>CONSTRUCTION SVCS</v>
      </c>
      <c r="H1839" s="2">
        <v>45636.71</v>
      </c>
      <c r="I1839" t="str">
        <f>"CONSTRUCTION SVCS"</f>
        <v>CONSTRUCTION SVCS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>"CONSTRUCTION SVCS"</f>
        <v>CONSTRUCTION SVCS</v>
      </c>
    </row>
    <row r="1841" spans="1:9" x14ac:dyDescent="0.3">
      <c r="A1841" t="str">
        <f>"002312"</f>
        <v>002312</v>
      </c>
      <c r="B1841" t="s">
        <v>349</v>
      </c>
      <c r="C1841">
        <v>73783</v>
      </c>
      <c r="D1841" s="2">
        <v>29898.09</v>
      </c>
      <c r="E1841" s="1">
        <v>43052</v>
      </c>
      <c r="F1841" t="str">
        <f>"15426"</f>
        <v>15426</v>
      </c>
      <c r="G1841" t="str">
        <f>"FREIGHT SALES/PCT#2"</f>
        <v>FREIGHT SALES/PCT#2</v>
      </c>
      <c r="H1841" s="2">
        <v>3555.35</v>
      </c>
      <c r="I1841" t="str">
        <f>"FREIGHT SALES/PCT#2"</f>
        <v>FREIGHT SALES/PCT#2</v>
      </c>
    </row>
    <row r="1842" spans="1:9" x14ac:dyDescent="0.3">
      <c r="A1842" t="str">
        <f>""</f>
        <v/>
      </c>
      <c r="F1842" t="str">
        <f>"15437"</f>
        <v>15437</v>
      </c>
      <c r="G1842" t="str">
        <f>"FREIGHT SALES/PCT#2"</f>
        <v>FREIGHT SALES/PCT#2</v>
      </c>
      <c r="H1842" s="2">
        <v>801.99</v>
      </c>
      <c r="I1842" t="str">
        <f>"FREIGHT SALES/PCT#2"</f>
        <v>FREIGHT SALES/PCT#2</v>
      </c>
    </row>
    <row r="1843" spans="1:9" x14ac:dyDescent="0.3">
      <c r="A1843" t="str">
        <f>""</f>
        <v/>
      </c>
      <c r="F1843" t="str">
        <f>"15438"</f>
        <v>15438</v>
      </c>
      <c r="G1843" t="str">
        <f>"FREIGHT SALES/PCT#2"</f>
        <v>FREIGHT SALES/PCT#2</v>
      </c>
      <c r="H1843" s="2">
        <v>8386.7099999999991</v>
      </c>
      <c r="I1843" t="str">
        <f>"FREIGHT SALES/PCT#2"</f>
        <v>FREIGHT SALES/PCT#2</v>
      </c>
    </row>
    <row r="1844" spans="1:9" x14ac:dyDescent="0.3">
      <c r="A1844" t="str">
        <f>""</f>
        <v/>
      </c>
      <c r="F1844" t="str">
        <f>"15443"</f>
        <v>15443</v>
      </c>
      <c r="G1844" t="str">
        <f>"FREIGHT SALES/PCT#2"</f>
        <v>FREIGHT SALES/PCT#2</v>
      </c>
      <c r="H1844" s="2">
        <v>1415.6</v>
      </c>
      <c r="I1844" t="str">
        <f>"FREIGHT SALES/PCT#2"</f>
        <v>FREIGHT SALES/PCT#2</v>
      </c>
    </row>
    <row r="1845" spans="1:9" x14ac:dyDescent="0.3">
      <c r="A1845" t="str">
        <f>""</f>
        <v/>
      </c>
      <c r="F1845" t="str">
        <f>"15447"</f>
        <v>15447</v>
      </c>
      <c r="G1845" t="str">
        <f>"FREIGHT SALES/PCT#2"</f>
        <v>FREIGHT SALES/PCT#2</v>
      </c>
      <c r="H1845" s="2">
        <v>6389.62</v>
      </c>
      <c r="I1845" t="str">
        <f>"FREIGHT SALES/PCT32"</f>
        <v>FREIGHT SALES/PCT32</v>
      </c>
    </row>
    <row r="1846" spans="1:9" x14ac:dyDescent="0.3">
      <c r="A1846" t="str">
        <f>""</f>
        <v/>
      </c>
      <c r="F1846" t="str">
        <f>"15490"</f>
        <v>15490</v>
      </c>
      <c r="G1846" t="str">
        <f>"FREIGHT SALES/OLD PINOAK RD"</f>
        <v>FREIGHT SALES/OLD PINOAK RD</v>
      </c>
      <c r="H1846" s="2">
        <v>5126.72</v>
      </c>
      <c r="I1846" t="str">
        <f>"FREIGHT SALES/OLD PINOAK RD"</f>
        <v>FREIGHT SALES/OLD PINOAK RD</v>
      </c>
    </row>
    <row r="1847" spans="1:9" x14ac:dyDescent="0.3">
      <c r="A1847" t="str">
        <f>""</f>
        <v/>
      </c>
      <c r="F1847" t="str">
        <f>"15491"</f>
        <v>15491</v>
      </c>
      <c r="G1847" t="str">
        <f>"FREIGHT SALES/OLD PIN OAK RD"</f>
        <v>FREIGHT SALES/OLD PIN OAK RD</v>
      </c>
      <c r="H1847" s="2">
        <v>4222.1000000000004</v>
      </c>
      <c r="I1847" t="str">
        <f>"FREIGHT SALES/OLD PIN OAK RD"</f>
        <v>FREIGHT SALES/OLD PIN OAK RD</v>
      </c>
    </row>
    <row r="1848" spans="1:9" x14ac:dyDescent="0.3">
      <c r="A1848" t="str">
        <f>"005140"</f>
        <v>005140</v>
      </c>
      <c r="B1848" t="s">
        <v>611</v>
      </c>
      <c r="C1848">
        <v>73985</v>
      </c>
      <c r="D1848" s="2">
        <v>32571.87</v>
      </c>
      <c r="E1848" s="1">
        <v>43066</v>
      </c>
      <c r="F1848" t="str">
        <f>"834"</f>
        <v>834</v>
      </c>
      <c r="G1848" t="str">
        <f>"OXLEY WILLIAMS THARP ARCHITECT"</f>
        <v>OXLEY WILLIAMS THARP ARCHITECT</v>
      </c>
      <c r="H1848" s="2">
        <v>32571.87</v>
      </c>
      <c r="I1848" t="str">
        <f>"Design Developement"</f>
        <v>Design Developement</v>
      </c>
    </row>
    <row r="1849" spans="1:9" x14ac:dyDescent="0.3">
      <c r="A1849" t="str">
        <f>""</f>
        <v/>
      </c>
      <c r="F1849" t="str">
        <f>""</f>
        <v/>
      </c>
      <c r="G1849" t="str">
        <f>""</f>
        <v/>
      </c>
      <c r="I1849" t="str">
        <f>"Reimbursable Expense"</f>
        <v>Reimbursable Expense</v>
      </c>
    </row>
    <row r="1850" spans="1:9" x14ac:dyDescent="0.3">
      <c r="A1850" t="str">
        <f>"000374"</f>
        <v>000374</v>
      </c>
      <c r="B1850" t="s">
        <v>485</v>
      </c>
      <c r="C1850">
        <v>73986</v>
      </c>
      <c r="D1850" s="2">
        <v>30.99</v>
      </c>
      <c r="E1850" s="1">
        <v>43066</v>
      </c>
      <c r="F1850" t="str">
        <f>"1020074"</f>
        <v>1020074</v>
      </c>
      <c r="G1850" t="str">
        <f>"BP MF 102 MULTIFOLD TOWELS"</f>
        <v>BP MF 102 MULTIFOLD TOWELS</v>
      </c>
      <c r="H1850" s="2">
        <v>30.99</v>
      </c>
      <c r="I1850" t="str">
        <f>"BP MF 102 MULTIFOLD TOWELS"</f>
        <v>BP MF 102 MULTIFOLD TOWELS</v>
      </c>
    </row>
    <row r="1851" spans="1:9" x14ac:dyDescent="0.3">
      <c r="A1851" t="str">
        <f>"004539"</f>
        <v>004539</v>
      </c>
      <c r="B1851" t="s">
        <v>612</v>
      </c>
      <c r="C1851">
        <v>73784</v>
      </c>
      <c r="D1851" s="2">
        <v>105931.95</v>
      </c>
      <c r="E1851" s="1">
        <v>43052</v>
      </c>
      <c r="F1851" t="str">
        <f>"16030513"</f>
        <v>16030513</v>
      </c>
      <c r="G1851" t="str">
        <f>"PROJ#160305/APP#13/FIRE STAT 4"</f>
        <v>PROJ#160305/APP#13/FIRE STAT 4</v>
      </c>
      <c r="H1851" s="2">
        <v>105931.95</v>
      </c>
      <c r="I1851" t="str">
        <f>"PROJ#160305/APP#13/FIRE STAT 4"</f>
        <v>PROJ#160305/APP#13/FIRE STAT 4</v>
      </c>
    </row>
    <row r="1852" spans="1:9" x14ac:dyDescent="0.3">
      <c r="A1852" t="str">
        <f>"003132"</f>
        <v>003132</v>
      </c>
      <c r="B1852" t="s">
        <v>613</v>
      </c>
      <c r="C1852">
        <v>73987</v>
      </c>
      <c r="D1852" s="2">
        <v>18000</v>
      </c>
      <c r="E1852" s="1">
        <v>43066</v>
      </c>
      <c r="F1852" t="str">
        <f>"BC11022017"</f>
        <v>BC11022017</v>
      </c>
      <c r="G1852" t="str">
        <f>"CONTRACT#BC16-016"</f>
        <v>CONTRACT#BC16-016</v>
      </c>
      <c r="H1852" s="2">
        <v>18000</v>
      </c>
      <c r="I1852" t="str">
        <f>"CONTRACT#BC16-016"</f>
        <v>CONTRACT#BC16-016</v>
      </c>
    </row>
    <row r="1853" spans="1:9" x14ac:dyDescent="0.3">
      <c r="A1853" t="str">
        <f>"WALMAR"</f>
        <v>WALMAR</v>
      </c>
      <c r="B1853" t="s">
        <v>585</v>
      </c>
      <c r="C1853">
        <v>73988</v>
      </c>
      <c r="D1853" s="2">
        <v>155.76</v>
      </c>
      <c r="E1853" s="1">
        <v>43066</v>
      </c>
      <c r="F1853" t="str">
        <f>"6032202020234945"</f>
        <v>6032202020234945</v>
      </c>
      <c r="G1853" t="str">
        <f>"Acct# 6032202020234945"</f>
        <v>Acct# 6032202020234945</v>
      </c>
      <c r="H1853" s="2">
        <v>155.76</v>
      </c>
      <c r="I1853" t="str">
        <f>"Payment"</f>
        <v>Payment</v>
      </c>
    </row>
    <row r="1854" spans="1:9" x14ac:dyDescent="0.3">
      <c r="A1854" t="str">
        <f>"004240"</f>
        <v>004240</v>
      </c>
      <c r="B1854" t="s">
        <v>599</v>
      </c>
      <c r="C1854">
        <v>73785</v>
      </c>
      <c r="D1854" s="2">
        <v>49504.22</v>
      </c>
      <c r="E1854" s="1">
        <v>43052</v>
      </c>
      <c r="F1854" t="str">
        <f>"1251"</f>
        <v>1251</v>
      </c>
      <c r="G1854" t="str">
        <f>"JOB#WFR010001/OLD PINEY TRL"</f>
        <v>JOB#WFR010001/OLD PINEY TRL</v>
      </c>
      <c r="H1854" s="2">
        <v>49504.22</v>
      </c>
      <c r="I1854" t="str">
        <f>"JOB#WFR010001/OLD PINEY TRL"</f>
        <v>JOB#WFR010001/OLD PINEY TRL</v>
      </c>
    </row>
    <row r="1855" spans="1:9" x14ac:dyDescent="0.3">
      <c r="A1855" t="str">
        <f>"ALLSTA"</f>
        <v>ALLSTA</v>
      </c>
      <c r="B1855" t="s">
        <v>614</v>
      </c>
      <c r="C1855">
        <v>0</v>
      </c>
      <c r="D1855" s="2">
        <v>8077.41</v>
      </c>
      <c r="E1855" s="1">
        <v>43068</v>
      </c>
      <c r="F1855" t="str">
        <f>"201711296835"</f>
        <v>201711296835</v>
      </c>
      <c r="G1855" t="str">
        <f>"ALLSTATE-AMERICAN HERITAGE LIF"</f>
        <v>ALLSTATE-AMERICAN HERITAGE LIF</v>
      </c>
      <c r="H1855" s="2">
        <v>0.05</v>
      </c>
      <c r="I1855" t="str">
        <f>"ALLSTATE-AMERICAN HERITAGE LIF"</f>
        <v>ALLSTATE-AMERICAN HERITAGE LIF</v>
      </c>
    </row>
    <row r="1856" spans="1:9" x14ac:dyDescent="0.3">
      <c r="A1856" t="str">
        <f>""</f>
        <v/>
      </c>
      <c r="F1856" t="str">
        <f>"AS 201711016103"</f>
        <v>AS 201711016103</v>
      </c>
      <c r="G1856" t="str">
        <f t="shared" ref="G1856:G1869" si="25">"ALLSTATE"</f>
        <v>ALLSTATE</v>
      </c>
      <c r="H1856" s="2">
        <v>783.27</v>
      </c>
      <c r="I1856" t="str">
        <f t="shared" ref="I1856:I1869" si="26">"ALLSTATE"</f>
        <v>ALLSTATE</v>
      </c>
    </row>
    <row r="1857" spans="1:9" x14ac:dyDescent="0.3">
      <c r="A1857" t="str">
        <f>""</f>
        <v/>
      </c>
      <c r="F1857" t="str">
        <f>"AS 201711016105"</f>
        <v>AS 201711016105</v>
      </c>
      <c r="G1857" t="str">
        <f t="shared" si="25"/>
        <v>ALLSTATE</v>
      </c>
      <c r="H1857" s="2">
        <v>36.14</v>
      </c>
      <c r="I1857" t="str">
        <f t="shared" si="26"/>
        <v>ALLSTATE</v>
      </c>
    </row>
    <row r="1858" spans="1:9" x14ac:dyDescent="0.3">
      <c r="A1858" t="str">
        <f>""</f>
        <v/>
      </c>
      <c r="F1858" t="str">
        <f>"AS 201711156614"</f>
        <v>AS 201711156614</v>
      </c>
      <c r="G1858" t="str">
        <f t="shared" si="25"/>
        <v>ALLSTATE</v>
      </c>
      <c r="H1858" s="2">
        <v>783.27</v>
      </c>
      <c r="I1858" t="str">
        <f t="shared" si="26"/>
        <v>ALLSTATE</v>
      </c>
    </row>
    <row r="1859" spans="1:9" x14ac:dyDescent="0.3">
      <c r="A1859" t="str">
        <f>""</f>
        <v/>
      </c>
      <c r="F1859" t="str">
        <f>"AS 201711156615"</f>
        <v>AS 201711156615</v>
      </c>
      <c r="G1859" t="str">
        <f t="shared" si="25"/>
        <v>ALLSTATE</v>
      </c>
      <c r="H1859" s="2">
        <v>36.14</v>
      </c>
      <c r="I1859" t="str">
        <f t="shared" si="26"/>
        <v>ALLSTATE</v>
      </c>
    </row>
    <row r="1860" spans="1:9" x14ac:dyDescent="0.3">
      <c r="A1860" t="str">
        <f>""</f>
        <v/>
      </c>
      <c r="F1860" t="str">
        <f>"ASD201711016103"</f>
        <v>ASD201711016103</v>
      </c>
      <c r="G1860" t="str">
        <f t="shared" si="25"/>
        <v>ALLSTATE</v>
      </c>
      <c r="H1860" s="2">
        <v>317.52</v>
      </c>
      <c r="I1860" t="str">
        <f t="shared" si="26"/>
        <v>ALLSTATE</v>
      </c>
    </row>
    <row r="1861" spans="1:9" x14ac:dyDescent="0.3">
      <c r="A1861" t="str">
        <f>""</f>
        <v/>
      </c>
      <c r="F1861" t="str">
        <f>"ASD201711156614"</f>
        <v>ASD201711156614</v>
      </c>
      <c r="G1861" t="str">
        <f t="shared" si="25"/>
        <v>ALLSTATE</v>
      </c>
      <c r="H1861" s="2">
        <v>317.52</v>
      </c>
      <c r="I1861" t="str">
        <f t="shared" si="26"/>
        <v>ALLSTATE</v>
      </c>
    </row>
    <row r="1862" spans="1:9" x14ac:dyDescent="0.3">
      <c r="A1862" t="str">
        <f>""</f>
        <v/>
      </c>
      <c r="F1862" t="str">
        <f>"ASI201711016103"</f>
        <v>ASI201711016103</v>
      </c>
      <c r="G1862" t="str">
        <f t="shared" si="25"/>
        <v>ALLSTATE</v>
      </c>
      <c r="H1862" s="2">
        <v>984.05</v>
      </c>
      <c r="I1862" t="str">
        <f t="shared" si="26"/>
        <v>ALLSTATE</v>
      </c>
    </row>
    <row r="1863" spans="1:9" x14ac:dyDescent="0.3">
      <c r="A1863" t="str">
        <f>""</f>
        <v/>
      </c>
      <c r="F1863" t="str">
        <f>"ASI201711016105"</f>
        <v>ASI201711016105</v>
      </c>
      <c r="G1863" t="str">
        <f t="shared" si="25"/>
        <v>ALLSTATE</v>
      </c>
      <c r="H1863" s="2">
        <v>100.63</v>
      </c>
      <c r="I1863" t="str">
        <f t="shared" si="26"/>
        <v>ALLSTATE</v>
      </c>
    </row>
    <row r="1864" spans="1:9" x14ac:dyDescent="0.3">
      <c r="A1864" t="str">
        <f>""</f>
        <v/>
      </c>
      <c r="F1864" t="str">
        <f>"ASI201711156614"</f>
        <v>ASI201711156614</v>
      </c>
      <c r="G1864" t="str">
        <f t="shared" si="25"/>
        <v>ALLSTATE</v>
      </c>
      <c r="H1864" s="2">
        <v>984.05</v>
      </c>
      <c r="I1864" t="str">
        <f t="shared" si="26"/>
        <v>ALLSTATE</v>
      </c>
    </row>
    <row r="1865" spans="1:9" x14ac:dyDescent="0.3">
      <c r="A1865" t="str">
        <f>""</f>
        <v/>
      </c>
      <c r="F1865" t="str">
        <f>"ASI201711156615"</f>
        <v>ASI201711156615</v>
      </c>
      <c r="G1865" t="str">
        <f t="shared" si="25"/>
        <v>ALLSTATE</v>
      </c>
      <c r="H1865" s="2">
        <v>100.63</v>
      </c>
      <c r="I1865" t="str">
        <f t="shared" si="26"/>
        <v>ALLSTATE</v>
      </c>
    </row>
    <row r="1866" spans="1:9" x14ac:dyDescent="0.3">
      <c r="A1866" t="str">
        <f>""</f>
        <v/>
      </c>
      <c r="F1866" t="str">
        <f>"AST201711016103"</f>
        <v>AST201711016103</v>
      </c>
      <c r="G1866" t="str">
        <f t="shared" si="25"/>
        <v>ALLSTATE</v>
      </c>
      <c r="H1866" s="2">
        <v>1763.24</v>
      </c>
      <c r="I1866" t="str">
        <f t="shared" si="26"/>
        <v>ALLSTATE</v>
      </c>
    </row>
    <row r="1867" spans="1:9" x14ac:dyDescent="0.3">
      <c r="A1867" t="str">
        <f>""</f>
        <v/>
      </c>
      <c r="F1867" t="str">
        <f>"AST201711016105"</f>
        <v>AST201711016105</v>
      </c>
      <c r="G1867" t="str">
        <f t="shared" si="25"/>
        <v>ALLSTATE</v>
      </c>
      <c r="H1867" s="2">
        <v>53.83</v>
      </c>
      <c r="I1867" t="str">
        <f t="shared" si="26"/>
        <v>ALLSTATE</v>
      </c>
    </row>
    <row r="1868" spans="1:9" x14ac:dyDescent="0.3">
      <c r="A1868" t="str">
        <f>""</f>
        <v/>
      </c>
      <c r="F1868" t="str">
        <f>"AST201711156614"</f>
        <v>AST201711156614</v>
      </c>
      <c r="G1868" t="str">
        <f t="shared" si="25"/>
        <v>ALLSTATE</v>
      </c>
      <c r="H1868" s="2">
        <v>1763.24</v>
      </c>
      <c r="I1868" t="str">
        <f t="shared" si="26"/>
        <v>ALLSTATE</v>
      </c>
    </row>
    <row r="1869" spans="1:9" x14ac:dyDescent="0.3">
      <c r="A1869" t="str">
        <f>""</f>
        <v/>
      </c>
      <c r="F1869" t="str">
        <f>"AST201711156615"</f>
        <v>AST201711156615</v>
      </c>
      <c r="G1869" t="str">
        <f t="shared" si="25"/>
        <v>ALLSTATE</v>
      </c>
      <c r="H1869" s="2">
        <v>53.83</v>
      </c>
      <c r="I1869" t="str">
        <f t="shared" si="26"/>
        <v>ALLSTATE</v>
      </c>
    </row>
    <row r="1870" spans="1:9" x14ac:dyDescent="0.3">
      <c r="A1870" t="str">
        <f>"002234"</f>
        <v>002234</v>
      </c>
      <c r="B1870" t="s">
        <v>615</v>
      </c>
      <c r="C1870">
        <v>0</v>
      </c>
      <c r="D1870" s="2">
        <v>1320</v>
      </c>
      <c r="E1870" s="1">
        <v>43067</v>
      </c>
      <c r="F1870" t="str">
        <f>"BAS201711016103"</f>
        <v>BAS201711016103</v>
      </c>
      <c r="G1870" t="str">
        <f>"B.A.S.E."</f>
        <v>B.A.S.E.</v>
      </c>
      <c r="H1870" s="2">
        <v>672</v>
      </c>
      <c r="I1870" t="str">
        <f>"B.A.S.E."</f>
        <v>B.A.S.E.</v>
      </c>
    </row>
    <row r="1871" spans="1:9" x14ac:dyDescent="0.3">
      <c r="A1871" t="str">
        <f>""</f>
        <v/>
      </c>
      <c r="F1871" t="str">
        <f>"BAS201711156614"</f>
        <v>BAS201711156614</v>
      </c>
      <c r="G1871" t="str">
        <f>"B.A.S.E."</f>
        <v>B.A.S.E.</v>
      </c>
      <c r="H1871" s="2">
        <v>648</v>
      </c>
      <c r="I1871" t="str">
        <f>"B.A.S.E."</f>
        <v>B.A.S.E.</v>
      </c>
    </row>
    <row r="1872" spans="1:9" x14ac:dyDescent="0.3">
      <c r="A1872" t="str">
        <f>"T12180"</f>
        <v>T12180</v>
      </c>
      <c r="B1872" t="s">
        <v>616</v>
      </c>
      <c r="C1872">
        <v>0</v>
      </c>
      <c r="D1872" s="2">
        <v>3119.87</v>
      </c>
      <c r="E1872" s="1">
        <v>43042</v>
      </c>
      <c r="F1872" t="str">
        <f>"DDP201711016106"</f>
        <v>DDP201711016106</v>
      </c>
      <c r="G1872" t="str">
        <f>"AP - TEXAS DISCOUNT DENTAL"</f>
        <v>AP - TEXAS DISCOUNT DENTAL</v>
      </c>
      <c r="H1872" s="2">
        <v>6.53</v>
      </c>
      <c r="I1872" t="str">
        <f>"AP - TEXAS DISCOUNT DENTAL"</f>
        <v>AP - TEXAS DISCOUNT DENTAL</v>
      </c>
    </row>
    <row r="1873" spans="1:9" x14ac:dyDescent="0.3">
      <c r="A1873" t="str">
        <f>""</f>
        <v/>
      </c>
      <c r="F1873" t="str">
        <f>"DHM201711016106"</f>
        <v>DHM201711016106</v>
      </c>
      <c r="G1873" t="str">
        <f>"AP - DENTAL HMO"</f>
        <v>AP - DENTAL HMO</v>
      </c>
      <c r="H1873" s="2">
        <v>30.7</v>
      </c>
      <c r="I1873" t="str">
        <f>"AP - DENTAL HMO"</f>
        <v>AP - DENTAL HMO</v>
      </c>
    </row>
    <row r="1874" spans="1:9" x14ac:dyDescent="0.3">
      <c r="A1874" t="str">
        <f>""</f>
        <v/>
      </c>
      <c r="F1874" t="str">
        <f>"DTX201711016106"</f>
        <v>DTX201711016106</v>
      </c>
      <c r="G1874" t="str">
        <f>"AP - TEXAS DENTAL"</f>
        <v>AP - TEXAS DENTAL</v>
      </c>
      <c r="H1874" s="2">
        <v>383.93</v>
      </c>
      <c r="I1874" t="str">
        <f>"AP - TEXAS DENTAL"</f>
        <v>AP - TEXAS DENTAL</v>
      </c>
    </row>
    <row r="1875" spans="1:9" x14ac:dyDescent="0.3">
      <c r="A1875" t="str">
        <f>""</f>
        <v/>
      </c>
      <c r="F1875" t="str">
        <f>"FD 201711016106"</f>
        <v>FD 201711016106</v>
      </c>
      <c r="G1875" t="str">
        <f>"AP - FT DEARBORN PRE-TAX"</f>
        <v>AP - FT DEARBORN PRE-TAX</v>
      </c>
      <c r="H1875" s="2">
        <v>219.93</v>
      </c>
      <c r="I1875" t="str">
        <f>"AP - FT DEARBORN PRE-TAX"</f>
        <v>AP - FT DEARBORN PRE-TAX</v>
      </c>
    </row>
    <row r="1876" spans="1:9" x14ac:dyDescent="0.3">
      <c r="A1876" t="str">
        <f>""</f>
        <v/>
      </c>
      <c r="F1876" t="str">
        <f>"FDT201711016106"</f>
        <v>FDT201711016106</v>
      </c>
      <c r="G1876" t="str">
        <f>"AP - FT DEARBORN AFTER TAX"</f>
        <v>AP - FT DEARBORN AFTER TAX</v>
      </c>
      <c r="H1876" s="2">
        <v>82.76</v>
      </c>
      <c r="I1876" t="str">
        <f>"AP - FT DEARBORN AFTER TAX"</f>
        <v>AP - FT DEARBORN AFTER TAX</v>
      </c>
    </row>
    <row r="1877" spans="1:9" x14ac:dyDescent="0.3">
      <c r="A1877" t="str">
        <f>""</f>
        <v/>
      </c>
      <c r="F1877" t="str">
        <f>"FLX201711016106"</f>
        <v>FLX201711016106</v>
      </c>
      <c r="G1877" t="str">
        <f>"AP - TEX FLEX"</f>
        <v>AP - TEX FLEX</v>
      </c>
      <c r="H1877" s="2">
        <v>303</v>
      </c>
      <c r="I1877" t="str">
        <f>"AP - TEX FLEX"</f>
        <v>AP - TEX FLEX</v>
      </c>
    </row>
    <row r="1878" spans="1:9" x14ac:dyDescent="0.3">
      <c r="A1878" t="str">
        <f>""</f>
        <v/>
      </c>
      <c r="F1878" t="str">
        <f>"MHS201711016106"</f>
        <v>MHS201711016106</v>
      </c>
      <c r="G1878" t="str">
        <f>"AP - HEALTH SELECT MEDICAL"</f>
        <v>AP - HEALTH SELECT MEDICAL</v>
      </c>
      <c r="H1878" s="2">
        <v>1787.8</v>
      </c>
      <c r="I1878" t="str">
        <f>"AP - HEALTH SELECT MEDICAL"</f>
        <v>AP - HEALTH SELECT MEDICAL</v>
      </c>
    </row>
    <row r="1879" spans="1:9" x14ac:dyDescent="0.3">
      <c r="A1879" t="str">
        <f>""</f>
        <v/>
      </c>
      <c r="F1879" t="str">
        <f>"MSW201711016106"</f>
        <v>MSW201711016106</v>
      </c>
      <c r="G1879" t="str">
        <f>"AP - SCOTT &amp; WHITE MEDICAL"</f>
        <v>AP - SCOTT &amp; WHITE MEDICAL</v>
      </c>
      <c r="H1879" s="2">
        <v>291.82</v>
      </c>
      <c r="I1879" t="str">
        <f>"AP - SCOTT &amp; WHITE MEDICAL"</f>
        <v>AP - SCOTT &amp; WHITE MEDICAL</v>
      </c>
    </row>
    <row r="1880" spans="1:9" x14ac:dyDescent="0.3">
      <c r="A1880" t="str">
        <f>""</f>
        <v/>
      </c>
      <c r="F1880" t="str">
        <f>"SPE201711016106"</f>
        <v>SPE201711016106</v>
      </c>
      <c r="G1880" t="str">
        <f>"AP - STATE VISION"</f>
        <v>AP - STATE VISION</v>
      </c>
      <c r="H1880" s="2">
        <v>13.4</v>
      </c>
      <c r="I1880" t="str">
        <f>"AP - STATE VISION"</f>
        <v>AP - STATE VISION</v>
      </c>
    </row>
    <row r="1881" spans="1:9" x14ac:dyDescent="0.3">
      <c r="A1881" t="str">
        <f>"T12180"</f>
        <v>T12180</v>
      </c>
      <c r="B1881" t="s">
        <v>616</v>
      </c>
      <c r="C1881">
        <v>0</v>
      </c>
      <c r="D1881" s="2">
        <v>3183.07</v>
      </c>
      <c r="E1881" s="1">
        <v>43056</v>
      </c>
      <c r="F1881" t="str">
        <f>"DDP201711156616"</f>
        <v>DDP201711156616</v>
      </c>
      <c r="G1881" t="str">
        <f>"AP - TEXAS DISCOUNT DENTAL"</f>
        <v>AP - TEXAS DISCOUNT DENTAL</v>
      </c>
      <c r="H1881" s="2">
        <v>6.53</v>
      </c>
      <c r="I1881" t="str">
        <f>"AP - TEXAS DISCOUNT DENTAL"</f>
        <v>AP - TEXAS DISCOUNT DENTAL</v>
      </c>
    </row>
    <row r="1882" spans="1:9" x14ac:dyDescent="0.3">
      <c r="A1882" t="str">
        <f>""</f>
        <v/>
      </c>
      <c r="F1882" t="str">
        <f>"DHM201711156616"</f>
        <v>DHM201711156616</v>
      </c>
      <c r="G1882" t="str">
        <f>"AP - DENTAL HMO"</f>
        <v>AP - DENTAL HMO</v>
      </c>
      <c r="H1882" s="2">
        <v>30.7</v>
      </c>
      <c r="I1882" t="str">
        <f>"AP - DENTAL HMO"</f>
        <v>AP - DENTAL HMO</v>
      </c>
    </row>
    <row r="1883" spans="1:9" x14ac:dyDescent="0.3">
      <c r="A1883" t="str">
        <f>""</f>
        <v/>
      </c>
      <c r="F1883" t="str">
        <f>"DTX201711156616"</f>
        <v>DTX201711156616</v>
      </c>
      <c r="G1883" t="str">
        <f>"AP - TEXAS DENTAL"</f>
        <v>AP - TEXAS DENTAL</v>
      </c>
      <c r="H1883" s="2">
        <v>411.35</v>
      </c>
      <c r="I1883" t="str">
        <f>"AP - TEXAS DENTAL"</f>
        <v>AP - TEXAS DENTAL</v>
      </c>
    </row>
    <row r="1884" spans="1:9" x14ac:dyDescent="0.3">
      <c r="A1884" t="str">
        <f>""</f>
        <v/>
      </c>
      <c r="F1884" t="str">
        <f>"FD 201711156616"</f>
        <v>FD 201711156616</v>
      </c>
      <c r="G1884" t="str">
        <f>"AP - FT DEARBORN PRE-TAX"</f>
        <v>AP - FT DEARBORN PRE-TAX</v>
      </c>
      <c r="H1884" s="2">
        <v>223.43</v>
      </c>
      <c r="I1884" t="str">
        <f>"AP - FT DEARBORN PRE-TAX"</f>
        <v>AP - FT DEARBORN PRE-TAX</v>
      </c>
    </row>
    <row r="1885" spans="1:9" x14ac:dyDescent="0.3">
      <c r="A1885" t="str">
        <f>""</f>
        <v/>
      </c>
      <c r="F1885" t="str">
        <f>"FDT201711156616"</f>
        <v>FDT201711156616</v>
      </c>
      <c r="G1885" t="str">
        <f>"AP - FT DEARBORN AFTER TAX"</f>
        <v>AP - FT DEARBORN AFTER TAX</v>
      </c>
      <c r="H1885" s="2">
        <v>90.34</v>
      </c>
      <c r="I1885" t="str">
        <f>"AP - FT DEARBORN AFTER TAX"</f>
        <v>AP - FT DEARBORN AFTER TAX</v>
      </c>
    </row>
    <row r="1886" spans="1:9" x14ac:dyDescent="0.3">
      <c r="A1886" t="str">
        <f>""</f>
        <v/>
      </c>
      <c r="F1886" t="str">
        <f>"FLX201711156616"</f>
        <v>FLX201711156616</v>
      </c>
      <c r="G1886" t="str">
        <f>"AP - TEX FLEX"</f>
        <v>AP - TEX FLEX</v>
      </c>
      <c r="H1886" s="2">
        <v>321</v>
      </c>
      <c r="I1886" t="str">
        <f>"AP - TEX FLEX"</f>
        <v>AP - TEX FLEX</v>
      </c>
    </row>
    <row r="1887" spans="1:9" x14ac:dyDescent="0.3">
      <c r="A1887" t="str">
        <f>""</f>
        <v/>
      </c>
      <c r="F1887" t="str">
        <f>"MHS201711156616"</f>
        <v>MHS201711156616</v>
      </c>
      <c r="G1887" t="str">
        <f>"AP - HEALTH SELECT MEDICAL"</f>
        <v>AP - HEALTH SELECT MEDICAL</v>
      </c>
      <c r="H1887" s="2">
        <v>1787.8</v>
      </c>
      <c r="I1887" t="str">
        <f>"AP - HEALTH SELECT MEDICAL"</f>
        <v>AP - HEALTH SELECT MEDICAL</v>
      </c>
    </row>
    <row r="1888" spans="1:9" x14ac:dyDescent="0.3">
      <c r="A1888" t="str">
        <f>""</f>
        <v/>
      </c>
      <c r="F1888" t="str">
        <f>"MSW201711156616"</f>
        <v>MSW201711156616</v>
      </c>
      <c r="G1888" t="str">
        <f>"AP - SCOTT &amp; WHITE MEDICAL"</f>
        <v>AP - SCOTT &amp; WHITE MEDICAL</v>
      </c>
      <c r="H1888" s="2">
        <v>291.82</v>
      </c>
      <c r="I1888" t="str">
        <f>"AP - SCOTT &amp; WHITE MEDICAL"</f>
        <v>AP - SCOTT &amp; WHITE MEDICAL</v>
      </c>
    </row>
    <row r="1889" spans="1:9" x14ac:dyDescent="0.3">
      <c r="A1889" t="str">
        <f>""</f>
        <v/>
      </c>
      <c r="F1889" t="str">
        <f>"SPE201711156616"</f>
        <v>SPE201711156616</v>
      </c>
      <c r="G1889" t="str">
        <f>"AP - STATE VISION"</f>
        <v>AP - STATE VISION</v>
      </c>
      <c r="H1889" s="2">
        <v>20.100000000000001</v>
      </c>
      <c r="I1889" t="str">
        <f>"AP - STATE VISION"</f>
        <v>AP - STATE VISION</v>
      </c>
    </row>
    <row r="1890" spans="1:9" x14ac:dyDescent="0.3">
      <c r="A1890" t="str">
        <f>"COLONI"</f>
        <v>COLONI</v>
      </c>
      <c r="B1890" t="s">
        <v>617</v>
      </c>
      <c r="C1890">
        <v>0</v>
      </c>
      <c r="D1890" s="2">
        <v>5517.4</v>
      </c>
      <c r="E1890" s="1">
        <v>43068</v>
      </c>
      <c r="F1890" t="str">
        <f>"201711296837"</f>
        <v>201711296837</v>
      </c>
      <c r="G1890" t="str">
        <f>"KATHY FOSTER"</f>
        <v>KATHY FOSTER</v>
      </c>
      <c r="H1890" s="2">
        <v>-21.16</v>
      </c>
      <c r="I1890" t="str">
        <f>"COLONIAL LIFE &amp; ACCIDENT INS."</f>
        <v>COLONIAL LIFE &amp; ACCIDENT INS.</v>
      </c>
    </row>
    <row r="1891" spans="1:9" x14ac:dyDescent="0.3">
      <c r="A1891" t="str">
        <f>""</f>
        <v/>
      </c>
      <c r="F1891" t="str">
        <f>"201711296838"</f>
        <v>201711296838</v>
      </c>
      <c r="G1891" t="str">
        <f>"ROUNDING"</f>
        <v>ROUNDING</v>
      </c>
      <c r="H1891" s="2">
        <v>-0.7</v>
      </c>
      <c r="I1891" t="str">
        <f>"ROUNDING"</f>
        <v>ROUNDING</v>
      </c>
    </row>
    <row r="1892" spans="1:9" x14ac:dyDescent="0.3">
      <c r="A1892" t="str">
        <f>""</f>
        <v/>
      </c>
      <c r="F1892" t="str">
        <f>"CL 201711016103"</f>
        <v>CL 201711016103</v>
      </c>
      <c r="G1892" t="str">
        <f t="shared" ref="G1892:G1913" si="27">"COLONIAL"</f>
        <v>COLONIAL</v>
      </c>
      <c r="H1892" s="2">
        <v>834.01</v>
      </c>
      <c r="I1892" t="str">
        <f t="shared" ref="I1892:I1913" si="28">"COLONIAL"</f>
        <v>COLONIAL</v>
      </c>
    </row>
    <row r="1893" spans="1:9" x14ac:dyDescent="0.3">
      <c r="A1893" t="str">
        <f>""</f>
        <v/>
      </c>
      <c r="F1893" t="str">
        <f>"CL 201711016105"</f>
        <v>CL 201711016105</v>
      </c>
      <c r="G1893" t="str">
        <f t="shared" si="27"/>
        <v>COLONIAL</v>
      </c>
      <c r="H1893" s="2">
        <v>14.49</v>
      </c>
      <c r="I1893" t="str">
        <f t="shared" si="28"/>
        <v>COLONIAL</v>
      </c>
    </row>
    <row r="1894" spans="1:9" x14ac:dyDescent="0.3">
      <c r="A1894" t="str">
        <f>""</f>
        <v/>
      </c>
      <c r="F1894" t="str">
        <f>"CL 201711156614"</f>
        <v>CL 201711156614</v>
      </c>
      <c r="G1894" t="str">
        <f t="shared" si="27"/>
        <v>COLONIAL</v>
      </c>
      <c r="H1894" s="2">
        <v>801.33</v>
      </c>
      <c r="I1894" t="str">
        <f t="shared" si="28"/>
        <v>COLONIAL</v>
      </c>
    </row>
    <row r="1895" spans="1:9" x14ac:dyDescent="0.3">
      <c r="A1895" t="str">
        <f>""</f>
        <v/>
      </c>
      <c r="F1895" t="str">
        <f>"CL 201711156615"</f>
        <v>CL 201711156615</v>
      </c>
      <c r="G1895" t="str">
        <f t="shared" si="27"/>
        <v>COLONIAL</v>
      </c>
      <c r="H1895" s="2">
        <v>14.49</v>
      </c>
      <c r="I1895" t="str">
        <f t="shared" si="28"/>
        <v>COLONIAL</v>
      </c>
    </row>
    <row r="1896" spans="1:9" x14ac:dyDescent="0.3">
      <c r="A1896" t="str">
        <f>""</f>
        <v/>
      </c>
      <c r="F1896" t="str">
        <f>"CLC201711016103"</f>
        <v>CLC201711016103</v>
      </c>
      <c r="G1896" t="str">
        <f t="shared" si="27"/>
        <v>COLONIAL</v>
      </c>
      <c r="H1896" s="2">
        <v>100.6</v>
      </c>
      <c r="I1896" t="str">
        <f t="shared" si="28"/>
        <v>COLONIAL</v>
      </c>
    </row>
    <row r="1897" spans="1:9" x14ac:dyDescent="0.3">
      <c r="A1897" t="str">
        <f>""</f>
        <v/>
      </c>
      <c r="F1897" t="str">
        <f>"CLC201711156614"</f>
        <v>CLC201711156614</v>
      </c>
      <c r="G1897" t="str">
        <f t="shared" si="27"/>
        <v>COLONIAL</v>
      </c>
      <c r="H1897" s="2">
        <v>100.6</v>
      </c>
      <c r="I1897" t="str">
        <f t="shared" si="28"/>
        <v>COLONIAL</v>
      </c>
    </row>
    <row r="1898" spans="1:9" x14ac:dyDescent="0.3">
      <c r="A1898" t="str">
        <f>""</f>
        <v/>
      </c>
      <c r="F1898" t="str">
        <f>"CLI201711016103"</f>
        <v>CLI201711016103</v>
      </c>
      <c r="G1898" t="str">
        <f t="shared" si="27"/>
        <v>COLONIAL</v>
      </c>
      <c r="H1898" s="2">
        <v>658.42</v>
      </c>
      <c r="I1898" t="str">
        <f t="shared" si="28"/>
        <v>COLONIAL</v>
      </c>
    </row>
    <row r="1899" spans="1:9" x14ac:dyDescent="0.3">
      <c r="A1899" t="str">
        <f>""</f>
        <v/>
      </c>
      <c r="F1899" t="str">
        <f>"CLI201711016105"</f>
        <v>CLI201711016105</v>
      </c>
      <c r="G1899" t="str">
        <f t="shared" si="27"/>
        <v>COLONIAL</v>
      </c>
      <c r="H1899" s="2">
        <v>17.53</v>
      </c>
      <c r="I1899" t="str">
        <f t="shared" si="28"/>
        <v>COLONIAL</v>
      </c>
    </row>
    <row r="1900" spans="1:9" x14ac:dyDescent="0.3">
      <c r="A1900" t="str">
        <f>""</f>
        <v/>
      </c>
      <c r="F1900" t="str">
        <f>"CLI201711156614"</f>
        <v>CLI201711156614</v>
      </c>
      <c r="G1900" t="str">
        <f t="shared" si="27"/>
        <v>COLONIAL</v>
      </c>
      <c r="H1900" s="2">
        <v>658.42</v>
      </c>
      <c r="I1900" t="str">
        <f t="shared" si="28"/>
        <v>COLONIAL</v>
      </c>
    </row>
    <row r="1901" spans="1:9" x14ac:dyDescent="0.3">
      <c r="A1901" t="str">
        <f>""</f>
        <v/>
      </c>
      <c r="F1901" t="str">
        <f>"CLI201711156615"</f>
        <v>CLI201711156615</v>
      </c>
      <c r="G1901" t="str">
        <f t="shared" si="27"/>
        <v>COLONIAL</v>
      </c>
      <c r="H1901" s="2">
        <v>17.53</v>
      </c>
      <c r="I1901" t="str">
        <f t="shared" si="28"/>
        <v>COLONIAL</v>
      </c>
    </row>
    <row r="1902" spans="1:9" x14ac:dyDescent="0.3">
      <c r="A1902" t="str">
        <f>""</f>
        <v/>
      </c>
      <c r="F1902" t="str">
        <f>"CLK201711016103"</f>
        <v>CLK201711016103</v>
      </c>
      <c r="G1902" t="str">
        <f t="shared" si="27"/>
        <v>COLONIAL</v>
      </c>
      <c r="H1902" s="2">
        <v>27.09</v>
      </c>
      <c r="I1902" t="str">
        <f t="shared" si="28"/>
        <v>COLONIAL</v>
      </c>
    </row>
    <row r="1903" spans="1:9" x14ac:dyDescent="0.3">
      <c r="A1903" t="str">
        <f>""</f>
        <v/>
      </c>
      <c r="F1903" t="str">
        <f>"CLK201711156614"</f>
        <v>CLK201711156614</v>
      </c>
      <c r="G1903" t="str">
        <f t="shared" si="27"/>
        <v>COLONIAL</v>
      </c>
      <c r="H1903" s="2">
        <v>27.09</v>
      </c>
      <c r="I1903" t="str">
        <f t="shared" si="28"/>
        <v>COLONIAL</v>
      </c>
    </row>
    <row r="1904" spans="1:9" x14ac:dyDescent="0.3">
      <c r="A1904" t="str">
        <f>""</f>
        <v/>
      </c>
      <c r="F1904" t="str">
        <f>"CLS201711016103"</f>
        <v>CLS201711016103</v>
      </c>
      <c r="G1904" t="str">
        <f t="shared" si="27"/>
        <v>COLONIAL</v>
      </c>
      <c r="H1904" s="2">
        <v>418.22</v>
      </c>
      <c r="I1904" t="str">
        <f t="shared" si="28"/>
        <v>COLONIAL</v>
      </c>
    </row>
    <row r="1905" spans="1:9" x14ac:dyDescent="0.3">
      <c r="A1905" t="str">
        <f>""</f>
        <v/>
      </c>
      <c r="F1905" t="str">
        <f>"CLS201711016105"</f>
        <v>CLS201711016105</v>
      </c>
      <c r="G1905" t="str">
        <f t="shared" si="27"/>
        <v>COLONIAL</v>
      </c>
      <c r="H1905" s="2">
        <v>12.84</v>
      </c>
      <c r="I1905" t="str">
        <f t="shared" si="28"/>
        <v>COLONIAL</v>
      </c>
    </row>
    <row r="1906" spans="1:9" x14ac:dyDescent="0.3">
      <c r="A1906" t="str">
        <f>""</f>
        <v/>
      </c>
      <c r="F1906" t="str">
        <f>"CLS201711156614"</f>
        <v>CLS201711156614</v>
      </c>
      <c r="G1906" t="str">
        <f t="shared" si="27"/>
        <v>COLONIAL</v>
      </c>
      <c r="H1906" s="2">
        <v>418.22</v>
      </c>
      <c r="I1906" t="str">
        <f t="shared" si="28"/>
        <v>COLONIAL</v>
      </c>
    </row>
    <row r="1907" spans="1:9" x14ac:dyDescent="0.3">
      <c r="A1907" t="str">
        <f>""</f>
        <v/>
      </c>
      <c r="F1907" t="str">
        <f>"CLS201711156615"</f>
        <v>CLS201711156615</v>
      </c>
      <c r="G1907" t="str">
        <f t="shared" si="27"/>
        <v>COLONIAL</v>
      </c>
      <c r="H1907" s="2">
        <v>12.84</v>
      </c>
      <c r="I1907" t="str">
        <f t="shared" si="28"/>
        <v>COLONIAL</v>
      </c>
    </row>
    <row r="1908" spans="1:9" x14ac:dyDescent="0.3">
      <c r="A1908" t="str">
        <f>""</f>
        <v/>
      </c>
      <c r="F1908" t="str">
        <f>"CLT201711016103"</f>
        <v>CLT201711016103</v>
      </c>
      <c r="G1908" t="str">
        <f t="shared" si="27"/>
        <v>COLONIAL</v>
      </c>
      <c r="H1908" s="2">
        <v>402.75</v>
      </c>
      <c r="I1908" t="str">
        <f t="shared" si="28"/>
        <v>COLONIAL</v>
      </c>
    </row>
    <row r="1909" spans="1:9" x14ac:dyDescent="0.3">
      <c r="A1909" t="str">
        <f>""</f>
        <v/>
      </c>
      <c r="F1909" t="str">
        <f>"CLT201711156614"</f>
        <v>CLT201711156614</v>
      </c>
      <c r="G1909" t="str">
        <f t="shared" si="27"/>
        <v>COLONIAL</v>
      </c>
      <c r="H1909" s="2">
        <v>402.75</v>
      </c>
      <c r="I1909" t="str">
        <f t="shared" si="28"/>
        <v>COLONIAL</v>
      </c>
    </row>
    <row r="1910" spans="1:9" x14ac:dyDescent="0.3">
      <c r="A1910" t="str">
        <f>""</f>
        <v/>
      </c>
      <c r="F1910" t="str">
        <f>"CLU201711016103"</f>
        <v>CLU201711016103</v>
      </c>
      <c r="G1910" t="str">
        <f t="shared" si="27"/>
        <v>COLONIAL</v>
      </c>
      <c r="H1910" s="2">
        <v>230.43</v>
      </c>
      <c r="I1910" t="str">
        <f t="shared" si="28"/>
        <v>COLONIAL</v>
      </c>
    </row>
    <row r="1911" spans="1:9" x14ac:dyDescent="0.3">
      <c r="A1911" t="str">
        <f>""</f>
        <v/>
      </c>
      <c r="F1911" t="str">
        <f>"CLU201711156614"</f>
        <v>CLU201711156614</v>
      </c>
      <c r="G1911" t="str">
        <f t="shared" si="27"/>
        <v>COLONIAL</v>
      </c>
      <c r="H1911" s="2">
        <v>230.43</v>
      </c>
      <c r="I1911" t="str">
        <f t="shared" si="28"/>
        <v>COLONIAL</v>
      </c>
    </row>
    <row r="1912" spans="1:9" x14ac:dyDescent="0.3">
      <c r="A1912" t="str">
        <f>""</f>
        <v/>
      </c>
      <c r="F1912" t="str">
        <f>"CLW201711016103"</f>
        <v>CLW201711016103</v>
      </c>
      <c r="G1912" t="str">
        <f t="shared" si="27"/>
        <v>COLONIAL</v>
      </c>
      <c r="H1912" s="2">
        <v>69.59</v>
      </c>
      <c r="I1912" t="str">
        <f t="shared" si="28"/>
        <v>COLONIAL</v>
      </c>
    </row>
    <row r="1913" spans="1:9" x14ac:dyDescent="0.3">
      <c r="A1913" t="str">
        <f>""</f>
        <v/>
      </c>
      <c r="F1913" t="str">
        <f>"CLW201711156614"</f>
        <v>CLW201711156614</v>
      </c>
      <c r="G1913" t="str">
        <f t="shared" si="27"/>
        <v>COLONIAL</v>
      </c>
      <c r="H1913" s="2">
        <v>69.59</v>
      </c>
      <c r="I1913" t="str">
        <f t="shared" si="28"/>
        <v>COLONIAL</v>
      </c>
    </row>
    <row r="1914" spans="1:9" x14ac:dyDescent="0.3">
      <c r="A1914" t="str">
        <f>"T14390"</f>
        <v>T14390</v>
      </c>
      <c r="B1914" t="s">
        <v>154</v>
      </c>
      <c r="C1914">
        <v>0</v>
      </c>
      <c r="D1914" s="2">
        <v>7383.32</v>
      </c>
      <c r="E1914" s="1">
        <v>43042</v>
      </c>
      <c r="F1914" t="str">
        <f>"CPI201711016103"</f>
        <v>CPI201711016103</v>
      </c>
      <c r="G1914" t="str">
        <f>"DEFERRED COMP 457B PAYABLE"</f>
        <v>DEFERRED COMP 457B PAYABLE</v>
      </c>
      <c r="H1914" s="2">
        <v>7275.82</v>
      </c>
      <c r="I1914" t="str">
        <f>"DEFERRED COMP 457B PAYABLE"</f>
        <v>DEFERRED COMP 457B PAYABLE</v>
      </c>
    </row>
    <row r="1915" spans="1:9" x14ac:dyDescent="0.3">
      <c r="A1915" t="str">
        <f>""</f>
        <v/>
      </c>
      <c r="F1915" t="str">
        <f>"CPI201711016105"</f>
        <v>CPI201711016105</v>
      </c>
      <c r="G1915" t="str">
        <f>"DEFERRED COMP 457B PAYABLE"</f>
        <v>DEFERRED COMP 457B PAYABLE</v>
      </c>
      <c r="H1915" s="2">
        <v>107.5</v>
      </c>
      <c r="I1915" t="str">
        <f>"DEFERRED COMP 457B PAYABLE"</f>
        <v>DEFERRED COMP 457B PAYABLE</v>
      </c>
    </row>
    <row r="1916" spans="1:9" x14ac:dyDescent="0.3">
      <c r="A1916" t="str">
        <f>"T14390"</f>
        <v>T14390</v>
      </c>
      <c r="B1916" t="s">
        <v>154</v>
      </c>
      <c r="C1916">
        <v>0</v>
      </c>
      <c r="D1916" s="2">
        <v>7537.56</v>
      </c>
      <c r="E1916" s="1">
        <v>43056</v>
      </c>
      <c r="F1916" t="str">
        <f>"CPI201711156614"</f>
        <v>CPI201711156614</v>
      </c>
      <c r="G1916" t="str">
        <f>"DEFERRED COMP 457B PAYABLE"</f>
        <v>DEFERRED COMP 457B PAYABLE</v>
      </c>
      <c r="H1916" s="2">
        <v>7430.06</v>
      </c>
      <c r="I1916" t="str">
        <f>"DEFERRED COMP 457B PAYABLE"</f>
        <v>DEFERRED COMP 457B PAYABLE</v>
      </c>
    </row>
    <row r="1917" spans="1:9" x14ac:dyDescent="0.3">
      <c r="A1917" t="str">
        <f>""</f>
        <v/>
      </c>
      <c r="F1917" t="str">
        <f>"CPI201711156615"</f>
        <v>CPI201711156615</v>
      </c>
      <c r="G1917" t="str">
        <f>"DEFERRED COMP 457B PAYABLE"</f>
        <v>DEFERRED COMP 457B PAYABLE</v>
      </c>
      <c r="H1917" s="2">
        <v>107.5</v>
      </c>
      <c r="I1917" t="str">
        <f>"DEFERRED COMP 457B PAYABLE"</f>
        <v>DEFERRED COMP 457B PAYABLE</v>
      </c>
    </row>
    <row r="1918" spans="1:9" x14ac:dyDescent="0.3">
      <c r="A1918" t="str">
        <f>"T10761"</f>
        <v>T10761</v>
      </c>
      <c r="B1918" t="s">
        <v>618</v>
      </c>
      <c r="C1918">
        <v>45951</v>
      </c>
      <c r="D1918" s="2">
        <v>1345.62</v>
      </c>
      <c r="E1918" s="1">
        <v>43042</v>
      </c>
      <c r="F1918" t="str">
        <f>"B13201711016103"</f>
        <v>B13201711016103</v>
      </c>
      <c r="G1918" t="str">
        <f>"Rosa Warren 15-10357-TMD"</f>
        <v>Rosa Warren 15-10357-TMD</v>
      </c>
      <c r="H1918" s="2">
        <v>853.85</v>
      </c>
      <c r="I1918" t="str">
        <f>"Rosa Warren 15-10357-TMD"</f>
        <v>Rosa Warren 15-10357-TMD</v>
      </c>
    </row>
    <row r="1919" spans="1:9" x14ac:dyDescent="0.3">
      <c r="A1919" t="str">
        <f>""</f>
        <v/>
      </c>
      <c r="F1919" t="str">
        <f>"BJL201711016103"</f>
        <v>BJL201711016103</v>
      </c>
      <c r="G1919" t="str">
        <f>"Julian Luna 14-10230-TMD"</f>
        <v>Julian Luna 14-10230-TMD</v>
      </c>
      <c r="H1919" s="2">
        <v>491.77</v>
      </c>
      <c r="I1919" t="str">
        <f>"Julian Luna 14-10230-TMD"</f>
        <v>Julian Luna 14-10230-TMD</v>
      </c>
    </row>
    <row r="1920" spans="1:9" x14ac:dyDescent="0.3">
      <c r="A1920" t="str">
        <f>"T10761"</f>
        <v>T10761</v>
      </c>
      <c r="B1920" t="s">
        <v>618</v>
      </c>
      <c r="C1920">
        <v>45999</v>
      </c>
      <c r="D1920" s="2">
        <v>1345.62</v>
      </c>
      <c r="E1920" s="1">
        <v>43056</v>
      </c>
      <c r="F1920" t="str">
        <f>"B13201711156614"</f>
        <v>B13201711156614</v>
      </c>
      <c r="G1920" t="str">
        <f>"Rosa Warren 15-10357-TMD"</f>
        <v>Rosa Warren 15-10357-TMD</v>
      </c>
      <c r="H1920" s="2">
        <v>853.85</v>
      </c>
      <c r="I1920" t="str">
        <f>"Rosa Warren 15-10357-TMD"</f>
        <v>Rosa Warren 15-10357-TMD</v>
      </c>
    </row>
    <row r="1921" spans="1:9" x14ac:dyDescent="0.3">
      <c r="A1921" t="str">
        <f>""</f>
        <v/>
      </c>
      <c r="F1921" t="str">
        <f>"BJL201711156614"</f>
        <v>BJL201711156614</v>
      </c>
      <c r="G1921" t="str">
        <f>"Julian Luna 14-10230-TMD"</f>
        <v>Julian Luna 14-10230-TMD</v>
      </c>
      <c r="H1921" s="2">
        <v>491.77</v>
      </c>
      <c r="I1921" t="str">
        <f>"Julian Luna 14-10230-TMD"</f>
        <v>Julian Luna 14-10230-TMD</v>
      </c>
    </row>
    <row r="1922" spans="1:9" x14ac:dyDescent="0.3">
      <c r="A1922" t="str">
        <f>"GUARD"</f>
        <v>GUARD</v>
      </c>
      <c r="B1922" t="s">
        <v>619</v>
      </c>
      <c r="C1922">
        <v>0</v>
      </c>
      <c r="D1922" s="2">
        <v>36631.449999999997</v>
      </c>
      <c r="E1922" s="1">
        <v>43067</v>
      </c>
      <c r="F1922" t="str">
        <f>"201711286821"</f>
        <v>201711286821</v>
      </c>
      <c r="G1922" t="str">
        <f>"GUARDIAN Dental rounding"</f>
        <v>GUARDIAN Dental rounding</v>
      </c>
      <c r="H1922" s="2">
        <v>-5.67</v>
      </c>
      <c r="I1922" t="str">
        <f>"GUARDIAN Dental rounding"</f>
        <v>GUARDIAN Dental rounding</v>
      </c>
    </row>
    <row r="1923" spans="1:9" x14ac:dyDescent="0.3">
      <c r="A1923" t="str">
        <f>""</f>
        <v/>
      </c>
      <c r="F1923" t="str">
        <f>"201711286822"</f>
        <v>201711286822</v>
      </c>
      <c r="G1923" t="str">
        <f>"GUARDIAN Dental Ded Errors Nov"</f>
        <v>GUARDIAN Dental Ded Errors Nov</v>
      </c>
      <c r="H1923" s="2">
        <v>-103.86</v>
      </c>
      <c r="I1923" t="str">
        <f>"GUARDIAN Dental Ded Errors Nov"</f>
        <v>GUARDIAN Dental Ded Errors Nov</v>
      </c>
    </row>
    <row r="1924" spans="1:9" x14ac:dyDescent="0.3">
      <c r="A1924" t="str">
        <f>""</f>
        <v/>
      </c>
      <c r="F1924" t="str">
        <f>"201711286823"</f>
        <v>201711286823</v>
      </c>
      <c r="G1924" t="str">
        <f>"GUARDIAN Vision Ded Errors"</f>
        <v>GUARDIAN Vision Ded Errors</v>
      </c>
      <c r="H1924" s="2">
        <v>-8.5</v>
      </c>
      <c r="I1924" t="str">
        <f>"GUARDIAN Vision Ded Errors"</f>
        <v>GUARDIAN Vision Ded Errors</v>
      </c>
    </row>
    <row r="1925" spans="1:9" x14ac:dyDescent="0.3">
      <c r="A1925" t="str">
        <f>""</f>
        <v/>
      </c>
      <c r="F1925" t="str">
        <f>"201711286826"</f>
        <v>201711286826</v>
      </c>
      <c r="G1925" t="str">
        <f>"GUARDIAN Life Ins Rounding"</f>
        <v>GUARDIAN Life Ins Rounding</v>
      </c>
      <c r="H1925" s="2">
        <v>-0.28999999999999998</v>
      </c>
      <c r="I1925" t="str">
        <f>"GUARDIAN Life Ins Rounding"</f>
        <v>GUARDIAN Life Ins Rounding</v>
      </c>
    </row>
    <row r="1926" spans="1:9" x14ac:dyDescent="0.3">
      <c r="A1926" t="str">
        <f>""</f>
        <v/>
      </c>
      <c r="F1926" t="str">
        <f>"201711286827"</f>
        <v>201711286827</v>
      </c>
      <c r="G1926" t="str">
        <f>"GUARDIAN Life Ins Ded Errors"</f>
        <v>GUARDIAN Life Ins Ded Errors</v>
      </c>
      <c r="H1926" s="2">
        <v>-2.04</v>
      </c>
      <c r="I1926" t="str">
        <f>"GUARDIAN Life Ins Ded Errors"</f>
        <v>GUARDIAN Life Ins Ded Errors</v>
      </c>
    </row>
    <row r="1927" spans="1:9" x14ac:dyDescent="0.3">
      <c r="A1927" t="str">
        <f>""</f>
        <v/>
      </c>
      <c r="F1927" t="str">
        <f>"201711286828"</f>
        <v>201711286828</v>
      </c>
      <c r="G1927" t="str">
        <f>"GUARDIAN LTD rounding"</f>
        <v>GUARDIAN LTD rounding</v>
      </c>
      <c r="H1927" s="2">
        <v>-0.11</v>
      </c>
      <c r="I1927" t="str">
        <f>"GUARDIAN LTD rounding"</f>
        <v>GUARDIAN LTD rounding</v>
      </c>
    </row>
    <row r="1928" spans="1:9" x14ac:dyDescent="0.3">
      <c r="A1928" t="str">
        <f>""</f>
        <v/>
      </c>
      <c r="F1928" t="str">
        <f>"201711286817"</f>
        <v>201711286817</v>
      </c>
      <c r="G1928" t="str">
        <f>"Retiree Nov 2017 Dental"</f>
        <v>Retiree Nov 2017 Dental</v>
      </c>
      <c r="H1928" s="2">
        <v>2793.42</v>
      </c>
      <c r="I1928" t="str">
        <f>"Retiree Nov 2017 Dental"</f>
        <v>Retiree Nov 2017 Dental</v>
      </c>
    </row>
    <row r="1929" spans="1:9" x14ac:dyDescent="0.3">
      <c r="A1929" t="str">
        <f>""</f>
        <v/>
      </c>
      <c r="F1929" t="str">
        <f>"201711286820"</f>
        <v>201711286820</v>
      </c>
      <c r="G1929" t="str">
        <f>"COBRA Nov 2017"</f>
        <v>COBRA Nov 2017</v>
      </c>
      <c r="H1929" s="2">
        <v>147.94999999999999</v>
      </c>
      <c r="I1929" t="str">
        <f>"COBRA Nov 2017"</f>
        <v>COBRA Nov 2017</v>
      </c>
    </row>
    <row r="1930" spans="1:9" x14ac:dyDescent="0.3">
      <c r="A1930" t="str">
        <f>""</f>
        <v/>
      </c>
      <c r="F1930" t="str">
        <f>"201711286824"</f>
        <v>201711286824</v>
      </c>
      <c r="G1930" t="str">
        <f>"Retiree Life Nov 2017"</f>
        <v>Retiree Life Nov 2017</v>
      </c>
      <c r="H1930" s="2">
        <v>132.63</v>
      </c>
      <c r="I1930" t="str">
        <f>"Retiree Life Nov 2017"</f>
        <v>Retiree Life Nov 2017</v>
      </c>
    </row>
    <row r="1931" spans="1:9" x14ac:dyDescent="0.3">
      <c r="A1931" t="str">
        <f>""</f>
        <v/>
      </c>
      <c r="F1931" t="str">
        <f>"201711286825"</f>
        <v>201711286825</v>
      </c>
      <c r="G1931" t="str">
        <f>"GUARDIAN LTD Ded Errors Nov 17"</f>
        <v>GUARDIAN LTD Ded Errors Nov 17</v>
      </c>
      <c r="H1931" s="2">
        <v>18.86</v>
      </c>
      <c r="I1931" t="str">
        <f>"GUARDIAN LTD Ded Errors Nov 17"</f>
        <v>GUARDIAN LTD Ded Errors Nov 17</v>
      </c>
    </row>
    <row r="1932" spans="1:9" x14ac:dyDescent="0.3">
      <c r="A1932" t="str">
        <f>""</f>
        <v/>
      </c>
      <c r="F1932" t="str">
        <f>"ADC201711016103"</f>
        <v>ADC201711016103</v>
      </c>
      <c r="G1932" t="str">
        <f t="shared" ref="G1932:G1944" si="29">"GUARDIAN"</f>
        <v>GUARDIAN</v>
      </c>
      <c r="H1932" s="2">
        <v>5.09</v>
      </c>
      <c r="I1932" t="str">
        <f t="shared" ref="I1932:I1995" si="30">"GUARDIAN"</f>
        <v>GUARDIAN</v>
      </c>
    </row>
    <row r="1933" spans="1:9" x14ac:dyDescent="0.3">
      <c r="A1933" t="str">
        <f>""</f>
        <v/>
      </c>
      <c r="F1933" t="str">
        <f>"ADC201711016105"</f>
        <v>ADC201711016105</v>
      </c>
      <c r="G1933" t="str">
        <f t="shared" si="29"/>
        <v>GUARDIAN</v>
      </c>
      <c r="H1933" s="2">
        <v>0.16</v>
      </c>
      <c r="I1933" t="str">
        <f t="shared" si="30"/>
        <v>GUARDIAN</v>
      </c>
    </row>
    <row r="1934" spans="1:9" x14ac:dyDescent="0.3">
      <c r="A1934" t="str">
        <f>""</f>
        <v/>
      </c>
      <c r="F1934" t="str">
        <f>"ADC201711156614"</f>
        <v>ADC201711156614</v>
      </c>
      <c r="G1934" t="str">
        <f t="shared" si="29"/>
        <v>GUARDIAN</v>
      </c>
      <c r="H1934" s="2">
        <v>5.09</v>
      </c>
      <c r="I1934" t="str">
        <f t="shared" si="30"/>
        <v>GUARDIAN</v>
      </c>
    </row>
    <row r="1935" spans="1:9" x14ac:dyDescent="0.3">
      <c r="A1935" t="str">
        <f>""</f>
        <v/>
      </c>
      <c r="F1935" t="str">
        <f>"ADC201711156615"</f>
        <v>ADC201711156615</v>
      </c>
      <c r="G1935" t="str">
        <f t="shared" si="29"/>
        <v>GUARDIAN</v>
      </c>
      <c r="H1935" s="2">
        <v>0.16</v>
      </c>
      <c r="I1935" t="str">
        <f t="shared" si="30"/>
        <v>GUARDIAN</v>
      </c>
    </row>
    <row r="1936" spans="1:9" x14ac:dyDescent="0.3">
      <c r="A1936" t="str">
        <f>""</f>
        <v/>
      </c>
      <c r="F1936" t="str">
        <f>"ADE201711016103"</f>
        <v>ADE201711016103</v>
      </c>
      <c r="G1936" t="str">
        <f t="shared" si="29"/>
        <v>GUARDIAN</v>
      </c>
      <c r="H1936" s="2">
        <v>202.26</v>
      </c>
      <c r="I1936" t="str">
        <f t="shared" si="30"/>
        <v>GUARDIAN</v>
      </c>
    </row>
    <row r="1937" spans="1:9" x14ac:dyDescent="0.3">
      <c r="A1937" t="str">
        <f>""</f>
        <v/>
      </c>
      <c r="F1937" t="str">
        <f>"ADE201711016105"</f>
        <v>ADE201711016105</v>
      </c>
      <c r="G1937" t="str">
        <f t="shared" si="29"/>
        <v>GUARDIAN</v>
      </c>
      <c r="H1937" s="2">
        <v>6.6</v>
      </c>
      <c r="I1937" t="str">
        <f t="shared" si="30"/>
        <v>GUARDIAN</v>
      </c>
    </row>
    <row r="1938" spans="1:9" x14ac:dyDescent="0.3">
      <c r="A1938" t="str">
        <f>""</f>
        <v/>
      </c>
      <c r="F1938" t="str">
        <f>"ADE201711156614"</f>
        <v>ADE201711156614</v>
      </c>
      <c r="G1938" t="str">
        <f t="shared" si="29"/>
        <v>GUARDIAN</v>
      </c>
      <c r="H1938" s="2">
        <v>200.22</v>
      </c>
      <c r="I1938" t="str">
        <f t="shared" si="30"/>
        <v>GUARDIAN</v>
      </c>
    </row>
    <row r="1939" spans="1:9" x14ac:dyDescent="0.3">
      <c r="A1939" t="str">
        <f>""</f>
        <v/>
      </c>
      <c r="F1939" t="str">
        <f>"ADE201711156615"</f>
        <v>ADE201711156615</v>
      </c>
      <c r="G1939" t="str">
        <f t="shared" si="29"/>
        <v>GUARDIAN</v>
      </c>
      <c r="H1939" s="2">
        <v>9</v>
      </c>
      <c r="I1939" t="str">
        <f t="shared" si="30"/>
        <v>GUARDIAN</v>
      </c>
    </row>
    <row r="1940" spans="1:9" x14ac:dyDescent="0.3">
      <c r="A1940" t="str">
        <f>""</f>
        <v/>
      </c>
      <c r="F1940" t="str">
        <f>"ADS201711016103"</f>
        <v>ADS201711016103</v>
      </c>
      <c r="G1940" t="str">
        <f t="shared" si="29"/>
        <v>GUARDIAN</v>
      </c>
      <c r="H1940" s="2">
        <v>31.78</v>
      </c>
      <c r="I1940" t="str">
        <f t="shared" si="30"/>
        <v>GUARDIAN</v>
      </c>
    </row>
    <row r="1941" spans="1:9" x14ac:dyDescent="0.3">
      <c r="A1941" t="str">
        <f>""</f>
        <v/>
      </c>
      <c r="F1941" t="str">
        <f>"ADS201711016105"</f>
        <v>ADS201711016105</v>
      </c>
      <c r="G1941" t="str">
        <f t="shared" si="29"/>
        <v>GUARDIAN</v>
      </c>
      <c r="H1941" s="2">
        <v>0.98</v>
      </c>
      <c r="I1941" t="str">
        <f t="shared" si="30"/>
        <v>GUARDIAN</v>
      </c>
    </row>
    <row r="1942" spans="1:9" x14ac:dyDescent="0.3">
      <c r="A1942" t="str">
        <f>""</f>
        <v/>
      </c>
      <c r="F1942" t="str">
        <f>"ADS201711156614"</f>
        <v>ADS201711156614</v>
      </c>
      <c r="G1942" t="str">
        <f t="shared" si="29"/>
        <v>GUARDIAN</v>
      </c>
      <c r="H1942" s="2">
        <v>31.78</v>
      </c>
      <c r="I1942" t="str">
        <f t="shared" si="30"/>
        <v>GUARDIAN</v>
      </c>
    </row>
    <row r="1943" spans="1:9" x14ac:dyDescent="0.3">
      <c r="A1943" t="str">
        <f>""</f>
        <v/>
      </c>
      <c r="F1943" t="str">
        <f>"ADS201711156615"</f>
        <v>ADS201711156615</v>
      </c>
      <c r="G1943" t="str">
        <f t="shared" si="29"/>
        <v>GUARDIAN</v>
      </c>
      <c r="H1943" s="2">
        <v>0.98</v>
      </c>
      <c r="I1943" t="str">
        <f t="shared" si="30"/>
        <v>GUARDIAN</v>
      </c>
    </row>
    <row r="1944" spans="1:9" x14ac:dyDescent="0.3">
      <c r="A1944" t="str">
        <f>""</f>
        <v/>
      </c>
      <c r="F1944" t="str">
        <f>"GDC201711016103"</f>
        <v>GDC201711016103</v>
      </c>
      <c r="G1944" t="str">
        <f t="shared" si="29"/>
        <v>GUARDIAN</v>
      </c>
      <c r="H1944" s="2">
        <v>2481.4</v>
      </c>
      <c r="I1944" t="str">
        <f t="shared" si="30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30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30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30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30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30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30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30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30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30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30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30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30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30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30"/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30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30"/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30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30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30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30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30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30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30"/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30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30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30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30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30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30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30"/>
        <v>GUARDIAN</v>
      </c>
    </row>
    <row r="1975" spans="1:9" x14ac:dyDescent="0.3">
      <c r="A1975" t="str">
        <f>""</f>
        <v/>
      </c>
      <c r="F1975" t="str">
        <f>"GDC201711016105"</f>
        <v>GDC201711016105</v>
      </c>
      <c r="G1975" t="str">
        <f>"GUARDIAN"</f>
        <v>GUARDIAN</v>
      </c>
      <c r="H1975" s="2">
        <v>97.95</v>
      </c>
      <c r="I1975" t="str">
        <f t="shared" si="30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30"/>
        <v>GUARDIAN</v>
      </c>
    </row>
    <row r="1977" spans="1:9" x14ac:dyDescent="0.3">
      <c r="A1977" t="str">
        <f>""</f>
        <v/>
      </c>
      <c r="F1977" t="str">
        <f>"GDC201711156614"</f>
        <v>GDC201711156614</v>
      </c>
      <c r="G1977" t="str">
        <f>"GUARDIAN"</f>
        <v>GUARDIAN</v>
      </c>
      <c r="H1977" s="2">
        <v>2481.4</v>
      </c>
      <c r="I1977" t="str">
        <f t="shared" si="30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30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30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30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30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30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30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30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30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30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30"/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30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30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30"/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30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30"/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30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30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30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ref="I1996:I2059" si="31">"GUARDIAN"</f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31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31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31"/>
        <v>GUARDIAN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31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31"/>
        <v>GUARDIAN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31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31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31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31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31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31"/>
        <v>GUARDIAN</v>
      </c>
    </row>
    <row r="2008" spans="1:9" x14ac:dyDescent="0.3">
      <c r="A2008" t="str">
        <f>""</f>
        <v/>
      </c>
      <c r="F2008" t="str">
        <f>"GDC201711156615"</f>
        <v>GDC201711156615</v>
      </c>
      <c r="G2008" t="str">
        <f>"GUARDIAN"</f>
        <v>GUARDIAN</v>
      </c>
      <c r="H2008" s="2">
        <v>97.95</v>
      </c>
      <c r="I2008" t="str">
        <f t="shared" si="31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31"/>
        <v>GUARDIAN</v>
      </c>
    </row>
    <row r="2010" spans="1:9" x14ac:dyDescent="0.3">
      <c r="A2010" t="str">
        <f>""</f>
        <v/>
      </c>
      <c r="F2010" t="str">
        <f>"GDE201711016103"</f>
        <v>GDE201711016103</v>
      </c>
      <c r="G2010" t="str">
        <f>"GUARDIAN"</f>
        <v>GUARDIAN</v>
      </c>
      <c r="H2010" s="2">
        <v>3670.4</v>
      </c>
      <c r="I2010" t="str">
        <f t="shared" si="31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31"/>
        <v>GUARDIAN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31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31"/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31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31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31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31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31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31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31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31"/>
        <v>GUARDIAN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31"/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31"/>
        <v>GUARDIAN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si="31"/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31"/>
        <v>GUARDIAN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31"/>
        <v>GUARDIAN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31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31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31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31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31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31"/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31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31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31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31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31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31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31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31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31"/>
        <v>GUARDIAN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31"/>
        <v>GUARDIAN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31"/>
        <v>GUARDIAN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31"/>
        <v>GUARDIAN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31"/>
        <v>GUARDIAN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31"/>
        <v>GUARDIAN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31"/>
        <v>GUARDIAN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31"/>
        <v>GUARDIAN</v>
      </c>
    </row>
    <row r="2049" spans="1:9" x14ac:dyDescent="0.3">
      <c r="A2049" t="str">
        <f>""</f>
        <v/>
      </c>
      <c r="F2049" t="str">
        <f>"GDE201711016105"</f>
        <v>GDE201711016105</v>
      </c>
      <c r="G2049" t="str">
        <f>"GUARDIAN"</f>
        <v>GUARDIAN</v>
      </c>
      <c r="H2049" s="2">
        <v>148</v>
      </c>
      <c r="I2049" t="str">
        <f t="shared" si="31"/>
        <v>GUARDIAN</v>
      </c>
    </row>
    <row r="2050" spans="1:9" x14ac:dyDescent="0.3">
      <c r="A2050" t="str">
        <f>""</f>
        <v/>
      </c>
      <c r="F2050" t="str">
        <f>"GDE201711156614"</f>
        <v>GDE201711156614</v>
      </c>
      <c r="G2050" t="str">
        <f>"GUARDIAN"</f>
        <v>GUARDIAN</v>
      </c>
      <c r="H2050" s="2">
        <v>3700</v>
      </c>
      <c r="I2050" t="str">
        <f t="shared" si="31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31"/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31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31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31"/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31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31"/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31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31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31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ref="I2060:I2123" si="32">"GUARDIAN"</f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32"/>
        <v>GUARDIAN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32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32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32"/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32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32"/>
        <v>GUARDIAN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32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32"/>
        <v>GUARDIAN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32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32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32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32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32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32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32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32"/>
        <v>GUARDIAN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32"/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32"/>
        <v>GUARDIAN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32"/>
        <v>GUARDIAN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32"/>
        <v>GUARDIAN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32"/>
        <v>GUARDIAN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32"/>
        <v>GUARDIAN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32"/>
        <v>GUARDIAN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32"/>
        <v>GUARDIAN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32"/>
        <v>GUARDIAN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32"/>
        <v>GUARDIAN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32"/>
        <v>GUARDIAN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32"/>
        <v>GUARDIAN</v>
      </c>
    </row>
    <row r="2089" spans="1:9" x14ac:dyDescent="0.3">
      <c r="A2089" t="str">
        <f>""</f>
        <v/>
      </c>
      <c r="F2089" t="str">
        <f>"GDE201711156615"</f>
        <v>GDE201711156615</v>
      </c>
      <c r="G2089" t="str">
        <f>"GUARDIAN"</f>
        <v>GUARDIAN</v>
      </c>
      <c r="H2089" s="2">
        <v>148</v>
      </c>
      <c r="I2089" t="str">
        <f t="shared" si="32"/>
        <v>GUARDIAN</v>
      </c>
    </row>
    <row r="2090" spans="1:9" x14ac:dyDescent="0.3">
      <c r="A2090" t="str">
        <f>""</f>
        <v/>
      </c>
      <c r="F2090" t="str">
        <f>"GDF201711016103"</f>
        <v>GDF201711016103</v>
      </c>
      <c r="G2090" t="str">
        <f>"GUARDIAN"</f>
        <v>GUARDIAN</v>
      </c>
      <c r="H2090" s="2">
        <v>2336.12</v>
      </c>
      <c r="I2090" t="str">
        <f t="shared" si="32"/>
        <v>GUARDIAN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32"/>
        <v>GUARDIAN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32"/>
        <v>GUARDIAN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32"/>
        <v>GUARDIAN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32"/>
        <v>GUARDIAN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32"/>
        <v>GUARDIAN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32"/>
        <v>GUARDIAN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32"/>
        <v>GUARDIAN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32"/>
        <v>GUARDIAN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32"/>
        <v>GUARDIAN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32"/>
        <v>GUARDIAN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32"/>
        <v>GUARDIAN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32"/>
        <v>GUARDIAN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32"/>
        <v>GUARDIAN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32"/>
        <v>GUARDIAN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32"/>
        <v>GUARDIAN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32"/>
        <v>GUARDIAN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32"/>
        <v>GUARDIAN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32"/>
        <v>GUARDIAN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32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32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32"/>
        <v>GUARDIAN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32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32"/>
        <v>GUARDIAN</v>
      </c>
    </row>
    <row r="2114" spans="1:9" x14ac:dyDescent="0.3">
      <c r="A2114" t="str">
        <f>""</f>
        <v/>
      </c>
      <c r="F2114" t="str">
        <f>"GDF201711016105"</f>
        <v>GDF201711016105</v>
      </c>
      <c r="G2114" t="str">
        <f>"GUARDIAN"</f>
        <v>GUARDIAN</v>
      </c>
      <c r="H2114" s="2">
        <v>181.74</v>
      </c>
      <c r="I2114" t="str">
        <f t="shared" si="32"/>
        <v>GUARDIAN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32"/>
        <v>GUARDIAN</v>
      </c>
    </row>
    <row r="2116" spans="1:9" x14ac:dyDescent="0.3">
      <c r="A2116" t="str">
        <f>""</f>
        <v/>
      </c>
      <c r="F2116" t="str">
        <f>"GDF201711156614"</f>
        <v>GDF201711156614</v>
      </c>
      <c r="G2116" t="str">
        <f>"GUARDIAN"</f>
        <v>GUARDIAN</v>
      </c>
      <c r="H2116" s="2">
        <v>2269.16</v>
      </c>
      <c r="I2116" t="str">
        <f t="shared" si="32"/>
        <v>GUARDIAN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32"/>
        <v>GUARDIAN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32"/>
        <v>GUARDIAN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32"/>
        <v>GUARDIAN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32"/>
        <v>GUARDIAN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32"/>
        <v>GUARDIAN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32"/>
        <v>GUARDIAN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32"/>
        <v>GUARDIAN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ref="I2124:I2187" si="33">"GUARDIAN"</f>
        <v>GUARDIAN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33"/>
        <v>GUARDIAN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33"/>
        <v>GUARDIAN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33"/>
        <v>GUARDIAN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33"/>
        <v>GUARDIAN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33"/>
        <v>GUARDIAN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33"/>
        <v>GUARDIAN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33"/>
        <v>GUARDIAN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33"/>
        <v>GUARDIAN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33"/>
        <v>GUARDIAN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33"/>
        <v>GUARDIAN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33"/>
        <v>GUARDIAN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33"/>
        <v>GUARDIAN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33"/>
        <v>GUARDIAN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33"/>
        <v>GUARDIAN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33"/>
        <v>GUARDIAN</v>
      </c>
    </row>
    <row r="2140" spans="1:9" x14ac:dyDescent="0.3">
      <c r="A2140" t="str">
        <f>""</f>
        <v/>
      </c>
      <c r="F2140" t="str">
        <f>"GDF201711156615"</f>
        <v>GDF201711156615</v>
      </c>
      <c r="G2140" t="str">
        <f>"GUARDIAN"</f>
        <v>GUARDIAN</v>
      </c>
      <c r="H2140" s="2">
        <v>144.84</v>
      </c>
      <c r="I2140" t="str">
        <f t="shared" si="33"/>
        <v>GUARDIAN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33"/>
        <v>GUARDIAN</v>
      </c>
    </row>
    <row r="2142" spans="1:9" x14ac:dyDescent="0.3">
      <c r="A2142" t="str">
        <f>""</f>
        <v/>
      </c>
      <c r="F2142" t="str">
        <f>"GDS201711016103"</f>
        <v>GDS201711016103</v>
      </c>
      <c r="G2142" t="str">
        <f>"GUARDIAN"</f>
        <v>GUARDIAN</v>
      </c>
      <c r="H2142" s="2">
        <v>1729.56</v>
      </c>
      <c r="I2142" t="str">
        <f t="shared" si="33"/>
        <v>GUARDIAN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33"/>
        <v>GUARDIAN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33"/>
        <v>GUARDIAN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33"/>
        <v>GUARDIAN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33"/>
        <v>GUARDIAN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33"/>
        <v>GUARDIAN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33"/>
        <v>GUARDIAN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33"/>
        <v>GUARDIAN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33"/>
        <v>GUARDIAN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33"/>
        <v>GUARDIAN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33"/>
        <v>GUARDIAN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33"/>
        <v>GUARDIAN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33"/>
        <v>GUARDIAN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33"/>
        <v>GUARDIAN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33"/>
        <v>GUARDIAN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33"/>
        <v>GUARDIAN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33"/>
        <v>GUARDIAN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33"/>
        <v>GUARDIAN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33"/>
        <v>GUARDIAN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33"/>
        <v>GUARDIAN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33"/>
        <v>GUARDIAN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33"/>
        <v>GUARDIAN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33"/>
        <v>GUARDIAN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33"/>
        <v>GUARDIAN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33"/>
        <v>GUARDIAN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33"/>
        <v>GUARDIAN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33"/>
        <v>GUARDIAN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33"/>
        <v>GUARDIAN</v>
      </c>
    </row>
    <row r="2170" spans="1:9" x14ac:dyDescent="0.3">
      <c r="A2170" t="str">
        <f>""</f>
        <v/>
      </c>
      <c r="F2170" t="str">
        <f>"GDS201711156614"</f>
        <v>GDS201711156614</v>
      </c>
      <c r="G2170" t="str">
        <f>"GUARDIAN"</f>
        <v>GUARDIAN</v>
      </c>
      <c r="H2170" s="2">
        <v>1729.56</v>
      </c>
      <c r="I2170" t="str">
        <f t="shared" si="33"/>
        <v>GUARDIAN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33"/>
        <v>GUARDIAN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33"/>
        <v>GUARDIAN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33"/>
        <v>GUARDIAN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33"/>
        <v>GUARDIAN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33"/>
        <v>GUARDIAN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33"/>
        <v>GUARDIAN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33"/>
        <v>GUARDIAN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33"/>
        <v>GUARDIAN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33"/>
        <v>GUARDIAN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33"/>
        <v>GUARDIAN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33"/>
        <v>GUARDIAN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33"/>
        <v>GUARDIAN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33"/>
        <v>GUARDIAN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33"/>
        <v>GUARDIAN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33"/>
        <v>GUARDIAN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33"/>
        <v>GUARDIAN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33"/>
        <v>GUARDIAN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ref="I2188:I2197" si="34">"GUARDIAN"</f>
        <v>GUARDIAN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34"/>
        <v>GUARDIAN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34"/>
        <v>GUARDIAN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34"/>
        <v>GUARDIAN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34"/>
        <v>GUARDIAN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34"/>
        <v>GUARDIAN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4"/>
        <v>GUARDIAN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34"/>
        <v>GUARDIAN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4"/>
        <v>GUARDIAN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34"/>
        <v>GUARDIAN</v>
      </c>
    </row>
    <row r="2198" spans="1:9" x14ac:dyDescent="0.3">
      <c r="A2198" t="str">
        <f>""</f>
        <v/>
      </c>
      <c r="F2198" t="str">
        <f>"GV1201711016103"</f>
        <v>GV1201711016103</v>
      </c>
      <c r="G2198" t="str">
        <f>"GUARDIAN VISION"</f>
        <v>GUARDIAN VISION</v>
      </c>
      <c r="H2198" s="2">
        <v>375.2</v>
      </c>
      <c r="I2198" t="str">
        <f>"GUARDIAN VISION"</f>
        <v>GUARDIAN VISION</v>
      </c>
    </row>
    <row r="2199" spans="1:9" x14ac:dyDescent="0.3">
      <c r="A2199" t="str">
        <f>""</f>
        <v/>
      </c>
      <c r="F2199" t="str">
        <f>"GV1201711156614"</f>
        <v>GV1201711156614</v>
      </c>
      <c r="G2199" t="str">
        <f>"GUARDIAN VISION"</f>
        <v>GUARDIAN VISION</v>
      </c>
      <c r="H2199" s="2">
        <v>375.2</v>
      </c>
      <c r="I2199" t="str">
        <f>"GUARDIAN VISION"</f>
        <v>GUARDIAN VISION</v>
      </c>
    </row>
    <row r="2200" spans="1:9" x14ac:dyDescent="0.3">
      <c r="A2200" t="str">
        <f>""</f>
        <v/>
      </c>
      <c r="F2200" t="str">
        <f>"GVE201711016103"</f>
        <v>GVE201711016103</v>
      </c>
      <c r="G2200" t="str">
        <f>"GUARDIAN VISION VENDOR"</f>
        <v>GUARDIAN VISION VENDOR</v>
      </c>
      <c r="H2200" s="2">
        <v>490.77</v>
      </c>
      <c r="I2200" t="str">
        <f>"GUARDIAN VISION VENDOR"</f>
        <v>GUARDIAN VISION VENDOR</v>
      </c>
    </row>
    <row r="2201" spans="1:9" x14ac:dyDescent="0.3">
      <c r="A2201" t="str">
        <f>""</f>
        <v/>
      </c>
      <c r="F2201" t="str">
        <f>"GVE201711016105"</f>
        <v>GVE201711016105</v>
      </c>
      <c r="G2201" t="str">
        <f>"GUARDIAN VISION VENDOR"</f>
        <v>GUARDIAN VISION VENDOR</v>
      </c>
      <c r="H2201" s="2">
        <v>25.83</v>
      </c>
      <c r="I2201" t="str">
        <f>"GUARDIAN VISION VENDOR"</f>
        <v>GUARDIAN VISION VENDOR</v>
      </c>
    </row>
    <row r="2202" spans="1:9" x14ac:dyDescent="0.3">
      <c r="A2202" t="str">
        <f>""</f>
        <v/>
      </c>
      <c r="F2202" t="str">
        <f>"GVE201711156614"</f>
        <v>GVE201711156614</v>
      </c>
      <c r="G2202" t="str">
        <f>"GUARDIAN VISION VENDOR"</f>
        <v>GUARDIAN VISION VENDOR</v>
      </c>
      <c r="H2202" s="2">
        <v>498.15</v>
      </c>
      <c r="I2202" t="str">
        <f>"GUARDIAN VISION VENDOR"</f>
        <v>GUARDIAN VISION VENDOR</v>
      </c>
    </row>
    <row r="2203" spans="1:9" x14ac:dyDescent="0.3">
      <c r="A2203" t="str">
        <f>""</f>
        <v/>
      </c>
      <c r="F2203" t="str">
        <f>"GVE201711156615"</f>
        <v>GVE201711156615</v>
      </c>
      <c r="G2203" t="str">
        <f>"GUARDIAN VISION VENDOR"</f>
        <v>GUARDIAN VISION VENDOR</v>
      </c>
      <c r="H2203" s="2">
        <v>25.83</v>
      </c>
      <c r="I2203" t="str">
        <f>"GUARDIAN VISION VENDOR"</f>
        <v>GUARDIAN VISION VENDOR</v>
      </c>
    </row>
    <row r="2204" spans="1:9" x14ac:dyDescent="0.3">
      <c r="A2204" t="str">
        <f>""</f>
        <v/>
      </c>
      <c r="F2204" t="str">
        <f>"GVF201711016103"</f>
        <v>GVF201711016103</v>
      </c>
      <c r="G2204" t="str">
        <f>"GUARDIAN VISION"</f>
        <v>GUARDIAN VISION</v>
      </c>
      <c r="H2204" s="2">
        <v>472.8</v>
      </c>
      <c r="I2204" t="str">
        <f>"GUARDIAN VISION"</f>
        <v>GUARDIAN VISION</v>
      </c>
    </row>
    <row r="2205" spans="1:9" x14ac:dyDescent="0.3">
      <c r="A2205" t="str">
        <f>""</f>
        <v/>
      </c>
      <c r="F2205" t="str">
        <f>"GVF201711016105"</f>
        <v>GVF201711016105</v>
      </c>
      <c r="G2205" t="str">
        <f>"GUARDIAN VISION VENDOR"</f>
        <v>GUARDIAN VISION VENDOR</v>
      </c>
      <c r="H2205" s="2">
        <v>38.049999999999997</v>
      </c>
      <c r="I2205" t="str">
        <f>"GUARDIAN VISION VENDOR"</f>
        <v>GUARDIAN VISION VENDOR</v>
      </c>
    </row>
    <row r="2206" spans="1:9" x14ac:dyDescent="0.3">
      <c r="A2206" t="str">
        <f>""</f>
        <v/>
      </c>
      <c r="F2206" t="str">
        <f>"GVF201711156614"</f>
        <v>GVF201711156614</v>
      </c>
      <c r="G2206" t="str">
        <f>"GUARDIAN VISION"</f>
        <v>GUARDIAN VISION</v>
      </c>
      <c r="H2206" s="2">
        <v>472.8</v>
      </c>
      <c r="I2206" t="str">
        <f>"GUARDIAN VISION"</f>
        <v>GUARDIAN VISION</v>
      </c>
    </row>
    <row r="2207" spans="1:9" x14ac:dyDescent="0.3">
      <c r="A2207" t="str">
        <f>""</f>
        <v/>
      </c>
      <c r="F2207" t="str">
        <f>"GVF201711156615"</f>
        <v>GVF201711156615</v>
      </c>
      <c r="G2207" t="str">
        <f>"GUARDIAN VISION VENDOR"</f>
        <v>GUARDIAN VISION VENDOR</v>
      </c>
      <c r="H2207" s="2">
        <v>29.55</v>
      </c>
      <c r="I2207" t="str">
        <f>"GUARDIAN VISION VENDOR"</f>
        <v>GUARDIAN VISION VENDOR</v>
      </c>
    </row>
    <row r="2208" spans="1:9" x14ac:dyDescent="0.3">
      <c r="A2208" t="str">
        <f>""</f>
        <v/>
      </c>
      <c r="F2208" t="str">
        <f>"LIA201711016103"</f>
        <v>LIA201711016103</v>
      </c>
      <c r="G2208" t="str">
        <f>"GUARDIAN"</f>
        <v>GUARDIAN</v>
      </c>
      <c r="H2208" s="2">
        <v>131.51</v>
      </c>
      <c r="I2208" t="str">
        <f t="shared" ref="I2208:I2239" si="35">"GUARDIAN"</f>
        <v>GUARDIAN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35"/>
        <v>GUARDIAN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35"/>
        <v>GUARDIAN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35"/>
        <v>GUARDIAN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35"/>
        <v>GUARDIAN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35"/>
        <v>GUARDIAN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35"/>
        <v>GUARDIAN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35"/>
        <v>GUARDIAN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35"/>
        <v>GUARDIAN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35"/>
        <v>GUARDIAN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35"/>
        <v>GUARDIAN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35"/>
        <v>GUARDIAN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35"/>
        <v>GUARDIAN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35"/>
        <v>GUARDIAN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35"/>
        <v>GUARDIAN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35"/>
        <v>GUARDIAN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35"/>
        <v>GUARDIAN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35"/>
        <v>GUARDIAN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35"/>
        <v>GUARDIAN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35"/>
        <v>GUARDIAN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35"/>
        <v>GUARDIAN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35"/>
        <v>GUARDIAN</v>
      </c>
    </row>
    <row r="2230" spans="1:9" x14ac:dyDescent="0.3">
      <c r="A2230" t="str">
        <f>""</f>
        <v/>
      </c>
      <c r="F2230" t="str">
        <f>"LIA201711156614"</f>
        <v>LIA201711156614</v>
      </c>
      <c r="G2230" t="str">
        <f>"GUARDIAN"</f>
        <v>GUARDIAN</v>
      </c>
      <c r="H2230" s="2">
        <v>131.51</v>
      </c>
      <c r="I2230" t="str">
        <f t="shared" si="35"/>
        <v>GUARDIAN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35"/>
        <v>GUARDIAN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35"/>
        <v>GUARDIAN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35"/>
        <v>GUARDIAN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35"/>
        <v>GUARDIAN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35"/>
        <v>GUARDIAN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35"/>
        <v>GUARDIAN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35"/>
        <v>GUARDIAN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35"/>
        <v>GUARDIAN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5"/>
        <v>GUARDIAN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ref="I2240:I2271" si="36">"GUARDIAN"</f>
        <v>GUARDIAN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6"/>
        <v>GUARDIAN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6"/>
        <v>GUARDIAN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6"/>
        <v>GUARDIAN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6"/>
        <v>GUARDIAN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6"/>
        <v>GUARDIAN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6"/>
        <v>GUARDIAN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6"/>
        <v>GUARDIAN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36"/>
        <v>GUARDIAN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36"/>
        <v>GUARDIAN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6"/>
        <v>GUARDIAN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36"/>
        <v>GUARDIAN</v>
      </c>
    </row>
    <row r="2252" spans="1:9" x14ac:dyDescent="0.3">
      <c r="A2252" t="str">
        <f>""</f>
        <v/>
      </c>
      <c r="F2252" t="str">
        <f>"LIC201711016103"</f>
        <v>LIC201711016103</v>
      </c>
      <c r="G2252" t="str">
        <f>"GUARDIAN"</f>
        <v>GUARDIAN</v>
      </c>
      <c r="H2252" s="2">
        <v>36.07</v>
      </c>
      <c r="I2252" t="str">
        <f t="shared" si="36"/>
        <v>GUARDIAN</v>
      </c>
    </row>
    <row r="2253" spans="1:9" x14ac:dyDescent="0.3">
      <c r="A2253" t="str">
        <f>""</f>
        <v/>
      </c>
      <c r="F2253" t="str">
        <f>"LIC201711016105"</f>
        <v>LIC201711016105</v>
      </c>
      <c r="G2253" t="str">
        <f>"GUARDIAN"</f>
        <v>GUARDIAN</v>
      </c>
      <c r="H2253" s="2">
        <v>1.05</v>
      </c>
      <c r="I2253" t="str">
        <f t="shared" si="36"/>
        <v>GUARDIAN</v>
      </c>
    </row>
    <row r="2254" spans="1:9" x14ac:dyDescent="0.3">
      <c r="A2254" t="str">
        <f>""</f>
        <v/>
      </c>
      <c r="F2254" t="str">
        <f>"LIC201711156614"</f>
        <v>LIC201711156614</v>
      </c>
      <c r="G2254" t="str">
        <f>"GUARDIAN"</f>
        <v>GUARDIAN</v>
      </c>
      <c r="H2254" s="2">
        <v>36.07</v>
      </c>
      <c r="I2254" t="str">
        <f t="shared" si="36"/>
        <v>GUARDIAN</v>
      </c>
    </row>
    <row r="2255" spans="1:9" x14ac:dyDescent="0.3">
      <c r="A2255" t="str">
        <f>""</f>
        <v/>
      </c>
      <c r="F2255" t="str">
        <f>"LIC201711156615"</f>
        <v>LIC201711156615</v>
      </c>
      <c r="G2255" t="str">
        <f>"GUARDIAN"</f>
        <v>GUARDIAN</v>
      </c>
      <c r="H2255" s="2">
        <v>1.05</v>
      </c>
      <c r="I2255" t="str">
        <f t="shared" si="36"/>
        <v>GUARDIAN</v>
      </c>
    </row>
    <row r="2256" spans="1:9" x14ac:dyDescent="0.3">
      <c r="A2256" t="str">
        <f>""</f>
        <v/>
      </c>
      <c r="F2256" t="str">
        <f>"LIE201711016103"</f>
        <v>LIE201711016103</v>
      </c>
      <c r="G2256" t="str">
        <f>"GUARDIAN"</f>
        <v>GUARDIAN</v>
      </c>
      <c r="H2256" s="2">
        <v>3142.65</v>
      </c>
      <c r="I2256" t="str">
        <f t="shared" si="36"/>
        <v>GUARDIAN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36"/>
        <v>GUARDIAN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36"/>
        <v>GUARDIAN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36"/>
        <v>GUARDIAN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36"/>
        <v>GUARDIAN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36"/>
        <v>GUARDIAN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6"/>
        <v>GUARDIAN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36"/>
        <v>GUARDIAN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6"/>
        <v>GUARDIAN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36"/>
        <v>GUARDIAN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36"/>
        <v>GUARDIAN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36"/>
        <v>GUARDIAN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36"/>
        <v>GUARDIAN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6"/>
        <v>GUARDIAN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36"/>
        <v>GUARDIAN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6"/>
        <v>GUARDIAN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ref="I2272:I2303" si="37">"GUARDIAN"</f>
        <v>GUARDIAN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7"/>
        <v>GUARDIAN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7"/>
        <v>GUARDIAN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37"/>
        <v>GUARDIAN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7"/>
        <v>GUARDIAN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37"/>
        <v>GUARDIAN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7"/>
        <v>GUARDIAN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37"/>
        <v>GUARDIAN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37"/>
        <v>GUARDIAN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37"/>
        <v>GUARDIAN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37"/>
        <v>GUARDIAN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7"/>
        <v>GUARDIAN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7"/>
        <v>GUARDIAN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7"/>
        <v>GUARDIAN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7"/>
        <v>GUARDIAN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7"/>
        <v>GUARDIAN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37"/>
        <v>GUARDIAN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37"/>
        <v>GUARDIAN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7"/>
        <v>GUARDIAN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7"/>
        <v>GUARDIAN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7"/>
        <v>GUARDIAN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7"/>
        <v>GUARDIAN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7"/>
        <v>GUARDIAN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7"/>
        <v>GUARDIAN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7"/>
        <v>GUARDIAN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7"/>
        <v>GUARDIAN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7"/>
        <v>GUARDIAN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7"/>
        <v>GUARDIAN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37"/>
        <v>GUARDIAN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7"/>
        <v>GUARDIAN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7"/>
        <v>GUARDIAN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7"/>
        <v>GUARDIAN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ref="I2304:I2335" si="38">"GUARDIAN"</f>
        <v>GUARDIAN</v>
      </c>
    </row>
    <row r="2305" spans="1:9" x14ac:dyDescent="0.3">
      <c r="A2305" t="str">
        <f>""</f>
        <v/>
      </c>
      <c r="F2305" t="str">
        <f>"LIE201711016105"</f>
        <v>LIE201711016105</v>
      </c>
      <c r="G2305" t="str">
        <f>"GUARDIAN"</f>
        <v>GUARDIAN</v>
      </c>
      <c r="H2305" s="2">
        <v>127.95</v>
      </c>
      <c r="I2305" t="str">
        <f t="shared" si="38"/>
        <v>GUARDIAN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8"/>
        <v>GUARDIAN</v>
      </c>
    </row>
    <row r="2307" spans="1:9" x14ac:dyDescent="0.3">
      <c r="A2307" t="str">
        <f>""</f>
        <v/>
      </c>
      <c r="F2307" t="str">
        <f>"LIE201711156614"</f>
        <v>LIE201711156614</v>
      </c>
      <c r="G2307" t="str">
        <f>"GUARDIAN"</f>
        <v>GUARDIAN</v>
      </c>
      <c r="H2307" s="2">
        <v>3146.35</v>
      </c>
      <c r="I2307" t="str">
        <f t="shared" si="38"/>
        <v>GUARDIAN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38"/>
        <v>GUARDIAN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38"/>
        <v>GUARDIAN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38"/>
        <v>GUARDIAN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38"/>
        <v>GUARDIAN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38"/>
        <v>GUARDIAN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38"/>
        <v>GUARDIAN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38"/>
        <v>GUARDIAN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38"/>
        <v>GUARDIAN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38"/>
        <v>GUARDIAN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38"/>
        <v>GUARDIAN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38"/>
        <v>GUARDIAN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38"/>
        <v>GUARDIAN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38"/>
        <v>GUARDIAN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38"/>
        <v>GUARDIAN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38"/>
        <v>GUARDIAN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38"/>
        <v>GUARDIAN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38"/>
        <v>GUARDIAN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38"/>
        <v>GUARDIAN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38"/>
        <v>GUARDIAN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38"/>
        <v>GUARDIAN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38"/>
        <v>GUARDIAN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38"/>
        <v>GUARDIAN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38"/>
        <v>GUARDIAN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38"/>
        <v>GUARDIAN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38"/>
        <v>GUARDIAN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38"/>
        <v>GUARDIAN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38"/>
        <v>GUARDIAN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8"/>
        <v>GUARDIAN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ref="I2336:I2367" si="39">"GUARDIAN"</f>
        <v>GUARDIAN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9"/>
        <v>GUARDIAN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39"/>
        <v>GUARDIAN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39"/>
        <v>GUARDIAN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39"/>
        <v>GUARDIAN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39"/>
        <v>GUARDIAN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39"/>
        <v>GUARDIAN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39"/>
        <v>GUARDIAN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39"/>
        <v>GUARDIAN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39"/>
        <v>GUARDIAN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39"/>
        <v>GUARDIAN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39"/>
        <v>GUARDIAN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39"/>
        <v>GUARDIAN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39"/>
        <v>GUARDIAN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39"/>
        <v>GUARDIAN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39"/>
        <v>GUARDIAN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39"/>
        <v>GUARDIAN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39"/>
        <v>GUARDIAN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39"/>
        <v>GUARDIAN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39"/>
        <v>GUARDIAN</v>
      </c>
    </row>
    <row r="2356" spans="1:9" x14ac:dyDescent="0.3">
      <c r="A2356" t="str">
        <f>""</f>
        <v/>
      </c>
      <c r="F2356" t="str">
        <f>"LIE201711156615"</f>
        <v>LIE201711156615</v>
      </c>
      <c r="G2356" t="str">
        <f>"GUARDIAN"</f>
        <v>GUARDIAN</v>
      </c>
      <c r="H2356" s="2">
        <v>142.35</v>
      </c>
      <c r="I2356" t="str">
        <f t="shared" si="39"/>
        <v>GUARDIAN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39"/>
        <v>GUARDIAN</v>
      </c>
    </row>
    <row r="2358" spans="1:9" x14ac:dyDescent="0.3">
      <c r="A2358" t="str">
        <f>""</f>
        <v/>
      </c>
      <c r="F2358" t="str">
        <f>"LIS201711016103"</f>
        <v>LIS201711016103</v>
      </c>
      <c r="G2358" t="str">
        <f t="shared" ref="G2358:G2367" si="40">"GUARDIAN"</f>
        <v>GUARDIAN</v>
      </c>
      <c r="H2358" s="2">
        <v>421.12</v>
      </c>
      <c r="I2358" t="str">
        <f t="shared" si="39"/>
        <v>GUARDIAN</v>
      </c>
    </row>
    <row r="2359" spans="1:9" x14ac:dyDescent="0.3">
      <c r="A2359" t="str">
        <f>""</f>
        <v/>
      </c>
      <c r="F2359" t="str">
        <f>"LIS201711016105"</f>
        <v>LIS201711016105</v>
      </c>
      <c r="G2359" t="str">
        <f t="shared" si="40"/>
        <v>GUARDIAN</v>
      </c>
      <c r="H2359" s="2">
        <v>36.700000000000003</v>
      </c>
      <c r="I2359" t="str">
        <f t="shared" si="39"/>
        <v>GUARDIAN</v>
      </c>
    </row>
    <row r="2360" spans="1:9" x14ac:dyDescent="0.3">
      <c r="A2360" t="str">
        <f>""</f>
        <v/>
      </c>
      <c r="F2360" t="str">
        <f>"LIS201711156614"</f>
        <v>LIS201711156614</v>
      </c>
      <c r="G2360" t="str">
        <f t="shared" si="40"/>
        <v>GUARDIAN</v>
      </c>
      <c r="H2360" s="2">
        <v>421.12</v>
      </c>
      <c r="I2360" t="str">
        <f t="shared" si="39"/>
        <v>GUARDIAN</v>
      </c>
    </row>
    <row r="2361" spans="1:9" x14ac:dyDescent="0.3">
      <c r="A2361" t="str">
        <f>""</f>
        <v/>
      </c>
      <c r="F2361" t="str">
        <f>"LIS201711156615"</f>
        <v>LIS201711156615</v>
      </c>
      <c r="G2361" t="str">
        <f t="shared" si="40"/>
        <v>GUARDIAN</v>
      </c>
      <c r="H2361" s="2">
        <v>36.700000000000003</v>
      </c>
      <c r="I2361" t="str">
        <f t="shared" si="39"/>
        <v>GUARDIAN</v>
      </c>
    </row>
    <row r="2362" spans="1:9" x14ac:dyDescent="0.3">
      <c r="A2362" t="str">
        <f>""</f>
        <v/>
      </c>
      <c r="F2362" t="str">
        <f>"LTD201711016103"</f>
        <v>LTD201711016103</v>
      </c>
      <c r="G2362" t="str">
        <f t="shared" si="40"/>
        <v>GUARDIAN</v>
      </c>
      <c r="H2362" s="2">
        <v>656.82</v>
      </c>
      <c r="I2362" t="str">
        <f t="shared" si="39"/>
        <v>GUARDIAN</v>
      </c>
    </row>
    <row r="2363" spans="1:9" x14ac:dyDescent="0.3">
      <c r="A2363" t="str">
        <f>""</f>
        <v/>
      </c>
      <c r="F2363" t="str">
        <f>"LTD201711156614"</f>
        <v>LTD201711156614</v>
      </c>
      <c r="G2363" t="str">
        <f t="shared" si="40"/>
        <v>GUARDIAN</v>
      </c>
      <c r="H2363" s="2">
        <v>675.68</v>
      </c>
      <c r="I2363" t="str">
        <f t="shared" si="39"/>
        <v>GUARDIAN</v>
      </c>
    </row>
    <row r="2364" spans="1:9" x14ac:dyDescent="0.3">
      <c r="A2364" t="str">
        <f>"GUARDI"</f>
        <v>GUARDI</v>
      </c>
      <c r="B2364" t="s">
        <v>619</v>
      </c>
      <c r="C2364">
        <v>0</v>
      </c>
      <c r="D2364" s="2">
        <v>119.32</v>
      </c>
      <c r="E2364" s="1">
        <v>43067</v>
      </c>
      <c r="F2364" t="str">
        <f>"AEG201711016103"</f>
        <v>AEG201711016103</v>
      </c>
      <c r="G2364" t="str">
        <f t="shared" si="40"/>
        <v>GUARDIAN</v>
      </c>
      <c r="H2364" s="2">
        <v>9.51</v>
      </c>
      <c r="I2364" t="str">
        <f t="shared" si="39"/>
        <v>GUARDIAN</v>
      </c>
    </row>
    <row r="2365" spans="1:9" x14ac:dyDescent="0.3">
      <c r="A2365" t="str">
        <f>""</f>
        <v/>
      </c>
      <c r="F2365" t="str">
        <f>"AEG201711156614"</f>
        <v>AEG201711156614</v>
      </c>
      <c r="G2365" t="str">
        <f t="shared" si="40"/>
        <v>GUARDIAN</v>
      </c>
      <c r="H2365" s="2">
        <v>9.51</v>
      </c>
      <c r="I2365" t="str">
        <f t="shared" si="39"/>
        <v>GUARDIAN</v>
      </c>
    </row>
    <row r="2366" spans="1:9" x14ac:dyDescent="0.3">
      <c r="A2366" t="str">
        <f>""</f>
        <v/>
      </c>
      <c r="F2366" t="str">
        <f>"AFG201711016103"</f>
        <v>AFG201711016103</v>
      </c>
      <c r="G2366" t="str">
        <f t="shared" si="40"/>
        <v>GUARDIAN</v>
      </c>
      <c r="H2366" s="2">
        <v>50.15</v>
      </c>
      <c r="I2366" t="str">
        <f t="shared" si="39"/>
        <v>GUARDIAN</v>
      </c>
    </row>
    <row r="2367" spans="1:9" x14ac:dyDescent="0.3">
      <c r="A2367" t="str">
        <f>""</f>
        <v/>
      </c>
      <c r="F2367" t="str">
        <f>"AFG201711156614"</f>
        <v>AFG201711156614</v>
      </c>
      <c r="G2367" t="str">
        <f t="shared" si="40"/>
        <v>GUARDIAN</v>
      </c>
      <c r="H2367" s="2">
        <v>50.15</v>
      </c>
      <c r="I2367" t="str">
        <f t="shared" si="39"/>
        <v>GUARDIAN</v>
      </c>
    </row>
    <row r="2368" spans="1:9" x14ac:dyDescent="0.3">
      <c r="A2368" t="str">
        <f>"IRSACS"</f>
        <v>IRSACS</v>
      </c>
      <c r="B2368" t="s">
        <v>620</v>
      </c>
      <c r="C2368">
        <v>45950</v>
      </c>
      <c r="D2368" s="2">
        <v>238.43</v>
      </c>
      <c r="E2368" s="1">
        <v>43042</v>
      </c>
      <c r="F2368" t="str">
        <f>"IJ2201711016103"</f>
        <v>IJ2201711016103</v>
      </c>
      <c r="G2368" t="str">
        <f>"LISA JACKSON 2 IRS LEVY"</f>
        <v>LISA JACKSON 2 IRS LEVY</v>
      </c>
      <c r="H2368" s="2">
        <v>238.43</v>
      </c>
      <c r="I2368" t="str">
        <f>"LISA JACKSON 2 IRS LEVY"</f>
        <v>LISA JACKSON 2 IRS LEVY</v>
      </c>
    </row>
    <row r="2369" spans="1:9" x14ac:dyDescent="0.3">
      <c r="A2369" t="str">
        <f>"IRSACS"</f>
        <v>IRSACS</v>
      </c>
      <c r="B2369" t="s">
        <v>620</v>
      </c>
      <c r="C2369">
        <v>45998</v>
      </c>
      <c r="D2369" s="2">
        <v>238.43</v>
      </c>
      <c r="E2369" s="1">
        <v>43056</v>
      </c>
      <c r="F2369" t="str">
        <f>"IJ2201711156614"</f>
        <v>IJ2201711156614</v>
      </c>
      <c r="G2369" t="str">
        <f>"LISA JACKSON 2 IRS LEVY"</f>
        <v>LISA JACKSON 2 IRS LEVY</v>
      </c>
      <c r="H2369" s="2">
        <v>238.43</v>
      </c>
      <c r="I2369" t="str">
        <f>"LISA JACKSON 2 IRS LEVY"</f>
        <v>LISA JACKSON 2 IRS LEVY</v>
      </c>
    </row>
    <row r="2370" spans="1:9" x14ac:dyDescent="0.3">
      <c r="A2370" t="str">
        <f>"IRSPY"</f>
        <v>IRSPY</v>
      </c>
      <c r="B2370" t="s">
        <v>621</v>
      </c>
      <c r="C2370">
        <v>0</v>
      </c>
      <c r="D2370" s="2">
        <v>219446.15</v>
      </c>
      <c r="E2370" s="1">
        <v>43042</v>
      </c>
      <c r="F2370" t="str">
        <f>"T1 201711016103"</f>
        <v>T1 201711016103</v>
      </c>
      <c r="G2370" t="str">
        <f>"FEDERAL WITHHOLDING"</f>
        <v>FEDERAL WITHHOLDING</v>
      </c>
      <c r="H2370" s="2">
        <v>79710.84</v>
      </c>
      <c r="I2370" t="str">
        <f>"FEDERAL WITHHOLDING"</f>
        <v>FEDERAL WITHHOLDING</v>
      </c>
    </row>
    <row r="2371" spans="1:9" x14ac:dyDescent="0.3">
      <c r="A2371" t="str">
        <f>""</f>
        <v/>
      </c>
      <c r="F2371" t="str">
        <f>"T1 201711016105"</f>
        <v>T1 201711016105</v>
      </c>
      <c r="G2371" t="str">
        <f>"FEDERAL WITHHOLDING"</f>
        <v>FEDERAL WITHHOLDING</v>
      </c>
      <c r="H2371" s="2">
        <v>3436.06</v>
      </c>
      <c r="I2371" t="str">
        <f>"FEDERAL WITHHOLDING"</f>
        <v>FEDERAL WITHHOLDING</v>
      </c>
    </row>
    <row r="2372" spans="1:9" x14ac:dyDescent="0.3">
      <c r="A2372" t="str">
        <f>""</f>
        <v/>
      </c>
      <c r="F2372" t="str">
        <f>"T1 201711016106"</f>
        <v>T1 201711016106</v>
      </c>
      <c r="G2372" t="str">
        <f>"FEDERAL WITHHOLDING"</f>
        <v>FEDERAL WITHHOLDING</v>
      </c>
      <c r="H2372" s="2">
        <v>4397.21</v>
      </c>
      <c r="I2372" t="str">
        <f>"FEDERAL WITHHOLDING"</f>
        <v>FEDERAL WITHHOLDING</v>
      </c>
    </row>
    <row r="2373" spans="1:9" x14ac:dyDescent="0.3">
      <c r="A2373" t="str">
        <f>""</f>
        <v/>
      </c>
      <c r="F2373" t="str">
        <f>"T3 201711016103"</f>
        <v>T3 201711016103</v>
      </c>
      <c r="G2373" t="str">
        <f>"SOCIAL SECURITY TAXES"</f>
        <v>SOCIAL SECURITY TAXES</v>
      </c>
      <c r="H2373" s="2">
        <v>97663.56</v>
      </c>
      <c r="I2373" t="str">
        <f t="shared" ref="I2373:I2404" si="41">"SOCIAL SECURITY TAXES"</f>
        <v>SOCIAL SECURITY TAXES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41"/>
        <v>SOCIAL SECURITY TAXES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41"/>
        <v>SOCIAL SECURITY TAXES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41"/>
        <v>SOCIAL SECURITY TAXES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41"/>
        <v>SOCIAL SECURITY TAXES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41"/>
        <v>SOCIAL SECURITY TAXES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41"/>
        <v>SOCIAL SECURITY TAXES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41"/>
        <v>SOCIAL SECURITY TAXES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41"/>
        <v>SOCIAL SECURITY TAXES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41"/>
        <v>SOCIAL SECURITY TAXES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41"/>
        <v>SOCIAL SECURITY TAXES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41"/>
        <v>SOCIAL SECURITY TAXES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41"/>
        <v>SOCIAL SECURITY TAXES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41"/>
        <v>SOCIAL SECURITY TAXES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41"/>
        <v>SOCIAL SECURITY TAXES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41"/>
        <v>SOCIAL SECURITY TAXES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41"/>
        <v>SOCIAL SECURITY TAXES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41"/>
        <v>SOCIAL SECURITY TAXES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41"/>
        <v>SOCIAL SECURITY TAXES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41"/>
        <v>SOCIAL SECURITY TAXES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41"/>
        <v>SOCIAL SECURITY TAXES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41"/>
        <v>SOCIAL SECURITY TAXES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41"/>
        <v>SOCIAL SECURITY TAXES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41"/>
        <v>SOCIAL SECURITY TAXES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41"/>
        <v>SOCIAL SECURITY TAXES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41"/>
        <v>SOCIAL SECURITY TAXES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41"/>
        <v>SOCIAL SECURITY TAXES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41"/>
        <v>SOCIAL SECURITY TAXES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41"/>
        <v>SOCIAL SECURITY TAXES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41"/>
        <v>SOCIAL SECURITY TAXES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41"/>
        <v>SOCIAL SECURITY TAXES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41"/>
        <v>SOCIAL SECURITY TAXES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ref="I2405:I2428" si="42">"SOCIAL SECURITY TAXES"</f>
        <v>SOCIAL SECURITY TAXES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2"/>
        <v>SOCIAL SECURITY TAXES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2"/>
        <v>SOCIAL SECURITY TAXES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42"/>
        <v>SOCIAL SECURITY TAXES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42"/>
        <v>SOCIAL SECURITY TAXES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2"/>
        <v>SOCIAL SECURITY TAXES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2"/>
        <v>SOCIAL SECURITY TAXES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42"/>
        <v>SOCIAL SECURITY TAXES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2"/>
        <v>SOCIAL SECURITY TAXES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42"/>
        <v>SOCIAL SECURITY TAXES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2"/>
        <v>SOCIAL SECURITY TAXES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2"/>
        <v>SOCIAL SECURITY TAXES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2"/>
        <v>SOCIAL SECURITY TAXES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2"/>
        <v>SOCIAL SECURITY TAXES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2"/>
        <v>SOCIAL SECURITY TAXES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2"/>
        <v>SOCIAL SECURITY TAXES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42"/>
        <v>SOCIAL SECURITY TAXES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42"/>
        <v>SOCIAL SECURITY TAXES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42"/>
        <v>SOCIAL SECURITY TAXES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42"/>
        <v>SOCIAL SECURITY TAXES</v>
      </c>
    </row>
    <row r="2425" spans="1:9" x14ac:dyDescent="0.3">
      <c r="A2425" t="str">
        <f>""</f>
        <v/>
      </c>
      <c r="F2425" t="str">
        <f>"T3 201711016105"</f>
        <v>T3 201711016105</v>
      </c>
      <c r="G2425" t="str">
        <f>"SOCIAL SECURITY TAXES"</f>
        <v>SOCIAL SECURITY TAXES</v>
      </c>
      <c r="H2425" s="2">
        <v>3821.5</v>
      </c>
      <c r="I2425" t="str">
        <f t="shared" si="42"/>
        <v>SOCIAL SECURITY TAXES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42"/>
        <v>SOCIAL SECURITY TAXES</v>
      </c>
    </row>
    <row r="2427" spans="1:9" x14ac:dyDescent="0.3">
      <c r="A2427" t="str">
        <f>""</f>
        <v/>
      </c>
      <c r="F2427" t="str">
        <f>"T3 201711016106"</f>
        <v>T3 201711016106</v>
      </c>
      <c r="G2427" t="str">
        <f>"SOCIAL SECURITY TAXES"</f>
        <v>SOCIAL SECURITY TAXES</v>
      </c>
      <c r="H2427" s="2">
        <v>5416.04</v>
      </c>
      <c r="I2427" t="str">
        <f t="shared" si="42"/>
        <v>SOCIAL SECURITY TAXES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42"/>
        <v>SOCIAL SECURITY TAXES</v>
      </c>
    </row>
    <row r="2429" spans="1:9" x14ac:dyDescent="0.3">
      <c r="A2429" t="str">
        <f>""</f>
        <v/>
      </c>
      <c r="F2429" t="str">
        <f>"T4 201711016103"</f>
        <v>T4 201711016103</v>
      </c>
      <c r="G2429" t="str">
        <f>"MEDICARE TAXES"</f>
        <v>MEDICARE TAXES</v>
      </c>
      <c r="H2429" s="2">
        <v>22840.54</v>
      </c>
      <c r="I2429" t="str">
        <f t="shared" ref="I2429:I2460" si="43">"MEDICARE TAXES"</f>
        <v>MEDICARE TAXES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43"/>
        <v>MEDICARE TAXES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43"/>
        <v>MEDICARE TAXES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43"/>
        <v>MEDICARE TAXES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43"/>
        <v>MEDICARE TAXES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43"/>
        <v>MEDICARE TAXES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43"/>
        <v>MEDICARE TAXES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43"/>
        <v>MEDICARE TAXES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43"/>
        <v>MEDICARE TAXES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43"/>
        <v>MEDICARE TAXES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43"/>
        <v>MEDICARE TAXES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43"/>
        <v>MEDICARE TAXES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43"/>
        <v>MEDICARE TAXES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43"/>
        <v>MEDICARE TAXES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43"/>
        <v>MEDICARE TAXES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43"/>
        <v>MEDICARE TAXES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43"/>
        <v>MEDICARE TAXES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43"/>
        <v>MEDICARE TAXES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43"/>
        <v>MEDICARE TAXES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43"/>
        <v>MEDICARE TAXES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43"/>
        <v>MEDICARE TAXES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43"/>
        <v>MEDICARE TAXES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43"/>
        <v>MEDICARE TAXES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43"/>
        <v>MEDICARE TAXES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43"/>
        <v>MEDICARE TAXES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43"/>
        <v>MEDICARE TAXES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3"/>
        <v>MEDICARE TAXES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3"/>
        <v>MEDICARE TAXES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3"/>
        <v>MEDICARE TAXES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3"/>
        <v>MEDICARE TAXES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3"/>
        <v>MEDICARE TAXES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3"/>
        <v>MEDICARE TAXES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ref="I2461:I2484" si="44">"MEDICARE TAXES"</f>
        <v>MEDICARE TAXES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44"/>
        <v>MEDICARE TAXES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4"/>
        <v>MEDICARE TAXES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4"/>
        <v>MEDICARE TAXES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44"/>
        <v>MEDICARE TAXES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4"/>
        <v>MEDICARE TAXES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4"/>
        <v>MEDICARE TAXES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4"/>
        <v>MEDICARE TAXES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4"/>
        <v>MEDICARE TAXES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44"/>
        <v>MEDICARE TAXES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4"/>
        <v>MEDICARE TAXES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44"/>
        <v>MEDICARE TAXES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4"/>
        <v>MEDICARE TAXES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4"/>
        <v>MEDICARE TAXES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4"/>
        <v>MEDICARE TAXES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44"/>
        <v>MEDICARE TAXES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4"/>
        <v>MEDICARE TAXES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4"/>
        <v>MEDICARE TAXES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4"/>
        <v>MEDICARE TAXES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44"/>
        <v>MEDICARE TAXES</v>
      </c>
    </row>
    <row r="2481" spans="1:9" x14ac:dyDescent="0.3">
      <c r="A2481" t="str">
        <f>""</f>
        <v/>
      </c>
      <c r="F2481" t="str">
        <f>"T4 201711016105"</f>
        <v>T4 201711016105</v>
      </c>
      <c r="G2481" t="str">
        <f>"MEDICARE TAXES"</f>
        <v>MEDICARE TAXES</v>
      </c>
      <c r="H2481" s="2">
        <v>893.74</v>
      </c>
      <c r="I2481" t="str">
        <f t="shared" si="44"/>
        <v>MEDICARE TAXES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4"/>
        <v>MEDICARE TAXES</v>
      </c>
    </row>
    <row r="2483" spans="1:9" x14ac:dyDescent="0.3">
      <c r="A2483" t="str">
        <f>""</f>
        <v/>
      </c>
      <c r="F2483" t="str">
        <f>"T4 201711016106"</f>
        <v>T4 201711016106</v>
      </c>
      <c r="G2483" t="str">
        <f>"MEDICARE TAXES"</f>
        <v>MEDICARE TAXES</v>
      </c>
      <c r="H2483" s="2">
        <v>1266.6600000000001</v>
      </c>
      <c r="I2483" t="str">
        <f t="shared" si="44"/>
        <v>MEDICARE TAXES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4"/>
        <v>MEDICARE TAXES</v>
      </c>
    </row>
    <row r="2485" spans="1:9" x14ac:dyDescent="0.3">
      <c r="A2485" t="str">
        <f>"IRSPY"</f>
        <v>IRSPY</v>
      </c>
      <c r="B2485" t="s">
        <v>621</v>
      </c>
      <c r="C2485">
        <v>0</v>
      </c>
      <c r="D2485" s="2">
        <v>610.88</v>
      </c>
      <c r="E2485" s="1">
        <v>43045</v>
      </c>
      <c r="F2485" t="str">
        <f>"T3 201711026108"</f>
        <v>T3 201711026108</v>
      </c>
      <c r="G2485" t="str">
        <f>"SOCIAL SECURITY TAXES"</f>
        <v>SOCIAL SECURITY TAXES</v>
      </c>
      <c r="H2485" s="2">
        <v>495.1</v>
      </c>
      <c r="I2485" t="str">
        <f>"SOCIAL SECURITY TAXES"</f>
        <v>SOCIAL SECURITY TAXES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>"SOCIAL SECURITY TAXES"</f>
        <v>SOCIAL SECURITY TAXES</v>
      </c>
    </row>
    <row r="2487" spans="1:9" x14ac:dyDescent="0.3">
      <c r="A2487" t="str">
        <f>""</f>
        <v/>
      </c>
      <c r="F2487" t="str">
        <f>"T4 201711026108"</f>
        <v>T4 201711026108</v>
      </c>
      <c r="G2487" t="str">
        <f>"MEDICARE TAXES"</f>
        <v>MEDICARE TAXES</v>
      </c>
      <c r="H2487" s="2">
        <v>115.78</v>
      </c>
      <c r="I2487" t="str">
        <f>"MEDICARE TAXES"</f>
        <v>MEDICARE TAXES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>"MEDICARE TAXES"</f>
        <v>MEDICARE TAXES</v>
      </c>
    </row>
    <row r="2489" spans="1:9" x14ac:dyDescent="0.3">
      <c r="A2489" t="str">
        <f>"IRSPY"</f>
        <v>IRSPY</v>
      </c>
      <c r="B2489" t="s">
        <v>621</v>
      </c>
      <c r="C2489">
        <v>0</v>
      </c>
      <c r="D2489" s="2">
        <v>220209.31</v>
      </c>
      <c r="E2489" s="1">
        <v>43056</v>
      </c>
      <c r="F2489" t="str">
        <f>"T1 201711156614"</f>
        <v>T1 201711156614</v>
      </c>
      <c r="G2489" t="str">
        <f>"FEDERAL WITHHOLDING"</f>
        <v>FEDERAL WITHHOLDING</v>
      </c>
      <c r="H2489" s="2">
        <v>78838.44</v>
      </c>
      <c r="I2489" t="str">
        <f>"FEDERAL WITHHOLDING"</f>
        <v>FEDERAL WITHHOLDING</v>
      </c>
    </row>
    <row r="2490" spans="1:9" x14ac:dyDescent="0.3">
      <c r="A2490" t="str">
        <f>""</f>
        <v/>
      </c>
      <c r="F2490" t="str">
        <f>"T1 201711156615"</f>
        <v>T1 201711156615</v>
      </c>
      <c r="G2490" t="str">
        <f>"FEDERAL WITHHOLDING"</f>
        <v>FEDERAL WITHHOLDING</v>
      </c>
      <c r="H2490" s="2">
        <v>3442.55</v>
      </c>
      <c r="I2490" t="str">
        <f>"FEDERAL WITHHOLDING"</f>
        <v>FEDERAL WITHHOLDING</v>
      </c>
    </row>
    <row r="2491" spans="1:9" x14ac:dyDescent="0.3">
      <c r="A2491" t="str">
        <f>""</f>
        <v/>
      </c>
      <c r="F2491" t="str">
        <f>"T1 201711156616"</f>
        <v>T1 201711156616</v>
      </c>
      <c r="G2491" t="str">
        <f>"FEDERAL WITHHOLDING"</f>
        <v>FEDERAL WITHHOLDING</v>
      </c>
      <c r="H2491" s="2">
        <v>4487.28</v>
      </c>
      <c r="I2491" t="str">
        <f>"FEDERAL WITHHOLDING"</f>
        <v>FEDERAL WITHHOLDING</v>
      </c>
    </row>
    <row r="2492" spans="1:9" x14ac:dyDescent="0.3">
      <c r="A2492" t="str">
        <f>""</f>
        <v/>
      </c>
      <c r="F2492" t="str">
        <f>"T3 201711156614"</f>
        <v>T3 201711156614</v>
      </c>
      <c r="G2492" t="str">
        <f>"SOCIAL SECURITY TAXES"</f>
        <v>SOCIAL SECURITY TAXES</v>
      </c>
      <c r="H2492" s="2">
        <v>96828.6</v>
      </c>
      <c r="I2492" t="str">
        <f t="shared" ref="I2492:I2523" si="45">"SOCIAL SECURITY TAXES"</f>
        <v>SOCIAL SECURITY TAXES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45"/>
        <v>SOCIAL SECURITY TAXES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45"/>
        <v>SOCIAL SECURITY TAXES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45"/>
        <v>SOCIAL SECURITY TAXES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5"/>
        <v>SOCIAL SECURITY TAXES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45"/>
        <v>SOCIAL SECURITY TAXES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5"/>
        <v>SOCIAL SECURITY TAXES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45"/>
        <v>SOCIAL SECURITY TAXES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45"/>
        <v>SOCIAL SECURITY TAXES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45"/>
        <v>SOCIAL SECURITY TAXES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45"/>
        <v>SOCIAL SECURITY TAXES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45"/>
        <v>SOCIAL SECURITY TAXES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45"/>
        <v>SOCIAL SECURITY TAXES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45"/>
        <v>SOCIAL SECURITY TAXES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45"/>
        <v>SOCIAL SECURITY TAXES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45"/>
        <v>SOCIAL SECURITY TAXES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45"/>
        <v>SOCIAL SECURITY TAXES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45"/>
        <v>SOCIAL SECURITY TAXES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45"/>
        <v>SOCIAL SECURITY TAXES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5"/>
        <v>SOCIAL SECURITY TAXES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45"/>
        <v>SOCIAL SECURITY TAXES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45"/>
        <v>SOCIAL SECURITY TAXES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5"/>
        <v>SOCIAL SECURITY TAXES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5"/>
        <v>SOCIAL SECURITY TAXES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5"/>
        <v>SOCIAL SECURITY TAXES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5"/>
        <v>SOCIAL SECURITY TAXES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5"/>
        <v>SOCIAL SECURITY TAXES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45"/>
        <v>SOCIAL SECURITY TAXES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45"/>
        <v>SOCIAL SECURITY TAXES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5"/>
        <v>SOCIAL SECURITY TAXES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5"/>
        <v>SOCIAL SECURITY TAXES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5"/>
        <v>SOCIAL SECURITY TAXES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ref="I2524:I2548" si="46">"SOCIAL SECURITY TAXES"</f>
        <v>SOCIAL SECURITY TAXES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6"/>
        <v>SOCIAL SECURITY TAXES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6"/>
        <v>SOCIAL SECURITY TAXES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46"/>
        <v>SOCIAL SECURITY TAXES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6"/>
        <v>SOCIAL SECURITY TAXES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46"/>
        <v>SOCIAL SECURITY TAXES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6"/>
        <v>SOCIAL SECURITY TAXES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46"/>
        <v>SOCIAL SECURITY TAXES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46"/>
        <v>SOCIAL SECURITY TAXES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46"/>
        <v>SOCIAL SECURITY TAXES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46"/>
        <v>SOCIAL SECURITY TAXES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46"/>
        <v>SOCIAL SECURITY TAXES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46"/>
        <v>SOCIAL SECURITY TAXES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46"/>
        <v>SOCIAL SECURITY TAXES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46"/>
        <v>SOCIAL SECURITY TAXES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46"/>
        <v>SOCIAL SECURITY TAXES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46"/>
        <v>SOCIAL SECURITY TAXES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46"/>
        <v>SOCIAL SECURITY TAXES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46"/>
        <v>SOCIAL SECURITY TAXES</v>
      </c>
    </row>
    <row r="2543" spans="1:9" x14ac:dyDescent="0.3">
      <c r="A2543" t="str">
        <f>""</f>
        <v/>
      </c>
      <c r="F2543" t="str">
        <f>"T3 201711156615"</f>
        <v>T3 201711156615</v>
      </c>
      <c r="G2543" t="str">
        <f>"SOCIAL SECURITY TAXES"</f>
        <v>SOCIAL SECURITY TAXES</v>
      </c>
      <c r="H2543" s="2">
        <v>3821.7</v>
      </c>
      <c r="I2543" t="str">
        <f t="shared" si="46"/>
        <v>SOCIAL SECURITY TAXES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46"/>
        <v>SOCIAL SECURITY TAXES</v>
      </c>
    </row>
    <row r="2545" spans="1:9" x14ac:dyDescent="0.3">
      <c r="A2545" t="str">
        <f>""</f>
        <v/>
      </c>
      <c r="F2545" t="str">
        <f>"T3 201711156616"</f>
        <v>T3 201711156616</v>
      </c>
      <c r="G2545" t="str">
        <f>"SOCIAL SECURITY TAXES"</f>
        <v>SOCIAL SECURITY TAXES</v>
      </c>
      <c r="H2545" s="2">
        <v>5443.24</v>
      </c>
      <c r="I2545" t="str">
        <f t="shared" si="46"/>
        <v>SOCIAL SECURITY TAXES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46"/>
        <v>SOCIAL SECURITY TAXES</v>
      </c>
    </row>
    <row r="2547" spans="1:9" x14ac:dyDescent="0.3">
      <c r="A2547" t="str">
        <f>""</f>
        <v/>
      </c>
      <c r="F2547" t="str">
        <f>"T3 201711166630"</f>
        <v>T3 201711166630</v>
      </c>
      <c r="G2547" t="str">
        <f>"SOCIAL SECURITY TAXES"</f>
        <v>SOCIAL SECURITY TAXES</v>
      </c>
      <c r="H2547" s="2">
        <v>2054.6999999999998</v>
      </c>
      <c r="I2547" t="str">
        <f t="shared" si="46"/>
        <v>SOCIAL SECURITY TAXES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46"/>
        <v>SOCIAL SECURITY TAXES</v>
      </c>
    </row>
    <row r="2549" spans="1:9" x14ac:dyDescent="0.3">
      <c r="A2549" t="str">
        <f>""</f>
        <v/>
      </c>
      <c r="F2549" t="str">
        <f>"T4 201711156614"</f>
        <v>T4 201711156614</v>
      </c>
      <c r="G2549" t="str">
        <f>"MEDICARE TAXES"</f>
        <v>MEDICARE TAXES</v>
      </c>
      <c r="H2549" s="2">
        <v>22645.42</v>
      </c>
      <c r="I2549" t="str">
        <f t="shared" ref="I2549:I2580" si="47">"MEDICARE TAXES"</f>
        <v>MEDICARE TAXES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47"/>
        <v>MEDICARE TAXES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47"/>
        <v>MEDICARE TAXES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47"/>
        <v>MEDICARE TAXES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47"/>
        <v>MEDICARE TAXES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47"/>
        <v>MEDICARE TAXES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47"/>
        <v>MEDICARE TAXES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47"/>
        <v>MEDICARE TAXES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47"/>
        <v>MEDICARE TAXES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47"/>
        <v>MEDICARE TAXES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47"/>
        <v>MEDICARE TAXES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47"/>
        <v>MEDICARE TAXES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47"/>
        <v>MEDICARE TAXES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47"/>
        <v>MEDICARE TAXES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47"/>
        <v>MEDICARE TAXES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47"/>
        <v>MEDICARE TAXES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47"/>
        <v>MEDICARE TAXES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47"/>
        <v>MEDICARE TAXES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47"/>
        <v>MEDICARE TAXES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47"/>
        <v>MEDICARE TAXES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47"/>
        <v>MEDICARE TAXES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47"/>
        <v>MEDICARE TAXES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47"/>
        <v>MEDICARE TAXES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47"/>
        <v>MEDICARE TAXES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47"/>
        <v>MEDICARE TAXES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47"/>
        <v>MEDICARE TAXES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47"/>
        <v>MEDICARE TAXES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47"/>
        <v>MEDICARE TAXES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47"/>
        <v>MEDICARE TAXES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47"/>
        <v>MEDICARE TAXES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47"/>
        <v>MEDICARE TAXES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47"/>
        <v>MEDICARE TAXES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ref="I2581:I2605" si="48">"MEDICARE TAXES"</f>
        <v>MEDICARE TAXES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48"/>
        <v>MEDICARE TAXES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48"/>
        <v>MEDICARE TAXES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48"/>
        <v>MEDICARE TAXES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48"/>
        <v>MEDICARE TAXES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48"/>
        <v>MEDICARE TAXES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48"/>
        <v>MEDICARE TAXES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48"/>
        <v>MEDICARE TAXES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48"/>
        <v>MEDICARE TAXES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48"/>
        <v>MEDICARE TAXES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48"/>
        <v>MEDICARE TAXES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48"/>
        <v>MEDICARE TAXES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48"/>
        <v>MEDICARE TAXES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48"/>
        <v>MEDICARE TAXES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48"/>
        <v>MEDICARE TAXES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48"/>
        <v>MEDICARE TAXES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48"/>
        <v>MEDICARE TAXES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48"/>
        <v>MEDICARE TAXES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48"/>
        <v>MEDICARE TAXES</v>
      </c>
    </row>
    <row r="2600" spans="1:9" x14ac:dyDescent="0.3">
      <c r="A2600" t="str">
        <f>""</f>
        <v/>
      </c>
      <c r="F2600" t="str">
        <f>"T4 201711156615"</f>
        <v>T4 201711156615</v>
      </c>
      <c r="G2600" t="str">
        <f>"MEDICARE TAXES"</f>
        <v>MEDICARE TAXES</v>
      </c>
      <c r="H2600" s="2">
        <v>893.78</v>
      </c>
      <c r="I2600" t="str">
        <f t="shared" si="48"/>
        <v>MEDICARE TAXES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48"/>
        <v>MEDICARE TAXES</v>
      </c>
    </row>
    <row r="2602" spans="1:9" x14ac:dyDescent="0.3">
      <c r="A2602" t="str">
        <f>""</f>
        <v/>
      </c>
      <c r="F2602" t="str">
        <f>"T4 201711156616"</f>
        <v>T4 201711156616</v>
      </c>
      <c r="G2602" t="str">
        <f>"MEDICARE TAXES"</f>
        <v>MEDICARE TAXES</v>
      </c>
      <c r="H2602" s="2">
        <v>1273.04</v>
      </c>
      <c r="I2602" t="str">
        <f t="shared" si="48"/>
        <v>MEDICARE TAXES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48"/>
        <v>MEDICARE TAXES</v>
      </c>
    </row>
    <row r="2604" spans="1:9" x14ac:dyDescent="0.3">
      <c r="A2604" t="str">
        <f>""</f>
        <v/>
      </c>
      <c r="F2604" t="str">
        <f>"T4 201711166630"</f>
        <v>T4 201711166630</v>
      </c>
      <c r="G2604" t="str">
        <f>"MEDICARE TAXES"</f>
        <v>MEDICARE TAXES</v>
      </c>
      <c r="H2604" s="2">
        <v>480.56</v>
      </c>
      <c r="I2604" t="str">
        <f t="shared" si="48"/>
        <v>MEDICARE TAXES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48"/>
        <v>MEDICARE TAXES</v>
      </c>
    </row>
    <row r="2606" spans="1:9" x14ac:dyDescent="0.3">
      <c r="A2606" t="str">
        <f>"IRSPY"</f>
        <v>IRSPY</v>
      </c>
      <c r="B2606" t="s">
        <v>621</v>
      </c>
      <c r="C2606">
        <v>0</v>
      </c>
      <c r="D2606" s="2">
        <v>76811.570000000007</v>
      </c>
      <c r="E2606" s="1">
        <v>43061</v>
      </c>
      <c r="F2606" t="str">
        <f>"T1 201711216734"</f>
        <v>T1 201711216734</v>
      </c>
      <c r="G2606" t="str">
        <f>"FEDERAL WITHHOLDING"</f>
        <v>FEDERAL WITHHOLDING</v>
      </c>
      <c r="H2606" s="2">
        <v>24854.77</v>
      </c>
      <c r="I2606" t="str">
        <f>"FEDERAL WITHHOLDING"</f>
        <v>FEDERAL WITHHOLDING</v>
      </c>
    </row>
    <row r="2607" spans="1:9" x14ac:dyDescent="0.3">
      <c r="A2607" t="str">
        <f>""</f>
        <v/>
      </c>
      <c r="F2607" t="str">
        <f>"T1 201711216735"</f>
        <v>T1 201711216735</v>
      </c>
      <c r="G2607" t="str">
        <f>"FEDERAL WITHHOLDING"</f>
        <v>FEDERAL WITHHOLDING</v>
      </c>
      <c r="H2607" s="2">
        <v>2495.23</v>
      </c>
      <c r="I2607" t="str">
        <f>"FEDERAL WITHHOLDING"</f>
        <v>FEDERAL WITHHOLDING</v>
      </c>
    </row>
    <row r="2608" spans="1:9" x14ac:dyDescent="0.3">
      <c r="A2608" t="str">
        <f>""</f>
        <v/>
      </c>
      <c r="F2608" t="str">
        <f>"T1 201711216736"</f>
        <v>T1 201711216736</v>
      </c>
      <c r="G2608" t="str">
        <f>"FEDERAL WITHHOLDING"</f>
        <v>FEDERAL WITHHOLDING</v>
      </c>
      <c r="H2608" s="2">
        <v>3133.67</v>
      </c>
      <c r="I2608" t="str">
        <f>"FEDERAL WITHHOLDING"</f>
        <v>FEDERAL WITHHOLDING</v>
      </c>
    </row>
    <row r="2609" spans="1:9" x14ac:dyDescent="0.3">
      <c r="A2609" t="str">
        <f>""</f>
        <v/>
      </c>
      <c r="F2609" t="str">
        <f>"T3 201711216734"</f>
        <v>T3 201711216734</v>
      </c>
      <c r="G2609" t="str">
        <f>"SOCIAL SECURITY TAXES"</f>
        <v>SOCIAL SECURITY TAXES</v>
      </c>
      <c r="H2609" s="2">
        <v>30899.68</v>
      </c>
      <c r="I2609" t="str">
        <f t="shared" ref="I2609:I2652" si="49">"SOCIAL SECURITY TAXES"</f>
        <v>SOCIAL SECURITY TAXES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49"/>
        <v>SOCIAL SECURITY TAXES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49"/>
        <v>SOCIAL SECURITY TAXES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49"/>
        <v>SOCIAL SECURITY TAXES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49"/>
        <v>SOCIAL SECURITY TAXES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49"/>
        <v>SOCIAL SECURITY TAXES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49"/>
        <v>SOCIAL SECURITY TAXES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49"/>
        <v>SOCIAL SECURITY TAXES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49"/>
        <v>SOCIAL SECURITY TAXES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49"/>
        <v>SOCIAL SECURITY TAXES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49"/>
        <v>SOCIAL SECURITY TAXES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49"/>
        <v>SOCIAL SECURITY TAXES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49"/>
        <v>SOCIAL SECURITY TAXES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49"/>
        <v>SOCIAL SECURITY TAXES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49"/>
        <v>SOCIAL SECURITY TAXES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49"/>
        <v>SOCIAL SECURITY TAXES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49"/>
        <v>SOCIAL SECURITY TAXES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49"/>
        <v>SOCIAL SECURITY TAXES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49"/>
        <v>SOCIAL SECURITY TAXES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49"/>
        <v>SOCIAL SECURITY TAXES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49"/>
        <v>SOCIAL SECURITY TAXES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49"/>
        <v>SOCIAL SECURITY TAXES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49"/>
        <v>SOCIAL SECURITY TAXES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49"/>
        <v>SOCIAL SECURITY TAXES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49"/>
        <v>SOCIAL SECURITY TAXES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49"/>
        <v>SOCIAL SECURITY TAXES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49"/>
        <v>SOCIAL SECURITY TAXES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49"/>
        <v>SOCIAL SECURITY TAXES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49"/>
        <v>SOCIAL SECURITY TAXES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49"/>
        <v>SOCIAL SECURITY TAXES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49"/>
        <v>SOCIAL SECURITY TAXES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49"/>
        <v>SOCIAL SECURITY TAXES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49"/>
        <v>SOCIAL SECURITY TAXES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49"/>
        <v>SOCIAL SECURITY TAXES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49"/>
        <v>SOCIAL SECURITY TAXES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49"/>
        <v>SOCIAL SECURITY TAXES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49"/>
        <v>SOCIAL SECURITY TAXES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49"/>
        <v>SOCIAL SECURITY TAXES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49"/>
        <v>SOCIAL SECURITY TAXES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49"/>
        <v>SOCIAL SECURITY TAXES</v>
      </c>
    </row>
    <row r="2649" spans="1:9" x14ac:dyDescent="0.3">
      <c r="A2649" t="str">
        <f>""</f>
        <v/>
      </c>
      <c r="F2649" t="str">
        <f>"T3 201711216735"</f>
        <v>T3 201711216735</v>
      </c>
      <c r="G2649" t="str">
        <f>"SOCIAL SECURITY TAXES"</f>
        <v>SOCIAL SECURITY TAXES</v>
      </c>
      <c r="H2649" s="2">
        <v>2901.6</v>
      </c>
      <c r="I2649" t="str">
        <f t="shared" si="49"/>
        <v>SOCIAL SECURITY TAXES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49"/>
        <v>SOCIAL SECURITY TAXES</v>
      </c>
    </row>
    <row r="2651" spans="1:9" x14ac:dyDescent="0.3">
      <c r="A2651" t="str">
        <f>""</f>
        <v/>
      </c>
      <c r="F2651" t="str">
        <f>"T3 201711216736"</f>
        <v>T3 201711216736</v>
      </c>
      <c r="G2651" t="str">
        <f>"SOCIAL SECURITY TAXES"</f>
        <v>SOCIAL SECURITY TAXES</v>
      </c>
      <c r="H2651" s="2">
        <v>3745.42</v>
      </c>
      <c r="I2651" t="str">
        <f t="shared" si="49"/>
        <v>SOCIAL SECURITY TAXES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49"/>
        <v>SOCIAL SECURITY TAXES</v>
      </c>
    </row>
    <row r="2653" spans="1:9" x14ac:dyDescent="0.3">
      <c r="A2653" t="str">
        <f>""</f>
        <v/>
      </c>
      <c r="F2653" t="str">
        <f>"T4 201711216734"</f>
        <v>T4 201711216734</v>
      </c>
      <c r="G2653" t="str">
        <f>"MEDICARE TAXES"</f>
        <v>MEDICARE TAXES</v>
      </c>
      <c r="H2653" s="2">
        <v>7226.62</v>
      </c>
      <c r="I2653" t="str">
        <f t="shared" ref="I2653:I2696" si="50">"MEDICARE TAXES"</f>
        <v>MEDICARE TAXES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50"/>
        <v>MEDICARE TAXES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50"/>
        <v>MEDICARE TAXES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50"/>
        <v>MEDICARE TAXES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50"/>
        <v>MEDICARE TAXES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50"/>
        <v>MEDICARE TAXES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50"/>
        <v>MEDICARE TAXES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50"/>
        <v>MEDICARE TAXES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50"/>
        <v>MEDICARE TAXES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50"/>
        <v>MEDICARE TAXES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50"/>
        <v>MEDICARE TAXES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50"/>
        <v>MEDICARE TAXES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50"/>
        <v>MEDICARE TAXES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50"/>
        <v>MEDICARE TAXES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50"/>
        <v>MEDICARE TAXES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50"/>
        <v>MEDICARE TAXES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50"/>
        <v>MEDICARE TAXES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50"/>
        <v>MEDICARE TAXES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50"/>
        <v>MEDICARE TAXES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50"/>
        <v>MEDICARE TAXES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50"/>
        <v>MEDICARE TAXES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50"/>
        <v>MEDICARE TAXES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50"/>
        <v>MEDICARE TAXES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50"/>
        <v>MEDICARE TAXES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50"/>
        <v>MEDICARE TAXES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50"/>
        <v>MEDICARE TAXES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50"/>
        <v>MEDICARE TAXES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50"/>
        <v>MEDICARE TAXES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50"/>
        <v>MEDICARE TAXES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50"/>
        <v>MEDICARE TAXES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50"/>
        <v>MEDICARE TAXES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50"/>
        <v>MEDICARE TAXES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50"/>
        <v>MEDICARE TAXES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50"/>
        <v>MEDICARE TAXES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50"/>
        <v>MEDICARE TAXES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50"/>
        <v>MEDICARE TAXES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50"/>
        <v>MEDICARE TAXES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50"/>
        <v>MEDICARE TAXES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50"/>
        <v>MEDICARE TAXES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50"/>
        <v>MEDICARE TAXES</v>
      </c>
    </row>
    <row r="2693" spans="1:9" x14ac:dyDescent="0.3">
      <c r="A2693" t="str">
        <f>""</f>
        <v/>
      </c>
      <c r="F2693" t="str">
        <f>"T4 201711216735"</f>
        <v>T4 201711216735</v>
      </c>
      <c r="G2693" t="str">
        <f>"MEDICARE TAXES"</f>
        <v>MEDICARE TAXES</v>
      </c>
      <c r="H2693" s="2">
        <v>678.68</v>
      </c>
      <c r="I2693" t="str">
        <f t="shared" si="50"/>
        <v>MEDICARE TAXES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50"/>
        <v>MEDICARE TAXES</v>
      </c>
    </row>
    <row r="2695" spans="1:9" x14ac:dyDescent="0.3">
      <c r="A2695" t="str">
        <f>""</f>
        <v/>
      </c>
      <c r="F2695" t="str">
        <f>"T4 201711216736"</f>
        <v>T4 201711216736</v>
      </c>
      <c r="G2695" t="str">
        <f>"MEDICARE TAXES"</f>
        <v>MEDICARE TAXES</v>
      </c>
      <c r="H2695" s="2">
        <v>875.9</v>
      </c>
      <c r="I2695" t="str">
        <f t="shared" si="50"/>
        <v>MEDICARE TAXES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50"/>
        <v>MEDICARE TAXES</v>
      </c>
    </row>
    <row r="2697" spans="1:9" x14ac:dyDescent="0.3">
      <c r="A2697" t="str">
        <f>"004638"</f>
        <v>004638</v>
      </c>
      <c r="B2697" t="s">
        <v>622</v>
      </c>
      <c r="C2697">
        <v>45949</v>
      </c>
      <c r="D2697" s="2">
        <v>72.41</v>
      </c>
      <c r="E2697" s="1">
        <v>43042</v>
      </c>
      <c r="F2697" t="str">
        <f>"C64201711016103"</f>
        <v>C64201711016103</v>
      </c>
      <c r="G2697" t="str">
        <f>"CASE #912745322"</f>
        <v>CASE #912745322</v>
      </c>
      <c r="H2697" s="2">
        <v>72.41</v>
      </c>
      <c r="I2697" t="str">
        <f>"CASE #912745322"</f>
        <v>CASE #912745322</v>
      </c>
    </row>
    <row r="2698" spans="1:9" x14ac:dyDescent="0.3">
      <c r="A2698" t="str">
        <f>"004638"</f>
        <v>004638</v>
      </c>
      <c r="B2698" t="s">
        <v>622</v>
      </c>
      <c r="C2698">
        <v>45997</v>
      </c>
      <c r="D2698" s="2">
        <v>72.41</v>
      </c>
      <c r="E2698" s="1">
        <v>43056</v>
      </c>
      <c r="F2698" t="str">
        <f>"C64201711156614"</f>
        <v>C64201711156614</v>
      </c>
      <c r="G2698" t="str">
        <f>"CASE #912745322"</f>
        <v>CASE #912745322</v>
      </c>
      <c r="H2698" s="2">
        <v>72.41</v>
      </c>
      <c r="I2698" t="str">
        <f>"CASE #912745322"</f>
        <v>CASE #912745322</v>
      </c>
    </row>
    <row r="2699" spans="1:9" x14ac:dyDescent="0.3">
      <c r="A2699" t="str">
        <f>"001507"</f>
        <v>001507</v>
      </c>
      <c r="B2699" t="s">
        <v>623</v>
      </c>
      <c r="C2699">
        <v>0</v>
      </c>
      <c r="D2699" s="2">
        <v>14552.65</v>
      </c>
      <c r="E2699" s="1">
        <v>43067</v>
      </c>
      <c r="F2699" t="str">
        <f>"201711286832"</f>
        <v>201711286832</v>
      </c>
      <c r="G2699" t="str">
        <f>"MONUMENTAL LIFE INS CO"</f>
        <v>MONUMENTAL LIFE INS CO</v>
      </c>
      <c r="H2699" s="2">
        <v>14552.65</v>
      </c>
      <c r="I2699" t="str">
        <f>"MONUMENTAL LIFE INS CO"</f>
        <v>MONUMENTAL LIFE INS CO</v>
      </c>
    </row>
    <row r="2700" spans="1:9" x14ac:dyDescent="0.3">
      <c r="A2700" t="str">
        <f>"002456"</f>
        <v>002456</v>
      </c>
      <c r="B2700" t="s">
        <v>624</v>
      </c>
      <c r="C2700">
        <v>0</v>
      </c>
      <c r="D2700" s="2">
        <v>731.02</v>
      </c>
      <c r="E2700" s="1">
        <v>43068</v>
      </c>
      <c r="F2700" t="str">
        <f>"LIX201711016103"</f>
        <v>LIX201711016103</v>
      </c>
      <c r="G2700" t="str">
        <f>"TEXAS LIFE/OLIVO GROUP"</f>
        <v>TEXAS LIFE/OLIVO GROUP</v>
      </c>
      <c r="H2700" s="2">
        <v>365.51</v>
      </c>
      <c r="I2700" t="str">
        <f>"TEXAS LIFE/OLIVO GROUP"</f>
        <v>TEXAS LIFE/OLIVO GROUP</v>
      </c>
    </row>
    <row r="2701" spans="1:9" x14ac:dyDescent="0.3">
      <c r="A2701" t="str">
        <f>""</f>
        <v/>
      </c>
      <c r="F2701" t="str">
        <f>"LIX201711156614"</f>
        <v>LIX201711156614</v>
      </c>
      <c r="G2701" t="str">
        <f>"TEXAS LIFE/OLIVO GROUP"</f>
        <v>TEXAS LIFE/OLIVO GROUP</v>
      </c>
      <c r="H2701" s="2">
        <v>365.51</v>
      </c>
      <c r="I2701" t="str">
        <f>"TEXAS LIFE/OLIVO GROUP"</f>
        <v>TEXAS LIFE/OLIVO GROUP</v>
      </c>
    </row>
    <row r="2702" spans="1:9" x14ac:dyDescent="0.3">
      <c r="A2702" t="str">
        <f>"TACHEB"</f>
        <v>TACHEB</v>
      </c>
      <c r="B2702" t="s">
        <v>625</v>
      </c>
      <c r="C2702">
        <v>46018</v>
      </c>
      <c r="D2702" s="2">
        <v>326371.8</v>
      </c>
      <c r="E2702" s="1">
        <v>43067</v>
      </c>
      <c r="F2702" t="str">
        <f>"201711286831"</f>
        <v>201711286831</v>
      </c>
      <c r="G2702" t="str">
        <f>"TAC HEALTH BENEFITS POOL"</f>
        <v>TAC HEALTH BENEFITS POOL</v>
      </c>
      <c r="H2702" s="2">
        <v>15116.16</v>
      </c>
      <c r="I2702" t="str">
        <f>"TAC HEALTH BENEFITS POOL"</f>
        <v>TAC HEALTH BENEFITS POOL</v>
      </c>
    </row>
    <row r="2703" spans="1:9" x14ac:dyDescent="0.3">
      <c r="A2703" t="str">
        <f>""</f>
        <v/>
      </c>
      <c r="F2703" t="str">
        <f>"2EC201711016103"</f>
        <v>2EC201711016103</v>
      </c>
      <c r="G2703" t="str">
        <f>"BCBS PAYABLE"</f>
        <v>BCBS PAYABLE</v>
      </c>
      <c r="H2703" s="2">
        <v>45329.81</v>
      </c>
      <c r="I2703" t="str">
        <f t="shared" ref="I2703:I2734" si="51">"BCBS PAYABLE"</f>
        <v>BCBS PAYABLE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51"/>
        <v>BCBS PAYABLE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51"/>
        <v>BCBS PAYABLE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51"/>
        <v>BCBS PAYABLE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51"/>
        <v>BCBS PAYABLE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51"/>
        <v>BCBS PAYABLE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51"/>
        <v>BCBS PAYABLE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51"/>
        <v>BCBS PAYABLE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51"/>
        <v>BCBS PAYABLE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51"/>
        <v>BCBS PAYABLE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51"/>
        <v>BCBS PAYABLE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51"/>
        <v>BCBS PAYABLE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51"/>
        <v>BCBS PAYABLE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51"/>
        <v>BCBS PAYABLE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51"/>
        <v>BCBS PAYABLE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51"/>
        <v>BCBS PAYABLE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51"/>
        <v>BCBS PAYABLE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51"/>
        <v>BCBS PAYABLE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51"/>
        <v>BCBS PAYABLE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51"/>
        <v>BCBS PAYABLE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51"/>
        <v>BCBS PAYABLE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51"/>
        <v>BCBS PAYABLE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51"/>
        <v>BCBS PAYABLE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51"/>
        <v>BCBS PAYABLE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51"/>
        <v>BCBS PAYABLE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51"/>
        <v>BCBS PAYABLE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51"/>
        <v>BCBS PAYABLE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51"/>
        <v>BCBS PAYABLE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51"/>
        <v>BCBS PAYABLE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51"/>
        <v>BCBS PAYABLE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51"/>
        <v>BCBS PAYABLE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51"/>
        <v>BCBS PAYABLE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ref="I2735:I2766" si="52">"BCBS PAYABLE"</f>
        <v>BCBS PAYABLE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2"/>
        <v>BCBS PAYABLE</v>
      </c>
    </row>
    <row r="2737" spans="1:9" x14ac:dyDescent="0.3">
      <c r="A2737" t="str">
        <f>""</f>
        <v/>
      </c>
      <c r="F2737" t="str">
        <f>"2EC201711016105"</f>
        <v>2EC201711016105</v>
      </c>
      <c r="G2737" t="str">
        <f>"BCBS PAYABLE"</f>
        <v>BCBS PAYABLE</v>
      </c>
      <c r="H2737" s="2">
        <v>1795.24</v>
      </c>
      <c r="I2737" t="str">
        <f t="shared" si="52"/>
        <v>BCBS PAYABLE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52"/>
        <v>BCBS PAYABLE</v>
      </c>
    </row>
    <row r="2739" spans="1:9" x14ac:dyDescent="0.3">
      <c r="A2739" t="str">
        <f>""</f>
        <v/>
      </c>
      <c r="F2739" t="str">
        <f>"2EC201711156614"</f>
        <v>2EC201711156614</v>
      </c>
      <c r="G2739" t="str">
        <f>"BCBS PAYABLE"</f>
        <v>BCBS PAYABLE</v>
      </c>
      <c r="H2739" s="2">
        <v>45900.9</v>
      </c>
      <c r="I2739" t="str">
        <f t="shared" si="52"/>
        <v>BCBS PAYABLE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52"/>
        <v>BCBS PAYABLE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52"/>
        <v>BCBS PAYABLE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52"/>
        <v>BCBS PAYABLE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52"/>
        <v>BCBS PAYABLE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52"/>
        <v>BCBS PAYABLE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52"/>
        <v>BCBS PAYABLE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52"/>
        <v>BCBS PAYABLE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52"/>
        <v>BCBS PAYABLE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52"/>
        <v>BCBS PAYABLE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52"/>
        <v>BCBS PAYABLE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52"/>
        <v>BCBS PAYABLE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52"/>
        <v>BCBS PAYABLE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52"/>
        <v>BCBS PAYABLE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2"/>
        <v>BCBS PAYABLE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2"/>
        <v>BCBS PAYABLE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52"/>
        <v>BCBS PAYABLE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52"/>
        <v>BCBS PAYABLE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2"/>
        <v>BCBS PAYABLE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52"/>
        <v>BCBS PAYABLE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52"/>
        <v>BCBS PAYABLE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52"/>
        <v>BCBS PAYABLE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52"/>
        <v>BCBS PAYABLE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52"/>
        <v>BCBS PAYABLE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52"/>
        <v>BCBS PAYABLE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52"/>
        <v>BCBS PAYABLE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52"/>
        <v>BCBS PAYABLE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52"/>
        <v>BCBS PAYABLE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ref="I2767:I2798" si="53">"BCBS PAYABLE"</f>
        <v>BCBS PAYABLE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53"/>
        <v>BCBS PAYABLE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53"/>
        <v>BCBS PAYABLE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53"/>
        <v>BCBS PAYABLE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53"/>
        <v>BCBS PAYABLE</v>
      </c>
    </row>
    <row r="2772" spans="1:9" x14ac:dyDescent="0.3">
      <c r="A2772" t="str">
        <f>""</f>
        <v/>
      </c>
      <c r="F2772" t="str">
        <f>"2EC201711156615"</f>
        <v>2EC201711156615</v>
      </c>
      <c r="G2772" t="str">
        <f>"BCBS PAYABLE"</f>
        <v>BCBS PAYABLE</v>
      </c>
      <c r="H2772" s="2">
        <v>1795.24</v>
      </c>
      <c r="I2772" t="str">
        <f t="shared" si="53"/>
        <v>BCBS PAYABLE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53"/>
        <v>BCBS PAYABLE</v>
      </c>
    </row>
    <row r="2774" spans="1:9" x14ac:dyDescent="0.3">
      <c r="A2774" t="str">
        <f>""</f>
        <v/>
      </c>
      <c r="F2774" t="str">
        <f>"2EF201711016103"</f>
        <v>2EF201711016103</v>
      </c>
      <c r="G2774" t="str">
        <f>"BCBS PAYABLE"</f>
        <v>BCBS PAYABLE</v>
      </c>
      <c r="H2774" s="2">
        <v>2675.61</v>
      </c>
      <c r="I2774" t="str">
        <f t="shared" si="53"/>
        <v>BCBS PAYABLE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53"/>
        <v>BCBS PAYABLE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53"/>
        <v>BCBS PAYABLE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53"/>
        <v>BCBS PAYABLE</v>
      </c>
    </row>
    <row r="2778" spans="1:9" x14ac:dyDescent="0.3">
      <c r="A2778" t="str">
        <f>""</f>
        <v/>
      </c>
      <c r="F2778" t="str">
        <f>"2EF201711156614"</f>
        <v>2EF201711156614</v>
      </c>
      <c r="G2778" t="str">
        <f>"BCBS PAYABLE"</f>
        <v>BCBS PAYABLE</v>
      </c>
      <c r="H2778" s="2">
        <v>2675.61</v>
      </c>
      <c r="I2778" t="str">
        <f t="shared" si="53"/>
        <v>BCBS PAYABLE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53"/>
        <v>BCBS PAYABLE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53"/>
        <v>BCBS PAYABLE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53"/>
        <v>BCBS PAYABLE</v>
      </c>
    </row>
    <row r="2782" spans="1:9" x14ac:dyDescent="0.3">
      <c r="A2782" t="str">
        <f>""</f>
        <v/>
      </c>
      <c r="F2782" t="str">
        <f>"2EO201711016103"</f>
        <v>2EO201711016103</v>
      </c>
      <c r="G2782" t="str">
        <f>"BCBS PAYABLE"</f>
        <v>BCBS PAYABLE</v>
      </c>
      <c r="H2782" s="2">
        <v>86203.92</v>
      </c>
      <c r="I2782" t="str">
        <f t="shared" si="53"/>
        <v>BCBS PAYABLE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53"/>
        <v>BCBS PAYABLE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53"/>
        <v>BCBS PAYABLE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53"/>
        <v>BCBS PAYABLE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53"/>
        <v>BCBS PAYABLE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53"/>
        <v>BCBS PAYABLE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53"/>
        <v>BCBS PAYABLE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53"/>
        <v>BCBS PAYABLE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53"/>
        <v>BCBS PAYABLE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53"/>
        <v>BCBS PAYABLE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53"/>
        <v>BCBS PAYABLE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53"/>
        <v>BCBS PAYABLE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53"/>
        <v>BCBS PAYABLE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53"/>
        <v>BCBS PAYABLE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53"/>
        <v>BCBS PAYABLE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53"/>
        <v>BCBS PAYABLE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53"/>
        <v>BCBS PAYABLE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ref="I2799:I2830" si="54">"BCBS PAYABLE"</f>
        <v>BCBS PAYABLE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54"/>
        <v>BCBS PAYABLE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54"/>
        <v>BCBS PAYABLE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54"/>
        <v>BCBS PAYABLE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54"/>
        <v>BCBS PAYABLE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54"/>
        <v>BCBS PAYABLE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54"/>
        <v>BCBS PAYABLE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54"/>
        <v>BCBS PAYABLE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54"/>
        <v>BCBS PAYABLE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54"/>
        <v>BCBS PAYABLE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54"/>
        <v>BCBS PAYABLE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54"/>
        <v>BCBS PAYABLE</v>
      </c>
    </row>
    <row r="2811" spans="1:9" x14ac:dyDescent="0.3">
      <c r="A2811" t="str">
        <f>""</f>
        <v/>
      </c>
      <c r="F2811" t="str">
        <f>""</f>
        <v/>
      </c>
      <c r="G2811" t="str">
        <f>""</f>
        <v/>
      </c>
      <c r="I2811" t="str">
        <f t="shared" si="54"/>
        <v>BCBS PAYABLE</v>
      </c>
    </row>
    <row r="2812" spans="1:9" x14ac:dyDescent="0.3">
      <c r="A2812" t="str">
        <f>""</f>
        <v/>
      </c>
      <c r="F2812" t="str">
        <f>""</f>
        <v/>
      </c>
      <c r="G2812" t="str">
        <f>""</f>
        <v/>
      </c>
      <c r="I2812" t="str">
        <f t="shared" si="54"/>
        <v>BCBS PAYABLE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54"/>
        <v>BCBS PAYABLE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54"/>
        <v>BCBS PAYABLE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54"/>
        <v>BCBS PAYABLE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54"/>
        <v>BCBS PAYABLE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54"/>
        <v>BCBS PAYABLE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54"/>
        <v>BCBS PAYABLE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54"/>
        <v>BCBS PAYABLE</v>
      </c>
    </row>
    <row r="2820" spans="1:9" x14ac:dyDescent="0.3">
      <c r="A2820" t="str">
        <f>""</f>
        <v/>
      </c>
      <c r="F2820" t="str">
        <f>""</f>
        <v/>
      </c>
      <c r="G2820" t="str">
        <f>""</f>
        <v/>
      </c>
      <c r="I2820" t="str">
        <f t="shared" si="54"/>
        <v>BCBS PAYABLE</v>
      </c>
    </row>
    <row r="2821" spans="1:9" x14ac:dyDescent="0.3">
      <c r="A2821" t="str">
        <f>""</f>
        <v/>
      </c>
      <c r="F2821" t="str">
        <f>"2EO201711016105"</f>
        <v>2EO201711016105</v>
      </c>
      <c r="G2821" t="str">
        <f>"BCBS PAYABLE"</f>
        <v>BCBS PAYABLE</v>
      </c>
      <c r="H2821" s="2">
        <v>3591.83</v>
      </c>
      <c r="I2821" t="str">
        <f t="shared" si="54"/>
        <v>BCBS PAYABLE</v>
      </c>
    </row>
    <row r="2822" spans="1:9" x14ac:dyDescent="0.3">
      <c r="A2822" t="str">
        <f>""</f>
        <v/>
      </c>
      <c r="F2822" t="str">
        <f>"2EO201711156614"</f>
        <v>2EO201711156614</v>
      </c>
      <c r="G2822" t="str">
        <f>"BCBS PAYABLE"</f>
        <v>BCBS PAYABLE</v>
      </c>
      <c r="H2822" s="2">
        <v>86530.45</v>
      </c>
      <c r="I2822" t="str">
        <f t="shared" si="54"/>
        <v>BCBS PAYABLE</v>
      </c>
    </row>
    <row r="2823" spans="1:9" x14ac:dyDescent="0.3">
      <c r="A2823" t="str">
        <f>""</f>
        <v/>
      </c>
      <c r="F2823" t="str">
        <f>""</f>
        <v/>
      </c>
      <c r="G2823" t="str">
        <f>""</f>
        <v/>
      </c>
      <c r="I2823" t="str">
        <f t="shared" si="54"/>
        <v>BCBS PAYABLE</v>
      </c>
    </row>
    <row r="2824" spans="1:9" x14ac:dyDescent="0.3">
      <c r="A2824" t="str">
        <f>""</f>
        <v/>
      </c>
      <c r="F2824" t="str">
        <f>""</f>
        <v/>
      </c>
      <c r="G2824" t="str">
        <f>""</f>
        <v/>
      </c>
      <c r="I2824" t="str">
        <f t="shared" si="54"/>
        <v>BCBS PAYABLE</v>
      </c>
    </row>
    <row r="2825" spans="1:9" x14ac:dyDescent="0.3">
      <c r="A2825" t="str">
        <f>""</f>
        <v/>
      </c>
      <c r="F2825" t="str">
        <f>""</f>
        <v/>
      </c>
      <c r="G2825" t="str">
        <f>""</f>
        <v/>
      </c>
      <c r="I2825" t="str">
        <f t="shared" si="54"/>
        <v>BCBS PAYABLE</v>
      </c>
    </row>
    <row r="2826" spans="1:9" x14ac:dyDescent="0.3">
      <c r="A2826" t="str">
        <f>""</f>
        <v/>
      </c>
      <c r="F2826" t="str">
        <f>""</f>
        <v/>
      </c>
      <c r="G2826" t="str">
        <f>""</f>
        <v/>
      </c>
      <c r="I2826" t="str">
        <f t="shared" si="54"/>
        <v>BCBS PAYABLE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54"/>
        <v>BCBS PAYABLE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54"/>
        <v>BCBS PAYABLE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54"/>
        <v>BCBS PAYABLE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54"/>
        <v>BCBS PAYABLE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ref="I2831:I2862" si="55">"BCBS PAYABLE"</f>
        <v>BCBS PAYABLE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55"/>
        <v>BCBS PAYABLE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55"/>
        <v>BCBS PAYABLE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55"/>
        <v>BCBS PAYABLE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55"/>
        <v>BCBS PAYABLE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55"/>
        <v>BCBS PAYABLE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55"/>
        <v>BCBS PAYABLE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55"/>
        <v>BCBS PAYABLE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55"/>
        <v>BCBS PAYABLE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55"/>
        <v>BCBS PAYABLE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55"/>
        <v>BCBS PAYABLE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55"/>
        <v>BCBS PAYABLE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55"/>
        <v>BCBS PAYABLE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55"/>
        <v>BCBS PAYABLE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55"/>
        <v>BCBS PAYABLE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55"/>
        <v>BCBS PAYABLE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55"/>
        <v>BCBS PAYABLE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55"/>
        <v>BCBS PAYABLE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55"/>
        <v>BCBS PAYABLE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55"/>
        <v>BCBS PAYABLE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55"/>
        <v>BCBS PAYABLE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55"/>
        <v>BCBS PAYABLE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55"/>
        <v>BCBS PAYABLE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55"/>
        <v>BCBS PAYABLE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55"/>
        <v>BCBS PAYABLE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55"/>
        <v>BCBS PAYABLE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55"/>
        <v>BCBS PAYABLE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55"/>
        <v>BCBS PAYABLE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55"/>
        <v>BCBS PAYABLE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55"/>
        <v>BCBS PAYABLE</v>
      </c>
    </row>
    <row r="2861" spans="1:9" x14ac:dyDescent="0.3">
      <c r="A2861" t="str">
        <f>""</f>
        <v/>
      </c>
      <c r="F2861" t="str">
        <f>"2EO201711156615"</f>
        <v>2EO201711156615</v>
      </c>
      <c r="G2861" t="str">
        <f>"BCBS PAYABLE"</f>
        <v>BCBS PAYABLE</v>
      </c>
      <c r="H2861" s="2">
        <v>3591.83</v>
      </c>
      <c r="I2861" t="str">
        <f t="shared" si="55"/>
        <v>BCBS PAYABLE</v>
      </c>
    </row>
    <row r="2862" spans="1:9" x14ac:dyDescent="0.3">
      <c r="A2862" t="str">
        <f>""</f>
        <v/>
      </c>
      <c r="F2862" t="str">
        <f>"2ES201711016103"</f>
        <v>2ES201711016103</v>
      </c>
      <c r="G2862" t="str">
        <f>"BCBS PAYABLE"</f>
        <v>BCBS PAYABLE</v>
      </c>
      <c r="H2862" s="2">
        <v>15582.6</v>
      </c>
      <c r="I2862" t="str">
        <f t="shared" si="55"/>
        <v>BCBS PAYABLE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ref="I2863:I2897" si="56">"BCBS PAYABLE"</f>
        <v>BCBS PAYABLE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56"/>
        <v>BCBS PAYABLE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56"/>
        <v>BCBS PAYABLE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56"/>
        <v>BCBS PAYABLE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56"/>
        <v>BCBS PAYABLE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56"/>
        <v>BCBS PAYABLE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56"/>
        <v>BCBS PAYABLE</v>
      </c>
    </row>
    <row r="2870" spans="1:9" x14ac:dyDescent="0.3">
      <c r="A2870" t="str">
        <f>""</f>
        <v/>
      </c>
      <c r="F2870" t="str">
        <f>""</f>
        <v/>
      </c>
      <c r="G2870" t="str">
        <f>""</f>
        <v/>
      </c>
      <c r="I2870" t="str">
        <f t="shared" si="56"/>
        <v>BCBS PAYABLE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56"/>
        <v>BCBS PAYABLE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si="56"/>
        <v>BCBS PAYABLE</v>
      </c>
    </row>
    <row r="2873" spans="1:9" x14ac:dyDescent="0.3">
      <c r="A2873" t="str">
        <f>""</f>
        <v/>
      </c>
      <c r="F2873" t="str">
        <f>""</f>
        <v/>
      </c>
      <c r="G2873" t="str">
        <f>""</f>
        <v/>
      </c>
      <c r="I2873" t="str">
        <f t="shared" si="56"/>
        <v>BCBS PAYABLE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56"/>
        <v>BCBS PAYABLE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56"/>
        <v>BCBS PAYABLE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56"/>
        <v>BCBS PAYABLE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 t="shared" si="56"/>
        <v>BCBS PAYABLE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 t="shared" si="56"/>
        <v>BCBS PAYABLE</v>
      </c>
    </row>
    <row r="2879" spans="1:9" x14ac:dyDescent="0.3">
      <c r="A2879" t="str">
        <f>""</f>
        <v/>
      </c>
      <c r="F2879" t="str">
        <f>""</f>
        <v/>
      </c>
      <c r="G2879" t="str">
        <f>""</f>
        <v/>
      </c>
      <c r="I2879" t="str">
        <f t="shared" si="56"/>
        <v>BCBS PAYABLE</v>
      </c>
    </row>
    <row r="2880" spans="1:9" x14ac:dyDescent="0.3">
      <c r="A2880" t="str">
        <f>""</f>
        <v/>
      </c>
      <c r="F2880" t="str">
        <f>"2ES201711156614"</f>
        <v>2ES201711156614</v>
      </c>
      <c r="G2880" t="str">
        <f>"BCBS PAYABLE"</f>
        <v>BCBS PAYABLE</v>
      </c>
      <c r="H2880" s="2">
        <v>15582.6</v>
      </c>
      <c r="I2880" t="str">
        <f t="shared" si="56"/>
        <v>BCBS PAYABLE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56"/>
        <v>BCBS PAYABLE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56"/>
        <v>BCBS PAYABLE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56"/>
        <v>BCBS PAYABLE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56"/>
        <v>BCBS PAYABLE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56"/>
        <v>BCBS PAYABLE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56"/>
        <v>BCBS PAYABLE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56"/>
        <v>BCBS PAYABLE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56"/>
        <v>BCBS PAYABLE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56"/>
        <v>BCBS PAYABLE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56"/>
        <v>BCBS PAYABLE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56"/>
        <v>BCBS PAYABLE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56"/>
        <v>BCBS PAYABLE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56"/>
        <v>BCBS PAYABLE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56"/>
        <v>BCBS PAYABLE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56"/>
        <v>BCBS PAYABLE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56"/>
        <v>BCBS PAYABLE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56"/>
        <v>BCBS PAYABLE</v>
      </c>
    </row>
    <row r="2898" spans="1:9" x14ac:dyDescent="0.3">
      <c r="A2898" t="str">
        <f>"TAGO"</f>
        <v>TAGO</v>
      </c>
      <c r="B2898" t="s">
        <v>626</v>
      </c>
      <c r="C2898">
        <v>0</v>
      </c>
      <c r="D2898" s="2">
        <v>4023.6</v>
      </c>
      <c r="E2898" s="1">
        <v>43042</v>
      </c>
      <c r="F2898" t="str">
        <f>"C18201711016105"</f>
        <v>C18201711016105</v>
      </c>
      <c r="G2898" t="str">
        <f>"CAUSE# 0011635329"</f>
        <v>CAUSE# 0011635329</v>
      </c>
      <c r="H2898" s="2">
        <v>603.23</v>
      </c>
      <c r="I2898" t="str">
        <f>"CAUSE# 0011635329"</f>
        <v>CAUSE# 0011635329</v>
      </c>
    </row>
    <row r="2899" spans="1:9" x14ac:dyDescent="0.3">
      <c r="A2899" t="str">
        <f>""</f>
        <v/>
      </c>
      <c r="F2899" t="str">
        <f>"C2 201711016105"</f>
        <v>C2 201711016105</v>
      </c>
      <c r="G2899" t="str">
        <f>"0012982132CCL7445"</f>
        <v>0012982132CCL7445</v>
      </c>
      <c r="H2899" s="2">
        <v>692.31</v>
      </c>
      <c r="I2899" t="str">
        <f>"0012982132CCL7445"</f>
        <v>0012982132CCL7445</v>
      </c>
    </row>
    <row r="2900" spans="1:9" x14ac:dyDescent="0.3">
      <c r="A2900" t="str">
        <f>""</f>
        <v/>
      </c>
      <c r="F2900" t="str">
        <f>"C20201711016103"</f>
        <v>C20201711016103</v>
      </c>
      <c r="G2900" t="str">
        <f>"001003981107-12252"</f>
        <v>001003981107-12252</v>
      </c>
      <c r="H2900" s="2">
        <v>115.39</v>
      </c>
      <c r="I2900" t="str">
        <f>"001003981107-12252"</f>
        <v>001003981107-12252</v>
      </c>
    </row>
    <row r="2901" spans="1:9" x14ac:dyDescent="0.3">
      <c r="A2901" t="str">
        <f>""</f>
        <v/>
      </c>
      <c r="F2901" t="str">
        <f>"C39201711016103"</f>
        <v>C39201711016103</v>
      </c>
      <c r="G2901" t="str">
        <f>"0012352184423-1520"</f>
        <v>0012352184423-1520</v>
      </c>
      <c r="H2901" s="2">
        <v>273.23</v>
      </c>
      <c r="I2901" t="str">
        <f>"0012352184423-1520"</f>
        <v>0012352184423-1520</v>
      </c>
    </row>
    <row r="2902" spans="1:9" x14ac:dyDescent="0.3">
      <c r="A2902" t="str">
        <f>""</f>
        <v/>
      </c>
      <c r="F2902" t="str">
        <f>"C42201711016103"</f>
        <v>C42201711016103</v>
      </c>
      <c r="G2902" t="str">
        <f>"001236769211-14410"</f>
        <v>001236769211-14410</v>
      </c>
      <c r="H2902" s="2">
        <v>230.31</v>
      </c>
      <c r="I2902" t="str">
        <f>"001236769211-14410"</f>
        <v>001236769211-14410</v>
      </c>
    </row>
    <row r="2903" spans="1:9" x14ac:dyDescent="0.3">
      <c r="A2903" t="str">
        <f>""</f>
        <v/>
      </c>
      <c r="F2903" t="str">
        <f>"C46201711016103"</f>
        <v>C46201711016103</v>
      </c>
      <c r="G2903" t="str">
        <f>"CAUSE# 11-14911"</f>
        <v>CAUSE# 11-14911</v>
      </c>
      <c r="H2903" s="2">
        <v>238.62</v>
      </c>
      <c r="I2903" t="str">
        <f>"CAUSE# 11-14911"</f>
        <v>CAUSE# 11-14911</v>
      </c>
    </row>
    <row r="2904" spans="1:9" x14ac:dyDescent="0.3">
      <c r="A2904" t="str">
        <f>""</f>
        <v/>
      </c>
      <c r="F2904" t="str">
        <f>"C53201711016103"</f>
        <v>C53201711016103</v>
      </c>
      <c r="G2904" t="str">
        <f>"0012453366"</f>
        <v>0012453366</v>
      </c>
      <c r="H2904" s="2">
        <v>207.69</v>
      </c>
      <c r="I2904" t="str">
        <f>"0012453366"</f>
        <v>0012453366</v>
      </c>
    </row>
    <row r="2905" spans="1:9" x14ac:dyDescent="0.3">
      <c r="A2905" t="str">
        <f>""</f>
        <v/>
      </c>
      <c r="F2905" t="str">
        <f>"C59201711016103"</f>
        <v>C59201711016103</v>
      </c>
      <c r="G2905" t="str">
        <f>"0012936495140043"</f>
        <v>0012936495140043</v>
      </c>
      <c r="H2905" s="2">
        <v>226.15</v>
      </c>
      <c r="I2905" t="str">
        <f>"0012936495140043"</f>
        <v>0012936495140043</v>
      </c>
    </row>
    <row r="2906" spans="1:9" x14ac:dyDescent="0.3">
      <c r="A2906" t="str">
        <f>""</f>
        <v/>
      </c>
      <c r="F2906" t="str">
        <f>"C60201711016103"</f>
        <v>C60201711016103</v>
      </c>
      <c r="G2906" t="str">
        <f>"00130730762012V300"</f>
        <v>00130730762012V300</v>
      </c>
      <c r="H2906" s="2">
        <v>399.32</v>
      </c>
      <c r="I2906" t="str">
        <f>"00130730762012V300"</f>
        <v>00130730762012V300</v>
      </c>
    </row>
    <row r="2907" spans="1:9" x14ac:dyDescent="0.3">
      <c r="A2907" t="str">
        <f>""</f>
        <v/>
      </c>
      <c r="F2907" t="str">
        <f>"C61201711016103"</f>
        <v>C61201711016103</v>
      </c>
      <c r="G2907" t="str">
        <f>"001174398213713"</f>
        <v>001174398213713</v>
      </c>
      <c r="H2907" s="2">
        <v>6.42</v>
      </c>
      <c r="I2907" t="str">
        <f>"001174398213713"</f>
        <v>001174398213713</v>
      </c>
    </row>
    <row r="2908" spans="1:9" x14ac:dyDescent="0.3">
      <c r="A2908" t="str">
        <f>""</f>
        <v/>
      </c>
      <c r="F2908" t="str">
        <f>"C62201711016103"</f>
        <v>C62201711016103</v>
      </c>
      <c r="G2908" t="str">
        <f>"# 0012128865"</f>
        <v># 0012128865</v>
      </c>
      <c r="H2908" s="2">
        <v>243.23</v>
      </c>
      <c r="I2908" t="str">
        <f>"# 0012128865"</f>
        <v># 0012128865</v>
      </c>
    </row>
    <row r="2909" spans="1:9" x14ac:dyDescent="0.3">
      <c r="A2909" t="str">
        <f>""</f>
        <v/>
      </c>
      <c r="F2909" t="str">
        <f>"C63201711016103"</f>
        <v>C63201711016103</v>
      </c>
      <c r="G2909" t="str">
        <f>"00132751231517246"</f>
        <v>00132751231517246</v>
      </c>
      <c r="H2909" s="2">
        <v>46.15</v>
      </c>
      <c r="I2909" t="str">
        <f>"00132751231517246"</f>
        <v>00132751231517246</v>
      </c>
    </row>
    <row r="2910" spans="1:9" x14ac:dyDescent="0.3">
      <c r="A2910" t="str">
        <f>""</f>
        <v/>
      </c>
      <c r="F2910" t="str">
        <f>"C65201711016103"</f>
        <v>C65201711016103</v>
      </c>
      <c r="G2910" t="str">
        <f>"12-14956"</f>
        <v>12-14956</v>
      </c>
      <c r="H2910" s="2">
        <v>411.1</v>
      </c>
      <c r="I2910" t="str">
        <f>"12-14956"</f>
        <v>12-14956</v>
      </c>
    </row>
    <row r="2911" spans="1:9" x14ac:dyDescent="0.3">
      <c r="A2911" t="str">
        <f>""</f>
        <v/>
      </c>
      <c r="F2911" t="str">
        <f>"C66201711016103"</f>
        <v>C66201711016103</v>
      </c>
      <c r="G2911" t="str">
        <f>"# 0012871801"</f>
        <v># 0012871801</v>
      </c>
      <c r="H2911" s="2">
        <v>90</v>
      </c>
      <c r="I2911" t="str">
        <f>"# 0012871801"</f>
        <v># 0012871801</v>
      </c>
    </row>
    <row r="2912" spans="1:9" x14ac:dyDescent="0.3">
      <c r="A2912" t="str">
        <f>""</f>
        <v/>
      </c>
      <c r="F2912" t="str">
        <f>"C66201711016106"</f>
        <v>C66201711016106</v>
      </c>
      <c r="G2912" t="str">
        <f>"CAUSE#D1FM13007058"</f>
        <v>CAUSE#D1FM13007058</v>
      </c>
      <c r="H2912" s="2">
        <v>138.46</v>
      </c>
      <c r="I2912" t="str">
        <f>"CAUSE#D1FM13007058"</f>
        <v>CAUSE#D1FM13007058</v>
      </c>
    </row>
    <row r="2913" spans="1:9" x14ac:dyDescent="0.3">
      <c r="A2913" t="str">
        <f>""</f>
        <v/>
      </c>
      <c r="F2913" t="str">
        <f>"C67201711016103"</f>
        <v>C67201711016103</v>
      </c>
      <c r="G2913" t="str">
        <f>"13154657"</f>
        <v>13154657</v>
      </c>
      <c r="H2913" s="2">
        <v>101.99</v>
      </c>
      <c r="I2913" t="str">
        <f>"13154657"</f>
        <v>13154657</v>
      </c>
    </row>
    <row r="2914" spans="1:9" x14ac:dyDescent="0.3">
      <c r="A2914" t="str">
        <f>"TAGO"</f>
        <v>TAGO</v>
      </c>
      <c r="B2914" t="s">
        <v>626</v>
      </c>
      <c r="C2914">
        <v>0</v>
      </c>
      <c r="D2914" s="2">
        <v>4023.6</v>
      </c>
      <c r="E2914" s="1">
        <v>43056</v>
      </c>
      <c r="F2914" t="str">
        <f>"C18201711156615"</f>
        <v>C18201711156615</v>
      </c>
      <c r="G2914" t="str">
        <f>"CAUSE# 0011635329"</f>
        <v>CAUSE# 0011635329</v>
      </c>
      <c r="H2914" s="2">
        <v>603.23</v>
      </c>
      <c r="I2914" t="str">
        <f>"CAUSE# 0011635329"</f>
        <v>CAUSE# 0011635329</v>
      </c>
    </row>
    <row r="2915" spans="1:9" x14ac:dyDescent="0.3">
      <c r="A2915" t="str">
        <f>""</f>
        <v/>
      </c>
      <c r="F2915" t="str">
        <f>"C2 201711156615"</f>
        <v>C2 201711156615</v>
      </c>
      <c r="G2915" t="str">
        <f>"0012982132CCL7445"</f>
        <v>0012982132CCL7445</v>
      </c>
      <c r="H2915" s="2">
        <v>692.31</v>
      </c>
      <c r="I2915" t="str">
        <f>"0012982132CCL7445"</f>
        <v>0012982132CCL7445</v>
      </c>
    </row>
    <row r="2916" spans="1:9" x14ac:dyDescent="0.3">
      <c r="A2916" t="str">
        <f>""</f>
        <v/>
      </c>
      <c r="F2916" t="str">
        <f>"C20201711156614"</f>
        <v>C20201711156614</v>
      </c>
      <c r="G2916" t="str">
        <f>"001003981107-12252"</f>
        <v>001003981107-12252</v>
      </c>
      <c r="H2916" s="2">
        <v>115.39</v>
      </c>
      <c r="I2916" t="str">
        <f>"001003981107-12252"</f>
        <v>001003981107-12252</v>
      </c>
    </row>
    <row r="2917" spans="1:9" x14ac:dyDescent="0.3">
      <c r="A2917" t="str">
        <f>""</f>
        <v/>
      </c>
      <c r="F2917" t="str">
        <f>"C39201711156614"</f>
        <v>C39201711156614</v>
      </c>
      <c r="G2917" t="str">
        <f>"0012352184423-1520"</f>
        <v>0012352184423-1520</v>
      </c>
      <c r="H2917" s="2">
        <v>273.23</v>
      </c>
      <c r="I2917" t="str">
        <f>"0012352184423-1520"</f>
        <v>0012352184423-1520</v>
      </c>
    </row>
    <row r="2918" spans="1:9" x14ac:dyDescent="0.3">
      <c r="A2918" t="str">
        <f>""</f>
        <v/>
      </c>
      <c r="F2918" t="str">
        <f>"C42201711156614"</f>
        <v>C42201711156614</v>
      </c>
      <c r="G2918" t="str">
        <f>"001236769211-14410"</f>
        <v>001236769211-14410</v>
      </c>
      <c r="H2918" s="2">
        <v>230.31</v>
      </c>
      <c r="I2918" t="str">
        <f>"001236769211-14410"</f>
        <v>001236769211-14410</v>
      </c>
    </row>
    <row r="2919" spans="1:9" x14ac:dyDescent="0.3">
      <c r="A2919" t="str">
        <f>""</f>
        <v/>
      </c>
      <c r="F2919" t="str">
        <f>"C46201711156614"</f>
        <v>C46201711156614</v>
      </c>
      <c r="G2919" t="str">
        <f>"CAUSE# 11-14911"</f>
        <v>CAUSE# 11-14911</v>
      </c>
      <c r="H2919" s="2">
        <v>238.62</v>
      </c>
      <c r="I2919" t="str">
        <f>"CAUSE# 11-14911"</f>
        <v>CAUSE# 11-14911</v>
      </c>
    </row>
    <row r="2920" spans="1:9" x14ac:dyDescent="0.3">
      <c r="A2920" t="str">
        <f>""</f>
        <v/>
      </c>
      <c r="F2920" t="str">
        <f>"C53201711156614"</f>
        <v>C53201711156614</v>
      </c>
      <c r="G2920" t="str">
        <f>"0012453366"</f>
        <v>0012453366</v>
      </c>
      <c r="H2920" s="2">
        <v>207.69</v>
      </c>
      <c r="I2920" t="str">
        <f>"0012453366"</f>
        <v>0012453366</v>
      </c>
    </row>
    <row r="2921" spans="1:9" x14ac:dyDescent="0.3">
      <c r="A2921" t="str">
        <f>""</f>
        <v/>
      </c>
      <c r="F2921" t="str">
        <f>"C59201711156614"</f>
        <v>C59201711156614</v>
      </c>
      <c r="G2921" t="str">
        <f>"0012936495140043"</f>
        <v>0012936495140043</v>
      </c>
      <c r="H2921" s="2">
        <v>226.15</v>
      </c>
      <c r="I2921" t="str">
        <f>"0012936495140043"</f>
        <v>0012936495140043</v>
      </c>
    </row>
    <row r="2922" spans="1:9" x14ac:dyDescent="0.3">
      <c r="A2922" t="str">
        <f>""</f>
        <v/>
      </c>
      <c r="F2922" t="str">
        <f>"C60201711156614"</f>
        <v>C60201711156614</v>
      </c>
      <c r="G2922" t="str">
        <f>"00130730762012V300"</f>
        <v>00130730762012V300</v>
      </c>
      <c r="H2922" s="2">
        <v>399.32</v>
      </c>
      <c r="I2922" t="str">
        <f>"00130730762012V300"</f>
        <v>00130730762012V300</v>
      </c>
    </row>
    <row r="2923" spans="1:9" x14ac:dyDescent="0.3">
      <c r="A2923" t="str">
        <f>""</f>
        <v/>
      </c>
      <c r="F2923" t="str">
        <f>"C61201711156614"</f>
        <v>C61201711156614</v>
      </c>
      <c r="G2923" t="str">
        <f>"001174398213713"</f>
        <v>001174398213713</v>
      </c>
      <c r="H2923" s="2">
        <v>6.42</v>
      </c>
      <c r="I2923" t="str">
        <f>"001174398213713"</f>
        <v>001174398213713</v>
      </c>
    </row>
    <row r="2924" spans="1:9" x14ac:dyDescent="0.3">
      <c r="A2924" t="str">
        <f>""</f>
        <v/>
      </c>
      <c r="F2924" t="str">
        <f>"C62201711156614"</f>
        <v>C62201711156614</v>
      </c>
      <c r="G2924" t="str">
        <f>"# 0012128865"</f>
        <v># 0012128865</v>
      </c>
      <c r="H2924" s="2">
        <v>243.23</v>
      </c>
      <c r="I2924" t="str">
        <f>"# 0012128865"</f>
        <v># 0012128865</v>
      </c>
    </row>
    <row r="2925" spans="1:9" x14ac:dyDescent="0.3">
      <c r="A2925" t="str">
        <f>""</f>
        <v/>
      </c>
      <c r="F2925" t="str">
        <f>"C63201711156614"</f>
        <v>C63201711156614</v>
      </c>
      <c r="G2925" t="str">
        <f>"00132751231517246"</f>
        <v>00132751231517246</v>
      </c>
      <c r="H2925" s="2">
        <v>46.15</v>
      </c>
      <c r="I2925" t="str">
        <f>"00132751231517246"</f>
        <v>00132751231517246</v>
      </c>
    </row>
    <row r="2926" spans="1:9" x14ac:dyDescent="0.3">
      <c r="A2926" t="str">
        <f>""</f>
        <v/>
      </c>
      <c r="F2926" t="str">
        <f>"C65201711156614"</f>
        <v>C65201711156614</v>
      </c>
      <c r="G2926" t="str">
        <f>"12-14956"</f>
        <v>12-14956</v>
      </c>
      <c r="H2926" s="2">
        <v>411.1</v>
      </c>
      <c r="I2926" t="str">
        <f>"12-14956"</f>
        <v>12-14956</v>
      </c>
    </row>
    <row r="2927" spans="1:9" x14ac:dyDescent="0.3">
      <c r="A2927" t="str">
        <f>""</f>
        <v/>
      </c>
      <c r="F2927" t="str">
        <f>"C66201711156614"</f>
        <v>C66201711156614</v>
      </c>
      <c r="G2927" t="str">
        <f>"# 0012871801"</f>
        <v># 0012871801</v>
      </c>
      <c r="H2927" s="2">
        <v>90</v>
      </c>
      <c r="I2927" t="str">
        <f>"# 0012871801"</f>
        <v># 0012871801</v>
      </c>
    </row>
    <row r="2928" spans="1:9" x14ac:dyDescent="0.3">
      <c r="A2928" t="str">
        <f>""</f>
        <v/>
      </c>
      <c r="F2928" t="str">
        <f>"C66201711156616"</f>
        <v>C66201711156616</v>
      </c>
      <c r="G2928" t="str">
        <f>"CAUSE#D1FM13007058"</f>
        <v>CAUSE#D1FM13007058</v>
      </c>
      <c r="H2928" s="2">
        <v>138.46</v>
      </c>
      <c r="I2928" t="str">
        <f>"CAUSE#D1FM13007058"</f>
        <v>CAUSE#D1FM13007058</v>
      </c>
    </row>
    <row r="2929" spans="1:9" x14ac:dyDescent="0.3">
      <c r="A2929" t="str">
        <f>""</f>
        <v/>
      </c>
      <c r="F2929" t="str">
        <f>"C67201711156614"</f>
        <v>C67201711156614</v>
      </c>
      <c r="G2929" t="str">
        <f>"13154657"</f>
        <v>13154657</v>
      </c>
      <c r="H2929" s="2">
        <v>101.99</v>
      </c>
      <c r="I2929" t="str">
        <f>"13154657"</f>
        <v>13154657</v>
      </c>
    </row>
    <row r="2930" spans="1:9" x14ac:dyDescent="0.3">
      <c r="A2930" t="str">
        <f>"TCDRS"</f>
        <v>TCDRS</v>
      </c>
      <c r="B2930" t="s">
        <v>627</v>
      </c>
      <c r="C2930">
        <v>0</v>
      </c>
      <c r="D2930" s="2">
        <v>356865.48</v>
      </c>
      <c r="E2930" s="1">
        <v>43061</v>
      </c>
      <c r="F2930" t="str">
        <f>"RET201711016103"</f>
        <v>RET201711016103</v>
      </c>
      <c r="G2930" t="str">
        <f>"TEXAS COUNTY &amp; DISTRICT RET"</f>
        <v>TEXAS COUNTY &amp; DISTRICT RET</v>
      </c>
      <c r="H2930" s="2">
        <v>139685.26</v>
      </c>
      <c r="I2930" t="str">
        <f t="shared" ref="I2930:I2961" si="57">"TEXAS COUNTY &amp; DISTRICT RET"</f>
        <v>TEXAS COUNTY &amp; DISTRICT RET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7"/>
        <v>TEXAS COUNTY &amp; DISTRICT RET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7"/>
        <v>TEXAS COUNTY &amp; DISTRICT RET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7"/>
        <v>TEXAS COUNTY &amp; DISTRICT RET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7"/>
        <v>TEXAS COUNTY &amp; DISTRICT RET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7"/>
        <v>TEXAS COUNTY &amp; DISTRICT RET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7"/>
        <v>TEXAS COUNTY &amp; DISTRICT RET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7"/>
        <v>TEXAS COUNTY &amp; DISTRICT RET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7"/>
        <v>TEXAS COUNTY &amp; DISTRICT RET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7"/>
        <v>TEXAS COUNTY &amp; DISTRICT RET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7"/>
        <v>TEXAS COUNTY &amp; DISTRICT RET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57"/>
        <v>TEXAS COUNTY &amp; DISTRICT RET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57"/>
        <v>TEXAS COUNTY &amp; DISTRICT RET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57"/>
        <v>TEXAS COUNTY &amp; DISTRICT RET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57"/>
        <v>TEXAS COUNTY &amp; DISTRICT RET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57"/>
        <v>TEXAS COUNTY &amp; DISTRICT RET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57"/>
        <v>TEXAS COUNTY &amp; DISTRICT RET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57"/>
        <v>TEXAS COUNTY &amp; DISTRICT RET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57"/>
        <v>TEXAS COUNTY &amp; DISTRICT RET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57"/>
        <v>TEXAS COUNTY &amp; DISTRICT RET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57"/>
        <v>TEXAS COUNTY &amp; DISTRICT RET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57"/>
        <v>TEXAS COUNTY &amp; DISTRICT RET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57"/>
        <v>TEXAS COUNTY &amp; DISTRICT RET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57"/>
        <v>TEXAS COUNTY &amp; DISTRICT RET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57"/>
        <v>TEXAS COUNTY &amp; DISTRICT RET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57"/>
        <v>TEXAS COUNTY &amp; DISTRICT RET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57"/>
        <v>TEXAS COUNTY &amp; DISTRICT RET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57"/>
        <v>TEXAS COUNTY &amp; DISTRICT RET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57"/>
        <v>TEXAS COUNTY &amp; DISTRICT RET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57"/>
        <v>TEXAS COUNTY &amp; DISTRICT RET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57"/>
        <v>TEXAS COUNTY &amp; DISTRICT RET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57"/>
        <v>TEXAS COUNTY &amp; DISTRICT RET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ref="I2962:I2980" si="58">"TEXAS COUNTY &amp; DISTRICT RET"</f>
        <v>TEXAS COUNTY &amp; DISTRICT RET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58"/>
        <v>TEXAS COUNTY &amp; DISTRICT RET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58"/>
        <v>TEXAS COUNTY &amp; DISTRICT RET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58"/>
        <v>TEXAS COUNTY &amp; DISTRICT RET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58"/>
        <v>TEXAS COUNTY &amp; DISTRICT RET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58"/>
        <v>TEXAS COUNTY &amp; DISTRICT RET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58"/>
        <v>TEXAS COUNTY &amp; DISTRICT RET</v>
      </c>
    </row>
    <row r="2969" spans="1:9" x14ac:dyDescent="0.3">
      <c r="A2969" t="str">
        <f>""</f>
        <v/>
      </c>
      <c r="F2969" t="str">
        <f>""</f>
        <v/>
      </c>
      <c r="G2969" t="str">
        <f>""</f>
        <v/>
      </c>
      <c r="I2969" t="str">
        <f t="shared" si="58"/>
        <v>TEXAS COUNTY &amp; DISTRICT RET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58"/>
        <v>TEXAS COUNTY &amp; DISTRICT RET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58"/>
        <v>TEXAS COUNTY &amp; DISTRICT RET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58"/>
        <v>TEXAS COUNTY &amp; DISTRICT RET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58"/>
        <v>TEXAS COUNTY &amp; DISTRICT RET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58"/>
        <v>TEXAS COUNTY &amp; DISTRICT RET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58"/>
        <v>TEXAS COUNTY &amp; DISTRICT RET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58"/>
        <v>TEXAS COUNTY &amp; DISTRICT RET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58"/>
        <v>TEXAS COUNTY &amp; DISTRICT RET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58"/>
        <v>TEXAS COUNTY &amp; DISTRICT RET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58"/>
        <v>TEXAS COUNTY &amp; DISTRICT RET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58"/>
        <v>TEXAS COUNTY &amp; DISTRICT RET</v>
      </c>
    </row>
    <row r="2981" spans="1:9" x14ac:dyDescent="0.3">
      <c r="A2981" t="str">
        <f>""</f>
        <v/>
      </c>
      <c r="F2981" t="str">
        <f>"RET201711016105"</f>
        <v>RET201711016105</v>
      </c>
      <c r="G2981" t="str">
        <f>"TEXAS COUNTY  DISTRICT RET"</f>
        <v>TEXAS COUNTY  DISTRICT RET</v>
      </c>
      <c r="H2981" s="2">
        <v>5497.56</v>
      </c>
      <c r="I2981" t="str">
        <f>"TEXAS COUNTY  DISTRICT RET"</f>
        <v>TEXAS COUNTY  DISTRICT RET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>"TEXAS COUNTY  DISTRICT RET"</f>
        <v>TEXAS COUNTY  DISTRICT RET</v>
      </c>
    </row>
    <row r="2983" spans="1:9" x14ac:dyDescent="0.3">
      <c r="A2983" t="str">
        <f>""</f>
        <v/>
      </c>
      <c r="F2983" t="str">
        <f>"RET201711016106"</f>
        <v>RET201711016106</v>
      </c>
      <c r="G2983" t="str">
        <f>"TEXAS COUNTY &amp; DISTRICT RET"</f>
        <v>TEXAS COUNTY &amp; DISTRICT RET</v>
      </c>
      <c r="H2983" s="2">
        <v>7788.58</v>
      </c>
      <c r="I2983" t="str">
        <f t="shared" ref="I2983:I3014" si="59">"TEXAS COUNTY &amp; DISTRICT RET"</f>
        <v>TEXAS COUNTY &amp; DISTRICT RET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59"/>
        <v>TEXAS COUNTY &amp; DISTRICT RET</v>
      </c>
    </row>
    <row r="2985" spans="1:9" x14ac:dyDescent="0.3">
      <c r="A2985" t="str">
        <f>""</f>
        <v/>
      </c>
      <c r="F2985" t="str">
        <f>"RET201711156614"</f>
        <v>RET201711156614</v>
      </c>
      <c r="G2985" t="str">
        <f>"TEXAS COUNTY &amp; DISTRICT RET"</f>
        <v>TEXAS COUNTY &amp; DISTRICT RET</v>
      </c>
      <c r="H2985" s="2">
        <v>138887.01999999999</v>
      </c>
      <c r="I2985" t="str">
        <f t="shared" si="59"/>
        <v>TEXAS COUNTY &amp; DISTRICT RET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59"/>
        <v>TEXAS COUNTY &amp; DISTRICT RET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59"/>
        <v>TEXAS COUNTY &amp; DISTRICT RET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59"/>
        <v>TEXAS COUNTY &amp; DISTRICT RET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59"/>
        <v>TEXAS COUNTY &amp; DISTRICT RET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59"/>
        <v>TEXAS COUNTY &amp; DISTRICT RET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59"/>
        <v>TEXAS COUNTY &amp; DISTRICT RET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59"/>
        <v>TEXAS COUNTY &amp; DISTRICT RET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59"/>
        <v>TEXAS COUNTY &amp; DISTRICT RET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59"/>
        <v>TEXAS COUNTY &amp; DISTRICT RET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59"/>
        <v>TEXAS COUNTY &amp; DISTRICT RET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59"/>
        <v>TEXAS COUNTY &amp; DISTRICT RET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59"/>
        <v>TEXAS COUNTY &amp; DISTRICT RET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59"/>
        <v>TEXAS COUNTY &amp; DISTRICT RET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59"/>
        <v>TEXAS COUNTY &amp; DISTRICT RET</v>
      </c>
    </row>
    <row r="3000" spans="1:9" x14ac:dyDescent="0.3">
      <c r="A3000" t="str">
        <f>""</f>
        <v/>
      </c>
      <c r="F3000" t="str">
        <f>""</f>
        <v/>
      </c>
      <c r="G3000" t="str">
        <f>""</f>
        <v/>
      </c>
      <c r="I3000" t="str">
        <f t="shared" si="59"/>
        <v>TEXAS COUNTY &amp; DISTRICT RET</v>
      </c>
    </row>
    <row r="3001" spans="1:9" x14ac:dyDescent="0.3">
      <c r="A3001" t="str">
        <f>""</f>
        <v/>
      </c>
      <c r="F3001" t="str">
        <f>""</f>
        <v/>
      </c>
      <c r="G3001" t="str">
        <f>""</f>
        <v/>
      </c>
      <c r="I3001" t="str">
        <f t="shared" si="59"/>
        <v>TEXAS COUNTY &amp; DISTRICT RET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59"/>
        <v>TEXAS COUNTY &amp; DISTRICT RET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59"/>
        <v>TEXAS COUNTY &amp; DISTRICT RET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59"/>
        <v>TEXAS COUNTY &amp; DISTRICT RET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si="59"/>
        <v>TEXAS COUNTY &amp; DISTRICT RET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59"/>
        <v>TEXAS COUNTY &amp; DISTRICT RET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59"/>
        <v>TEXAS COUNTY &amp; DISTRICT RET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59"/>
        <v>TEXAS COUNTY &amp; DISTRICT RET</v>
      </c>
    </row>
    <row r="3009" spans="1:9" x14ac:dyDescent="0.3">
      <c r="A3009" t="str">
        <f>""</f>
        <v/>
      </c>
      <c r="F3009" t="str">
        <f>""</f>
        <v/>
      </c>
      <c r="G3009" t="str">
        <f>""</f>
        <v/>
      </c>
      <c r="I3009" t="str">
        <f t="shared" si="59"/>
        <v>TEXAS COUNTY &amp; DISTRICT RET</v>
      </c>
    </row>
    <row r="3010" spans="1:9" x14ac:dyDescent="0.3">
      <c r="A3010" t="str">
        <f>""</f>
        <v/>
      </c>
      <c r="F3010" t="str">
        <f>""</f>
        <v/>
      </c>
      <c r="G3010" t="str">
        <f>""</f>
        <v/>
      </c>
      <c r="I3010" t="str">
        <f t="shared" si="59"/>
        <v>TEXAS COUNTY &amp; DISTRICT RET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59"/>
        <v>TEXAS COUNTY &amp; DISTRICT RET</v>
      </c>
    </row>
    <row r="3012" spans="1:9" x14ac:dyDescent="0.3">
      <c r="A3012" t="str">
        <f>""</f>
        <v/>
      </c>
      <c r="F3012" t="str">
        <f>""</f>
        <v/>
      </c>
      <c r="G3012" t="str">
        <f>""</f>
        <v/>
      </c>
      <c r="I3012" t="str">
        <f t="shared" si="59"/>
        <v>TEXAS COUNTY &amp; DISTRICT RET</v>
      </c>
    </row>
    <row r="3013" spans="1:9" x14ac:dyDescent="0.3">
      <c r="A3013" t="str">
        <f>""</f>
        <v/>
      </c>
      <c r="F3013" t="str">
        <f>""</f>
        <v/>
      </c>
      <c r="G3013" t="str">
        <f>""</f>
        <v/>
      </c>
      <c r="I3013" t="str">
        <f t="shared" si="59"/>
        <v>TEXAS COUNTY &amp; DISTRICT RET</v>
      </c>
    </row>
    <row r="3014" spans="1:9" x14ac:dyDescent="0.3">
      <c r="A3014" t="str">
        <f>""</f>
        <v/>
      </c>
      <c r="F3014" t="str">
        <f>""</f>
        <v/>
      </c>
      <c r="G3014" t="str">
        <f>""</f>
        <v/>
      </c>
      <c r="I3014" t="str">
        <f t="shared" si="59"/>
        <v>TEXAS COUNTY &amp; DISTRICT RET</v>
      </c>
    </row>
    <row r="3015" spans="1:9" x14ac:dyDescent="0.3">
      <c r="A3015" t="str">
        <f>""</f>
        <v/>
      </c>
      <c r="F3015" t="str">
        <f>""</f>
        <v/>
      </c>
      <c r="G3015" t="str">
        <f>""</f>
        <v/>
      </c>
      <c r="I3015" t="str">
        <f t="shared" ref="I3015:I3034" si="60">"TEXAS COUNTY &amp; DISTRICT RET"</f>
        <v>TEXAS COUNTY &amp; DISTRICT RET</v>
      </c>
    </row>
    <row r="3016" spans="1:9" x14ac:dyDescent="0.3">
      <c r="A3016" t="str">
        <f>""</f>
        <v/>
      </c>
      <c r="F3016" t="str">
        <f>""</f>
        <v/>
      </c>
      <c r="G3016" t="str">
        <f>""</f>
        <v/>
      </c>
      <c r="I3016" t="str">
        <f t="shared" si="60"/>
        <v>TEXAS COUNTY &amp; DISTRICT RET</v>
      </c>
    </row>
    <row r="3017" spans="1:9" x14ac:dyDescent="0.3">
      <c r="A3017" t="str">
        <f>""</f>
        <v/>
      </c>
      <c r="F3017" t="str">
        <f>""</f>
        <v/>
      </c>
      <c r="G3017" t="str">
        <f>""</f>
        <v/>
      </c>
      <c r="I3017" t="str">
        <f t="shared" si="60"/>
        <v>TEXAS COUNTY &amp; DISTRICT RET</v>
      </c>
    </row>
    <row r="3018" spans="1:9" x14ac:dyDescent="0.3">
      <c r="A3018" t="str">
        <f>""</f>
        <v/>
      </c>
      <c r="F3018" t="str">
        <f>""</f>
        <v/>
      </c>
      <c r="G3018" t="str">
        <f>""</f>
        <v/>
      </c>
      <c r="I3018" t="str">
        <f t="shared" si="60"/>
        <v>TEXAS COUNTY &amp; DISTRICT RET</v>
      </c>
    </row>
    <row r="3019" spans="1:9" x14ac:dyDescent="0.3">
      <c r="A3019" t="str">
        <f>""</f>
        <v/>
      </c>
      <c r="F3019" t="str">
        <f>""</f>
        <v/>
      </c>
      <c r="G3019" t="str">
        <f>""</f>
        <v/>
      </c>
      <c r="I3019" t="str">
        <f t="shared" si="60"/>
        <v>TEXAS COUNTY &amp; DISTRICT RET</v>
      </c>
    </row>
    <row r="3020" spans="1:9" x14ac:dyDescent="0.3">
      <c r="A3020" t="str">
        <f>""</f>
        <v/>
      </c>
      <c r="F3020" t="str">
        <f>""</f>
        <v/>
      </c>
      <c r="G3020" t="str">
        <f>""</f>
        <v/>
      </c>
      <c r="I3020" t="str">
        <f t="shared" si="60"/>
        <v>TEXAS COUNTY &amp; DISTRICT RET</v>
      </c>
    </row>
    <row r="3021" spans="1:9" x14ac:dyDescent="0.3">
      <c r="A3021" t="str">
        <f>""</f>
        <v/>
      </c>
      <c r="F3021" t="str">
        <f>""</f>
        <v/>
      </c>
      <c r="G3021" t="str">
        <f>""</f>
        <v/>
      </c>
      <c r="I3021" t="str">
        <f t="shared" si="60"/>
        <v>TEXAS COUNTY &amp; DISTRICT RET</v>
      </c>
    </row>
    <row r="3022" spans="1:9" x14ac:dyDescent="0.3">
      <c r="A3022" t="str">
        <f>""</f>
        <v/>
      </c>
      <c r="F3022" t="str">
        <f>""</f>
        <v/>
      </c>
      <c r="G3022" t="str">
        <f>""</f>
        <v/>
      </c>
      <c r="I3022" t="str">
        <f t="shared" si="60"/>
        <v>TEXAS COUNTY &amp; DISTRICT RET</v>
      </c>
    </row>
    <row r="3023" spans="1:9" x14ac:dyDescent="0.3">
      <c r="A3023" t="str">
        <f>""</f>
        <v/>
      </c>
      <c r="F3023" t="str">
        <f>""</f>
        <v/>
      </c>
      <c r="G3023" t="str">
        <f>""</f>
        <v/>
      </c>
      <c r="I3023" t="str">
        <f t="shared" si="60"/>
        <v>TEXAS COUNTY &amp; DISTRICT RET</v>
      </c>
    </row>
    <row r="3024" spans="1:9" x14ac:dyDescent="0.3">
      <c r="A3024" t="str">
        <f>""</f>
        <v/>
      </c>
      <c r="F3024" t="str">
        <f>""</f>
        <v/>
      </c>
      <c r="G3024" t="str">
        <f>""</f>
        <v/>
      </c>
      <c r="I3024" t="str">
        <f t="shared" si="60"/>
        <v>TEXAS COUNTY &amp; DISTRICT RET</v>
      </c>
    </row>
    <row r="3025" spans="1:9" x14ac:dyDescent="0.3">
      <c r="A3025" t="str">
        <f>""</f>
        <v/>
      </c>
      <c r="F3025" t="str">
        <f>""</f>
        <v/>
      </c>
      <c r="G3025" t="str">
        <f>""</f>
        <v/>
      </c>
      <c r="I3025" t="str">
        <f t="shared" si="60"/>
        <v>TEXAS COUNTY &amp; DISTRICT RET</v>
      </c>
    </row>
    <row r="3026" spans="1:9" x14ac:dyDescent="0.3">
      <c r="A3026" t="str">
        <f>""</f>
        <v/>
      </c>
      <c r="F3026" t="str">
        <f>""</f>
        <v/>
      </c>
      <c r="G3026" t="str">
        <f>""</f>
        <v/>
      </c>
      <c r="I3026" t="str">
        <f t="shared" si="60"/>
        <v>TEXAS COUNTY &amp; DISTRICT RET</v>
      </c>
    </row>
    <row r="3027" spans="1:9" x14ac:dyDescent="0.3">
      <c r="A3027" t="str">
        <f>""</f>
        <v/>
      </c>
      <c r="F3027" t="str">
        <f>""</f>
        <v/>
      </c>
      <c r="G3027" t="str">
        <f>""</f>
        <v/>
      </c>
      <c r="I3027" t="str">
        <f t="shared" si="60"/>
        <v>TEXAS COUNTY &amp; DISTRICT RET</v>
      </c>
    </row>
    <row r="3028" spans="1:9" x14ac:dyDescent="0.3">
      <c r="A3028" t="str">
        <f>""</f>
        <v/>
      </c>
      <c r="F3028" t="str">
        <f>""</f>
        <v/>
      </c>
      <c r="G3028" t="str">
        <f>""</f>
        <v/>
      </c>
      <c r="I3028" t="str">
        <f t="shared" si="60"/>
        <v>TEXAS COUNTY &amp; DISTRICT RET</v>
      </c>
    </row>
    <row r="3029" spans="1:9" x14ac:dyDescent="0.3">
      <c r="A3029" t="str">
        <f>""</f>
        <v/>
      </c>
      <c r="F3029" t="str">
        <f>""</f>
        <v/>
      </c>
      <c r="G3029" t="str">
        <f>""</f>
        <v/>
      </c>
      <c r="I3029" t="str">
        <f t="shared" si="60"/>
        <v>TEXAS COUNTY &amp; DISTRICT RET</v>
      </c>
    </row>
    <row r="3030" spans="1:9" x14ac:dyDescent="0.3">
      <c r="A3030" t="str">
        <f>""</f>
        <v/>
      </c>
      <c r="F3030" t="str">
        <f>""</f>
        <v/>
      </c>
      <c r="G3030" t="str">
        <f>""</f>
        <v/>
      </c>
      <c r="I3030" t="str">
        <f t="shared" si="60"/>
        <v>TEXAS COUNTY &amp; DISTRICT RET</v>
      </c>
    </row>
    <row r="3031" spans="1:9" x14ac:dyDescent="0.3">
      <c r="A3031" t="str">
        <f>""</f>
        <v/>
      </c>
      <c r="F3031" t="str">
        <f>""</f>
        <v/>
      </c>
      <c r="G3031" t="str">
        <f>""</f>
        <v/>
      </c>
      <c r="I3031" t="str">
        <f t="shared" si="60"/>
        <v>TEXAS COUNTY &amp; DISTRICT RET</v>
      </c>
    </row>
    <row r="3032" spans="1:9" x14ac:dyDescent="0.3">
      <c r="A3032" t="str">
        <f>""</f>
        <v/>
      </c>
      <c r="F3032" t="str">
        <f>""</f>
        <v/>
      </c>
      <c r="G3032" t="str">
        <f>""</f>
        <v/>
      </c>
      <c r="I3032" t="str">
        <f t="shared" si="60"/>
        <v>TEXAS COUNTY &amp; DISTRICT RET</v>
      </c>
    </row>
    <row r="3033" spans="1:9" x14ac:dyDescent="0.3">
      <c r="A3033" t="str">
        <f>""</f>
        <v/>
      </c>
      <c r="F3033" t="str">
        <f>""</f>
        <v/>
      </c>
      <c r="G3033" t="str">
        <f>""</f>
        <v/>
      </c>
      <c r="I3033" t="str">
        <f t="shared" si="60"/>
        <v>TEXAS COUNTY &amp; DISTRICT RET</v>
      </c>
    </row>
    <row r="3034" spans="1:9" x14ac:dyDescent="0.3">
      <c r="A3034" t="str">
        <f>""</f>
        <v/>
      </c>
      <c r="F3034" t="str">
        <f>""</f>
        <v/>
      </c>
      <c r="G3034" t="str">
        <f>""</f>
        <v/>
      </c>
      <c r="I3034" t="str">
        <f t="shared" si="60"/>
        <v>TEXAS COUNTY &amp; DISTRICT RET</v>
      </c>
    </row>
    <row r="3035" spans="1:9" x14ac:dyDescent="0.3">
      <c r="A3035" t="str">
        <f>""</f>
        <v/>
      </c>
      <c r="F3035" t="str">
        <f>"RET201711156615"</f>
        <v>RET201711156615</v>
      </c>
      <c r="G3035" t="str">
        <f>"TEXAS COUNTY  DISTRICT RET"</f>
        <v>TEXAS COUNTY  DISTRICT RET</v>
      </c>
      <c r="H3035" s="2">
        <v>5490.08</v>
      </c>
      <c r="I3035" t="str">
        <f>"TEXAS COUNTY  DISTRICT RET"</f>
        <v>TEXAS COUNTY  DISTRICT RET</v>
      </c>
    </row>
    <row r="3036" spans="1:9" x14ac:dyDescent="0.3">
      <c r="A3036" t="str">
        <f>""</f>
        <v/>
      </c>
      <c r="F3036" t="str">
        <f>""</f>
        <v/>
      </c>
      <c r="G3036" t="str">
        <f>""</f>
        <v/>
      </c>
      <c r="I3036" t="str">
        <f>"TEXAS COUNTY  DISTRICT RET"</f>
        <v>TEXAS COUNTY  DISTRICT RET</v>
      </c>
    </row>
    <row r="3037" spans="1:9" x14ac:dyDescent="0.3">
      <c r="A3037" t="str">
        <f>""</f>
        <v/>
      </c>
      <c r="F3037" t="str">
        <f>"RET201711156616"</f>
        <v>RET201711156616</v>
      </c>
      <c r="G3037" t="str">
        <f>"TEXAS COUNTY &amp; DISTRICT RET"</f>
        <v>TEXAS COUNTY &amp; DISTRICT RET</v>
      </c>
      <c r="H3037" s="2">
        <v>7918.24</v>
      </c>
      <c r="I3037" t="str">
        <f t="shared" ref="I3037:I3078" si="61">"TEXAS COUNTY &amp; DISTRICT RET"</f>
        <v>TEXAS COUNTY &amp; DISTRICT RET</v>
      </c>
    </row>
    <row r="3038" spans="1:9" x14ac:dyDescent="0.3">
      <c r="A3038" t="str">
        <f>""</f>
        <v/>
      </c>
      <c r="F3038" t="str">
        <f>""</f>
        <v/>
      </c>
      <c r="G3038" t="str">
        <f>""</f>
        <v/>
      </c>
      <c r="I3038" t="str">
        <f t="shared" si="61"/>
        <v>TEXAS COUNTY &amp; DISTRICT RET</v>
      </c>
    </row>
    <row r="3039" spans="1:9" x14ac:dyDescent="0.3">
      <c r="A3039" t="str">
        <f>""</f>
        <v/>
      </c>
      <c r="F3039" t="str">
        <f>"RET201711216734"</f>
        <v>RET201711216734</v>
      </c>
      <c r="G3039" t="str">
        <f>"TEXAS COUNTY &amp; DISTRICT RET"</f>
        <v>TEXAS COUNTY &amp; DISTRICT RET</v>
      </c>
      <c r="H3039" s="2">
        <v>42443</v>
      </c>
      <c r="I3039" t="str">
        <f t="shared" si="61"/>
        <v>TEXAS COUNTY &amp; DISTRICT RET</v>
      </c>
    </row>
    <row r="3040" spans="1:9" x14ac:dyDescent="0.3">
      <c r="A3040" t="str">
        <f>""</f>
        <v/>
      </c>
      <c r="F3040" t="str">
        <f>""</f>
        <v/>
      </c>
      <c r="G3040" t="str">
        <f>""</f>
        <v/>
      </c>
      <c r="I3040" t="str">
        <f t="shared" si="61"/>
        <v>TEXAS COUNTY &amp; DISTRICT RET</v>
      </c>
    </row>
    <row r="3041" spans="1:9" x14ac:dyDescent="0.3">
      <c r="A3041" t="str">
        <f>""</f>
        <v/>
      </c>
      <c r="F3041" t="str">
        <f>""</f>
        <v/>
      </c>
      <c r="G3041" t="str">
        <f>""</f>
        <v/>
      </c>
      <c r="I3041" t="str">
        <f t="shared" si="61"/>
        <v>TEXAS COUNTY &amp; DISTRICT RET</v>
      </c>
    </row>
    <row r="3042" spans="1:9" x14ac:dyDescent="0.3">
      <c r="A3042" t="str">
        <f>""</f>
        <v/>
      </c>
      <c r="F3042" t="str">
        <f>""</f>
        <v/>
      </c>
      <c r="G3042" t="str">
        <f>""</f>
        <v/>
      </c>
      <c r="I3042" t="str">
        <f t="shared" si="61"/>
        <v>TEXAS COUNTY &amp; DISTRICT RET</v>
      </c>
    </row>
    <row r="3043" spans="1:9" x14ac:dyDescent="0.3">
      <c r="A3043" t="str">
        <f>""</f>
        <v/>
      </c>
      <c r="F3043" t="str">
        <f>""</f>
        <v/>
      </c>
      <c r="G3043" t="str">
        <f>""</f>
        <v/>
      </c>
      <c r="I3043" t="str">
        <f t="shared" si="61"/>
        <v>TEXAS COUNTY &amp; DISTRICT RET</v>
      </c>
    </row>
    <row r="3044" spans="1:9" x14ac:dyDescent="0.3">
      <c r="A3044" t="str">
        <f>""</f>
        <v/>
      </c>
      <c r="F3044" t="str">
        <f>""</f>
        <v/>
      </c>
      <c r="G3044" t="str">
        <f>""</f>
        <v/>
      </c>
      <c r="I3044" t="str">
        <f t="shared" si="61"/>
        <v>TEXAS COUNTY &amp; DISTRICT RET</v>
      </c>
    </row>
    <row r="3045" spans="1:9" x14ac:dyDescent="0.3">
      <c r="A3045" t="str">
        <f>""</f>
        <v/>
      </c>
      <c r="F3045" t="str">
        <f>""</f>
        <v/>
      </c>
      <c r="G3045" t="str">
        <f>""</f>
        <v/>
      </c>
      <c r="I3045" t="str">
        <f t="shared" si="61"/>
        <v>TEXAS COUNTY &amp; DISTRICT RET</v>
      </c>
    </row>
    <row r="3046" spans="1:9" x14ac:dyDescent="0.3">
      <c r="A3046" t="str">
        <f>""</f>
        <v/>
      </c>
      <c r="F3046" t="str">
        <f>""</f>
        <v/>
      </c>
      <c r="G3046" t="str">
        <f>""</f>
        <v/>
      </c>
      <c r="I3046" t="str">
        <f t="shared" si="61"/>
        <v>TEXAS COUNTY &amp; DISTRICT RET</v>
      </c>
    </row>
    <row r="3047" spans="1:9" x14ac:dyDescent="0.3">
      <c r="A3047" t="str">
        <f>""</f>
        <v/>
      </c>
      <c r="F3047" t="str">
        <f>""</f>
        <v/>
      </c>
      <c r="G3047" t="str">
        <f>""</f>
        <v/>
      </c>
      <c r="I3047" t="str">
        <f t="shared" si="61"/>
        <v>TEXAS COUNTY &amp; DISTRICT RET</v>
      </c>
    </row>
    <row r="3048" spans="1:9" x14ac:dyDescent="0.3">
      <c r="A3048" t="str">
        <f>""</f>
        <v/>
      </c>
      <c r="F3048" t="str">
        <f>""</f>
        <v/>
      </c>
      <c r="G3048" t="str">
        <f>""</f>
        <v/>
      </c>
      <c r="I3048" t="str">
        <f t="shared" si="61"/>
        <v>TEXAS COUNTY &amp; DISTRICT RET</v>
      </c>
    </row>
    <row r="3049" spans="1:9" x14ac:dyDescent="0.3">
      <c r="A3049" t="str">
        <f>""</f>
        <v/>
      </c>
      <c r="F3049" t="str">
        <f>""</f>
        <v/>
      </c>
      <c r="G3049" t="str">
        <f>""</f>
        <v/>
      </c>
      <c r="I3049" t="str">
        <f t="shared" si="61"/>
        <v>TEXAS COUNTY &amp; DISTRICT RET</v>
      </c>
    </row>
    <row r="3050" spans="1:9" x14ac:dyDescent="0.3">
      <c r="A3050" t="str">
        <f>""</f>
        <v/>
      </c>
      <c r="F3050" t="str">
        <f>""</f>
        <v/>
      </c>
      <c r="G3050" t="str">
        <f>""</f>
        <v/>
      </c>
      <c r="I3050" t="str">
        <f t="shared" si="61"/>
        <v>TEXAS COUNTY &amp; DISTRICT RET</v>
      </c>
    </row>
    <row r="3051" spans="1:9" x14ac:dyDescent="0.3">
      <c r="A3051" t="str">
        <f>""</f>
        <v/>
      </c>
      <c r="F3051" t="str">
        <f>""</f>
        <v/>
      </c>
      <c r="G3051" t="str">
        <f>""</f>
        <v/>
      </c>
      <c r="I3051" t="str">
        <f t="shared" si="61"/>
        <v>TEXAS COUNTY &amp; DISTRICT RET</v>
      </c>
    </row>
    <row r="3052" spans="1:9" x14ac:dyDescent="0.3">
      <c r="A3052" t="str">
        <f>""</f>
        <v/>
      </c>
      <c r="F3052" t="str">
        <f>""</f>
        <v/>
      </c>
      <c r="G3052" t="str">
        <f>""</f>
        <v/>
      </c>
      <c r="I3052" t="str">
        <f t="shared" si="61"/>
        <v>TEXAS COUNTY &amp; DISTRICT RET</v>
      </c>
    </row>
    <row r="3053" spans="1:9" x14ac:dyDescent="0.3">
      <c r="A3053" t="str">
        <f>""</f>
        <v/>
      </c>
      <c r="F3053" t="str">
        <f>""</f>
        <v/>
      </c>
      <c r="G3053" t="str">
        <f>""</f>
        <v/>
      </c>
      <c r="I3053" t="str">
        <f t="shared" si="61"/>
        <v>TEXAS COUNTY &amp; DISTRICT RET</v>
      </c>
    </row>
    <row r="3054" spans="1:9" x14ac:dyDescent="0.3">
      <c r="A3054" t="str">
        <f>""</f>
        <v/>
      </c>
      <c r="F3054" t="str">
        <f>""</f>
        <v/>
      </c>
      <c r="G3054" t="str">
        <f>""</f>
        <v/>
      </c>
      <c r="I3054" t="str">
        <f t="shared" si="61"/>
        <v>TEXAS COUNTY &amp; DISTRICT RET</v>
      </c>
    </row>
    <row r="3055" spans="1:9" x14ac:dyDescent="0.3">
      <c r="A3055" t="str">
        <f>""</f>
        <v/>
      </c>
      <c r="F3055" t="str">
        <f>""</f>
        <v/>
      </c>
      <c r="G3055" t="str">
        <f>""</f>
        <v/>
      </c>
      <c r="I3055" t="str">
        <f t="shared" si="61"/>
        <v>TEXAS COUNTY &amp; DISTRICT RET</v>
      </c>
    </row>
    <row r="3056" spans="1:9" x14ac:dyDescent="0.3">
      <c r="A3056" t="str">
        <f>""</f>
        <v/>
      </c>
      <c r="F3056" t="str">
        <f>""</f>
        <v/>
      </c>
      <c r="G3056" t="str">
        <f>""</f>
        <v/>
      </c>
      <c r="I3056" t="str">
        <f t="shared" si="61"/>
        <v>TEXAS COUNTY &amp; DISTRICT RET</v>
      </c>
    </row>
    <row r="3057" spans="1:9" x14ac:dyDescent="0.3">
      <c r="A3057" t="str">
        <f>""</f>
        <v/>
      </c>
      <c r="F3057" t="str">
        <f>""</f>
        <v/>
      </c>
      <c r="G3057" t="str">
        <f>""</f>
        <v/>
      </c>
      <c r="I3057" t="str">
        <f t="shared" si="61"/>
        <v>TEXAS COUNTY &amp; DISTRICT RET</v>
      </c>
    </row>
    <row r="3058" spans="1:9" x14ac:dyDescent="0.3">
      <c r="A3058" t="str">
        <f>""</f>
        <v/>
      </c>
      <c r="F3058" t="str">
        <f>""</f>
        <v/>
      </c>
      <c r="G3058" t="str">
        <f>""</f>
        <v/>
      </c>
      <c r="I3058" t="str">
        <f t="shared" si="61"/>
        <v>TEXAS COUNTY &amp; DISTRICT RET</v>
      </c>
    </row>
    <row r="3059" spans="1:9" x14ac:dyDescent="0.3">
      <c r="A3059" t="str">
        <f>""</f>
        <v/>
      </c>
      <c r="F3059" t="str">
        <f>""</f>
        <v/>
      </c>
      <c r="G3059" t="str">
        <f>""</f>
        <v/>
      </c>
      <c r="I3059" t="str">
        <f t="shared" si="61"/>
        <v>TEXAS COUNTY &amp; DISTRICT RET</v>
      </c>
    </row>
    <row r="3060" spans="1:9" x14ac:dyDescent="0.3">
      <c r="A3060" t="str">
        <f>""</f>
        <v/>
      </c>
      <c r="F3060" t="str">
        <f>""</f>
        <v/>
      </c>
      <c r="G3060" t="str">
        <f>""</f>
        <v/>
      </c>
      <c r="I3060" t="str">
        <f t="shared" si="61"/>
        <v>TEXAS COUNTY &amp; DISTRICT RET</v>
      </c>
    </row>
    <row r="3061" spans="1:9" x14ac:dyDescent="0.3">
      <c r="A3061" t="str">
        <f>""</f>
        <v/>
      </c>
      <c r="F3061" t="str">
        <f>""</f>
        <v/>
      </c>
      <c r="G3061" t="str">
        <f>""</f>
        <v/>
      </c>
      <c r="I3061" t="str">
        <f t="shared" si="61"/>
        <v>TEXAS COUNTY &amp; DISTRICT RET</v>
      </c>
    </row>
    <row r="3062" spans="1:9" x14ac:dyDescent="0.3">
      <c r="A3062" t="str">
        <f>""</f>
        <v/>
      </c>
      <c r="F3062" t="str">
        <f>""</f>
        <v/>
      </c>
      <c r="G3062" t="str">
        <f>""</f>
        <v/>
      </c>
      <c r="I3062" t="str">
        <f t="shared" si="61"/>
        <v>TEXAS COUNTY &amp; DISTRICT RET</v>
      </c>
    </row>
    <row r="3063" spans="1:9" x14ac:dyDescent="0.3">
      <c r="A3063" t="str">
        <f>""</f>
        <v/>
      </c>
      <c r="F3063" t="str">
        <f>""</f>
        <v/>
      </c>
      <c r="G3063" t="str">
        <f>""</f>
        <v/>
      </c>
      <c r="I3063" t="str">
        <f t="shared" si="61"/>
        <v>TEXAS COUNTY &amp; DISTRICT RET</v>
      </c>
    </row>
    <row r="3064" spans="1:9" x14ac:dyDescent="0.3">
      <c r="A3064" t="str">
        <f>""</f>
        <v/>
      </c>
      <c r="F3064" t="str">
        <f>""</f>
        <v/>
      </c>
      <c r="G3064" t="str">
        <f>""</f>
        <v/>
      </c>
      <c r="I3064" t="str">
        <f t="shared" si="61"/>
        <v>TEXAS COUNTY &amp; DISTRICT RET</v>
      </c>
    </row>
    <row r="3065" spans="1:9" x14ac:dyDescent="0.3">
      <c r="A3065" t="str">
        <f>""</f>
        <v/>
      </c>
      <c r="F3065" t="str">
        <f>""</f>
        <v/>
      </c>
      <c r="G3065" t="str">
        <f>""</f>
        <v/>
      </c>
      <c r="I3065" t="str">
        <f t="shared" si="61"/>
        <v>TEXAS COUNTY &amp; DISTRICT RET</v>
      </c>
    </row>
    <row r="3066" spans="1:9" x14ac:dyDescent="0.3">
      <c r="A3066" t="str">
        <f>""</f>
        <v/>
      </c>
      <c r="F3066" t="str">
        <f>""</f>
        <v/>
      </c>
      <c r="G3066" t="str">
        <f>""</f>
        <v/>
      </c>
      <c r="I3066" t="str">
        <f t="shared" si="61"/>
        <v>TEXAS COUNTY &amp; DISTRICT RET</v>
      </c>
    </row>
    <row r="3067" spans="1:9" x14ac:dyDescent="0.3">
      <c r="A3067" t="str">
        <f>""</f>
        <v/>
      </c>
      <c r="F3067" t="str">
        <f>""</f>
        <v/>
      </c>
      <c r="G3067" t="str">
        <f>""</f>
        <v/>
      </c>
      <c r="I3067" t="str">
        <f t="shared" si="61"/>
        <v>TEXAS COUNTY &amp; DISTRICT RET</v>
      </c>
    </row>
    <row r="3068" spans="1:9" x14ac:dyDescent="0.3">
      <c r="A3068" t="str">
        <f>""</f>
        <v/>
      </c>
      <c r="F3068" t="str">
        <f>""</f>
        <v/>
      </c>
      <c r="G3068" t="str">
        <f>""</f>
        <v/>
      </c>
      <c r="I3068" t="str">
        <f t="shared" si="61"/>
        <v>TEXAS COUNTY &amp; DISTRICT RET</v>
      </c>
    </row>
    <row r="3069" spans="1:9" x14ac:dyDescent="0.3">
      <c r="A3069" t="str">
        <f>""</f>
        <v/>
      </c>
      <c r="F3069" t="str">
        <f>""</f>
        <v/>
      </c>
      <c r="G3069" t="str">
        <f>""</f>
        <v/>
      </c>
      <c r="I3069" t="str">
        <f t="shared" si="61"/>
        <v>TEXAS COUNTY &amp; DISTRICT RET</v>
      </c>
    </row>
    <row r="3070" spans="1:9" x14ac:dyDescent="0.3">
      <c r="A3070" t="str">
        <f>""</f>
        <v/>
      </c>
      <c r="F3070" t="str">
        <f>""</f>
        <v/>
      </c>
      <c r="G3070" t="str">
        <f>""</f>
        <v/>
      </c>
      <c r="I3070" t="str">
        <f t="shared" si="61"/>
        <v>TEXAS COUNTY &amp; DISTRICT RET</v>
      </c>
    </row>
    <row r="3071" spans="1:9" x14ac:dyDescent="0.3">
      <c r="A3071" t="str">
        <f>""</f>
        <v/>
      </c>
      <c r="F3071" t="str">
        <f>""</f>
        <v/>
      </c>
      <c r="G3071" t="str">
        <f>""</f>
        <v/>
      </c>
      <c r="I3071" t="str">
        <f t="shared" si="61"/>
        <v>TEXAS COUNTY &amp; DISTRICT RET</v>
      </c>
    </row>
    <row r="3072" spans="1:9" x14ac:dyDescent="0.3">
      <c r="A3072" t="str">
        <f>""</f>
        <v/>
      </c>
      <c r="F3072" t="str">
        <f>""</f>
        <v/>
      </c>
      <c r="G3072" t="str">
        <f>""</f>
        <v/>
      </c>
      <c r="I3072" t="str">
        <f t="shared" si="61"/>
        <v>TEXAS COUNTY &amp; DISTRICT RET</v>
      </c>
    </row>
    <row r="3073" spans="1:9" x14ac:dyDescent="0.3">
      <c r="A3073" t="str">
        <f>""</f>
        <v/>
      </c>
      <c r="F3073" t="str">
        <f>""</f>
        <v/>
      </c>
      <c r="G3073" t="str">
        <f>""</f>
        <v/>
      </c>
      <c r="I3073" t="str">
        <f t="shared" si="61"/>
        <v>TEXAS COUNTY &amp; DISTRICT RET</v>
      </c>
    </row>
    <row r="3074" spans="1:9" x14ac:dyDescent="0.3">
      <c r="A3074" t="str">
        <f>""</f>
        <v/>
      </c>
      <c r="F3074" t="str">
        <f>""</f>
        <v/>
      </c>
      <c r="G3074" t="str">
        <f>""</f>
        <v/>
      </c>
      <c r="I3074" t="str">
        <f t="shared" si="61"/>
        <v>TEXAS COUNTY &amp; DISTRICT RET</v>
      </c>
    </row>
    <row r="3075" spans="1:9" x14ac:dyDescent="0.3">
      <c r="A3075" t="str">
        <f>""</f>
        <v/>
      </c>
      <c r="F3075" t="str">
        <f>""</f>
        <v/>
      </c>
      <c r="G3075" t="str">
        <f>""</f>
        <v/>
      </c>
      <c r="I3075" t="str">
        <f t="shared" si="61"/>
        <v>TEXAS COUNTY &amp; DISTRICT RET</v>
      </c>
    </row>
    <row r="3076" spans="1:9" x14ac:dyDescent="0.3">
      <c r="A3076" t="str">
        <f>""</f>
        <v/>
      </c>
      <c r="F3076" t="str">
        <f>""</f>
        <v/>
      </c>
      <c r="G3076" t="str">
        <f>""</f>
        <v/>
      </c>
      <c r="I3076" t="str">
        <f t="shared" si="61"/>
        <v>TEXAS COUNTY &amp; DISTRICT RET</v>
      </c>
    </row>
    <row r="3077" spans="1:9" x14ac:dyDescent="0.3">
      <c r="A3077" t="str">
        <f>""</f>
        <v/>
      </c>
      <c r="F3077" t="str">
        <f>""</f>
        <v/>
      </c>
      <c r="G3077" t="str">
        <f>""</f>
        <v/>
      </c>
      <c r="I3077" t="str">
        <f t="shared" si="61"/>
        <v>TEXAS COUNTY &amp; DISTRICT RET</v>
      </c>
    </row>
    <row r="3078" spans="1:9" x14ac:dyDescent="0.3">
      <c r="A3078" t="str">
        <f>""</f>
        <v/>
      </c>
      <c r="F3078" t="str">
        <f>""</f>
        <v/>
      </c>
      <c r="G3078" t="str">
        <f>""</f>
        <v/>
      </c>
      <c r="I3078" t="str">
        <f t="shared" si="61"/>
        <v>TEXAS COUNTY &amp; DISTRICT RET</v>
      </c>
    </row>
    <row r="3079" spans="1:9" x14ac:dyDescent="0.3">
      <c r="A3079" t="str">
        <f>""</f>
        <v/>
      </c>
      <c r="F3079" t="str">
        <f>"RET201711216735"</f>
        <v>RET201711216735</v>
      </c>
      <c r="G3079" t="str">
        <f>"TEXAS COUNTY  DISTRICT RET"</f>
        <v>TEXAS COUNTY  DISTRICT RET</v>
      </c>
      <c r="H3079" s="2">
        <v>3996.72</v>
      </c>
      <c r="I3079" t="str">
        <f>"TEXAS COUNTY  DISTRICT RET"</f>
        <v>TEXAS COUNTY  DISTRICT RET</v>
      </c>
    </row>
    <row r="3080" spans="1:9" x14ac:dyDescent="0.3">
      <c r="A3080" t="str">
        <f>""</f>
        <v/>
      </c>
      <c r="F3080" t="str">
        <f>""</f>
        <v/>
      </c>
      <c r="G3080" t="str">
        <f>""</f>
        <v/>
      </c>
      <c r="I3080" t="str">
        <f>"TEXAS COUNTY  DISTRICT RET"</f>
        <v>TEXAS COUNTY  DISTRICT RET</v>
      </c>
    </row>
    <row r="3081" spans="1:9" x14ac:dyDescent="0.3">
      <c r="A3081" t="str">
        <f>""</f>
        <v/>
      </c>
      <c r="F3081" t="str">
        <f>"RET201711216736"</f>
        <v>RET201711216736</v>
      </c>
      <c r="G3081" t="str">
        <f>"TEXAS COUNTY &amp; DISTRICT RET"</f>
        <v>TEXAS COUNTY &amp; DISTRICT RET</v>
      </c>
      <c r="H3081" s="2">
        <v>5159.0200000000004</v>
      </c>
      <c r="I3081" t="str">
        <f>"TEXAS COUNTY &amp; DISTRICT RET"</f>
        <v>TEXAS COUNTY &amp; DISTRICT RET</v>
      </c>
    </row>
    <row r="3082" spans="1:9" x14ac:dyDescent="0.3">
      <c r="A3082" t="str">
        <f>""</f>
        <v/>
      </c>
      <c r="F3082" t="str">
        <f>""</f>
        <v/>
      </c>
      <c r="G3082" t="str">
        <f>""</f>
        <v/>
      </c>
      <c r="I3082" t="str">
        <f>"TEXAS COUNTY &amp; DISTRICT RET"</f>
        <v>TEXAS COUNTY &amp; DISTRICT RET</v>
      </c>
    </row>
    <row r="3083" spans="1:9" x14ac:dyDescent="0.3">
      <c r="A3083" t="str">
        <f>"002457"</f>
        <v>002457</v>
      </c>
      <c r="B3083" t="s">
        <v>628</v>
      </c>
      <c r="C3083">
        <v>46017</v>
      </c>
      <c r="D3083" s="2">
        <v>1045</v>
      </c>
      <c r="E3083" s="1">
        <v>43067</v>
      </c>
      <c r="F3083" t="str">
        <f>"201711286829"</f>
        <v>201711286829</v>
      </c>
      <c r="G3083" t="str">
        <f>"TEXAS LEGAL PROTECTION PLAN IN"</f>
        <v>TEXAS LEGAL PROTECTION PLAN IN</v>
      </c>
      <c r="H3083" s="2">
        <v>-10</v>
      </c>
      <c r="I3083" t="str">
        <f>"TEXAS LEGAL PROTECTION PLAN IN"</f>
        <v>TEXAS LEGAL PROTECTION PLAN IN</v>
      </c>
    </row>
    <row r="3084" spans="1:9" x14ac:dyDescent="0.3">
      <c r="A3084" t="str">
        <f>""</f>
        <v/>
      </c>
      <c r="F3084" t="str">
        <f>"LEG201711016103"</f>
        <v>LEG201711016103</v>
      </c>
      <c r="G3084" t="str">
        <f>"TEXAS LEGAL PROTECTION PLAN"</f>
        <v>TEXAS LEGAL PROTECTION PLAN</v>
      </c>
      <c r="H3084" s="2">
        <v>532.5</v>
      </c>
      <c r="I3084" t="str">
        <f>"TEXAS LEGAL PROTECTION PLAN"</f>
        <v>TEXAS LEGAL PROTECTION PLAN</v>
      </c>
    </row>
    <row r="3085" spans="1:9" x14ac:dyDescent="0.3">
      <c r="A3085" t="str">
        <f>""</f>
        <v/>
      </c>
      <c r="F3085" t="str">
        <f>"LEG201711156614"</f>
        <v>LEG201711156614</v>
      </c>
      <c r="G3085" t="str">
        <f>"TEXAS LEGAL PROTECTION PLAN"</f>
        <v>TEXAS LEGAL PROTECTION PLAN</v>
      </c>
      <c r="H3085" s="2">
        <v>522.5</v>
      </c>
      <c r="I3085" t="str">
        <f>"TEXAS LEGAL PROTECTION PLAN"</f>
        <v>TEXAS LEGAL PROTECTION PLAN</v>
      </c>
    </row>
    <row r="3086" spans="1:9" x14ac:dyDescent="0.3">
      <c r="A3086" t="str">
        <f>"T14362"</f>
        <v>T14362</v>
      </c>
      <c r="B3086" t="s">
        <v>629</v>
      </c>
      <c r="C3086">
        <v>45953</v>
      </c>
      <c r="D3086" s="2">
        <v>186</v>
      </c>
      <c r="E3086" s="1">
        <v>43042</v>
      </c>
      <c r="F3086" t="str">
        <f>"SL6201711016103"</f>
        <v>SL6201711016103</v>
      </c>
      <c r="G3086" t="str">
        <f>"TG STUDENT LOAN - P CROUCH"</f>
        <v>TG STUDENT LOAN - P CROUCH</v>
      </c>
      <c r="H3086" s="2">
        <v>186</v>
      </c>
      <c r="I3086" t="str">
        <f>"TG STUDENT LOAN - P CROUCH"</f>
        <v>TG STUDENT LOAN - P CROUCH</v>
      </c>
    </row>
    <row r="3087" spans="1:9" x14ac:dyDescent="0.3">
      <c r="A3087" t="str">
        <f>"T14362"</f>
        <v>T14362</v>
      </c>
      <c r="B3087" t="s">
        <v>629</v>
      </c>
      <c r="C3087">
        <v>46001</v>
      </c>
      <c r="D3087" s="2">
        <v>186</v>
      </c>
      <c r="E3087" s="1">
        <v>43056</v>
      </c>
      <c r="F3087" t="str">
        <f>"SL6201711156614"</f>
        <v>SL6201711156614</v>
      </c>
      <c r="G3087" t="str">
        <f>"TG STUDENT LOAN - P CROUCH"</f>
        <v>TG STUDENT LOAN - P CROUCH</v>
      </c>
      <c r="H3087" s="2">
        <v>186</v>
      </c>
      <c r="I3087" t="str">
        <f>"TG STUDENT LOAN - P CROUCH"</f>
        <v>TG STUDENT LOAN - P CROUCH</v>
      </c>
    </row>
    <row r="3088" spans="1:9" x14ac:dyDescent="0.3">
      <c r="A3088" t="str">
        <f>"T10887"</f>
        <v>T10887</v>
      </c>
      <c r="B3088" t="s">
        <v>630</v>
      </c>
      <c r="C3088">
        <v>45952</v>
      </c>
      <c r="D3088" s="2">
        <v>212.65</v>
      </c>
      <c r="E3088" s="1">
        <v>43042</v>
      </c>
      <c r="F3088" t="str">
        <f>"SL9201711016103"</f>
        <v>SL9201711016103</v>
      </c>
      <c r="G3088" t="str">
        <f>"STUDENT LOAN"</f>
        <v>STUDENT LOAN</v>
      </c>
      <c r="H3088" s="2">
        <v>212.65</v>
      </c>
      <c r="I3088" t="str">
        <f>"STUDENT LOAN"</f>
        <v>STUDENT LOAN</v>
      </c>
    </row>
    <row r="3089" spans="1:9" x14ac:dyDescent="0.3">
      <c r="A3089" t="str">
        <f>"T10887"</f>
        <v>T10887</v>
      </c>
      <c r="B3089" t="s">
        <v>630</v>
      </c>
      <c r="C3089">
        <v>46000</v>
      </c>
      <c r="D3089" s="2">
        <v>212.65</v>
      </c>
      <c r="E3089" s="1">
        <v>43056</v>
      </c>
      <c r="F3089" t="str">
        <f>"SL9201711156614"</f>
        <v>SL9201711156614</v>
      </c>
      <c r="G3089" t="str">
        <f>"STUDENT LOAN"</f>
        <v>STUDENT LOAN</v>
      </c>
      <c r="H3089" s="2">
        <v>212.65</v>
      </c>
      <c r="I3089" t="str">
        <f>"STUDENT LOAN"</f>
        <v>STUDENT LOAN</v>
      </c>
    </row>
    <row r="3090" spans="1:9" x14ac:dyDescent="0.3">
      <c r="A3090" t="str">
        <f>"004767"</f>
        <v>004767</v>
      </c>
      <c r="B3090" t="s">
        <v>631</v>
      </c>
      <c r="C3090">
        <v>0</v>
      </c>
      <c r="D3090" s="2">
        <v>13538.91</v>
      </c>
      <c r="E3090" s="1">
        <v>43042</v>
      </c>
      <c r="F3090" t="str">
        <f>"FSA201711016103"</f>
        <v>FSA201711016103</v>
      </c>
      <c r="G3090" t="str">
        <f>"WAGE WORKS"</f>
        <v>WAGE WORKS</v>
      </c>
      <c r="H3090" s="2">
        <v>8916.74</v>
      </c>
      <c r="I3090" t="str">
        <f t="shared" ref="I3090:I3101" si="62">"WAGE WORKS"</f>
        <v>WAGE WORKS</v>
      </c>
    </row>
    <row r="3091" spans="1:9" x14ac:dyDescent="0.3">
      <c r="A3091" t="str">
        <f>""</f>
        <v/>
      </c>
      <c r="F3091" t="str">
        <f>"FSA201711016105"</f>
        <v>FSA201711016105</v>
      </c>
      <c r="G3091" t="str">
        <f>"WAGE WORKS"</f>
        <v>WAGE WORKS</v>
      </c>
      <c r="H3091" s="2">
        <v>574</v>
      </c>
      <c r="I3091" t="str">
        <f t="shared" si="62"/>
        <v>WAGE WORKS</v>
      </c>
    </row>
    <row r="3092" spans="1:9" x14ac:dyDescent="0.3">
      <c r="A3092" t="str">
        <f>""</f>
        <v/>
      </c>
      <c r="F3092" t="str">
        <f>"FSC201711016103"</f>
        <v>FSC201711016103</v>
      </c>
      <c r="G3092" t="str">
        <f>"WAGE WORKS"</f>
        <v>WAGE WORKS</v>
      </c>
      <c r="H3092" s="2">
        <v>1133.44</v>
      </c>
      <c r="I3092" t="str">
        <f t="shared" si="62"/>
        <v>WAGE WORKS</v>
      </c>
    </row>
    <row r="3093" spans="1:9" x14ac:dyDescent="0.3">
      <c r="A3093" t="str">
        <f>""</f>
        <v/>
      </c>
      <c r="F3093" t="str">
        <f>""</f>
        <v/>
      </c>
      <c r="G3093" t="str">
        <f>""</f>
        <v/>
      </c>
      <c r="I3093" t="str">
        <f t="shared" si="62"/>
        <v>WAGE WORKS</v>
      </c>
    </row>
    <row r="3094" spans="1:9" x14ac:dyDescent="0.3">
      <c r="A3094" t="str">
        <f>""</f>
        <v/>
      </c>
      <c r="F3094" t="str">
        <f>""</f>
        <v/>
      </c>
      <c r="G3094" t="str">
        <f>""</f>
        <v/>
      </c>
      <c r="I3094" t="str">
        <f t="shared" si="62"/>
        <v>WAGE WORKS</v>
      </c>
    </row>
    <row r="3095" spans="1:9" x14ac:dyDescent="0.3">
      <c r="A3095" t="str">
        <f>""</f>
        <v/>
      </c>
      <c r="F3095" t="str">
        <f>""</f>
        <v/>
      </c>
      <c r="G3095" t="str">
        <f>""</f>
        <v/>
      </c>
      <c r="I3095" t="str">
        <f t="shared" si="62"/>
        <v>WAGE WORKS</v>
      </c>
    </row>
    <row r="3096" spans="1:9" x14ac:dyDescent="0.3">
      <c r="A3096" t="str">
        <f>""</f>
        <v/>
      </c>
      <c r="F3096" t="str">
        <f>""</f>
        <v/>
      </c>
      <c r="G3096" t="str">
        <f>""</f>
        <v/>
      </c>
      <c r="I3096" t="str">
        <f t="shared" si="62"/>
        <v>WAGE WORKS</v>
      </c>
    </row>
    <row r="3097" spans="1:9" x14ac:dyDescent="0.3">
      <c r="A3097" t="str">
        <f>""</f>
        <v/>
      </c>
      <c r="F3097" t="str">
        <f>""</f>
        <v/>
      </c>
      <c r="G3097" t="str">
        <f>""</f>
        <v/>
      </c>
      <c r="I3097" t="str">
        <f t="shared" si="62"/>
        <v>WAGE WORKS</v>
      </c>
    </row>
    <row r="3098" spans="1:9" x14ac:dyDescent="0.3">
      <c r="A3098" t="str">
        <f>""</f>
        <v/>
      </c>
      <c r="F3098" t="str">
        <f>""</f>
        <v/>
      </c>
      <c r="G3098" t="str">
        <f>""</f>
        <v/>
      </c>
      <c r="I3098" t="str">
        <f t="shared" si="62"/>
        <v>WAGE WORKS</v>
      </c>
    </row>
    <row r="3099" spans="1:9" x14ac:dyDescent="0.3">
      <c r="A3099" t="str">
        <f>""</f>
        <v/>
      </c>
      <c r="F3099" t="str">
        <f>""</f>
        <v/>
      </c>
      <c r="G3099" t="str">
        <f>""</f>
        <v/>
      </c>
      <c r="I3099" t="str">
        <f t="shared" si="62"/>
        <v>WAGE WORKS</v>
      </c>
    </row>
    <row r="3100" spans="1:9" x14ac:dyDescent="0.3">
      <c r="A3100" t="str">
        <f>""</f>
        <v/>
      </c>
      <c r="F3100" t="str">
        <f>""</f>
        <v/>
      </c>
      <c r="G3100" t="str">
        <f>""</f>
        <v/>
      </c>
      <c r="I3100" t="str">
        <f t="shared" si="62"/>
        <v>WAGE WORKS</v>
      </c>
    </row>
    <row r="3101" spans="1:9" x14ac:dyDescent="0.3">
      <c r="A3101" t="str">
        <f>""</f>
        <v/>
      </c>
      <c r="F3101" t="str">
        <f>""</f>
        <v/>
      </c>
      <c r="G3101" t="str">
        <f>""</f>
        <v/>
      </c>
      <c r="I3101" t="str">
        <f t="shared" si="62"/>
        <v>WAGE WORKS</v>
      </c>
    </row>
    <row r="3102" spans="1:9" x14ac:dyDescent="0.3">
      <c r="A3102" t="str">
        <f>""</f>
        <v/>
      </c>
      <c r="F3102" t="str">
        <f>"FSF201711016103"</f>
        <v>FSF201711016103</v>
      </c>
      <c r="G3102" t="str">
        <f>"WAGE WORKS - FSA &amp; HRA FEES"</f>
        <v>WAGE WORKS - FSA &amp; HRA FEES</v>
      </c>
      <c r="H3102" s="2">
        <v>567.63</v>
      </c>
      <c r="I3102" t="str">
        <f t="shared" ref="I3102:I3141" si="63">"WAGE WORKS - FSA &amp; HRA FEES"</f>
        <v>WAGE WORKS - FSA &amp; HRA FEES</v>
      </c>
    </row>
    <row r="3103" spans="1:9" x14ac:dyDescent="0.3">
      <c r="A3103" t="str">
        <f>""</f>
        <v/>
      </c>
      <c r="F3103" t="str">
        <f>""</f>
        <v/>
      </c>
      <c r="G3103" t="str">
        <f>""</f>
        <v/>
      </c>
      <c r="I3103" t="str">
        <f t="shared" si="63"/>
        <v>WAGE WORKS - FSA &amp; HRA FEES</v>
      </c>
    </row>
    <row r="3104" spans="1:9" x14ac:dyDescent="0.3">
      <c r="A3104" t="str">
        <f>""</f>
        <v/>
      </c>
      <c r="F3104" t="str">
        <f>""</f>
        <v/>
      </c>
      <c r="G3104" t="str">
        <f>""</f>
        <v/>
      </c>
      <c r="I3104" t="str">
        <f t="shared" si="63"/>
        <v>WAGE WORKS - FSA &amp; HRA FEES</v>
      </c>
    </row>
    <row r="3105" spans="1:9" x14ac:dyDescent="0.3">
      <c r="A3105" t="str">
        <f>""</f>
        <v/>
      </c>
      <c r="F3105" t="str">
        <f>""</f>
        <v/>
      </c>
      <c r="G3105" t="str">
        <f>""</f>
        <v/>
      </c>
      <c r="I3105" t="str">
        <f t="shared" si="63"/>
        <v>WAGE WORKS - FSA &amp; HRA FEES</v>
      </c>
    </row>
    <row r="3106" spans="1:9" x14ac:dyDescent="0.3">
      <c r="A3106" t="str">
        <f>""</f>
        <v/>
      </c>
      <c r="F3106" t="str">
        <f>""</f>
        <v/>
      </c>
      <c r="G3106" t="str">
        <f>""</f>
        <v/>
      </c>
      <c r="I3106" t="str">
        <f t="shared" si="63"/>
        <v>WAGE WORKS - FSA &amp; HRA FEES</v>
      </c>
    </row>
    <row r="3107" spans="1:9" x14ac:dyDescent="0.3">
      <c r="A3107" t="str">
        <f>""</f>
        <v/>
      </c>
      <c r="F3107" t="str">
        <f>""</f>
        <v/>
      </c>
      <c r="G3107" t="str">
        <f>""</f>
        <v/>
      </c>
      <c r="I3107" t="str">
        <f t="shared" si="63"/>
        <v>WAGE WORKS - FSA &amp; HRA FEES</v>
      </c>
    </row>
    <row r="3108" spans="1:9" x14ac:dyDescent="0.3">
      <c r="A3108" t="str">
        <f>""</f>
        <v/>
      </c>
      <c r="F3108" t="str">
        <f>""</f>
        <v/>
      </c>
      <c r="G3108" t="str">
        <f>""</f>
        <v/>
      </c>
      <c r="I3108" t="str">
        <f t="shared" si="63"/>
        <v>WAGE WORKS - FSA &amp; HRA FEES</v>
      </c>
    </row>
    <row r="3109" spans="1:9" x14ac:dyDescent="0.3">
      <c r="A3109" t="str">
        <f>""</f>
        <v/>
      </c>
      <c r="F3109" t="str">
        <f>""</f>
        <v/>
      </c>
      <c r="G3109" t="str">
        <f>""</f>
        <v/>
      </c>
      <c r="I3109" t="str">
        <f t="shared" si="63"/>
        <v>WAGE WORKS - FSA &amp; HRA FEES</v>
      </c>
    </row>
    <row r="3110" spans="1:9" x14ac:dyDescent="0.3">
      <c r="A3110" t="str">
        <f>""</f>
        <v/>
      </c>
      <c r="F3110" t="str">
        <f>""</f>
        <v/>
      </c>
      <c r="G3110" t="str">
        <f>""</f>
        <v/>
      </c>
      <c r="I3110" t="str">
        <f t="shared" si="63"/>
        <v>WAGE WORKS - FSA &amp; HRA FEES</v>
      </c>
    </row>
    <row r="3111" spans="1:9" x14ac:dyDescent="0.3">
      <c r="A3111" t="str">
        <f>""</f>
        <v/>
      </c>
      <c r="F3111" t="str">
        <f>""</f>
        <v/>
      </c>
      <c r="G3111" t="str">
        <f>""</f>
        <v/>
      </c>
      <c r="I3111" t="str">
        <f t="shared" si="63"/>
        <v>WAGE WORKS - FSA &amp; HRA FEES</v>
      </c>
    </row>
    <row r="3112" spans="1:9" x14ac:dyDescent="0.3">
      <c r="A3112" t="str">
        <f>""</f>
        <v/>
      </c>
      <c r="F3112" t="str">
        <f>""</f>
        <v/>
      </c>
      <c r="G3112" t="str">
        <f>""</f>
        <v/>
      </c>
      <c r="I3112" t="str">
        <f t="shared" si="63"/>
        <v>WAGE WORKS - FSA &amp; HRA FEES</v>
      </c>
    </row>
    <row r="3113" spans="1:9" x14ac:dyDescent="0.3">
      <c r="A3113" t="str">
        <f>""</f>
        <v/>
      </c>
      <c r="F3113" t="str">
        <f>""</f>
        <v/>
      </c>
      <c r="G3113" t="str">
        <f>""</f>
        <v/>
      </c>
      <c r="I3113" t="str">
        <f t="shared" si="63"/>
        <v>WAGE WORKS - FSA &amp; HRA FEES</v>
      </c>
    </row>
    <row r="3114" spans="1:9" x14ac:dyDescent="0.3">
      <c r="A3114" t="str">
        <f>""</f>
        <v/>
      </c>
      <c r="F3114" t="str">
        <f>""</f>
        <v/>
      </c>
      <c r="G3114" t="str">
        <f>""</f>
        <v/>
      </c>
      <c r="I3114" t="str">
        <f t="shared" si="63"/>
        <v>WAGE WORKS - FSA &amp; HRA FEES</v>
      </c>
    </row>
    <row r="3115" spans="1:9" x14ac:dyDescent="0.3">
      <c r="A3115" t="str">
        <f>""</f>
        <v/>
      </c>
      <c r="F3115" t="str">
        <f>""</f>
        <v/>
      </c>
      <c r="G3115" t="str">
        <f>""</f>
        <v/>
      </c>
      <c r="I3115" t="str">
        <f t="shared" si="63"/>
        <v>WAGE WORKS - FSA &amp; HRA FEES</v>
      </c>
    </row>
    <row r="3116" spans="1:9" x14ac:dyDescent="0.3">
      <c r="A3116" t="str">
        <f>""</f>
        <v/>
      </c>
      <c r="F3116" t="str">
        <f>""</f>
        <v/>
      </c>
      <c r="G3116" t="str">
        <f>""</f>
        <v/>
      </c>
      <c r="I3116" t="str">
        <f t="shared" si="63"/>
        <v>WAGE WORKS - FSA &amp; HRA FEES</v>
      </c>
    </row>
    <row r="3117" spans="1:9" x14ac:dyDescent="0.3">
      <c r="A3117" t="str">
        <f>""</f>
        <v/>
      </c>
      <c r="F3117" t="str">
        <f>""</f>
        <v/>
      </c>
      <c r="G3117" t="str">
        <f>""</f>
        <v/>
      </c>
      <c r="I3117" t="str">
        <f t="shared" si="63"/>
        <v>WAGE WORKS - FSA &amp; HRA FEES</v>
      </c>
    </row>
    <row r="3118" spans="1:9" x14ac:dyDescent="0.3">
      <c r="A3118" t="str">
        <f>""</f>
        <v/>
      </c>
      <c r="F3118" t="str">
        <f>""</f>
        <v/>
      </c>
      <c r="G3118" t="str">
        <f>""</f>
        <v/>
      </c>
      <c r="I3118" t="str">
        <f t="shared" si="63"/>
        <v>WAGE WORKS - FSA &amp; HRA FEES</v>
      </c>
    </row>
    <row r="3119" spans="1:9" x14ac:dyDescent="0.3">
      <c r="A3119" t="str">
        <f>""</f>
        <v/>
      </c>
      <c r="F3119" t="str">
        <f>""</f>
        <v/>
      </c>
      <c r="G3119" t="str">
        <f>""</f>
        <v/>
      </c>
      <c r="I3119" t="str">
        <f t="shared" si="63"/>
        <v>WAGE WORKS - FSA &amp; HRA FEES</v>
      </c>
    </row>
    <row r="3120" spans="1:9" x14ac:dyDescent="0.3">
      <c r="A3120" t="str">
        <f>""</f>
        <v/>
      </c>
      <c r="F3120" t="str">
        <f>""</f>
        <v/>
      </c>
      <c r="G3120" t="str">
        <f>""</f>
        <v/>
      </c>
      <c r="I3120" t="str">
        <f t="shared" si="63"/>
        <v>WAGE WORKS - FSA &amp; HRA FEES</v>
      </c>
    </row>
    <row r="3121" spans="1:9" x14ac:dyDescent="0.3">
      <c r="A3121" t="str">
        <f>""</f>
        <v/>
      </c>
      <c r="F3121" t="str">
        <f>""</f>
        <v/>
      </c>
      <c r="G3121" t="str">
        <f>""</f>
        <v/>
      </c>
      <c r="I3121" t="str">
        <f t="shared" si="63"/>
        <v>WAGE WORKS - FSA &amp; HRA FEES</v>
      </c>
    </row>
    <row r="3122" spans="1:9" x14ac:dyDescent="0.3">
      <c r="A3122" t="str">
        <f>""</f>
        <v/>
      </c>
      <c r="F3122" t="str">
        <f>""</f>
        <v/>
      </c>
      <c r="G3122" t="str">
        <f>""</f>
        <v/>
      </c>
      <c r="I3122" t="str">
        <f t="shared" si="63"/>
        <v>WAGE WORKS - FSA &amp; HRA FEES</v>
      </c>
    </row>
    <row r="3123" spans="1:9" x14ac:dyDescent="0.3">
      <c r="A3123" t="str">
        <f>""</f>
        <v/>
      </c>
      <c r="F3123" t="str">
        <f>""</f>
        <v/>
      </c>
      <c r="G3123" t="str">
        <f>""</f>
        <v/>
      </c>
      <c r="I3123" t="str">
        <f t="shared" si="63"/>
        <v>WAGE WORKS - FSA &amp; HRA FEES</v>
      </c>
    </row>
    <row r="3124" spans="1:9" x14ac:dyDescent="0.3">
      <c r="A3124" t="str">
        <f>""</f>
        <v/>
      </c>
      <c r="F3124" t="str">
        <f>""</f>
        <v/>
      </c>
      <c r="G3124" t="str">
        <f>""</f>
        <v/>
      </c>
      <c r="I3124" t="str">
        <f t="shared" si="63"/>
        <v>WAGE WORKS - FSA &amp; HRA FEES</v>
      </c>
    </row>
    <row r="3125" spans="1:9" x14ac:dyDescent="0.3">
      <c r="A3125" t="str">
        <f>""</f>
        <v/>
      </c>
      <c r="F3125" t="str">
        <f>""</f>
        <v/>
      </c>
      <c r="G3125" t="str">
        <f>""</f>
        <v/>
      </c>
      <c r="I3125" t="str">
        <f t="shared" si="63"/>
        <v>WAGE WORKS - FSA &amp; HRA FEES</v>
      </c>
    </row>
    <row r="3126" spans="1:9" x14ac:dyDescent="0.3">
      <c r="A3126" t="str">
        <f>""</f>
        <v/>
      </c>
      <c r="F3126" t="str">
        <f>""</f>
        <v/>
      </c>
      <c r="G3126" t="str">
        <f>""</f>
        <v/>
      </c>
      <c r="I3126" t="str">
        <f t="shared" si="63"/>
        <v>WAGE WORKS - FSA &amp; HRA FEES</v>
      </c>
    </row>
    <row r="3127" spans="1:9" x14ac:dyDescent="0.3">
      <c r="A3127" t="str">
        <f>""</f>
        <v/>
      </c>
      <c r="F3127" t="str">
        <f>""</f>
        <v/>
      </c>
      <c r="G3127" t="str">
        <f>""</f>
        <v/>
      </c>
      <c r="I3127" t="str">
        <f t="shared" si="63"/>
        <v>WAGE WORKS - FSA &amp; HRA FEES</v>
      </c>
    </row>
    <row r="3128" spans="1:9" x14ac:dyDescent="0.3">
      <c r="A3128" t="str">
        <f>""</f>
        <v/>
      </c>
      <c r="F3128" t="str">
        <f>""</f>
        <v/>
      </c>
      <c r="G3128" t="str">
        <f>""</f>
        <v/>
      </c>
      <c r="I3128" t="str">
        <f t="shared" si="63"/>
        <v>WAGE WORKS - FSA &amp; HRA FEES</v>
      </c>
    </row>
    <row r="3129" spans="1:9" x14ac:dyDescent="0.3">
      <c r="A3129" t="str">
        <f>""</f>
        <v/>
      </c>
      <c r="F3129" t="str">
        <f>""</f>
        <v/>
      </c>
      <c r="G3129" t="str">
        <f>""</f>
        <v/>
      </c>
      <c r="I3129" t="str">
        <f t="shared" si="63"/>
        <v>WAGE WORKS - FSA &amp; HRA FEES</v>
      </c>
    </row>
    <row r="3130" spans="1:9" x14ac:dyDescent="0.3">
      <c r="A3130" t="str">
        <f>""</f>
        <v/>
      </c>
      <c r="F3130" t="str">
        <f>""</f>
        <v/>
      </c>
      <c r="G3130" t="str">
        <f>""</f>
        <v/>
      </c>
      <c r="I3130" t="str">
        <f t="shared" si="63"/>
        <v>WAGE WORKS - FSA &amp; HRA FEES</v>
      </c>
    </row>
    <row r="3131" spans="1:9" x14ac:dyDescent="0.3">
      <c r="A3131" t="str">
        <f>""</f>
        <v/>
      </c>
      <c r="F3131" t="str">
        <f>""</f>
        <v/>
      </c>
      <c r="G3131" t="str">
        <f>""</f>
        <v/>
      </c>
      <c r="I3131" t="str">
        <f t="shared" si="63"/>
        <v>WAGE WORKS - FSA &amp; HRA FEES</v>
      </c>
    </row>
    <row r="3132" spans="1:9" x14ac:dyDescent="0.3">
      <c r="A3132" t="str">
        <f>""</f>
        <v/>
      </c>
      <c r="F3132" t="str">
        <f>""</f>
        <v/>
      </c>
      <c r="G3132" t="str">
        <f>""</f>
        <v/>
      </c>
      <c r="I3132" t="str">
        <f t="shared" si="63"/>
        <v>WAGE WORKS - FSA &amp; HRA FEES</v>
      </c>
    </row>
    <row r="3133" spans="1:9" x14ac:dyDescent="0.3">
      <c r="A3133" t="str">
        <f>""</f>
        <v/>
      </c>
      <c r="F3133" t="str">
        <f>""</f>
        <v/>
      </c>
      <c r="G3133" t="str">
        <f>""</f>
        <v/>
      </c>
      <c r="I3133" t="str">
        <f t="shared" si="63"/>
        <v>WAGE WORKS - FSA &amp; HRA FEES</v>
      </c>
    </row>
    <row r="3134" spans="1:9" x14ac:dyDescent="0.3">
      <c r="A3134" t="str">
        <f>""</f>
        <v/>
      </c>
      <c r="F3134" t="str">
        <f>""</f>
        <v/>
      </c>
      <c r="G3134" t="str">
        <f>""</f>
        <v/>
      </c>
      <c r="I3134" t="str">
        <f t="shared" si="63"/>
        <v>WAGE WORKS - FSA &amp; HRA FEES</v>
      </c>
    </row>
    <row r="3135" spans="1:9" x14ac:dyDescent="0.3">
      <c r="A3135" t="str">
        <f>""</f>
        <v/>
      </c>
      <c r="F3135" t="str">
        <f>""</f>
        <v/>
      </c>
      <c r="G3135" t="str">
        <f>""</f>
        <v/>
      </c>
      <c r="I3135" t="str">
        <f t="shared" si="63"/>
        <v>WAGE WORKS - FSA &amp; HRA FEES</v>
      </c>
    </row>
    <row r="3136" spans="1:9" x14ac:dyDescent="0.3">
      <c r="A3136" t="str">
        <f>""</f>
        <v/>
      </c>
      <c r="F3136" t="str">
        <f>""</f>
        <v/>
      </c>
      <c r="G3136" t="str">
        <f>""</f>
        <v/>
      </c>
      <c r="I3136" t="str">
        <f t="shared" si="63"/>
        <v>WAGE WORKS - FSA &amp; HRA FEES</v>
      </c>
    </row>
    <row r="3137" spans="1:9" x14ac:dyDescent="0.3">
      <c r="A3137" t="str">
        <f>""</f>
        <v/>
      </c>
      <c r="F3137" t="str">
        <f>""</f>
        <v/>
      </c>
      <c r="G3137" t="str">
        <f>""</f>
        <v/>
      </c>
      <c r="I3137" t="str">
        <f t="shared" si="63"/>
        <v>WAGE WORKS - FSA &amp; HRA FEES</v>
      </c>
    </row>
    <row r="3138" spans="1:9" x14ac:dyDescent="0.3">
      <c r="A3138" t="str">
        <f>""</f>
        <v/>
      </c>
      <c r="F3138" t="str">
        <f>""</f>
        <v/>
      </c>
      <c r="G3138" t="str">
        <f>""</f>
        <v/>
      </c>
      <c r="I3138" t="str">
        <f t="shared" si="63"/>
        <v>WAGE WORKS - FSA &amp; HRA FEES</v>
      </c>
    </row>
    <row r="3139" spans="1:9" x14ac:dyDescent="0.3">
      <c r="A3139" t="str">
        <f>""</f>
        <v/>
      </c>
      <c r="F3139" t="str">
        <f>""</f>
        <v/>
      </c>
      <c r="G3139" t="str">
        <f>""</f>
        <v/>
      </c>
      <c r="I3139" t="str">
        <f t="shared" si="63"/>
        <v>WAGE WORKS - FSA &amp; HRA FEES</v>
      </c>
    </row>
    <row r="3140" spans="1:9" x14ac:dyDescent="0.3">
      <c r="A3140" t="str">
        <f>""</f>
        <v/>
      </c>
      <c r="F3140" t="str">
        <f>""</f>
        <v/>
      </c>
      <c r="G3140" t="str">
        <f>""</f>
        <v/>
      </c>
      <c r="I3140" t="str">
        <f t="shared" si="63"/>
        <v>WAGE WORKS - FSA &amp; HRA FEES</v>
      </c>
    </row>
    <row r="3141" spans="1:9" x14ac:dyDescent="0.3">
      <c r="A3141" t="str">
        <f>""</f>
        <v/>
      </c>
      <c r="F3141" t="str">
        <f>"FSF201711016105"</f>
        <v>FSF201711016105</v>
      </c>
      <c r="G3141" t="str">
        <f>"WAGE WORKS - FSA &amp; HRA FEES"</f>
        <v>WAGE WORKS - FSA &amp; HRA FEES</v>
      </c>
      <c r="H3141" s="2">
        <v>26.25</v>
      </c>
      <c r="I3141" t="str">
        <f t="shared" si="63"/>
        <v>WAGE WORKS - FSA &amp; HRA FEES</v>
      </c>
    </row>
    <row r="3142" spans="1:9" x14ac:dyDescent="0.3">
      <c r="A3142" t="str">
        <f>""</f>
        <v/>
      </c>
      <c r="F3142" t="str">
        <f>"FSO201711016103"</f>
        <v>FSO201711016103</v>
      </c>
      <c r="G3142" t="str">
        <f>"WAGE WORKS - FSA FEES"</f>
        <v>WAGE WORKS - FSA FEES</v>
      </c>
      <c r="H3142" s="2">
        <v>13.02</v>
      </c>
      <c r="I3142" t="str">
        <f t="shared" ref="I3142:I3150" si="64">"WAGE WORKS - FSA FEES"</f>
        <v>WAGE WORKS - FSA FEES</v>
      </c>
    </row>
    <row r="3143" spans="1:9" x14ac:dyDescent="0.3">
      <c r="A3143" t="str">
        <f>""</f>
        <v/>
      </c>
      <c r="F3143" t="str">
        <f>""</f>
        <v/>
      </c>
      <c r="G3143" t="str">
        <f>""</f>
        <v/>
      </c>
      <c r="I3143" t="str">
        <f t="shared" si="64"/>
        <v>WAGE WORKS - FSA FEES</v>
      </c>
    </row>
    <row r="3144" spans="1:9" x14ac:dyDescent="0.3">
      <c r="A3144" t="str">
        <f>""</f>
        <v/>
      </c>
      <c r="F3144" t="str">
        <f>""</f>
        <v/>
      </c>
      <c r="G3144" t="str">
        <f>""</f>
        <v/>
      </c>
      <c r="I3144" t="str">
        <f t="shared" si="64"/>
        <v>WAGE WORKS - FSA FEES</v>
      </c>
    </row>
    <row r="3145" spans="1:9" x14ac:dyDescent="0.3">
      <c r="A3145" t="str">
        <f>""</f>
        <v/>
      </c>
      <c r="F3145" t="str">
        <f>""</f>
        <v/>
      </c>
      <c r="G3145" t="str">
        <f>""</f>
        <v/>
      </c>
      <c r="I3145" t="str">
        <f t="shared" si="64"/>
        <v>WAGE WORKS - FSA FEES</v>
      </c>
    </row>
    <row r="3146" spans="1:9" x14ac:dyDescent="0.3">
      <c r="A3146" t="str">
        <f>""</f>
        <v/>
      </c>
      <c r="F3146" t="str">
        <f>""</f>
        <v/>
      </c>
      <c r="G3146" t="str">
        <f>""</f>
        <v/>
      </c>
      <c r="I3146" t="str">
        <f t="shared" si="64"/>
        <v>WAGE WORKS - FSA FEES</v>
      </c>
    </row>
    <row r="3147" spans="1:9" x14ac:dyDescent="0.3">
      <c r="A3147" t="str">
        <f>""</f>
        <v/>
      </c>
      <c r="F3147" t="str">
        <f>""</f>
        <v/>
      </c>
      <c r="G3147" t="str">
        <f>""</f>
        <v/>
      </c>
      <c r="I3147" t="str">
        <f t="shared" si="64"/>
        <v>WAGE WORKS - FSA FEES</v>
      </c>
    </row>
    <row r="3148" spans="1:9" x14ac:dyDescent="0.3">
      <c r="A3148" t="str">
        <f>""</f>
        <v/>
      </c>
      <c r="F3148" t="str">
        <f>""</f>
        <v/>
      </c>
      <c r="G3148" t="str">
        <f>""</f>
        <v/>
      </c>
      <c r="I3148" t="str">
        <f t="shared" si="64"/>
        <v>WAGE WORKS - FSA FEES</v>
      </c>
    </row>
    <row r="3149" spans="1:9" x14ac:dyDescent="0.3">
      <c r="A3149" t="str">
        <f>""</f>
        <v/>
      </c>
      <c r="F3149" t="str">
        <f>""</f>
        <v/>
      </c>
      <c r="G3149" t="str">
        <f>""</f>
        <v/>
      </c>
      <c r="I3149" t="str">
        <f t="shared" si="64"/>
        <v>WAGE WORKS - FSA FEES</v>
      </c>
    </row>
    <row r="3150" spans="1:9" x14ac:dyDescent="0.3">
      <c r="A3150" t="str">
        <f>""</f>
        <v/>
      </c>
      <c r="F3150" t="str">
        <f>"FSO201711016105"</f>
        <v>FSO201711016105</v>
      </c>
      <c r="G3150" t="str">
        <f>"WAGE WORKS - FSA FEES"</f>
        <v>WAGE WORKS - FSA FEES</v>
      </c>
      <c r="H3150" s="2">
        <v>1.88</v>
      </c>
      <c r="I3150" t="str">
        <f t="shared" si="64"/>
        <v>WAGE WORKS - FSA FEES</v>
      </c>
    </row>
    <row r="3151" spans="1:9" x14ac:dyDescent="0.3">
      <c r="A3151" t="str">
        <f>""</f>
        <v/>
      </c>
      <c r="F3151" t="str">
        <f>"HRA201711016103"</f>
        <v>HRA201711016103</v>
      </c>
      <c r="G3151" t="str">
        <f>"WAGE WORKS"</f>
        <v>WAGE WORKS</v>
      </c>
      <c r="H3151" s="2">
        <v>1833.35</v>
      </c>
      <c r="I3151" t="str">
        <f>"WAGE WORKS"</f>
        <v>WAGE WORKS</v>
      </c>
    </row>
    <row r="3152" spans="1:9" x14ac:dyDescent="0.3">
      <c r="A3152" t="str">
        <f>""</f>
        <v/>
      </c>
      <c r="F3152" t="str">
        <f>""</f>
        <v/>
      </c>
      <c r="G3152" t="str">
        <f>""</f>
        <v/>
      </c>
      <c r="I3152" t="str">
        <f>"WAGE WORKS"</f>
        <v>WAGE WORKS</v>
      </c>
    </row>
    <row r="3153" spans="1:9" x14ac:dyDescent="0.3">
      <c r="A3153" t="str">
        <f>""</f>
        <v/>
      </c>
      <c r="F3153" t="str">
        <f>""</f>
        <v/>
      </c>
      <c r="G3153" t="str">
        <f>""</f>
        <v/>
      </c>
      <c r="I3153" t="str">
        <f>"WAGE WORKS"</f>
        <v>WAGE WORKS</v>
      </c>
    </row>
    <row r="3154" spans="1:9" x14ac:dyDescent="0.3">
      <c r="A3154" t="str">
        <f>""</f>
        <v/>
      </c>
      <c r="F3154" t="str">
        <f>""</f>
        <v/>
      </c>
      <c r="G3154" t="str">
        <f>""</f>
        <v/>
      </c>
      <c r="I3154" t="str">
        <f>"WAGE WORKS"</f>
        <v>WAGE WORKS</v>
      </c>
    </row>
    <row r="3155" spans="1:9" x14ac:dyDescent="0.3">
      <c r="A3155" t="str">
        <f>""</f>
        <v/>
      </c>
      <c r="F3155" t="str">
        <f>""</f>
        <v/>
      </c>
      <c r="G3155" t="str">
        <f>""</f>
        <v/>
      </c>
      <c r="I3155" t="str">
        <f>"WAGE WORKS"</f>
        <v>WAGE WORKS</v>
      </c>
    </row>
    <row r="3156" spans="1:9" x14ac:dyDescent="0.3">
      <c r="A3156" t="str">
        <f>""</f>
        <v/>
      </c>
      <c r="F3156" t="str">
        <f>"HRF201711016103"</f>
        <v>HRF201711016103</v>
      </c>
      <c r="G3156" t="str">
        <f>"WAGE WORKS - HRA FEES"</f>
        <v>WAGE WORKS - HRA FEES</v>
      </c>
      <c r="H3156" s="2">
        <v>457.56</v>
      </c>
      <c r="I3156" t="str">
        <f t="shared" ref="I3156:I3194" si="65">"WAGE WORKS - HRA FEES"</f>
        <v>WAGE WORKS - HRA FEES</v>
      </c>
    </row>
    <row r="3157" spans="1:9" x14ac:dyDescent="0.3">
      <c r="A3157" t="str">
        <f>""</f>
        <v/>
      </c>
      <c r="F3157" t="str">
        <f>""</f>
        <v/>
      </c>
      <c r="G3157" t="str">
        <f>""</f>
        <v/>
      </c>
      <c r="I3157" t="str">
        <f t="shared" si="65"/>
        <v>WAGE WORKS - HRA FEES</v>
      </c>
    </row>
    <row r="3158" spans="1:9" x14ac:dyDescent="0.3">
      <c r="A3158" t="str">
        <f>""</f>
        <v/>
      </c>
      <c r="F3158" t="str">
        <f>""</f>
        <v/>
      </c>
      <c r="G3158" t="str">
        <f>""</f>
        <v/>
      </c>
      <c r="I3158" t="str">
        <f t="shared" si="65"/>
        <v>WAGE WORKS - HRA FEES</v>
      </c>
    </row>
    <row r="3159" spans="1:9" x14ac:dyDescent="0.3">
      <c r="A3159" t="str">
        <f>""</f>
        <v/>
      </c>
      <c r="F3159" t="str">
        <f>""</f>
        <v/>
      </c>
      <c r="G3159" t="str">
        <f>""</f>
        <v/>
      </c>
      <c r="I3159" t="str">
        <f t="shared" si="65"/>
        <v>WAGE WORKS - HRA FEES</v>
      </c>
    </row>
    <row r="3160" spans="1:9" x14ac:dyDescent="0.3">
      <c r="A3160" t="str">
        <f>""</f>
        <v/>
      </c>
      <c r="F3160" t="str">
        <f>""</f>
        <v/>
      </c>
      <c r="G3160" t="str">
        <f>""</f>
        <v/>
      </c>
      <c r="I3160" t="str">
        <f t="shared" si="65"/>
        <v>WAGE WORKS - HRA FEES</v>
      </c>
    </row>
    <row r="3161" spans="1:9" x14ac:dyDescent="0.3">
      <c r="A3161" t="str">
        <f>""</f>
        <v/>
      </c>
      <c r="F3161" t="str">
        <f>""</f>
        <v/>
      </c>
      <c r="G3161" t="str">
        <f>""</f>
        <v/>
      </c>
      <c r="I3161" t="str">
        <f t="shared" si="65"/>
        <v>WAGE WORKS - HRA FEES</v>
      </c>
    </row>
    <row r="3162" spans="1:9" x14ac:dyDescent="0.3">
      <c r="A3162" t="str">
        <f>""</f>
        <v/>
      </c>
      <c r="F3162" t="str">
        <f>""</f>
        <v/>
      </c>
      <c r="G3162" t="str">
        <f>""</f>
        <v/>
      </c>
      <c r="I3162" t="str">
        <f t="shared" si="65"/>
        <v>WAGE WORKS - HRA FEES</v>
      </c>
    </row>
    <row r="3163" spans="1:9" x14ac:dyDescent="0.3">
      <c r="A3163" t="str">
        <f>""</f>
        <v/>
      </c>
      <c r="F3163" t="str">
        <f>""</f>
        <v/>
      </c>
      <c r="G3163" t="str">
        <f>""</f>
        <v/>
      </c>
      <c r="I3163" t="str">
        <f t="shared" si="65"/>
        <v>WAGE WORKS - HRA FEES</v>
      </c>
    </row>
    <row r="3164" spans="1:9" x14ac:dyDescent="0.3">
      <c r="A3164" t="str">
        <f>""</f>
        <v/>
      </c>
      <c r="F3164" t="str">
        <f>""</f>
        <v/>
      </c>
      <c r="G3164" t="str">
        <f>""</f>
        <v/>
      </c>
      <c r="I3164" t="str">
        <f t="shared" si="65"/>
        <v>WAGE WORKS - HRA FEES</v>
      </c>
    </row>
    <row r="3165" spans="1:9" x14ac:dyDescent="0.3">
      <c r="A3165" t="str">
        <f>""</f>
        <v/>
      </c>
      <c r="F3165" t="str">
        <f>""</f>
        <v/>
      </c>
      <c r="G3165" t="str">
        <f>""</f>
        <v/>
      </c>
      <c r="I3165" t="str">
        <f t="shared" si="65"/>
        <v>WAGE WORKS - HRA FEES</v>
      </c>
    </row>
    <row r="3166" spans="1:9" x14ac:dyDescent="0.3">
      <c r="A3166" t="str">
        <f>""</f>
        <v/>
      </c>
      <c r="F3166" t="str">
        <f>""</f>
        <v/>
      </c>
      <c r="G3166" t="str">
        <f>""</f>
        <v/>
      </c>
      <c r="I3166" t="str">
        <f t="shared" si="65"/>
        <v>WAGE WORKS - HRA FEES</v>
      </c>
    </row>
    <row r="3167" spans="1:9" x14ac:dyDescent="0.3">
      <c r="A3167" t="str">
        <f>""</f>
        <v/>
      </c>
      <c r="F3167" t="str">
        <f>""</f>
        <v/>
      </c>
      <c r="G3167" t="str">
        <f>""</f>
        <v/>
      </c>
      <c r="I3167" t="str">
        <f t="shared" si="65"/>
        <v>WAGE WORKS - HRA FEES</v>
      </c>
    </row>
    <row r="3168" spans="1:9" x14ac:dyDescent="0.3">
      <c r="A3168" t="str">
        <f>""</f>
        <v/>
      </c>
      <c r="F3168" t="str">
        <f>""</f>
        <v/>
      </c>
      <c r="G3168" t="str">
        <f>""</f>
        <v/>
      </c>
      <c r="I3168" t="str">
        <f t="shared" si="65"/>
        <v>WAGE WORKS - HRA FEES</v>
      </c>
    </row>
    <row r="3169" spans="1:9" x14ac:dyDescent="0.3">
      <c r="A3169" t="str">
        <f>""</f>
        <v/>
      </c>
      <c r="F3169" t="str">
        <f>""</f>
        <v/>
      </c>
      <c r="G3169" t="str">
        <f>""</f>
        <v/>
      </c>
      <c r="I3169" t="str">
        <f t="shared" si="65"/>
        <v>WAGE WORKS - HRA FEES</v>
      </c>
    </row>
    <row r="3170" spans="1:9" x14ac:dyDescent="0.3">
      <c r="A3170" t="str">
        <f>""</f>
        <v/>
      </c>
      <c r="F3170" t="str">
        <f>""</f>
        <v/>
      </c>
      <c r="G3170" t="str">
        <f>""</f>
        <v/>
      </c>
      <c r="I3170" t="str">
        <f t="shared" si="65"/>
        <v>WAGE WORKS - HRA FEES</v>
      </c>
    </row>
    <row r="3171" spans="1:9" x14ac:dyDescent="0.3">
      <c r="A3171" t="str">
        <f>""</f>
        <v/>
      </c>
      <c r="F3171" t="str">
        <f>""</f>
        <v/>
      </c>
      <c r="G3171" t="str">
        <f>""</f>
        <v/>
      </c>
      <c r="I3171" t="str">
        <f t="shared" si="65"/>
        <v>WAGE WORKS - HRA FEES</v>
      </c>
    </row>
    <row r="3172" spans="1:9" x14ac:dyDescent="0.3">
      <c r="A3172" t="str">
        <f>""</f>
        <v/>
      </c>
      <c r="F3172" t="str">
        <f>""</f>
        <v/>
      </c>
      <c r="G3172" t="str">
        <f>""</f>
        <v/>
      </c>
      <c r="I3172" t="str">
        <f t="shared" si="65"/>
        <v>WAGE WORKS - HRA FEES</v>
      </c>
    </row>
    <row r="3173" spans="1:9" x14ac:dyDescent="0.3">
      <c r="A3173" t="str">
        <f>""</f>
        <v/>
      </c>
      <c r="F3173" t="str">
        <f>""</f>
        <v/>
      </c>
      <c r="G3173" t="str">
        <f>""</f>
        <v/>
      </c>
      <c r="I3173" t="str">
        <f t="shared" si="65"/>
        <v>WAGE WORKS - HRA FEES</v>
      </c>
    </row>
    <row r="3174" spans="1:9" x14ac:dyDescent="0.3">
      <c r="A3174" t="str">
        <f>""</f>
        <v/>
      </c>
      <c r="F3174" t="str">
        <f>""</f>
        <v/>
      </c>
      <c r="G3174" t="str">
        <f>""</f>
        <v/>
      </c>
      <c r="I3174" t="str">
        <f t="shared" si="65"/>
        <v>WAGE WORKS - HRA FEES</v>
      </c>
    </row>
    <row r="3175" spans="1:9" x14ac:dyDescent="0.3">
      <c r="A3175" t="str">
        <f>""</f>
        <v/>
      </c>
      <c r="F3175" t="str">
        <f>""</f>
        <v/>
      </c>
      <c r="G3175" t="str">
        <f>""</f>
        <v/>
      </c>
      <c r="I3175" t="str">
        <f t="shared" si="65"/>
        <v>WAGE WORKS - HRA FEES</v>
      </c>
    </row>
    <row r="3176" spans="1:9" x14ac:dyDescent="0.3">
      <c r="A3176" t="str">
        <f>""</f>
        <v/>
      </c>
      <c r="F3176" t="str">
        <f>""</f>
        <v/>
      </c>
      <c r="G3176" t="str">
        <f>""</f>
        <v/>
      </c>
      <c r="I3176" t="str">
        <f t="shared" si="65"/>
        <v>WAGE WORKS - HRA FEES</v>
      </c>
    </row>
    <row r="3177" spans="1:9" x14ac:dyDescent="0.3">
      <c r="A3177" t="str">
        <f>""</f>
        <v/>
      </c>
      <c r="F3177" t="str">
        <f>""</f>
        <v/>
      </c>
      <c r="G3177" t="str">
        <f>""</f>
        <v/>
      </c>
      <c r="I3177" t="str">
        <f t="shared" si="65"/>
        <v>WAGE WORKS - HRA FEES</v>
      </c>
    </row>
    <row r="3178" spans="1:9" x14ac:dyDescent="0.3">
      <c r="A3178" t="str">
        <f>""</f>
        <v/>
      </c>
      <c r="F3178" t="str">
        <f>""</f>
        <v/>
      </c>
      <c r="G3178" t="str">
        <f>""</f>
        <v/>
      </c>
      <c r="I3178" t="str">
        <f t="shared" si="65"/>
        <v>WAGE WORKS - HRA FEES</v>
      </c>
    </row>
    <row r="3179" spans="1:9" x14ac:dyDescent="0.3">
      <c r="A3179" t="str">
        <f>""</f>
        <v/>
      </c>
      <c r="F3179" t="str">
        <f>""</f>
        <v/>
      </c>
      <c r="G3179" t="str">
        <f>""</f>
        <v/>
      </c>
      <c r="I3179" t="str">
        <f t="shared" si="65"/>
        <v>WAGE WORKS - HRA FEES</v>
      </c>
    </row>
    <row r="3180" spans="1:9" x14ac:dyDescent="0.3">
      <c r="A3180" t="str">
        <f>""</f>
        <v/>
      </c>
      <c r="F3180" t="str">
        <f>""</f>
        <v/>
      </c>
      <c r="G3180" t="str">
        <f>""</f>
        <v/>
      </c>
      <c r="I3180" t="str">
        <f t="shared" si="65"/>
        <v>WAGE WORKS - HRA FEES</v>
      </c>
    </row>
    <row r="3181" spans="1:9" x14ac:dyDescent="0.3">
      <c r="A3181" t="str">
        <f>""</f>
        <v/>
      </c>
      <c r="F3181" t="str">
        <f>""</f>
        <v/>
      </c>
      <c r="G3181" t="str">
        <f>""</f>
        <v/>
      </c>
      <c r="I3181" t="str">
        <f t="shared" si="65"/>
        <v>WAGE WORKS - HRA FEES</v>
      </c>
    </row>
    <row r="3182" spans="1:9" x14ac:dyDescent="0.3">
      <c r="A3182" t="str">
        <f>""</f>
        <v/>
      </c>
      <c r="F3182" t="str">
        <f>""</f>
        <v/>
      </c>
      <c r="G3182" t="str">
        <f>""</f>
        <v/>
      </c>
      <c r="I3182" t="str">
        <f t="shared" si="65"/>
        <v>WAGE WORKS - HRA FEES</v>
      </c>
    </row>
    <row r="3183" spans="1:9" x14ac:dyDescent="0.3">
      <c r="A3183" t="str">
        <f>""</f>
        <v/>
      </c>
      <c r="F3183" t="str">
        <f>""</f>
        <v/>
      </c>
      <c r="G3183" t="str">
        <f>""</f>
        <v/>
      </c>
      <c r="I3183" t="str">
        <f t="shared" si="65"/>
        <v>WAGE WORKS - HRA FEES</v>
      </c>
    </row>
    <row r="3184" spans="1:9" x14ac:dyDescent="0.3">
      <c r="A3184" t="str">
        <f>""</f>
        <v/>
      </c>
      <c r="F3184" t="str">
        <f>""</f>
        <v/>
      </c>
      <c r="G3184" t="str">
        <f>""</f>
        <v/>
      </c>
      <c r="I3184" t="str">
        <f t="shared" si="65"/>
        <v>WAGE WORKS - HRA FEES</v>
      </c>
    </row>
    <row r="3185" spans="1:9" x14ac:dyDescent="0.3">
      <c r="A3185" t="str">
        <f>""</f>
        <v/>
      </c>
      <c r="F3185" t="str">
        <f>""</f>
        <v/>
      </c>
      <c r="G3185" t="str">
        <f>""</f>
        <v/>
      </c>
      <c r="I3185" t="str">
        <f t="shared" si="65"/>
        <v>WAGE WORKS - HRA FEES</v>
      </c>
    </row>
    <row r="3186" spans="1:9" x14ac:dyDescent="0.3">
      <c r="A3186" t="str">
        <f>""</f>
        <v/>
      </c>
      <c r="F3186" t="str">
        <f>""</f>
        <v/>
      </c>
      <c r="G3186" t="str">
        <f>""</f>
        <v/>
      </c>
      <c r="I3186" t="str">
        <f t="shared" si="65"/>
        <v>WAGE WORKS - HRA FEES</v>
      </c>
    </row>
    <row r="3187" spans="1:9" x14ac:dyDescent="0.3">
      <c r="A3187" t="str">
        <f>""</f>
        <v/>
      </c>
      <c r="F3187" t="str">
        <f>""</f>
        <v/>
      </c>
      <c r="G3187" t="str">
        <f>""</f>
        <v/>
      </c>
      <c r="I3187" t="str">
        <f t="shared" si="65"/>
        <v>WAGE WORKS - HRA FEES</v>
      </c>
    </row>
    <row r="3188" spans="1:9" x14ac:dyDescent="0.3">
      <c r="A3188" t="str">
        <f>""</f>
        <v/>
      </c>
      <c r="F3188" t="str">
        <f>""</f>
        <v/>
      </c>
      <c r="G3188" t="str">
        <f>""</f>
        <v/>
      </c>
      <c r="I3188" t="str">
        <f t="shared" si="65"/>
        <v>WAGE WORKS - HRA FEES</v>
      </c>
    </row>
    <row r="3189" spans="1:9" x14ac:dyDescent="0.3">
      <c r="A3189" t="str">
        <f>""</f>
        <v/>
      </c>
      <c r="F3189" t="str">
        <f>""</f>
        <v/>
      </c>
      <c r="G3189" t="str">
        <f>""</f>
        <v/>
      </c>
      <c r="I3189" t="str">
        <f t="shared" si="65"/>
        <v>WAGE WORKS - HRA FEES</v>
      </c>
    </row>
    <row r="3190" spans="1:9" x14ac:dyDescent="0.3">
      <c r="A3190" t="str">
        <f>""</f>
        <v/>
      </c>
      <c r="F3190" t="str">
        <f>""</f>
        <v/>
      </c>
      <c r="G3190" t="str">
        <f>""</f>
        <v/>
      </c>
      <c r="I3190" t="str">
        <f t="shared" si="65"/>
        <v>WAGE WORKS - HRA FEES</v>
      </c>
    </row>
    <row r="3191" spans="1:9" x14ac:dyDescent="0.3">
      <c r="A3191" t="str">
        <f>""</f>
        <v/>
      </c>
      <c r="F3191" t="str">
        <f>""</f>
        <v/>
      </c>
      <c r="G3191" t="str">
        <f>""</f>
        <v/>
      </c>
      <c r="I3191" t="str">
        <f t="shared" si="65"/>
        <v>WAGE WORKS - HRA FEES</v>
      </c>
    </row>
    <row r="3192" spans="1:9" x14ac:dyDescent="0.3">
      <c r="A3192" t="str">
        <f>""</f>
        <v/>
      </c>
      <c r="F3192" t="str">
        <f>""</f>
        <v/>
      </c>
      <c r="G3192" t="str">
        <f>""</f>
        <v/>
      </c>
      <c r="I3192" t="str">
        <f t="shared" si="65"/>
        <v>WAGE WORKS - HRA FEES</v>
      </c>
    </row>
    <row r="3193" spans="1:9" x14ac:dyDescent="0.3">
      <c r="A3193" t="str">
        <f>""</f>
        <v/>
      </c>
      <c r="F3193" t="str">
        <f>""</f>
        <v/>
      </c>
      <c r="G3193" t="str">
        <f>""</f>
        <v/>
      </c>
      <c r="I3193" t="str">
        <f t="shared" si="65"/>
        <v>WAGE WORKS - HRA FEES</v>
      </c>
    </row>
    <row r="3194" spans="1:9" x14ac:dyDescent="0.3">
      <c r="A3194" t="str">
        <f>""</f>
        <v/>
      </c>
      <c r="F3194" t="str">
        <f>"HRF201711016105"</f>
        <v>HRF201711016105</v>
      </c>
      <c r="G3194" t="str">
        <f>"WAGE WORKS - HRA FEES"</f>
        <v>WAGE WORKS - HRA FEES</v>
      </c>
      <c r="H3194" s="2">
        <v>15.04</v>
      </c>
      <c r="I3194" t="str">
        <f t="shared" si="65"/>
        <v>WAGE WORKS - HRA FEES</v>
      </c>
    </row>
    <row r="3195" spans="1:9" x14ac:dyDescent="0.3">
      <c r="A3195" t="str">
        <f>"004767"</f>
        <v>004767</v>
      </c>
      <c r="B3195" t="s">
        <v>631</v>
      </c>
      <c r="C3195">
        <v>0</v>
      </c>
      <c r="D3195" s="2">
        <v>101887.6</v>
      </c>
      <c r="E3195" s="1">
        <v>43048</v>
      </c>
      <c r="F3195" t="str">
        <f>"201711096548"</f>
        <v>201711096548</v>
      </c>
      <c r="G3195" t="str">
        <f>"Caprock Refund pd WW rollover"</f>
        <v>Caprock Refund pd WW rollover</v>
      </c>
      <c r="H3195" s="2">
        <v>101887.6</v>
      </c>
      <c r="I3195" t="str">
        <f>"Caprock Refund pd WW rollover"</f>
        <v>Caprock Refund pd WW rollover</v>
      </c>
    </row>
    <row r="3196" spans="1:9" x14ac:dyDescent="0.3">
      <c r="A3196" t="str">
        <f>"004767"</f>
        <v>004767</v>
      </c>
      <c r="B3196" t="s">
        <v>631</v>
      </c>
      <c r="C3196">
        <v>0</v>
      </c>
      <c r="D3196" s="2">
        <v>11770.86</v>
      </c>
      <c r="E3196" s="1">
        <v>43056</v>
      </c>
      <c r="F3196" t="str">
        <f>"FSA201711156614"</f>
        <v>FSA201711156614</v>
      </c>
      <c r="G3196" t="str">
        <f>"WAGE WORKS"</f>
        <v>WAGE WORKS</v>
      </c>
      <c r="H3196" s="2">
        <v>8975.08</v>
      </c>
      <c r="I3196" t="str">
        <f t="shared" ref="I3196:I3207" si="66">"WAGE WORKS"</f>
        <v>WAGE WORKS</v>
      </c>
    </row>
    <row r="3197" spans="1:9" x14ac:dyDescent="0.3">
      <c r="A3197" t="str">
        <f>""</f>
        <v/>
      </c>
      <c r="F3197" t="str">
        <f>"FSA201711156615"</f>
        <v>FSA201711156615</v>
      </c>
      <c r="G3197" t="str">
        <f>"WAGE WORKS"</f>
        <v>WAGE WORKS</v>
      </c>
      <c r="H3197" s="2">
        <v>574</v>
      </c>
      <c r="I3197" t="str">
        <f t="shared" si="66"/>
        <v>WAGE WORKS</v>
      </c>
    </row>
    <row r="3198" spans="1:9" x14ac:dyDescent="0.3">
      <c r="A3198" t="str">
        <f>""</f>
        <v/>
      </c>
      <c r="F3198" t="str">
        <f>"FSC201711156614"</f>
        <v>FSC201711156614</v>
      </c>
      <c r="G3198" t="str">
        <f>"WAGE WORKS"</f>
        <v>WAGE WORKS</v>
      </c>
      <c r="H3198" s="2">
        <v>1133.44</v>
      </c>
      <c r="I3198" t="str">
        <f t="shared" si="66"/>
        <v>WAGE WORKS</v>
      </c>
    </row>
    <row r="3199" spans="1:9" x14ac:dyDescent="0.3">
      <c r="A3199" t="str">
        <f>""</f>
        <v/>
      </c>
      <c r="F3199" t="str">
        <f>""</f>
        <v/>
      </c>
      <c r="G3199" t="str">
        <f>""</f>
        <v/>
      </c>
      <c r="I3199" t="str">
        <f t="shared" si="66"/>
        <v>WAGE WORKS</v>
      </c>
    </row>
    <row r="3200" spans="1:9" x14ac:dyDescent="0.3">
      <c r="A3200" t="str">
        <f>""</f>
        <v/>
      </c>
      <c r="F3200" t="str">
        <f>""</f>
        <v/>
      </c>
      <c r="G3200" t="str">
        <f>""</f>
        <v/>
      </c>
      <c r="I3200" t="str">
        <f t="shared" si="66"/>
        <v>WAGE WORKS</v>
      </c>
    </row>
    <row r="3201" spans="1:9" x14ac:dyDescent="0.3">
      <c r="A3201" t="str">
        <f>""</f>
        <v/>
      </c>
      <c r="F3201" t="str">
        <f>""</f>
        <v/>
      </c>
      <c r="G3201" t="str">
        <f>""</f>
        <v/>
      </c>
      <c r="I3201" t="str">
        <f t="shared" si="66"/>
        <v>WAGE WORKS</v>
      </c>
    </row>
    <row r="3202" spans="1:9" x14ac:dyDescent="0.3">
      <c r="A3202" t="str">
        <f>""</f>
        <v/>
      </c>
      <c r="F3202" t="str">
        <f>""</f>
        <v/>
      </c>
      <c r="G3202" t="str">
        <f>""</f>
        <v/>
      </c>
      <c r="I3202" t="str">
        <f t="shared" si="66"/>
        <v>WAGE WORKS</v>
      </c>
    </row>
    <row r="3203" spans="1:9" x14ac:dyDescent="0.3">
      <c r="A3203" t="str">
        <f>""</f>
        <v/>
      </c>
      <c r="F3203" t="str">
        <f>""</f>
        <v/>
      </c>
      <c r="G3203" t="str">
        <f>""</f>
        <v/>
      </c>
      <c r="I3203" t="str">
        <f t="shared" si="66"/>
        <v>WAGE WORKS</v>
      </c>
    </row>
    <row r="3204" spans="1:9" x14ac:dyDescent="0.3">
      <c r="A3204" t="str">
        <f>""</f>
        <v/>
      </c>
      <c r="F3204" t="str">
        <f>""</f>
        <v/>
      </c>
      <c r="G3204" t="str">
        <f>""</f>
        <v/>
      </c>
      <c r="I3204" t="str">
        <f t="shared" si="66"/>
        <v>WAGE WORKS</v>
      </c>
    </row>
    <row r="3205" spans="1:9" x14ac:dyDescent="0.3">
      <c r="A3205" t="str">
        <f>""</f>
        <v/>
      </c>
      <c r="F3205" t="str">
        <f>""</f>
        <v/>
      </c>
      <c r="G3205" t="str">
        <f>""</f>
        <v/>
      </c>
      <c r="I3205" t="str">
        <f t="shared" si="66"/>
        <v>WAGE WORKS</v>
      </c>
    </row>
    <row r="3206" spans="1:9" x14ac:dyDescent="0.3">
      <c r="A3206" t="str">
        <f>""</f>
        <v/>
      </c>
      <c r="F3206" t="str">
        <f>""</f>
        <v/>
      </c>
      <c r="G3206" t="str">
        <f>""</f>
        <v/>
      </c>
      <c r="I3206" t="str">
        <f t="shared" si="66"/>
        <v>WAGE WORKS</v>
      </c>
    </row>
    <row r="3207" spans="1:9" x14ac:dyDescent="0.3">
      <c r="A3207" t="str">
        <f>""</f>
        <v/>
      </c>
      <c r="F3207" t="str">
        <f>""</f>
        <v/>
      </c>
      <c r="G3207" t="str">
        <f>""</f>
        <v/>
      </c>
      <c r="I3207" t="str">
        <f t="shared" si="66"/>
        <v>WAGE WORKS</v>
      </c>
    </row>
    <row r="3208" spans="1:9" x14ac:dyDescent="0.3">
      <c r="A3208" t="str">
        <f>""</f>
        <v/>
      </c>
      <c r="F3208" t="str">
        <f>"FSF201711156614"</f>
        <v>FSF201711156614</v>
      </c>
      <c r="G3208" t="str">
        <f>"WAGE WORKS - FSA &amp; HRA FEES"</f>
        <v>WAGE WORKS - FSA &amp; HRA FEES</v>
      </c>
      <c r="H3208" s="2">
        <v>575.04999999999995</v>
      </c>
      <c r="I3208" t="str">
        <f t="shared" ref="I3208:I3247" si="67">"WAGE WORKS - FSA &amp; HRA FEES"</f>
        <v>WAGE WORKS - FSA &amp; HRA FEES</v>
      </c>
    </row>
    <row r="3209" spans="1:9" x14ac:dyDescent="0.3">
      <c r="A3209" t="str">
        <f>""</f>
        <v/>
      </c>
      <c r="F3209" t="str">
        <f>""</f>
        <v/>
      </c>
      <c r="G3209" t="str">
        <f>""</f>
        <v/>
      </c>
      <c r="I3209" t="str">
        <f t="shared" si="67"/>
        <v>WAGE WORKS - FSA &amp; HRA FEES</v>
      </c>
    </row>
    <row r="3210" spans="1:9" x14ac:dyDescent="0.3">
      <c r="A3210" t="str">
        <f>""</f>
        <v/>
      </c>
      <c r="F3210" t="str">
        <f>""</f>
        <v/>
      </c>
      <c r="G3210" t="str">
        <f>""</f>
        <v/>
      </c>
      <c r="I3210" t="str">
        <f t="shared" si="67"/>
        <v>WAGE WORKS - FSA &amp; HRA FEES</v>
      </c>
    </row>
    <row r="3211" spans="1:9" x14ac:dyDescent="0.3">
      <c r="A3211" t="str">
        <f>""</f>
        <v/>
      </c>
      <c r="F3211" t="str">
        <f>""</f>
        <v/>
      </c>
      <c r="G3211" t="str">
        <f>""</f>
        <v/>
      </c>
      <c r="I3211" t="str">
        <f t="shared" si="67"/>
        <v>WAGE WORKS - FSA &amp; HRA FEES</v>
      </c>
    </row>
    <row r="3212" spans="1:9" x14ac:dyDescent="0.3">
      <c r="A3212" t="str">
        <f>""</f>
        <v/>
      </c>
      <c r="F3212" t="str">
        <f>""</f>
        <v/>
      </c>
      <c r="G3212" t="str">
        <f>""</f>
        <v/>
      </c>
      <c r="I3212" t="str">
        <f t="shared" si="67"/>
        <v>WAGE WORKS - FSA &amp; HRA FEES</v>
      </c>
    </row>
    <row r="3213" spans="1:9" x14ac:dyDescent="0.3">
      <c r="A3213" t="str">
        <f>""</f>
        <v/>
      </c>
      <c r="F3213" t="str">
        <f>""</f>
        <v/>
      </c>
      <c r="G3213" t="str">
        <f>""</f>
        <v/>
      </c>
      <c r="I3213" t="str">
        <f t="shared" si="67"/>
        <v>WAGE WORKS - FSA &amp; HRA FEES</v>
      </c>
    </row>
    <row r="3214" spans="1:9" x14ac:dyDescent="0.3">
      <c r="A3214" t="str">
        <f>""</f>
        <v/>
      </c>
      <c r="F3214" t="str">
        <f>""</f>
        <v/>
      </c>
      <c r="G3214" t="str">
        <f>""</f>
        <v/>
      </c>
      <c r="I3214" t="str">
        <f t="shared" si="67"/>
        <v>WAGE WORKS - FSA &amp; HRA FEES</v>
      </c>
    </row>
    <row r="3215" spans="1:9" x14ac:dyDescent="0.3">
      <c r="A3215" t="str">
        <f>""</f>
        <v/>
      </c>
      <c r="F3215" t="str">
        <f>""</f>
        <v/>
      </c>
      <c r="G3215" t="str">
        <f>""</f>
        <v/>
      </c>
      <c r="I3215" t="str">
        <f t="shared" si="67"/>
        <v>WAGE WORKS - FSA &amp; HRA FEES</v>
      </c>
    </row>
    <row r="3216" spans="1:9" x14ac:dyDescent="0.3">
      <c r="A3216" t="str">
        <f>""</f>
        <v/>
      </c>
      <c r="F3216" t="str">
        <f>""</f>
        <v/>
      </c>
      <c r="G3216" t="str">
        <f>""</f>
        <v/>
      </c>
      <c r="I3216" t="str">
        <f t="shared" si="67"/>
        <v>WAGE WORKS - FSA &amp; HRA FEES</v>
      </c>
    </row>
    <row r="3217" spans="1:9" x14ac:dyDescent="0.3">
      <c r="A3217" t="str">
        <f>""</f>
        <v/>
      </c>
      <c r="F3217" t="str">
        <f>""</f>
        <v/>
      </c>
      <c r="G3217" t="str">
        <f>""</f>
        <v/>
      </c>
      <c r="I3217" t="str">
        <f t="shared" si="67"/>
        <v>WAGE WORKS - FSA &amp; HRA FEES</v>
      </c>
    </row>
    <row r="3218" spans="1:9" x14ac:dyDescent="0.3">
      <c r="A3218" t="str">
        <f>""</f>
        <v/>
      </c>
      <c r="F3218" t="str">
        <f>""</f>
        <v/>
      </c>
      <c r="G3218" t="str">
        <f>""</f>
        <v/>
      </c>
      <c r="I3218" t="str">
        <f t="shared" si="67"/>
        <v>WAGE WORKS - FSA &amp; HRA FEES</v>
      </c>
    </row>
    <row r="3219" spans="1:9" x14ac:dyDescent="0.3">
      <c r="A3219" t="str">
        <f>""</f>
        <v/>
      </c>
      <c r="F3219" t="str">
        <f>""</f>
        <v/>
      </c>
      <c r="G3219" t="str">
        <f>""</f>
        <v/>
      </c>
      <c r="I3219" t="str">
        <f t="shared" si="67"/>
        <v>WAGE WORKS - FSA &amp; HRA FEES</v>
      </c>
    </row>
    <row r="3220" spans="1:9" x14ac:dyDescent="0.3">
      <c r="A3220" t="str">
        <f>""</f>
        <v/>
      </c>
      <c r="F3220" t="str">
        <f>""</f>
        <v/>
      </c>
      <c r="G3220" t="str">
        <f>""</f>
        <v/>
      </c>
      <c r="I3220" t="str">
        <f t="shared" si="67"/>
        <v>WAGE WORKS - FSA &amp; HRA FEES</v>
      </c>
    </row>
    <row r="3221" spans="1:9" x14ac:dyDescent="0.3">
      <c r="A3221" t="str">
        <f>""</f>
        <v/>
      </c>
      <c r="F3221" t="str">
        <f>""</f>
        <v/>
      </c>
      <c r="G3221" t="str">
        <f>""</f>
        <v/>
      </c>
      <c r="I3221" t="str">
        <f t="shared" si="67"/>
        <v>WAGE WORKS - FSA &amp; HRA FEES</v>
      </c>
    </row>
    <row r="3222" spans="1:9" x14ac:dyDescent="0.3">
      <c r="A3222" t="str">
        <f>""</f>
        <v/>
      </c>
      <c r="F3222" t="str">
        <f>""</f>
        <v/>
      </c>
      <c r="G3222" t="str">
        <f>""</f>
        <v/>
      </c>
      <c r="I3222" t="str">
        <f t="shared" si="67"/>
        <v>WAGE WORKS - FSA &amp; HRA FEES</v>
      </c>
    </row>
    <row r="3223" spans="1:9" x14ac:dyDescent="0.3">
      <c r="A3223" t="str">
        <f>""</f>
        <v/>
      </c>
      <c r="F3223" t="str">
        <f>""</f>
        <v/>
      </c>
      <c r="G3223" t="str">
        <f>""</f>
        <v/>
      </c>
      <c r="I3223" t="str">
        <f t="shared" si="67"/>
        <v>WAGE WORKS - FSA &amp; HRA FEES</v>
      </c>
    </row>
    <row r="3224" spans="1:9" x14ac:dyDescent="0.3">
      <c r="A3224" t="str">
        <f>""</f>
        <v/>
      </c>
      <c r="F3224" t="str">
        <f>""</f>
        <v/>
      </c>
      <c r="G3224" t="str">
        <f>""</f>
        <v/>
      </c>
      <c r="I3224" t="str">
        <f t="shared" si="67"/>
        <v>WAGE WORKS - FSA &amp; HRA FEES</v>
      </c>
    </row>
    <row r="3225" spans="1:9" x14ac:dyDescent="0.3">
      <c r="A3225" t="str">
        <f>""</f>
        <v/>
      </c>
      <c r="F3225" t="str">
        <f>""</f>
        <v/>
      </c>
      <c r="G3225" t="str">
        <f>""</f>
        <v/>
      </c>
      <c r="I3225" t="str">
        <f t="shared" si="67"/>
        <v>WAGE WORKS - FSA &amp; HRA FEES</v>
      </c>
    </row>
    <row r="3226" spans="1:9" x14ac:dyDescent="0.3">
      <c r="A3226" t="str">
        <f>""</f>
        <v/>
      </c>
      <c r="F3226" t="str">
        <f>""</f>
        <v/>
      </c>
      <c r="G3226" t="str">
        <f>""</f>
        <v/>
      </c>
      <c r="I3226" t="str">
        <f t="shared" si="67"/>
        <v>WAGE WORKS - FSA &amp; HRA FEES</v>
      </c>
    </row>
    <row r="3227" spans="1:9" x14ac:dyDescent="0.3">
      <c r="A3227" t="str">
        <f>""</f>
        <v/>
      </c>
      <c r="F3227" t="str">
        <f>""</f>
        <v/>
      </c>
      <c r="G3227" t="str">
        <f>""</f>
        <v/>
      </c>
      <c r="I3227" t="str">
        <f t="shared" si="67"/>
        <v>WAGE WORKS - FSA &amp; HRA FEES</v>
      </c>
    </row>
    <row r="3228" spans="1:9" x14ac:dyDescent="0.3">
      <c r="A3228" t="str">
        <f>""</f>
        <v/>
      </c>
      <c r="F3228" t="str">
        <f>""</f>
        <v/>
      </c>
      <c r="G3228" t="str">
        <f>""</f>
        <v/>
      </c>
      <c r="I3228" t="str">
        <f t="shared" si="67"/>
        <v>WAGE WORKS - FSA &amp; HRA FEES</v>
      </c>
    </row>
    <row r="3229" spans="1:9" x14ac:dyDescent="0.3">
      <c r="A3229" t="str">
        <f>""</f>
        <v/>
      </c>
      <c r="F3229" t="str">
        <f>""</f>
        <v/>
      </c>
      <c r="G3229" t="str">
        <f>""</f>
        <v/>
      </c>
      <c r="I3229" t="str">
        <f t="shared" si="67"/>
        <v>WAGE WORKS - FSA &amp; HRA FEES</v>
      </c>
    </row>
    <row r="3230" spans="1:9" x14ac:dyDescent="0.3">
      <c r="A3230" t="str">
        <f>""</f>
        <v/>
      </c>
      <c r="F3230" t="str">
        <f>""</f>
        <v/>
      </c>
      <c r="G3230" t="str">
        <f>""</f>
        <v/>
      </c>
      <c r="I3230" t="str">
        <f t="shared" si="67"/>
        <v>WAGE WORKS - FSA &amp; HRA FEES</v>
      </c>
    </row>
    <row r="3231" spans="1:9" x14ac:dyDescent="0.3">
      <c r="A3231" t="str">
        <f>""</f>
        <v/>
      </c>
      <c r="F3231" t="str">
        <f>""</f>
        <v/>
      </c>
      <c r="G3231" t="str">
        <f>""</f>
        <v/>
      </c>
      <c r="I3231" t="str">
        <f t="shared" si="67"/>
        <v>WAGE WORKS - FSA &amp; HRA FEES</v>
      </c>
    </row>
    <row r="3232" spans="1:9" x14ac:dyDescent="0.3">
      <c r="A3232" t="str">
        <f>""</f>
        <v/>
      </c>
      <c r="F3232" t="str">
        <f>""</f>
        <v/>
      </c>
      <c r="G3232" t="str">
        <f>""</f>
        <v/>
      </c>
      <c r="I3232" t="str">
        <f t="shared" si="67"/>
        <v>WAGE WORKS - FSA &amp; HRA FEES</v>
      </c>
    </row>
    <row r="3233" spans="1:9" x14ac:dyDescent="0.3">
      <c r="A3233" t="str">
        <f>""</f>
        <v/>
      </c>
      <c r="F3233" t="str">
        <f>""</f>
        <v/>
      </c>
      <c r="G3233" t="str">
        <f>""</f>
        <v/>
      </c>
      <c r="I3233" t="str">
        <f t="shared" si="67"/>
        <v>WAGE WORKS - FSA &amp; HRA FEES</v>
      </c>
    </row>
    <row r="3234" spans="1:9" x14ac:dyDescent="0.3">
      <c r="A3234" t="str">
        <f>""</f>
        <v/>
      </c>
      <c r="F3234" t="str">
        <f>""</f>
        <v/>
      </c>
      <c r="G3234" t="str">
        <f>""</f>
        <v/>
      </c>
      <c r="I3234" t="str">
        <f t="shared" si="67"/>
        <v>WAGE WORKS - FSA &amp; HRA FEES</v>
      </c>
    </row>
    <row r="3235" spans="1:9" x14ac:dyDescent="0.3">
      <c r="A3235" t="str">
        <f>""</f>
        <v/>
      </c>
      <c r="F3235" t="str">
        <f>""</f>
        <v/>
      </c>
      <c r="G3235" t="str">
        <f>""</f>
        <v/>
      </c>
      <c r="I3235" t="str">
        <f t="shared" si="67"/>
        <v>WAGE WORKS - FSA &amp; HRA FEES</v>
      </c>
    </row>
    <row r="3236" spans="1:9" x14ac:dyDescent="0.3">
      <c r="A3236" t="str">
        <f>""</f>
        <v/>
      </c>
      <c r="F3236" t="str">
        <f>""</f>
        <v/>
      </c>
      <c r="G3236" t="str">
        <f>""</f>
        <v/>
      </c>
      <c r="I3236" t="str">
        <f t="shared" si="67"/>
        <v>WAGE WORKS - FSA &amp; HRA FEES</v>
      </c>
    </row>
    <row r="3237" spans="1:9" x14ac:dyDescent="0.3">
      <c r="A3237" t="str">
        <f>""</f>
        <v/>
      </c>
      <c r="F3237" t="str">
        <f>""</f>
        <v/>
      </c>
      <c r="G3237" t="str">
        <f>""</f>
        <v/>
      </c>
      <c r="I3237" t="str">
        <f t="shared" si="67"/>
        <v>WAGE WORKS - FSA &amp; HRA FEES</v>
      </c>
    </row>
    <row r="3238" spans="1:9" x14ac:dyDescent="0.3">
      <c r="A3238" t="str">
        <f>""</f>
        <v/>
      </c>
      <c r="F3238" t="str">
        <f>""</f>
        <v/>
      </c>
      <c r="G3238" t="str">
        <f>""</f>
        <v/>
      </c>
      <c r="I3238" t="str">
        <f t="shared" si="67"/>
        <v>WAGE WORKS - FSA &amp; HRA FEES</v>
      </c>
    </row>
    <row r="3239" spans="1:9" x14ac:dyDescent="0.3">
      <c r="A3239" t="str">
        <f>""</f>
        <v/>
      </c>
      <c r="F3239" t="str">
        <f>""</f>
        <v/>
      </c>
      <c r="G3239" t="str">
        <f>""</f>
        <v/>
      </c>
      <c r="I3239" t="str">
        <f t="shared" si="67"/>
        <v>WAGE WORKS - FSA &amp; HRA FEES</v>
      </c>
    </row>
    <row r="3240" spans="1:9" x14ac:dyDescent="0.3">
      <c r="A3240" t="str">
        <f>""</f>
        <v/>
      </c>
      <c r="F3240" t="str">
        <f>""</f>
        <v/>
      </c>
      <c r="G3240" t="str">
        <f>""</f>
        <v/>
      </c>
      <c r="I3240" t="str">
        <f t="shared" si="67"/>
        <v>WAGE WORKS - FSA &amp; HRA FEES</v>
      </c>
    </row>
    <row r="3241" spans="1:9" x14ac:dyDescent="0.3">
      <c r="A3241" t="str">
        <f>""</f>
        <v/>
      </c>
      <c r="F3241" t="str">
        <f>""</f>
        <v/>
      </c>
      <c r="G3241" t="str">
        <f>""</f>
        <v/>
      </c>
      <c r="I3241" t="str">
        <f t="shared" si="67"/>
        <v>WAGE WORKS - FSA &amp; HRA FEES</v>
      </c>
    </row>
    <row r="3242" spans="1:9" x14ac:dyDescent="0.3">
      <c r="A3242" t="str">
        <f>""</f>
        <v/>
      </c>
      <c r="F3242" t="str">
        <f>""</f>
        <v/>
      </c>
      <c r="G3242" t="str">
        <f>""</f>
        <v/>
      </c>
      <c r="I3242" t="str">
        <f t="shared" si="67"/>
        <v>WAGE WORKS - FSA &amp; HRA FEES</v>
      </c>
    </row>
    <row r="3243" spans="1:9" x14ac:dyDescent="0.3">
      <c r="A3243" t="str">
        <f>""</f>
        <v/>
      </c>
      <c r="F3243" t="str">
        <f>""</f>
        <v/>
      </c>
      <c r="G3243" t="str">
        <f>""</f>
        <v/>
      </c>
      <c r="I3243" t="str">
        <f t="shared" si="67"/>
        <v>WAGE WORKS - FSA &amp; HRA FEES</v>
      </c>
    </row>
    <row r="3244" spans="1:9" x14ac:dyDescent="0.3">
      <c r="A3244" t="str">
        <f>""</f>
        <v/>
      </c>
      <c r="F3244" t="str">
        <f>""</f>
        <v/>
      </c>
      <c r="G3244" t="str">
        <f>""</f>
        <v/>
      </c>
      <c r="I3244" t="str">
        <f t="shared" si="67"/>
        <v>WAGE WORKS - FSA &amp; HRA FEES</v>
      </c>
    </row>
    <row r="3245" spans="1:9" x14ac:dyDescent="0.3">
      <c r="A3245" t="str">
        <f>""</f>
        <v/>
      </c>
      <c r="F3245" t="str">
        <f>""</f>
        <v/>
      </c>
      <c r="G3245" t="str">
        <f>""</f>
        <v/>
      </c>
      <c r="I3245" t="str">
        <f t="shared" si="67"/>
        <v>WAGE WORKS - FSA &amp; HRA FEES</v>
      </c>
    </row>
    <row r="3246" spans="1:9" x14ac:dyDescent="0.3">
      <c r="A3246" t="str">
        <f>""</f>
        <v/>
      </c>
      <c r="F3246" t="str">
        <f>""</f>
        <v/>
      </c>
      <c r="G3246" t="str">
        <f>""</f>
        <v/>
      </c>
      <c r="I3246" t="str">
        <f t="shared" si="67"/>
        <v>WAGE WORKS - FSA &amp; HRA FEES</v>
      </c>
    </row>
    <row r="3247" spans="1:9" x14ac:dyDescent="0.3">
      <c r="A3247" t="str">
        <f>""</f>
        <v/>
      </c>
      <c r="F3247" t="str">
        <f>"FSF201711156615"</f>
        <v>FSF201711156615</v>
      </c>
      <c r="G3247" t="str">
        <f>"WAGE WORKS - FSA &amp; HRA FEES"</f>
        <v>WAGE WORKS - FSA &amp; HRA FEES</v>
      </c>
      <c r="H3247" s="2">
        <v>25.97</v>
      </c>
      <c r="I3247" t="str">
        <f t="shared" si="67"/>
        <v>WAGE WORKS - FSA &amp; HRA FEES</v>
      </c>
    </row>
    <row r="3248" spans="1:9" x14ac:dyDescent="0.3">
      <c r="A3248" t="str">
        <f>""</f>
        <v/>
      </c>
      <c r="F3248" t="str">
        <f>"FSO201711156614"</f>
        <v>FSO201711156614</v>
      </c>
      <c r="G3248" t="str">
        <f>"WAGE WORKS - FSA FEES"</f>
        <v>WAGE WORKS - FSA FEES</v>
      </c>
      <c r="H3248" s="2">
        <v>13.02</v>
      </c>
      <c r="I3248" t="str">
        <f t="shared" ref="I3248:I3256" si="68">"WAGE WORKS - FSA FEES"</f>
        <v>WAGE WORKS - FSA FEES</v>
      </c>
    </row>
    <row r="3249" spans="1:9" x14ac:dyDescent="0.3">
      <c r="A3249" t="str">
        <f>""</f>
        <v/>
      </c>
      <c r="F3249" t="str">
        <f>""</f>
        <v/>
      </c>
      <c r="G3249" t="str">
        <f>""</f>
        <v/>
      </c>
      <c r="I3249" t="str">
        <f t="shared" si="68"/>
        <v>WAGE WORKS - FSA FEES</v>
      </c>
    </row>
    <row r="3250" spans="1:9" x14ac:dyDescent="0.3">
      <c r="A3250" t="str">
        <f>""</f>
        <v/>
      </c>
      <c r="F3250" t="str">
        <f>""</f>
        <v/>
      </c>
      <c r="G3250" t="str">
        <f>""</f>
        <v/>
      </c>
      <c r="I3250" t="str">
        <f t="shared" si="68"/>
        <v>WAGE WORKS - FSA FEES</v>
      </c>
    </row>
    <row r="3251" spans="1:9" x14ac:dyDescent="0.3">
      <c r="A3251" t="str">
        <f>""</f>
        <v/>
      </c>
      <c r="F3251" t="str">
        <f>""</f>
        <v/>
      </c>
      <c r="G3251" t="str">
        <f>""</f>
        <v/>
      </c>
      <c r="I3251" t="str">
        <f t="shared" si="68"/>
        <v>WAGE WORKS - FSA FEES</v>
      </c>
    </row>
    <row r="3252" spans="1:9" x14ac:dyDescent="0.3">
      <c r="A3252" t="str">
        <f>""</f>
        <v/>
      </c>
      <c r="F3252" t="str">
        <f>""</f>
        <v/>
      </c>
      <c r="G3252" t="str">
        <f>""</f>
        <v/>
      </c>
      <c r="I3252" t="str">
        <f t="shared" si="68"/>
        <v>WAGE WORKS - FSA FEES</v>
      </c>
    </row>
    <row r="3253" spans="1:9" x14ac:dyDescent="0.3">
      <c r="A3253" t="str">
        <f>""</f>
        <v/>
      </c>
      <c r="F3253" t="str">
        <f>""</f>
        <v/>
      </c>
      <c r="G3253" t="str">
        <f>""</f>
        <v/>
      </c>
      <c r="I3253" t="str">
        <f t="shared" si="68"/>
        <v>WAGE WORKS - FSA FEES</v>
      </c>
    </row>
    <row r="3254" spans="1:9" x14ac:dyDescent="0.3">
      <c r="A3254" t="str">
        <f>""</f>
        <v/>
      </c>
      <c r="F3254" t="str">
        <f>""</f>
        <v/>
      </c>
      <c r="G3254" t="str">
        <f>""</f>
        <v/>
      </c>
      <c r="I3254" t="str">
        <f t="shared" si="68"/>
        <v>WAGE WORKS - FSA FEES</v>
      </c>
    </row>
    <row r="3255" spans="1:9" x14ac:dyDescent="0.3">
      <c r="A3255" t="str">
        <f>""</f>
        <v/>
      </c>
      <c r="F3255" t="str">
        <f>""</f>
        <v/>
      </c>
      <c r="G3255" t="str">
        <f>""</f>
        <v/>
      </c>
      <c r="I3255" t="str">
        <f t="shared" si="68"/>
        <v>WAGE WORKS - FSA FEES</v>
      </c>
    </row>
    <row r="3256" spans="1:9" x14ac:dyDescent="0.3">
      <c r="A3256" t="str">
        <f>""</f>
        <v/>
      </c>
      <c r="F3256" t="str">
        <f>"FSO201711156615"</f>
        <v>FSO201711156615</v>
      </c>
      <c r="G3256" t="str">
        <f>"WAGE WORKS - FSA FEES"</f>
        <v>WAGE WORKS - FSA FEES</v>
      </c>
      <c r="H3256" s="2">
        <v>1.86</v>
      </c>
      <c r="I3256" t="str">
        <f t="shared" si="68"/>
        <v>WAGE WORKS - FSA FEES</v>
      </c>
    </row>
    <row r="3257" spans="1:9" x14ac:dyDescent="0.3">
      <c r="A3257" t="str">
        <f>""</f>
        <v/>
      </c>
      <c r="F3257" t="str">
        <f>"HRF201711156614"</f>
        <v>HRF201711156614</v>
      </c>
      <c r="G3257" t="str">
        <f>"WAGE WORKS - HRA FEES"</f>
        <v>WAGE WORKS - HRA FEES</v>
      </c>
      <c r="H3257" s="2">
        <v>457.56</v>
      </c>
      <c r="I3257" t="str">
        <f t="shared" ref="I3257:I3295" si="69">"WAGE WORKS - HRA FEES"</f>
        <v>WAGE WORKS - HRA FEES</v>
      </c>
    </row>
    <row r="3258" spans="1:9" x14ac:dyDescent="0.3">
      <c r="A3258" t="str">
        <f>""</f>
        <v/>
      </c>
      <c r="F3258" t="str">
        <f>""</f>
        <v/>
      </c>
      <c r="G3258" t="str">
        <f>""</f>
        <v/>
      </c>
      <c r="I3258" t="str">
        <f t="shared" si="69"/>
        <v>WAGE WORKS - HRA FEES</v>
      </c>
    </row>
    <row r="3259" spans="1:9" x14ac:dyDescent="0.3">
      <c r="A3259" t="str">
        <f>""</f>
        <v/>
      </c>
      <c r="F3259" t="str">
        <f>""</f>
        <v/>
      </c>
      <c r="G3259" t="str">
        <f>""</f>
        <v/>
      </c>
      <c r="I3259" t="str">
        <f t="shared" si="69"/>
        <v>WAGE WORKS - HRA FEES</v>
      </c>
    </row>
    <row r="3260" spans="1:9" x14ac:dyDescent="0.3">
      <c r="A3260" t="str">
        <f>""</f>
        <v/>
      </c>
      <c r="F3260" t="str">
        <f>""</f>
        <v/>
      </c>
      <c r="G3260" t="str">
        <f>""</f>
        <v/>
      </c>
      <c r="I3260" t="str">
        <f t="shared" si="69"/>
        <v>WAGE WORKS - HRA FEES</v>
      </c>
    </row>
    <row r="3261" spans="1:9" x14ac:dyDescent="0.3">
      <c r="A3261" t="str">
        <f>""</f>
        <v/>
      </c>
      <c r="F3261" t="str">
        <f>""</f>
        <v/>
      </c>
      <c r="G3261" t="str">
        <f>""</f>
        <v/>
      </c>
      <c r="I3261" t="str">
        <f t="shared" si="69"/>
        <v>WAGE WORKS - HRA FEES</v>
      </c>
    </row>
    <row r="3262" spans="1:9" x14ac:dyDescent="0.3">
      <c r="A3262" t="str">
        <f>""</f>
        <v/>
      </c>
      <c r="F3262" t="str">
        <f>""</f>
        <v/>
      </c>
      <c r="G3262" t="str">
        <f>""</f>
        <v/>
      </c>
      <c r="I3262" t="str">
        <f t="shared" si="69"/>
        <v>WAGE WORKS - HRA FEES</v>
      </c>
    </row>
    <row r="3263" spans="1:9" x14ac:dyDescent="0.3">
      <c r="A3263" t="str">
        <f>""</f>
        <v/>
      </c>
      <c r="F3263" t="str">
        <f>""</f>
        <v/>
      </c>
      <c r="G3263" t="str">
        <f>""</f>
        <v/>
      </c>
      <c r="I3263" t="str">
        <f t="shared" si="69"/>
        <v>WAGE WORKS - HRA FEES</v>
      </c>
    </row>
    <row r="3264" spans="1:9" x14ac:dyDescent="0.3">
      <c r="A3264" t="str">
        <f>""</f>
        <v/>
      </c>
      <c r="F3264" t="str">
        <f>""</f>
        <v/>
      </c>
      <c r="G3264" t="str">
        <f>""</f>
        <v/>
      </c>
      <c r="I3264" t="str">
        <f t="shared" si="69"/>
        <v>WAGE WORKS - HRA FEES</v>
      </c>
    </row>
    <row r="3265" spans="1:9" x14ac:dyDescent="0.3">
      <c r="A3265" t="str">
        <f>""</f>
        <v/>
      </c>
      <c r="F3265" t="str">
        <f>""</f>
        <v/>
      </c>
      <c r="G3265" t="str">
        <f>""</f>
        <v/>
      </c>
      <c r="I3265" t="str">
        <f t="shared" si="69"/>
        <v>WAGE WORKS - HRA FEES</v>
      </c>
    </row>
    <row r="3266" spans="1:9" x14ac:dyDescent="0.3">
      <c r="A3266" t="str">
        <f>""</f>
        <v/>
      </c>
      <c r="F3266" t="str">
        <f>""</f>
        <v/>
      </c>
      <c r="G3266" t="str">
        <f>""</f>
        <v/>
      </c>
      <c r="I3266" t="str">
        <f t="shared" si="69"/>
        <v>WAGE WORKS - HRA FEES</v>
      </c>
    </row>
    <row r="3267" spans="1:9" x14ac:dyDescent="0.3">
      <c r="A3267" t="str">
        <f>""</f>
        <v/>
      </c>
      <c r="F3267" t="str">
        <f>""</f>
        <v/>
      </c>
      <c r="G3267" t="str">
        <f>""</f>
        <v/>
      </c>
      <c r="I3267" t="str">
        <f t="shared" si="69"/>
        <v>WAGE WORKS - HRA FEES</v>
      </c>
    </row>
    <row r="3268" spans="1:9" x14ac:dyDescent="0.3">
      <c r="A3268" t="str">
        <f>""</f>
        <v/>
      </c>
      <c r="F3268" t="str">
        <f>""</f>
        <v/>
      </c>
      <c r="G3268" t="str">
        <f>""</f>
        <v/>
      </c>
      <c r="I3268" t="str">
        <f t="shared" si="69"/>
        <v>WAGE WORKS - HRA FEES</v>
      </c>
    </row>
    <row r="3269" spans="1:9" x14ac:dyDescent="0.3">
      <c r="A3269" t="str">
        <f>""</f>
        <v/>
      </c>
      <c r="F3269" t="str">
        <f>""</f>
        <v/>
      </c>
      <c r="G3269" t="str">
        <f>""</f>
        <v/>
      </c>
      <c r="I3269" t="str">
        <f t="shared" si="69"/>
        <v>WAGE WORKS - HRA FEES</v>
      </c>
    </row>
    <row r="3270" spans="1:9" x14ac:dyDescent="0.3">
      <c r="A3270" t="str">
        <f>""</f>
        <v/>
      </c>
      <c r="F3270" t="str">
        <f>""</f>
        <v/>
      </c>
      <c r="G3270" t="str">
        <f>""</f>
        <v/>
      </c>
      <c r="I3270" t="str">
        <f t="shared" si="69"/>
        <v>WAGE WORKS - HRA FEES</v>
      </c>
    </row>
    <row r="3271" spans="1:9" x14ac:dyDescent="0.3">
      <c r="A3271" t="str">
        <f>""</f>
        <v/>
      </c>
      <c r="F3271" t="str">
        <f>""</f>
        <v/>
      </c>
      <c r="G3271" t="str">
        <f>""</f>
        <v/>
      </c>
      <c r="I3271" t="str">
        <f t="shared" si="69"/>
        <v>WAGE WORKS - HRA FEES</v>
      </c>
    </row>
    <row r="3272" spans="1:9" x14ac:dyDescent="0.3">
      <c r="A3272" t="str">
        <f>""</f>
        <v/>
      </c>
      <c r="F3272" t="str">
        <f>""</f>
        <v/>
      </c>
      <c r="G3272" t="str">
        <f>""</f>
        <v/>
      </c>
      <c r="I3272" t="str">
        <f t="shared" si="69"/>
        <v>WAGE WORKS - HRA FEES</v>
      </c>
    </row>
    <row r="3273" spans="1:9" x14ac:dyDescent="0.3">
      <c r="A3273" t="str">
        <f>""</f>
        <v/>
      </c>
      <c r="F3273" t="str">
        <f>""</f>
        <v/>
      </c>
      <c r="G3273" t="str">
        <f>""</f>
        <v/>
      </c>
      <c r="I3273" t="str">
        <f t="shared" si="69"/>
        <v>WAGE WORKS - HRA FEES</v>
      </c>
    </row>
    <row r="3274" spans="1:9" x14ac:dyDescent="0.3">
      <c r="A3274" t="str">
        <f>""</f>
        <v/>
      </c>
      <c r="F3274" t="str">
        <f>""</f>
        <v/>
      </c>
      <c r="G3274" t="str">
        <f>""</f>
        <v/>
      </c>
      <c r="I3274" t="str">
        <f t="shared" si="69"/>
        <v>WAGE WORKS - HRA FEES</v>
      </c>
    </row>
    <row r="3275" spans="1:9" x14ac:dyDescent="0.3">
      <c r="A3275" t="str">
        <f>""</f>
        <v/>
      </c>
      <c r="F3275" t="str">
        <f>""</f>
        <v/>
      </c>
      <c r="G3275" t="str">
        <f>""</f>
        <v/>
      </c>
      <c r="I3275" t="str">
        <f t="shared" si="69"/>
        <v>WAGE WORKS - HRA FEES</v>
      </c>
    </row>
    <row r="3276" spans="1:9" x14ac:dyDescent="0.3">
      <c r="A3276" t="str">
        <f>""</f>
        <v/>
      </c>
      <c r="F3276" t="str">
        <f>""</f>
        <v/>
      </c>
      <c r="G3276" t="str">
        <f>""</f>
        <v/>
      </c>
      <c r="I3276" t="str">
        <f t="shared" si="69"/>
        <v>WAGE WORKS - HRA FEES</v>
      </c>
    </row>
    <row r="3277" spans="1:9" x14ac:dyDescent="0.3">
      <c r="A3277" t="str">
        <f>""</f>
        <v/>
      </c>
      <c r="F3277" t="str">
        <f>""</f>
        <v/>
      </c>
      <c r="G3277" t="str">
        <f>""</f>
        <v/>
      </c>
      <c r="I3277" t="str">
        <f t="shared" si="69"/>
        <v>WAGE WORKS - HRA FEES</v>
      </c>
    </row>
    <row r="3278" spans="1:9" x14ac:dyDescent="0.3">
      <c r="A3278" t="str">
        <f>""</f>
        <v/>
      </c>
      <c r="F3278" t="str">
        <f>""</f>
        <v/>
      </c>
      <c r="G3278" t="str">
        <f>""</f>
        <v/>
      </c>
      <c r="I3278" t="str">
        <f t="shared" si="69"/>
        <v>WAGE WORKS - HRA FEES</v>
      </c>
    </row>
    <row r="3279" spans="1:9" x14ac:dyDescent="0.3">
      <c r="A3279" t="str">
        <f>""</f>
        <v/>
      </c>
      <c r="F3279" t="str">
        <f>""</f>
        <v/>
      </c>
      <c r="G3279" t="str">
        <f>""</f>
        <v/>
      </c>
      <c r="I3279" t="str">
        <f t="shared" si="69"/>
        <v>WAGE WORKS - HRA FEES</v>
      </c>
    </row>
    <row r="3280" spans="1:9" x14ac:dyDescent="0.3">
      <c r="A3280" t="str">
        <f>""</f>
        <v/>
      </c>
      <c r="F3280" t="str">
        <f>""</f>
        <v/>
      </c>
      <c r="G3280" t="str">
        <f>""</f>
        <v/>
      </c>
      <c r="I3280" t="str">
        <f t="shared" si="69"/>
        <v>WAGE WORKS - HRA FEES</v>
      </c>
    </row>
    <row r="3281" spans="1:9" x14ac:dyDescent="0.3">
      <c r="A3281" t="str">
        <f>""</f>
        <v/>
      </c>
      <c r="F3281" t="str">
        <f>""</f>
        <v/>
      </c>
      <c r="G3281" t="str">
        <f>""</f>
        <v/>
      </c>
      <c r="I3281" t="str">
        <f t="shared" si="69"/>
        <v>WAGE WORKS - HRA FEES</v>
      </c>
    </row>
    <row r="3282" spans="1:9" x14ac:dyDescent="0.3">
      <c r="A3282" t="str">
        <f>""</f>
        <v/>
      </c>
      <c r="F3282" t="str">
        <f>""</f>
        <v/>
      </c>
      <c r="G3282" t="str">
        <f>""</f>
        <v/>
      </c>
      <c r="I3282" t="str">
        <f t="shared" si="69"/>
        <v>WAGE WORKS - HRA FEES</v>
      </c>
    </row>
    <row r="3283" spans="1:9" x14ac:dyDescent="0.3">
      <c r="A3283" t="str">
        <f>""</f>
        <v/>
      </c>
      <c r="F3283" t="str">
        <f>""</f>
        <v/>
      </c>
      <c r="G3283" t="str">
        <f>""</f>
        <v/>
      </c>
      <c r="I3283" t="str">
        <f t="shared" si="69"/>
        <v>WAGE WORKS - HRA FEES</v>
      </c>
    </row>
    <row r="3284" spans="1:9" x14ac:dyDescent="0.3">
      <c r="A3284" t="str">
        <f>""</f>
        <v/>
      </c>
      <c r="F3284" t="str">
        <f>""</f>
        <v/>
      </c>
      <c r="G3284" t="str">
        <f>""</f>
        <v/>
      </c>
      <c r="I3284" t="str">
        <f t="shared" si="69"/>
        <v>WAGE WORKS - HRA FEES</v>
      </c>
    </row>
    <row r="3285" spans="1:9" x14ac:dyDescent="0.3">
      <c r="A3285" t="str">
        <f>""</f>
        <v/>
      </c>
      <c r="F3285" t="str">
        <f>""</f>
        <v/>
      </c>
      <c r="G3285" t="str">
        <f>""</f>
        <v/>
      </c>
      <c r="I3285" t="str">
        <f t="shared" si="69"/>
        <v>WAGE WORKS - HRA FEES</v>
      </c>
    </row>
    <row r="3286" spans="1:9" x14ac:dyDescent="0.3">
      <c r="A3286" t="str">
        <f>""</f>
        <v/>
      </c>
      <c r="F3286" t="str">
        <f>""</f>
        <v/>
      </c>
      <c r="G3286" t="str">
        <f>""</f>
        <v/>
      </c>
      <c r="I3286" t="str">
        <f t="shared" si="69"/>
        <v>WAGE WORKS - HRA FEES</v>
      </c>
    </row>
    <row r="3287" spans="1:9" x14ac:dyDescent="0.3">
      <c r="A3287" t="str">
        <f>""</f>
        <v/>
      </c>
      <c r="F3287" t="str">
        <f>""</f>
        <v/>
      </c>
      <c r="G3287" t="str">
        <f>""</f>
        <v/>
      </c>
      <c r="I3287" t="str">
        <f t="shared" si="69"/>
        <v>WAGE WORKS - HRA FEES</v>
      </c>
    </row>
    <row r="3288" spans="1:9" x14ac:dyDescent="0.3">
      <c r="A3288" t="str">
        <f>""</f>
        <v/>
      </c>
      <c r="F3288" t="str">
        <f>""</f>
        <v/>
      </c>
      <c r="G3288" t="str">
        <f>""</f>
        <v/>
      </c>
      <c r="I3288" t="str">
        <f t="shared" si="69"/>
        <v>WAGE WORKS - HRA FEES</v>
      </c>
    </row>
    <row r="3289" spans="1:9" x14ac:dyDescent="0.3">
      <c r="A3289" t="str">
        <f>""</f>
        <v/>
      </c>
      <c r="F3289" t="str">
        <f>""</f>
        <v/>
      </c>
      <c r="G3289" t="str">
        <f>""</f>
        <v/>
      </c>
      <c r="I3289" t="str">
        <f t="shared" si="69"/>
        <v>WAGE WORKS - HRA FEES</v>
      </c>
    </row>
    <row r="3290" spans="1:9" x14ac:dyDescent="0.3">
      <c r="A3290" t="str">
        <f>""</f>
        <v/>
      </c>
      <c r="F3290" t="str">
        <f>""</f>
        <v/>
      </c>
      <c r="G3290" t="str">
        <f>""</f>
        <v/>
      </c>
      <c r="I3290" t="str">
        <f t="shared" si="69"/>
        <v>WAGE WORKS - HRA FEES</v>
      </c>
    </row>
    <row r="3291" spans="1:9" x14ac:dyDescent="0.3">
      <c r="A3291" t="str">
        <f>""</f>
        <v/>
      </c>
      <c r="F3291" t="str">
        <f>""</f>
        <v/>
      </c>
      <c r="G3291" t="str">
        <f>""</f>
        <v/>
      </c>
      <c r="I3291" t="str">
        <f t="shared" si="69"/>
        <v>WAGE WORKS - HRA FEES</v>
      </c>
    </row>
    <row r="3292" spans="1:9" x14ac:dyDescent="0.3">
      <c r="A3292" t="str">
        <f>""</f>
        <v/>
      </c>
      <c r="F3292" t="str">
        <f>""</f>
        <v/>
      </c>
      <c r="G3292" t="str">
        <f>""</f>
        <v/>
      </c>
      <c r="I3292" t="str">
        <f t="shared" si="69"/>
        <v>WAGE WORKS - HRA FEES</v>
      </c>
    </row>
    <row r="3293" spans="1:9" x14ac:dyDescent="0.3">
      <c r="A3293" t="str">
        <f>""</f>
        <v/>
      </c>
      <c r="F3293" t="str">
        <f>""</f>
        <v/>
      </c>
      <c r="G3293" t="str">
        <f>""</f>
        <v/>
      </c>
      <c r="I3293" t="str">
        <f t="shared" si="69"/>
        <v>WAGE WORKS - HRA FEES</v>
      </c>
    </row>
    <row r="3294" spans="1:9" x14ac:dyDescent="0.3">
      <c r="A3294" t="str">
        <f>""</f>
        <v/>
      </c>
      <c r="F3294" t="str">
        <f>""</f>
        <v/>
      </c>
      <c r="G3294" t="str">
        <f>""</f>
        <v/>
      </c>
      <c r="I3294" t="str">
        <f t="shared" si="69"/>
        <v>WAGE WORKS - HRA FEES</v>
      </c>
    </row>
    <row r="3295" spans="1:9" x14ac:dyDescent="0.3">
      <c r="A3295" t="str">
        <f>""</f>
        <v/>
      </c>
      <c r="C3295" s="3" t="s">
        <v>632</v>
      </c>
      <c r="D3295" s="2">
        <f>SUM(D2:D3294)</f>
        <v>4864119.2600000007</v>
      </c>
      <c r="F3295" t="str">
        <f>"HRF201711156615"</f>
        <v>HRF201711156615</v>
      </c>
      <c r="G3295" t="str">
        <f>"WAGE WORKS - HRA FEES"</f>
        <v>WAGE WORKS - HRA FEES</v>
      </c>
      <c r="H3295" s="2">
        <v>14.88</v>
      </c>
      <c r="I3295" t="str">
        <f t="shared" si="69"/>
        <v>WAGE WORKS - HRA FEES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2018-05-01T02:36:33Z</dcterms:created>
  <dcterms:modified xsi:type="dcterms:W3CDTF">2018-06-28T14:26:22Z</dcterms:modified>
</cp:coreProperties>
</file>