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145621"/>
</workbook>
</file>

<file path=xl/calcChain.xml><?xml version="1.0" encoding="utf-8"?>
<calcChain xmlns="http://schemas.openxmlformats.org/spreadsheetml/2006/main">
  <c r="D3054" i="1" l="1"/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H245" i="1"/>
  <c r="I245" i="1"/>
  <c r="A246" i="1"/>
  <c r="H246" i="1"/>
  <c r="I246" i="1"/>
  <c r="A247" i="1"/>
  <c r="H247" i="1"/>
  <c r="I247" i="1"/>
  <c r="A248" i="1"/>
  <c r="H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H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H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H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A688" i="1"/>
  <c r="F688" i="1"/>
  <c r="G688" i="1"/>
  <c r="A689" i="1"/>
  <c r="F689" i="1"/>
  <c r="G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H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H734" i="1"/>
  <c r="I734" i="1"/>
  <c r="A735" i="1"/>
  <c r="F735" i="1"/>
  <c r="G735" i="1"/>
  <c r="A736" i="1"/>
  <c r="F736" i="1"/>
  <c r="G736" i="1"/>
  <c r="A737" i="1"/>
  <c r="F737" i="1"/>
  <c r="G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H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H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H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H950" i="1"/>
  <c r="I950" i="1"/>
  <c r="A951" i="1"/>
  <c r="H951" i="1"/>
  <c r="I951" i="1"/>
  <c r="A952" i="1"/>
  <c r="H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A960" i="1"/>
  <c r="F960" i="1"/>
  <c r="G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H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H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A1254" i="1"/>
  <c r="F1254" i="1"/>
  <c r="G1254" i="1"/>
  <c r="I1254" i="1"/>
  <c r="A1255" i="1"/>
  <c r="F1255" i="1"/>
  <c r="G1255" i="1"/>
  <c r="A1256" i="1"/>
  <c r="F1256" i="1"/>
  <c r="G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A1410" i="1"/>
  <c r="F1410" i="1"/>
  <c r="G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H1415" i="1"/>
  <c r="I1415" i="1"/>
  <c r="A1416" i="1"/>
  <c r="H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H1449" i="1"/>
  <c r="I1449" i="1"/>
  <c r="A1450" i="1"/>
  <c r="H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A1499" i="1"/>
  <c r="F1499" i="1"/>
  <c r="G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A1584" i="1"/>
  <c r="F1584" i="1"/>
  <c r="G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I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I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I3049" i="1"/>
  <c r="A3050" i="1"/>
  <c r="F3050" i="1"/>
  <c r="G3050" i="1"/>
  <c r="I3050" i="1"/>
  <c r="A3051" i="1"/>
  <c r="F3051" i="1"/>
  <c r="G3051" i="1"/>
  <c r="I3051" i="1"/>
  <c r="A3052" i="1"/>
  <c r="F3052" i="1"/>
  <c r="G3052" i="1"/>
  <c r="I3052" i="1"/>
  <c r="A3053" i="1"/>
  <c r="F3053" i="1"/>
  <c r="G3053" i="1"/>
  <c r="I3053" i="1"/>
  <c r="A3054" i="1"/>
  <c r="F3054" i="1"/>
  <c r="G3054" i="1"/>
  <c r="I3054" i="1"/>
</calcChain>
</file>

<file path=xl/sharedStrings.xml><?xml version="1.0" encoding="utf-8"?>
<sst xmlns="http://schemas.openxmlformats.org/spreadsheetml/2006/main" count="703" uniqueCount="530">
  <si>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</si>
  <si>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</si>
  <si>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</si>
  <si>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</si>
  <si>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</si>
  <si>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</si>
  <si>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</si>
  <si>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</si>
  <si>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</si>
  <si>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973 MATERIALS  LLC</t>
  </si>
  <si>
    <t>ALLSHRED INC</t>
  </si>
  <si>
    <t>ARNOLD OIL COMPANY OF AUSTIN LP</t>
  </si>
  <si>
    <t>TIMOTHY HALL</t>
  </si>
  <si>
    <t>PRESTON BOYDSTON</t>
  </si>
  <si>
    <t>ADAM ROWINS</t>
  </si>
  <si>
    <t>ADENA LEWIS</t>
  </si>
  <si>
    <t>ADVOCACY OUTREACH</t>
  </si>
  <si>
    <t>AIRGAS INC</t>
  </si>
  <si>
    <t>ALAMO  GROUP (TX)  INC</t>
  </si>
  <si>
    <t>ALBERT NEAL PFEIFFER</t>
  </si>
  <si>
    <t>AMC SOLUTIONS</t>
  </si>
  <si>
    <t>AMERICAN TIRE DISTRIBUTORS INC</t>
  </si>
  <si>
    <t>AMERISOURCEBERGEN</t>
  </si>
  <si>
    <t>AMG PRINTING &amp; MAILING</t>
  </si>
  <si>
    <t>ANDERSON &amp; ANDERSON LAW FIRM PC</t>
  </si>
  <si>
    <t>ANDERSON MACHINERY AUSTIN INC</t>
  </si>
  <si>
    <t>C APPLEMAN ENT INC</t>
  </si>
  <si>
    <t>APRIL KUCK</t>
  </si>
  <si>
    <t>AQUA BEVERAGE COMPANY/OZARKA</t>
  </si>
  <si>
    <t>AQUA WATER SUPPLY</t>
  </si>
  <si>
    <t>ARCIT</t>
  </si>
  <si>
    <t>AT &amp; T</t>
  </si>
  <si>
    <t>AT&amp;T</t>
  </si>
  <si>
    <t>AT&amp;T MOBILITY</t>
  </si>
  <si>
    <t>AT&amp;T MOBILITY-W&amp;M</t>
  </si>
  <si>
    <t>AUBAINE SUPPLY COMPANY  INC</t>
  </si>
  <si>
    <t>AUSTEX DUMPTERS LLC</t>
  </si>
  <si>
    <t>GRAND JUNCTION NEWSPAPERS INC</t>
  </si>
  <si>
    <t>AUSTIN GASTROENTERLOGY</t>
  </si>
  <si>
    <t>AUSTIN RADIOLOGICAL ASSOC</t>
  </si>
  <si>
    <t>AUSTIN ARBORIST COMPANY</t>
  </si>
  <si>
    <t>JIM ATTRA INC</t>
  </si>
  <si>
    <t>MICHAEL OLDHAM TIRE INC</t>
  </si>
  <si>
    <t>EDUARDO BARRIENTOS</t>
  </si>
  <si>
    <t>BASIC IDIQ  INC.</t>
  </si>
  <si>
    <t>DEBORAH D. SPARKMAN</t>
  </si>
  <si>
    <t>BASTROP CHAMBER OF COMMERCE</t>
  </si>
  <si>
    <t>BASTROP CNTY LONG TERM RECOVERY TEAM CONST.</t>
  </si>
  <si>
    <t>BASTROP CNTY SHERIFF'S DEPT</t>
  </si>
  <si>
    <t>="11</t>
  </si>
  <si>
    <t>914"</t>
  </si>
  <si>
    <t>="12</t>
  </si>
  <si>
    <t>233"</t>
  </si>
  <si>
    <t>610"</t>
  </si>
  <si>
    <t>762"</t>
  </si>
  <si>
    <t>DANIEL L HEPKER</t>
  </si>
  <si>
    <t>BASTROP COUNTY PROBATION DEPT</t>
  </si>
  <si>
    <t>BASTROP INDEPENDENT SCHOOL DISTRICT</t>
  </si>
  <si>
    <t>BASTROP MEDICAL CLINIC</t>
  </si>
  <si>
    <t>BASTROP OUTDOOR</t>
  </si>
  <si>
    <t>BASTROP PROVIDENCE FUNERAL HOME</t>
  </si>
  <si>
    <t>BASTROP TREE SERVICE  INC</t>
  </si>
  <si>
    <t>BASTROP VET. HOSPITAL  INC.</t>
  </si>
  <si>
    <t>DAVID H OUTON</t>
  </si>
  <si>
    <t>BEN E KEITH CO.</t>
  </si>
  <si>
    <t>BENJAMIN FOODS  LLC</t>
  </si>
  <si>
    <t>MULTI SERVICE CORP</t>
  </si>
  <si>
    <t>BETTY LOU GAINES</t>
  </si>
  <si>
    <t>BEXAR COUNTY SHERIFF</t>
  </si>
  <si>
    <t>447 Reissue"</t>
  </si>
  <si>
    <t>BICKERSTAFF HEATH DELGADO ACOSTA LL</t>
  </si>
  <si>
    <t>BIG WRENCH ROAD SERVICE INC</t>
  </si>
  <si>
    <t>BIMBO FOODS INC</t>
  </si>
  <si>
    <t>BLAS J COY JR</t>
  </si>
  <si>
    <t>BLAUER TACTICAL SYSTEMS  INC.</t>
  </si>
  <si>
    <t>BLUEBONNET ELECTRIC</t>
  </si>
  <si>
    <t>="15</t>
  </si>
  <si>
    <t>915  9/21/17"</t>
  </si>
  <si>
    <t>BLUEBONNET ELECTRIC COOP</t>
  </si>
  <si>
    <t>BLUEBONNET TRAILS MHMR</t>
  </si>
  <si>
    <t>BOB BARKER COMPANY  INC.</t>
  </si>
  <si>
    <t>BOBBY BROWN</t>
  </si>
  <si>
    <t>BRAUNTEX MATERIALS INC</t>
  </si>
  <si>
    <t>BRYAN GOERTZ</t>
  </si>
  <si>
    <t>LAW OFFICE OF BRYAN W. MCDANIEL  P.C.</t>
  </si>
  <si>
    <t>BUCKEYE INTERNATIONAL INC</t>
  </si>
  <si>
    <t>BUG MASTER EXTERMINATING LTD</t>
  </si>
  <si>
    <t>BUREAU OF VITAL STATISTICS</t>
  </si>
  <si>
    <t>CALDWELL AUTOMOTIVE PARTNERS LTD</t>
  </si>
  <si>
    <t>CALDWELL COUNTY SHERIFF</t>
  </si>
  <si>
    <t>CAPITAL AREA COUNCIL OF GOVERNMENTS</t>
  </si>
  <si>
    <t>CAPITOL BEARING OF AUSTIN</t>
  </si>
  <si>
    <t>DAVID &amp; SUSAN MC ADAMS</t>
  </si>
  <si>
    <t>TIB-THE INDEPENDENT BANKERS BANK</t>
  </si>
  <si>
    <t>CDW GOVERNMENT INC</t>
  </si>
  <si>
    <t>CENTERPOINT ENERGY</t>
  </si>
  <si>
    <t>CENTEX IMAGE DESIGNS</t>
  </si>
  <si>
    <t>CENTEX MATERIALS LLC</t>
  </si>
  <si>
    <t>CENTEX MECHANICAL INC</t>
  </si>
  <si>
    <t>CENTRAL TEXAS AUTOPSY</t>
  </si>
  <si>
    <t>CERTIFIED LABORATORIES</t>
  </si>
  <si>
    <t>CHARLES W CARVER</t>
  </si>
  <si>
    <t>CHRIS MATT DILLON</t>
  </si>
  <si>
    <t>CHRISTINA BLUE</t>
  </si>
  <si>
    <t>CHRISTINE P FILES</t>
  </si>
  <si>
    <t>CINDYE WOLFORD</t>
  </si>
  <si>
    <t>CINTAS</t>
  </si>
  <si>
    <t>CINTAS CORPORATION</t>
  </si>
  <si>
    <t>CINTAS CORPORATION #86</t>
  </si>
  <si>
    <t>CISTERA NETWORKS INC</t>
  </si>
  <si>
    <t>CITY OF BASTROP</t>
  </si>
  <si>
    <t>CITY OF SMITHVILLE</t>
  </si>
  <si>
    <t>CLEGG INDUSTRIES INC.</t>
  </si>
  <si>
    <t>CLINICAL PATHOLOGY LABORATORIES INC</t>
  </si>
  <si>
    <t>COMMUNITY COFFEE COMPANY LLC</t>
  </si>
  <si>
    <t>COMMUNITY HEALTH CENTERS</t>
  </si>
  <si>
    <t>CONNIE CAMERON RABEL</t>
  </si>
  <si>
    <t>CONTECH ENGINEERED SOLUTIONS INC</t>
  </si>
  <si>
    <t>OSCAR MENDEZ ARTEAGA</t>
  </si>
  <si>
    <t>COOPER EQUIPMENT CO.</t>
  </si>
  <si>
    <t>CORAM ALTERNATE SITE SERVICES  INC</t>
  </si>
  <si>
    <t>COTHRON SECURITY SOLUTIONS LLC</t>
  </si>
  <si>
    <t>COUFAL-PRATER EQUIPMENT LTD</t>
  </si>
  <si>
    <t>CRESSIDA EVELYN KWOLEK  PH. D.</t>
  </si>
  <si>
    <t>CRYSTAL DEAR</t>
  </si>
  <si>
    <t>MUNICIPAL SERVICES BUREAU</t>
  </si>
  <si>
    <t>CUSTOM PRODUCTS CORPORATION</t>
  </si>
  <si>
    <t>DAHILL INDUSTRIES  INC</t>
  </si>
  <si>
    <t>DALLAS COUNTY CONSTABLE PCT 1</t>
  </si>
  <si>
    <t>DAVID LEWIS</t>
  </si>
  <si>
    <t>DAVID M COLLINS</t>
  </si>
  <si>
    <t>DELL</t>
  </si>
  <si>
    <t>DICKENS LOCKSMITH INC</t>
  </si>
  <si>
    <t>DEPARTMENT OF INFORMATION RESOURCES</t>
  </si>
  <si>
    <t>DISCOUNT DOOR &amp; METAL  LLC</t>
  </si>
  <si>
    <t>DONNIE STARK</t>
  </si>
  <si>
    <t>DOUBLE TUFF TRUCK TARPS INC</t>
  </si>
  <si>
    <t>DUNNE &amp; JUAREZ L.L.C.</t>
  </si>
  <si>
    <t>ECOLAB INC</t>
  </si>
  <si>
    <t>ALBERT A. DAVIS</t>
  </si>
  <si>
    <t>ELECTION SYSTEMS &amp; SOFTWARE INC</t>
  </si>
  <si>
    <t>ELENA CADENA</t>
  </si>
  <si>
    <t>ELGIN CHAMBER OF COMMERCE</t>
  </si>
  <si>
    <t>BLACKLANDS PUBLICATIONS INC</t>
  </si>
  <si>
    <t>ELGIN FUNERAL HOME</t>
  </si>
  <si>
    <t>CITY OF ELGIN UTILITIES</t>
  </si>
  <si>
    <t>KHALEEL SAYYED</t>
  </si>
  <si>
    <t>ELLIOTT ELECTRIC SUPPLY INC</t>
  </si>
  <si>
    <t>ENVIRONMENTAL SYSTEMS RESEARCH INSTITUTE  INC</t>
  </si>
  <si>
    <t>ERGON ASPHALT &amp; EMULSIONS INC</t>
  </si>
  <si>
    <t>ERIN NICKEL</t>
  </si>
  <si>
    <t>BASTROP COUNTY WOMEN'S SHELTER</t>
  </si>
  <si>
    <t>FARONICS TECHNOLOGIES USA INC</t>
  </si>
  <si>
    <t>FEDERAL EXPRESS</t>
  </si>
  <si>
    <t>FLEET COR TECHNOLOGIES INC</t>
  </si>
  <si>
    <t>FLEETPRIDE</t>
  </si>
  <si>
    <t>FORREST L. SANDERSON</t>
  </si>
  <si>
    <t>FPC FINANCIAL f.s.b.</t>
  </si>
  <si>
    <t>AUSTIN TRUCK &amp; EQUIP LTD</t>
  </si>
  <si>
    <t>EUGENE W BRIGGS JR</t>
  </si>
  <si>
    <t>="4" X 8" MAGNET CALENDAR"</t>
  </si>
  <si>
    <t>G &amp; K SERVICES</t>
  </si>
  <si>
    <t>GALLS LLC</t>
  </si>
  <si>
    <t>FERTITTA HOSPITALITY  LLC</t>
  </si>
  <si>
    <t>GARLAND T MURLEY</t>
  </si>
  <si>
    <t>GARMENTS TO GO  INC</t>
  </si>
  <si>
    <t>GARY L SNOWDEN</t>
  </si>
  <si>
    <t>GOVERNMENTAL COLLECTORS ASSOCIATION OF TEXAS</t>
  </si>
  <si>
    <t>BRIDGESTONE AMERICAS INC</t>
  </si>
  <si>
    <t>GERMANIA INSURANCE</t>
  </si>
  <si>
    <t>085  9/8/17"</t>
  </si>
  <si>
    <t>GOVCONNECTION INC</t>
  </si>
  <si>
    <t>GRAINGER INC</t>
  </si>
  <si>
    <t>GRANITE ENVIRONMENTAL  INC.</t>
  </si>
  <si>
    <t>GREENE-JONES JULIANNE MARIE</t>
  </si>
  <si>
    <t>GT DISTRIBUTORS  INC.</t>
  </si>
  <si>
    <t>GULF COAST PAPER CO. INC.</t>
  </si>
  <si>
    <t>HALFF ASSOCIATES</t>
  </si>
  <si>
    <t>HANNAH McMAHAN</t>
  </si>
  <si>
    <t>HARRIS COUNTY CONSTABLE PCT 1</t>
  </si>
  <si>
    <t>HAYS CNTY CONSTABLE PCT 5</t>
  </si>
  <si>
    <t>ST DAVID'S HEALTHCARE PARTNERSHIP</t>
  </si>
  <si>
    <t>HEART OF PINES VFD</t>
  </si>
  <si>
    <t>HEARTLAND QUARRIES  LLC</t>
  </si>
  <si>
    <t>HEATHER DEASON</t>
  </si>
  <si>
    <t>HERSHCAP BACKHOE &amp; DITCHING INC</t>
  </si>
  <si>
    <t>="10</t>
  </si>
  <si>
    <t>658  9/22/17"</t>
  </si>
  <si>
    <t>HILLARY LONG</t>
  </si>
  <si>
    <t>DFW LAKES OWNER  LLC</t>
  </si>
  <si>
    <t>BASCOM L HODGES JR</t>
  </si>
  <si>
    <t>HODGSON G ECKEL</t>
  </si>
  <si>
    <t>BD HOLT CO</t>
  </si>
  <si>
    <t>CITIBANK (SOUTH DAKOTA)N.A./THE HOME DEPOT</t>
  </si>
  <si>
    <t>HOPEWELL ROSENWALD SCHOOL PROJECT</t>
  </si>
  <si>
    <t>RS EQUIPMENT CO</t>
  </si>
  <si>
    <t>HUDSON ENERGY CORP</t>
  </si>
  <si>
    <t>HYDRAULIC HOUSE INC</t>
  </si>
  <si>
    <t>INDIGENT HEALTHCARE SOLUTIONS</t>
  </si>
  <si>
    <t>IPMA-HR</t>
  </si>
  <si>
    <t>IRENE BORREGO</t>
  </si>
  <si>
    <t>IRON MOUNTAIN RECORDS MGMT INC</t>
  </si>
  <si>
    <t>TRIPLE J JACKPOT</t>
  </si>
  <si>
    <t>JEFF E HAGEN MD</t>
  </si>
  <si>
    <t>JENKINS &amp; JENKINS LLP</t>
  </si>
  <si>
    <t>JERRILYN DEE RAINE</t>
  </si>
  <si>
    <t>JERRY HOFROCK</t>
  </si>
  <si>
    <t>="14</t>
  </si>
  <si>
    <t>505  9/25/17"</t>
  </si>
  <si>
    <t>JERRY POWELL</t>
  </si>
  <si>
    <t>JOHN HAMBY</t>
  </si>
  <si>
    <t>JORDAN MC DONALD</t>
  </si>
  <si>
    <t>JULIE SOMMERFELD</t>
  </si>
  <si>
    <t>JUSTIN MATTHEW FOHN</t>
  </si>
  <si>
    <t>KATHY REEVES</t>
  </si>
  <si>
    <t>393  9/13/17"</t>
  </si>
  <si>
    <t>KELLY-MOORE PAINT COMPANY  INC</t>
  </si>
  <si>
    <t>KENNETH LIMUEL</t>
  </si>
  <si>
    <t>KENT BROUSSARD TOWER RENTAL INC</t>
  </si>
  <si>
    <t>KEVIN COLWELL</t>
  </si>
  <si>
    <t>KOETTER FIRE PROTECTION</t>
  </si>
  <si>
    <t>KRISTIN BURNS</t>
  </si>
  <si>
    <t>LABATT INSTITUTIONAL SUPPLY CO</t>
  </si>
  <si>
    <t>LANGFORD COMMUNITY MGMT INC</t>
  </si>
  <si>
    <t>LARA WILSON</t>
  </si>
  <si>
    <t>LAURENCE DUNNE  II</t>
  </si>
  <si>
    <t>J. MARQUE MOORE</t>
  </si>
  <si>
    <t>LUCIO LEAL</t>
  </si>
  <si>
    <t>LEE COUNTY WATER SUPPLY CORP</t>
  </si>
  <si>
    <t>LEXISNEXIS RISK DATA MGMT INC</t>
  </si>
  <si>
    <t>LINDA HARMON-TAX ASSESSOR</t>
  </si>
  <si>
    <t>LINDSEY SIMMONS</t>
  </si>
  <si>
    <t>LIQUID ENVIRONMENTAL SOLUTIONS</t>
  </si>
  <si>
    <t>LISA M. MIMS</t>
  </si>
  <si>
    <t>LISA PARKER</t>
  </si>
  <si>
    <t>LONE STAR CIRCLE OF CARE</t>
  </si>
  <si>
    <t>UNITED KWB COLLABORATIONS LLC</t>
  </si>
  <si>
    <t>LONGHORN EMERGENCY MEDICAL ASSOC PA</t>
  </si>
  <si>
    <t>LONGHORN INTERNATIONAL TRUCKS LTD</t>
  </si>
  <si>
    <t>SCOTT BRYANT</t>
  </si>
  <si>
    <t>LOST PINES PAINT &amp; BODY INC</t>
  </si>
  <si>
    <t>TRUBAR  LLC</t>
  </si>
  <si>
    <t>LOWE'S</t>
  </si>
  <si>
    <t>MARIA CELESTE COSTLEY</t>
  </si>
  <si>
    <t>MARIO GINTELLA</t>
  </si>
  <si>
    <t>MARK A RUMPLE</t>
  </si>
  <si>
    <t>MARK E BOWLES</t>
  </si>
  <si>
    <t>MARK MEUTH</t>
  </si>
  <si>
    <t>MARK T MALONE M.D. P.A</t>
  </si>
  <si>
    <t>MARK WHITE</t>
  </si>
  <si>
    <t>MARK ZAMORA</t>
  </si>
  <si>
    <t>MARY BETH SCOTT</t>
  </si>
  <si>
    <t>MATHESON TRI-GAS INC</t>
  </si>
  <si>
    <t>MAUREEN S BURROWS MD MPH</t>
  </si>
  <si>
    <t>MAURICE C. COOK</t>
  </si>
  <si>
    <t>McCOY'S BUILDING SUPPLY CENTER</t>
  </si>
  <si>
    <t>McCREARY  VESELKA  BRAGG &amp; ALLEN P</t>
  </si>
  <si>
    <t>MEEELJ</t>
  </si>
  <si>
    <t>MEDIMPACT HEALTHCARE SYSTEMS INC</t>
  </si>
  <si>
    <t>MELISSA A MEADOR</t>
  </si>
  <si>
    <t>MICHELE MORGAN</t>
  </si>
  <si>
    <t>MICHELE T WALTY</t>
  </si>
  <si>
    <t>MIDTEX MATERIALS</t>
  </si>
  <si>
    <t>MILLER UNIFORMS &amp; EMBLEMS</t>
  </si>
  <si>
    <t>Child Protective Services</t>
  </si>
  <si>
    <t>Children's Advocacy Center</t>
  </si>
  <si>
    <t>COURT APPOINTED SPECIAL ADVOCA</t>
  </si>
  <si>
    <t>Family Crisis Center</t>
  </si>
  <si>
    <t>KACI LEIGH OLSON</t>
  </si>
  <si>
    <t>JEFFREY ALAN PAGE</t>
  </si>
  <si>
    <t>RICHARD LEE PARK JR</t>
  </si>
  <si>
    <t>ARMANDO SALINAS</t>
  </si>
  <si>
    <t>CHRISTIAN RENEE SANCHEZ</t>
  </si>
  <si>
    <t>DAVID ALLEN PEARCY JR</t>
  </si>
  <si>
    <t>ZACHARY RYAN PRINGLE</t>
  </si>
  <si>
    <t>SHARON LEA MILLER</t>
  </si>
  <si>
    <t>JIMMIE DWIGHT MADISON</t>
  </si>
  <si>
    <t>TINA RAE LYNCH</t>
  </si>
  <si>
    <t>JOHN ROBERT MOORE</t>
  </si>
  <si>
    <t>CHRISTION MAELIK NUNN</t>
  </si>
  <si>
    <t>MEGAN LYNNEA MYLONAS</t>
  </si>
  <si>
    <t>KENNETH STEPHEN MORGAN</t>
  </si>
  <si>
    <t>CHRISTOPHER MARK SANDFORD</t>
  </si>
  <si>
    <t>DOUGLAS KENT THOMAS</t>
  </si>
  <si>
    <t>JESICA TEJEDA-ARREDONDO</t>
  </si>
  <si>
    <t>JIMMIE LEE TAYLOR JR</t>
  </si>
  <si>
    <t>STERLING MONTY THOMAS</t>
  </si>
  <si>
    <t>PHILIP TYRONE WILLIAMS</t>
  </si>
  <si>
    <t>THELMA GOERTZ WARREN</t>
  </si>
  <si>
    <t>MARCOS ANTONIO VILLEGAS</t>
  </si>
  <si>
    <t>TANYA LEEANN SHELTON</t>
  </si>
  <si>
    <t>MARIA ANSELMA SERAFIN</t>
  </si>
  <si>
    <t>ADAM CHARLES SCHRAMM</t>
  </si>
  <si>
    <t>SHAE ANN SIMPSON-ROBBINS</t>
  </si>
  <si>
    <t>PHYLLIS DIANE TADLOCK</t>
  </si>
  <si>
    <t>KAREN ANN STRONG</t>
  </si>
  <si>
    <t>KENNETH WAYNE STEVENS</t>
  </si>
  <si>
    <t>CLAUDIA NAOMI KWEDER</t>
  </si>
  <si>
    <t>HELEN DE LOACH</t>
  </si>
  <si>
    <t>CARA DANIELLE DAY</t>
  </si>
  <si>
    <t>JAMES HUGH CUNNINGHAM</t>
  </si>
  <si>
    <t>MELISSA ANN DEUTSCH</t>
  </si>
  <si>
    <t>MICHEAL ONEAL FORSE</t>
  </si>
  <si>
    <t>DAVID RUDOLPH DURDA II</t>
  </si>
  <si>
    <t>KATHERINE MARIE DIAZ</t>
  </si>
  <si>
    <t>BENJAMIN THOMAS BARRETT</t>
  </si>
  <si>
    <t>JOHNATHAN MAXWELL BAIRD</t>
  </si>
  <si>
    <t>FRANCISCO ANDRADA JR</t>
  </si>
  <si>
    <t>DEWEY SAMUEL BARTON</t>
  </si>
  <si>
    <t>CHRISTINE SUE COTTER</t>
  </si>
  <si>
    <t>KAI MARTIN COLLINS</t>
  </si>
  <si>
    <t>JANE RANDOLPH BROOKS-LINDER</t>
  </si>
  <si>
    <t>SHANNON LARUE FRANTZ</t>
  </si>
  <si>
    <t>SANDRA JONES HOWELL</t>
  </si>
  <si>
    <t>JESSICA LYNN HOLLENBECK</t>
  </si>
  <si>
    <t>LEONOR HERNANDEZ</t>
  </si>
  <si>
    <t>DAVID CARL HUSS</t>
  </si>
  <si>
    <t>AMY MICHELL KRUMWEIDE</t>
  </si>
  <si>
    <t>DAVID SCOTT JONES</t>
  </si>
  <si>
    <t>ROBERT DEAN IRVING</t>
  </si>
  <si>
    <t>RAYMOND LOUIS GOULDTHORPE JR</t>
  </si>
  <si>
    <t>HENRY MARTIN GIBSON</t>
  </si>
  <si>
    <t>PARRI DEALICE GARCIA</t>
  </si>
  <si>
    <t>CHRISTINE COLLINS GREER</t>
  </si>
  <si>
    <t>MARY MEUTH HERMS</t>
  </si>
  <si>
    <t>JASON KENT HANNA</t>
  </si>
  <si>
    <t>MICHAEL W HAGERUD</t>
  </si>
  <si>
    <t>SOLEDAD SIERRA</t>
  </si>
  <si>
    <t>STEPHANIE REBER GOERTZ</t>
  </si>
  <si>
    <t>CHARLES WALTER FERS</t>
  </si>
  <si>
    <t>LORENE HELEN JOHNSON</t>
  </si>
  <si>
    <t>SHERRY ANN DUNBAR</t>
  </si>
  <si>
    <t>POLLYE ANITA HOFSTEDT</t>
  </si>
  <si>
    <t>RANDY DALE GELTMEIER</t>
  </si>
  <si>
    <t>AMANDA LEANN CARLISLE</t>
  </si>
  <si>
    <t>JEFFREY DONALD HARRIS</t>
  </si>
  <si>
    <t>NORA EASTERWOOD SCHLUETER</t>
  </si>
  <si>
    <t>JOHN THOMAS ZINKER</t>
  </si>
  <si>
    <t>HAROLD DEE FLOYD</t>
  </si>
  <si>
    <t>MOORE MEDICAL LLC</t>
  </si>
  <si>
    <t>MOTOROLA INC</t>
  </si>
  <si>
    <t>MOTOROLA SOLUTIONS INC</t>
  </si>
  <si>
    <t>NALCO COMPANY LLC</t>
  </si>
  <si>
    <t>NATIONAL FOOD GROUP INC</t>
  </si>
  <si>
    <t>HORIZONS SOUTHWEST MANAGEMENT LP</t>
  </si>
  <si>
    <t>NPELRA</t>
  </si>
  <si>
    <t>O'CONNOR'S</t>
  </si>
  <si>
    <t>O'REILLY AUTOMOTIVE  INC.</t>
  </si>
  <si>
    <t>SOUTHERN FOODS GROUP LP</t>
  </si>
  <si>
    <t>OFFICE DEPOT</t>
  </si>
  <si>
    <t>OMNIBASE SERVICES OF TEXAS LP</t>
  </si>
  <si>
    <t>ON SITE SERVICES</t>
  </si>
  <si>
    <t>ROGER C OSBORN</t>
  </si>
  <si>
    <t>DURASERV CORP</t>
  </si>
  <si>
    <t>SL PARKER PARTNERSHIP LLC</t>
  </si>
  <si>
    <t>PATHMARK TRAFFIC PRODUCTS</t>
  </si>
  <si>
    <t>PATRICK ELECTRIC SERVICE</t>
  </si>
  <si>
    <t>PATTERSON  VETERINARY SUPPLY INC</t>
  </si>
  <si>
    <t>PAUL GRANADO</t>
  </si>
  <si>
    <t>PAYONG GOKMAN-THE MIX-UP</t>
  </si>
  <si>
    <t>PETHEALTH SERVICES(USA) INC.</t>
  </si>
  <si>
    <t>PHILIP L HALL</t>
  </si>
  <si>
    <t>PHILIP R DUCLOUX</t>
  </si>
  <si>
    <t>PINEY CREEK AUTO SERVICE</t>
  </si>
  <si>
    <t>PB PROFESSIONAL SERVICES INC</t>
  </si>
  <si>
    <t>PITNEY BOWES GLOBAL FINANCIAL SERVICES</t>
  </si>
  <si>
    <t>PM WILSON &amp; ASSOCIATES PLLC</t>
  </si>
  <si>
    <t>PRAXAIR DISTRIBUTION  INC.</t>
  </si>
  <si>
    <t>QA ROOFING INC</t>
  </si>
  <si>
    <t>QUEST DIAGNOSTICS</t>
  </si>
  <si>
    <t>QUEST SOFTWARE INC</t>
  </si>
  <si>
    <t>QUILL CORPORATION</t>
  </si>
  <si>
    <t>FREEDMAN TRUCK SERVICE INC</t>
  </si>
  <si>
    <t>RACHEL PLATTS</t>
  </si>
  <si>
    <t>RANDAL'S TOWER TECH INC</t>
  </si>
  <si>
    <t>NESTLE WATERS N AMERICA INC</t>
  </si>
  <si>
    <t>RECIL REEVES</t>
  </si>
  <si>
    <t>="13</t>
  </si>
  <si>
    <t>593"</t>
  </si>
  <si>
    <t>RED WING SHOE STORE #179</t>
  </si>
  <si>
    <t>REPUBLIC SERVICES INC BFI WASTE SERVICE</t>
  </si>
  <si>
    <t>PAULINE SPURLOCK</t>
  </si>
  <si>
    <t>RESERVE ACCOUNT</t>
  </si>
  <si>
    <t>REYNOLDS &amp; KEINARTH</t>
  </si>
  <si>
    <t>RICHARD N. ERNEST</t>
  </si>
  <si>
    <t>RICOH USA INC</t>
  </si>
  <si>
    <t>RICOH AMERICAS CORP</t>
  </si>
  <si>
    <t>JOEL RIVERA -PEDRAZA</t>
  </si>
  <si>
    <t>RUNKLE ENTERPRISES</t>
  </si>
  <si>
    <t>ROADRUNNER RADIOLOGY EQUIP LLC</t>
  </si>
  <si>
    <t>ROBERT MADDEN INDUSTRIES LTD</t>
  </si>
  <si>
    <t>ROCKY ROAD PRINTING</t>
  </si>
  <si>
    <t>RODGER KRUEGER</t>
  </si>
  <si>
    <t>ROSE PIETSCH COUNTY CLERK</t>
  </si>
  <si>
    <t>S &amp; D PLUMBING - TAYLOR  LLC</t>
  </si>
  <si>
    <t>SAM HOUSTON STATE UNIVERSITY</t>
  </si>
  <si>
    <t>SAMMY LERMA III MD</t>
  </si>
  <si>
    <t>SARAH LOUCKS</t>
  </si>
  <si>
    <t>SCHOOL OUTFITTERS</t>
  </si>
  <si>
    <t>="96" TABLES"</t>
  </si>
  <si>
    <t>="72" TABLES"</t>
  </si>
  <si>
    <t>SCOTT &amp; WHITE CLINIC</t>
  </si>
  <si>
    <t>SECRETARY OF STATE</t>
  </si>
  <si>
    <t>SECURUS TECHNOLOGIES INC</t>
  </si>
  <si>
    <t>SERENITYSTAR INC</t>
  </si>
  <si>
    <t>SETON HEALTHCARE SPONSORED PROJECTS</t>
  </si>
  <si>
    <t>SETON MEDICAL CENTER</t>
  </si>
  <si>
    <t>SETON FAMILY OF HOSPITALS</t>
  </si>
  <si>
    <t>SHERWIN WILLIAMS CO</t>
  </si>
  <si>
    <t>SHI GOVERNMENT SOLUTIONS INC.</t>
  </si>
  <si>
    <t>SIGNATURE SMILES</t>
  </si>
  <si>
    <t>ROBERT M SMITH JR</t>
  </si>
  <si>
    <t>SMITHVILLE AUTO PARTS  INC</t>
  </si>
  <si>
    <t>SMITHVILLE CHAMBER OF COMMERCE</t>
  </si>
  <si>
    <t>SMITHVILLE FOOD PANTRY</t>
  </si>
  <si>
    <t>SMITHVILLE HEATING &amp; AIR/C</t>
  </si>
  <si>
    <t>SMITHVILLE PUBLIC LIBRARY</t>
  </si>
  <si>
    <t>SOE SOFTWARE INC</t>
  </si>
  <si>
    <t>LAVACA COUNTY OFFICE SUPPLE  INC</t>
  </si>
  <si>
    <t>SOUTHERN COMPUTER WAREHOUSE INC</t>
  </si>
  <si>
    <t>SOUTHERN TIRE MART LLC</t>
  </si>
  <si>
    <t>CSUK  INC.</t>
  </si>
  <si>
    <t>ST.DAVID'S HEALTHCARE PARTNERSHIP</t>
  </si>
  <si>
    <t>STAPLES ADVANTAGE</t>
  </si>
  <si>
    <t>TX COMPTROLLER OF PUBLIC ACCOUNTS</t>
  </si>
  <si>
    <t>STEFANIE LEE</t>
  </si>
  <si>
    <t>STERICYCLE  INC.</t>
  </si>
  <si>
    <t>STEVE GRANADO</t>
  </si>
  <si>
    <t>MATTHEW LEE SULLINS</t>
  </si>
  <si>
    <t>TAVCO SERVICES INC</t>
  </si>
  <si>
    <t>TAYLOR AUTO ELECT.</t>
  </si>
  <si>
    <t>TAYLOR IRON MACHINE WORKS INC.</t>
  </si>
  <si>
    <t>TAYLOR SECURITY SYSTEMS  INC</t>
  </si>
  <si>
    <t>TDCAA</t>
  </si>
  <si>
    <t>TEJAS ELEVATOR COMPANY</t>
  </si>
  <si>
    <t>TERENCE W MEADOWS</t>
  </si>
  <si>
    <t>TEX-CON OIL CO</t>
  </si>
  <si>
    <t>TEXAN EYE  P.A.</t>
  </si>
  <si>
    <t>TEXAS A&amp;M AGRILIFE EXTENSION SERVICE</t>
  </si>
  <si>
    <t>TEXAS AGGREGATES  LLC</t>
  </si>
  <si>
    <t>TEXAS ASSOCIATES INSURORS AGENCY</t>
  </si>
  <si>
    <t>TEXAS ASSOCIATION OF COUNTIES</t>
  </si>
  <si>
    <t>TEXAS ASSOCIATION OF ELECTIONS ADMINISTRATORS</t>
  </si>
  <si>
    <t>TEXAS BLACKLAND HARDWARE</t>
  </si>
  <si>
    <t>TEXAS CONFERENCE OF URBAN COUNTIES</t>
  </si>
  <si>
    <t>TEXAS DEPT OF PUBLIC SAFETY</t>
  </si>
  <si>
    <t>132"</t>
  </si>
  <si>
    <t>="16</t>
  </si>
  <si>
    <t>081"</t>
  </si>
  <si>
    <t>ERIC OPIELA PLLC</t>
  </si>
  <si>
    <t>TEXAS JUSTICE COURT TRAINING CENTER</t>
  </si>
  <si>
    <t>TEXAS PARKS &amp; WILDLIFE FUNDS</t>
  </si>
  <si>
    <t>TEXAS PUBLIC HEALTH ASSOCIATION</t>
  </si>
  <si>
    <t>JEFFREY TOUSSAINT</t>
  </si>
  <si>
    <t>JAMES ANDREW CASEY</t>
  </si>
  <si>
    <t>RICHARD NELSON MOORE</t>
  </si>
  <si>
    <t>THE PORTER COMPANY</t>
  </si>
  <si>
    <t>TIM SPARKMAN</t>
  </si>
  <si>
    <t>TWE-ADVANCE/NEWHOUSE PARTNERSHIP</t>
  </si>
  <si>
    <t>TIMEKEEPING SYSTEMS INC</t>
  </si>
  <si>
    <t>TRAVIS CO CONSTABLE  PCT 5</t>
  </si>
  <si>
    <t>TRAVIS COUNTY CLERK</t>
  </si>
  <si>
    <t>TRAVIS COUNTY EMERGENCY PHYSICIANS</t>
  </si>
  <si>
    <t>TRAVIS COUNTY TREASURER</t>
  </si>
  <si>
    <t>TREADMAXX TIRE DISTRIBUTORS  INC.</t>
  </si>
  <si>
    <t>TRI-COUNTY PRACTICE ASSOCIATION</t>
  </si>
  <si>
    <t>TRI-ED DISTRIBUTION INC</t>
  </si>
  <si>
    <t>TRIPLE S FUELS</t>
  </si>
  <si>
    <t>TRACTOR SUPPLY CREDIT PLAN</t>
  </si>
  <si>
    <t>TULL FARLEY</t>
  </si>
  <si>
    <t>TX COMMISSION ON ENVIRONMENTAL QUALITY</t>
  </si>
  <si>
    <t>TX JUDICIAL ACADEMY</t>
  </si>
  <si>
    <t>ULINE</t>
  </si>
  <si>
    <t>VALERIE BULLOCK</t>
  </si>
  <si>
    <t>VETERINARY SURGICAL SOLUTIONS</t>
  </si>
  <si>
    <t>DEPARTMENT OF STATE HEALTH SERVICES</t>
  </si>
  <si>
    <t>VOTEC</t>
  </si>
  <si>
    <t>VULCAN  INC.</t>
  </si>
  <si>
    <t>="24"X24 Yellow"</t>
  </si>
  <si>
    <t>="18"X24" White"</t>
  </si>
  <si>
    <t>WAGEWORKS INC  FSA/HSA</t>
  </si>
  <si>
    <t>WALLER COUNTY ASPHALT INC</t>
  </si>
  <si>
    <t>WALMART COMMUNITY BRC</t>
  </si>
  <si>
    <t>WASTE MANAGEMENT OF TEXAS INC</t>
  </si>
  <si>
    <t>PROGRESSIVE WASTE SOLUTIONS OF TX. INC.</t>
  </si>
  <si>
    <t>WEI-ANN LIN  MD PA</t>
  </si>
  <si>
    <t>WEST PUBLISHING CORPORATION</t>
  </si>
  <si>
    <t>MAO PHARMACY INC</t>
  </si>
  <si>
    <t>WILSON 5 WILSON</t>
  </si>
  <si>
    <t>WJC CONSTRUCTION LLC</t>
  </si>
  <si>
    <t>WORKPLACE RESOURCE</t>
  </si>
  <si>
    <t>WORTHINGTON DIRECT HOLDINGS  LLC</t>
  </si>
  <si>
    <t>XEROX CORPORATION</t>
  </si>
  <si>
    <t>1859 HISTORIC HOTELS  LTD</t>
  </si>
  <si>
    <t>YOUNG &amp; PRATT  INC.</t>
  </si>
  <si>
    <t>ACUITY SPECIALTY PRODUCTS INC</t>
  </si>
  <si>
    <t>ZONES INC.</t>
  </si>
  <si>
    <t>ZORO TOOLS INC</t>
  </si>
  <si>
    <t>ASHLEY DOBOS</t>
  </si>
  <si>
    <t>BEFCO ENGINEERING INC</t>
  </si>
  <si>
    <t>BROADDUS &amp; ASSOCIATES</t>
  </si>
  <si>
    <t>MUSTANG MACHINERY COMPANY LTD</t>
  </si>
  <si>
    <t>PAC-VAN. INC.</t>
  </si>
  <si>
    <t>="40" Container remaining"</t>
  </si>
  <si>
    <t>PTP TRANSPORTATION LLC</t>
  </si>
  <si>
    <t>SAMES BASTROP FORD INC</t>
  </si>
  <si>
    <t>SPEED FAB-CRETE CORPORATION</t>
  </si>
  <si>
    <t>SCHULTZ INDUSTRIES  INC.</t>
  </si>
  <si>
    <t>U.S. BANK</t>
  </si>
  <si>
    <t>VERMEER EQUIPMENT OF TEXAS  INC.</t>
  </si>
  <si>
    <t>COBRA EQUIPMENT RENTALS</t>
  </si>
  <si>
    <t>ALLSTATE-AMERICAN HERITAGE LIFE INS CO</t>
  </si>
  <si>
    <t>BASTROP ASSN OF SHERIFFS EMPLOYEES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</si>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</sst>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4"/>
  <sheetViews>
    <sheetView tabSelected="1" workbookViewId="0">
      <selection activeCell="D2" sqref="D2"/>
    </sheetView>
  </sheetViews>
  <sheetFormatPr defaultRowHeight="14.4" x14ac:dyDescent="0.3"/>
  <cols>
    <col min="1" max="1" width="8.77734375" bestFit="1" customWidth="1"/>
    <col min="2" max="2" width="47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21.5546875" bestFit="1" customWidth="1"/>
    <col min="7" max="7" width="34.44140625" bestFit="1" customWidth="1"/>
    <col min="8" max="8" width="29" style="2" bestFit="1" customWidth="1"/>
    <col min="9" max="9" width="33.77734375" bestFit="1" customWidth="1"/>
    <col min="10" max="10" width="4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"000598"</f>
        <v>000598</v>
      </c>
      <c r="B2" t="s">
        <v>9</v>
      </c>
      <c r="C2">
        <v>72916</v>
      </c>
      <c r="D2" s="2">
        <v>63714.63</v>
      </c>
      <c r="E2" s="1">
        <v>43018</v>
      </c>
      <c r="F2" t="str">
        <f>"9725-001-95383"</f>
        <v>9725-001-95383</v>
      </c>
      <c r="G2" t="str">
        <f>"ACCT#9725-001/REC BASE/PCT#2"</f>
        <v>ACCT#9725-001/REC BASE/PCT#2</v>
      </c>
      <c r="H2" s="2">
        <v>1060.5999999999999</v>
      </c>
      <c r="I2" t="str">
        <f>"ACCT#9725-001/REC BASE/PCT#2"</f>
        <v>ACCT#9725-001/REC BASE/PCT#2</v>
      </c>
    </row>
    <row r="3" spans="1:9" x14ac:dyDescent="0.3">
      <c r="A3" t="str">
        <f>""</f>
        <v/>
      </c>
      <c r="F3" t="str">
        <f>"9725-001-95403"</f>
        <v>9725-001-95403</v>
      </c>
      <c r="G3" t="str">
        <f>"ACCT#9725-001/REC BASE/PCT#2"</f>
        <v>ACCT#9725-001/REC BASE/PCT#2</v>
      </c>
      <c r="H3" s="2">
        <v>2408.71</v>
      </c>
      <c r="I3" t="str">
        <f>"ACCT#9725-001/REC BASE/PCT#2"</f>
        <v>ACCT#9725-001/REC BASE/PCT#2</v>
      </c>
    </row>
    <row r="4" spans="1:9" x14ac:dyDescent="0.3">
      <c r="A4" t="str">
        <f>""</f>
        <v/>
      </c>
      <c r="F4" t="str">
        <f>"9725-001-95427"</f>
        <v>9725-001-95427</v>
      </c>
      <c r="G4" t="str">
        <f>"ACCT#9725-001/REC BASE/PCT#2"</f>
        <v>ACCT#9725-001/REC BASE/PCT#2</v>
      </c>
      <c r="H4" s="2">
        <v>2804.21</v>
      </c>
      <c r="I4" t="str">
        <f>"ACCT#9725-001/REC BASE/PCT#2"</f>
        <v>ACCT#9725-001/REC BASE/PCT#2</v>
      </c>
    </row>
    <row r="5" spans="1:9" x14ac:dyDescent="0.3">
      <c r="A5" t="str">
        <f>""</f>
        <v/>
      </c>
      <c r="F5" t="str">
        <f>"9725-009-94856"</f>
        <v>9725-009-94856</v>
      </c>
      <c r="G5" t="str">
        <f>"ACCT#9725-009/REC BASE/PCT#2"</f>
        <v>ACCT#9725-009/REC BASE/PCT#2</v>
      </c>
      <c r="H5" s="2">
        <v>3158.07</v>
      </c>
      <c r="I5" t="str">
        <f>"ACCT#9725-009/REC BASE/PCT#2"</f>
        <v>ACCT#9725-009/REC BASE/PCT#2</v>
      </c>
    </row>
    <row r="6" spans="1:9" x14ac:dyDescent="0.3">
      <c r="A6" t="str">
        <f>""</f>
        <v/>
      </c>
      <c r="F6" t="str">
        <f>"9725-009-94891"</f>
        <v>9725-009-94891</v>
      </c>
      <c r="G6" t="str">
        <f>"ACCT#9725-009/REC BASE/PCT#2"</f>
        <v>ACCT#9725-009/REC BASE/PCT#2</v>
      </c>
      <c r="H6" s="2">
        <v>614.42999999999995</v>
      </c>
      <c r="I6" t="str">
        <f>"ACCT#9725-009/REC BASE/PCT#2"</f>
        <v>ACCT#9725-009/REC BASE/PCT#2</v>
      </c>
    </row>
    <row r="7" spans="1:9" x14ac:dyDescent="0.3">
      <c r="A7" t="str">
        <f>""</f>
        <v/>
      </c>
      <c r="F7" t="str">
        <f>"9725-012-94895"</f>
        <v>9725-012-94895</v>
      </c>
      <c r="G7" t="str">
        <f>"ACCT#9725-012/REC BASE/PCT#2"</f>
        <v>ACCT#9725-012/REC BASE/PCT#2</v>
      </c>
      <c r="H7" s="2">
        <v>3482.98</v>
      </c>
      <c r="I7" t="str">
        <f>"ACCT#9725-012/REC BASE/PCT#2"</f>
        <v>ACCT#9725-012/REC BASE/PCT#2</v>
      </c>
    </row>
    <row r="8" spans="1:9" x14ac:dyDescent="0.3">
      <c r="A8" t="str">
        <f>""</f>
        <v/>
      </c>
      <c r="F8" t="str">
        <f>"9725-012-94920"</f>
        <v>9725-012-94920</v>
      </c>
      <c r="G8" t="str">
        <f>"ACCT#9725-012/REC BASE/PCT#2"</f>
        <v>ACCT#9725-012/REC BASE/PCT#2</v>
      </c>
      <c r="H8" s="2">
        <v>3497.57</v>
      </c>
      <c r="I8" t="str">
        <f>"ACCT#9725-012/REC BASE/PCT#2"</f>
        <v>ACCT#9725-012/REC BASE/PCT#2</v>
      </c>
    </row>
    <row r="9" spans="1:9" x14ac:dyDescent="0.3">
      <c r="A9" t="str">
        <f>""</f>
        <v/>
      </c>
      <c r="F9" t="str">
        <f>"9725-012-94953"</f>
        <v>9725-012-94953</v>
      </c>
      <c r="G9" t="str">
        <f>"ACCT#9725-012/REC BASE/PCT#2"</f>
        <v>ACCT#9725-012/REC BASE/PCT#2</v>
      </c>
      <c r="H9" s="2">
        <v>4950.53</v>
      </c>
      <c r="I9" t="str">
        <f>"ACCT#9725-012/REC BASE/PCT#2"</f>
        <v>ACCT#9725-012/REC BASE/PCT#2</v>
      </c>
    </row>
    <row r="10" spans="1:9" x14ac:dyDescent="0.3">
      <c r="A10" t="str">
        <f>""</f>
        <v/>
      </c>
      <c r="F10" t="str">
        <f>"9725-012-94981"</f>
        <v>9725-012-94981</v>
      </c>
      <c r="G10" t="str">
        <f>"ACCT#9725-012/PCT#2"</f>
        <v>ACCT#9725-012/PCT#2</v>
      </c>
      <c r="H10" s="2">
        <v>6841.76</v>
      </c>
      <c r="I10" t="str">
        <f>"ACCT#9725-012/PCT#2"</f>
        <v>ACCT#9725-012/PCT#2</v>
      </c>
    </row>
    <row r="11" spans="1:9" x14ac:dyDescent="0.3">
      <c r="A11" t="str">
        <f>""</f>
        <v/>
      </c>
      <c r="F11" t="str">
        <f>"9725-012-95007"</f>
        <v>9725-012-95007</v>
      </c>
      <c r="G11" t="str">
        <f t="shared" ref="G11:G22" si="0">"ACCT#9725-012/REC BASE/PCT#2"</f>
        <v>ACCT#9725-012/REC BASE/PCT#2</v>
      </c>
      <c r="H11" s="2">
        <v>6345.57</v>
      </c>
      <c r="I11" t="str">
        <f t="shared" ref="I11:I22" si="1">"ACCT#9725-012/REC BASE/PCT#2"</f>
        <v>ACCT#9725-012/REC BASE/PCT#2</v>
      </c>
    </row>
    <row r="12" spans="1:9" x14ac:dyDescent="0.3">
      <c r="A12" t="str">
        <f>""</f>
        <v/>
      </c>
      <c r="F12" t="str">
        <f>"9725-012-95030"</f>
        <v>9725-012-95030</v>
      </c>
      <c r="G12" t="str">
        <f t="shared" si="0"/>
        <v>ACCT#9725-012/REC BASE/PCT#2</v>
      </c>
      <c r="H12" s="2">
        <v>3568.61</v>
      </c>
      <c r="I12" t="str">
        <f t="shared" si="1"/>
        <v>ACCT#9725-012/REC BASE/PCT#2</v>
      </c>
    </row>
    <row r="13" spans="1:9" x14ac:dyDescent="0.3">
      <c r="A13" t="str">
        <f>""</f>
        <v/>
      </c>
      <c r="F13" t="str">
        <f>"9725-012-95073"</f>
        <v>9725-012-95073</v>
      </c>
      <c r="G13" t="str">
        <f t="shared" si="0"/>
        <v>ACCT#9725-012/REC BASE/PCT#2</v>
      </c>
      <c r="H13" s="2">
        <v>1236.3</v>
      </c>
      <c r="I13" t="str">
        <f t="shared" si="1"/>
        <v>ACCT#9725-012/REC BASE/PCT#2</v>
      </c>
    </row>
    <row r="14" spans="1:9" x14ac:dyDescent="0.3">
      <c r="A14" t="str">
        <f>""</f>
        <v/>
      </c>
      <c r="F14" t="str">
        <f>"9725-012-95099"</f>
        <v>9725-012-95099</v>
      </c>
      <c r="G14" t="str">
        <f t="shared" si="0"/>
        <v>ACCT#9725-012/REC BASE/PCT#2</v>
      </c>
      <c r="H14" s="2">
        <v>3109.15</v>
      </c>
      <c r="I14" t="str">
        <f t="shared" si="1"/>
        <v>ACCT#9725-012/REC BASE/PCT#2</v>
      </c>
    </row>
    <row r="15" spans="1:9" x14ac:dyDescent="0.3">
      <c r="A15" t="str">
        <f>""</f>
        <v/>
      </c>
      <c r="F15" t="str">
        <f>"9725-012-95132"</f>
        <v>9725-012-95132</v>
      </c>
      <c r="G15" t="str">
        <f t="shared" si="0"/>
        <v>ACCT#9725-012/REC BASE/PCT#2</v>
      </c>
      <c r="H15" s="2">
        <v>2319.73</v>
      </c>
      <c r="I15" t="str">
        <f t="shared" si="1"/>
        <v>ACCT#9725-012/REC BASE/PCT#2</v>
      </c>
    </row>
    <row r="16" spans="1:9" x14ac:dyDescent="0.3">
      <c r="A16" t="str">
        <f>""</f>
        <v/>
      </c>
      <c r="F16" t="str">
        <f>"9725-012-95166"</f>
        <v>9725-012-95166</v>
      </c>
      <c r="G16" t="str">
        <f t="shared" si="0"/>
        <v>ACCT#9725-012/REC BASE/PCT#2</v>
      </c>
      <c r="H16" s="2">
        <v>2266.92</v>
      </c>
      <c r="I16" t="str">
        <f t="shared" si="1"/>
        <v>ACCT#9725-012/REC BASE/PCT#2</v>
      </c>
    </row>
    <row r="17" spans="1:9" x14ac:dyDescent="0.3">
      <c r="A17" t="str">
        <f>""</f>
        <v/>
      </c>
      <c r="F17" t="str">
        <f>"9725-012-95206"</f>
        <v>9725-012-95206</v>
      </c>
      <c r="G17" t="str">
        <f t="shared" si="0"/>
        <v>ACCT#9725-012/REC BASE/PCT#2</v>
      </c>
      <c r="H17" s="2">
        <v>2847.88</v>
      </c>
      <c r="I17" t="str">
        <f t="shared" si="1"/>
        <v>ACCT#9725-012/REC BASE/PCT#2</v>
      </c>
    </row>
    <row r="18" spans="1:9" x14ac:dyDescent="0.3">
      <c r="A18" t="str">
        <f>""</f>
        <v/>
      </c>
      <c r="F18" t="str">
        <f>"9725-012-95234"</f>
        <v>9725-012-95234</v>
      </c>
      <c r="G18" t="str">
        <f t="shared" si="0"/>
        <v>ACCT#9725-012/REC BASE/PCT#2</v>
      </c>
      <c r="H18" s="2">
        <v>3545.71</v>
      </c>
      <c r="I18" t="str">
        <f t="shared" si="1"/>
        <v>ACCT#9725-012/REC BASE/PCT#2</v>
      </c>
    </row>
    <row r="19" spans="1:9" x14ac:dyDescent="0.3">
      <c r="A19" t="str">
        <f>""</f>
        <v/>
      </c>
      <c r="F19" t="str">
        <f>"9725-012-95286"</f>
        <v>9725-012-95286</v>
      </c>
      <c r="G19" t="str">
        <f t="shared" si="0"/>
        <v>ACCT#9725-012/REC BASE/PCT#2</v>
      </c>
      <c r="H19" s="2">
        <v>2367.16</v>
      </c>
      <c r="I19" t="str">
        <f t="shared" si="1"/>
        <v>ACCT#9725-012/REC BASE/PCT#2</v>
      </c>
    </row>
    <row r="20" spans="1:9" x14ac:dyDescent="0.3">
      <c r="A20" t="str">
        <f>""</f>
        <v/>
      </c>
      <c r="F20" t="str">
        <f>"9725-012-95314"</f>
        <v>9725-012-95314</v>
      </c>
      <c r="G20" t="str">
        <f t="shared" si="0"/>
        <v>ACCT#9725-012/REC BASE/PCT#2</v>
      </c>
      <c r="H20" s="2">
        <v>1618.67</v>
      </c>
      <c r="I20" t="str">
        <f t="shared" si="1"/>
        <v>ACCT#9725-012/REC BASE/PCT#2</v>
      </c>
    </row>
    <row r="21" spans="1:9" x14ac:dyDescent="0.3">
      <c r="A21" t="str">
        <f>""</f>
        <v/>
      </c>
      <c r="F21" t="str">
        <f>"9725-012-95344"</f>
        <v>9725-012-95344</v>
      </c>
      <c r="G21" t="str">
        <f t="shared" si="0"/>
        <v>ACCT#9725-012/REC BASE/PCT#2</v>
      </c>
      <c r="H21" s="2">
        <v>2576.23</v>
      </c>
      <c r="I21" t="str">
        <f t="shared" si="1"/>
        <v>ACCT#9725-012/REC BASE/PCT#2</v>
      </c>
    </row>
    <row r="22" spans="1:9" x14ac:dyDescent="0.3">
      <c r="A22" t="str">
        <f>""</f>
        <v/>
      </c>
      <c r="F22" t="str">
        <f>"9725-012-95373"</f>
        <v>9725-012-95373</v>
      </c>
      <c r="G22" t="str">
        <f t="shared" si="0"/>
        <v>ACCT#9725-012/REC BASE/PCT#2</v>
      </c>
      <c r="H22" s="2">
        <v>3093.84</v>
      </c>
      <c r="I22" t="str">
        <f t="shared" si="1"/>
        <v>ACCT#9725-012/REC BASE/PCT#2</v>
      </c>
    </row>
    <row r="23" spans="1:9" x14ac:dyDescent="0.3">
      <c r="A23" t="str">
        <f>"000598"</f>
        <v>000598</v>
      </c>
      <c r="B23" t="s">
        <v>9</v>
      </c>
      <c r="C23">
        <v>73176</v>
      </c>
      <c r="D23" s="2">
        <v>11701.13</v>
      </c>
      <c r="E23" s="1">
        <v>43031</v>
      </c>
      <c r="F23" t="str">
        <f>"9725-001-95538"</f>
        <v>9725-001-95538</v>
      </c>
      <c r="G23" t="str">
        <f t="shared" ref="G23:G29" si="2">"ACCT#9725-001/REC BASE/PCT#2"</f>
        <v>ACCT#9725-001/REC BASE/PCT#2</v>
      </c>
      <c r="H23" s="2">
        <v>987.44</v>
      </c>
      <c r="I23" t="str">
        <f t="shared" ref="I23:I29" si="3">"ACCT#9725-001/REC BASE/PCT#2"</f>
        <v>ACCT#9725-001/REC BASE/PCT#2</v>
      </c>
    </row>
    <row r="24" spans="1:9" x14ac:dyDescent="0.3">
      <c r="A24" t="str">
        <f>""</f>
        <v/>
      </c>
      <c r="F24" t="str">
        <f>"9725-001-95568"</f>
        <v>9725-001-95568</v>
      </c>
      <c r="G24" t="str">
        <f t="shared" si="2"/>
        <v>ACCT#9725-001/REC BASE/PCT#2</v>
      </c>
      <c r="H24" s="2">
        <v>383.78</v>
      </c>
      <c r="I24" t="str">
        <f t="shared" si="3"/>
        <v>ACCT#9725-001/REC BASE/PCT#2</v>
      </c>
    </row>
    <row r="25" spans="1:9" x14ac:dyDescent="0.3">
      <c r="A25" t="str">
        <f>""</f>
        <v/>
      </c>
      <c r="F25" t="str">
        <f>"9725-001-95597"</f>
        <v>9725-001-95597</v>
      </c>
      <c r="G25" t="str">
        <f t="shared" si="2"/>
        <v>ACCT#9725-001/REC BASE/PCT#2</v>
      </c>
      <c r="H25" s="2">
        <v>849.8</v>
      </c>
      <c r="I25" t="str">
        <f t="shared" si="3"/>
        <v>ACCT#9725-001/REC BASE/PCT#2</v>
      </c>
    </row>
    <row r="26" spans="1:9" x14ac:dyDescent="0.3">
      <c r="A26" t="str">
        <f>""</f>
        <v/>
      </c>
      <c r="F26" t="str">
        <f>"9725-001-95630"</f>
        <v>9725-001-95630</v>
      </c>
      <c r="G26" t="str">
        <f t="shared" si="2"/>
        <v>ACCT#9725-001/REC BASE/PCT#2</v>
      </c>
      <c r="H26" s="2">
        <v>621.78</v>
      </c>
      <c r="I26" t="str">
        <f t="shared" si="3"/>
        <v>ACCT#9725-001/REC BASE/PCT#2</v>
      </c>
    </row>
    <row r="27" spans="1:9" x14ac:dyDescent="0.3">
      <c r="A27" t="str">
        <f>""</f>
        <v/>
      </c>
      <c r="F27" t="str">
        <f>"9725-001-95651"</f>
        <v>9725-001-95651</v>
      </c>
      <c r="G27" t="str">
        <f t="shared" si="2"/>
        <v>ACCT#9725-001/REC BASE/PCT#2</v>
      </c>
      <c r="H27" s="2">
        <v>1451.98</v>
      </c>
      <c r="I27" t="str">
        <f t="shared" si="3"/>
        <v>ACCT#9725-001/REC BASE/PCT#2</v>
      </c>
    </row>
    <row r="28" spans="1:9" x14ac:dyDescent="0.3">
      <c r="A28" t="str">
        <f>""</f>
        <v/>
      </c>
      <c r="F28" t="str">
        <f>"9725-001-95681"</f>
        <v>9725-001-95681</v>
      </c>
      <c r="G28" t="str">
        <f t="shared" si="2"/>
        <v>ACCT#9725-001/REC BASE/PCT#2</v>
      </c>
      <c r="H28" s="2">
        <v>1576.24</v>
      </c>
      <c r="I28" t="str">
        <f t="shared" si="3"/>
        <v>ACCT#9725-001/REC BASE/PCT#2</v>
      </c>
    </row>
    <row r="29" spans="1:9" x14ac:dyDescent="0.3">
      <c r="A29" t="str">
        <f>""</f>
        <v/>
      </c>
      <c r="F29" t="str">
        <f>"9725-001-95718"</f>
        <v>9725-001-95718</v>
      </c>
      <c r="G29" t="str">
        <f t="shared" si="2"/>
        <v>ACCT#9725-001/REC BASE/PCT#2</v>
      </c>
      <c r="H29" s="2">
        <v>2519.4899999999998</v>
      </c>
      <c r="I29" t="str">
        <f t="shared" si="3"/>
        <v>ACCT#9725-001/REC BASE/PCT#2</v>
      </c>
    </row>
    <row r="30" spans="1:9" x14ac:dyDescent="0.3">
      <c r="A30" t="str">
        <f>""</f>
        <v/>
      </c>
      <c r="F30" t="str">
        <f>"9725-004-95734"</f>
        <v>9725-004-95734</v>
      </c>
      <c r="G30" t="str">
        <f>"ACCT#9725-004/REC BASE/PCT#1"</f>
        <v>ACCT#9725-004/REC BASE/PCT#1</v>
      </c>
      <c r="H30" s="2">
        <v>1015.98</v>
      </c>
      <c r="I30" t="str">
        <f>"ACCT#9725-004/REC BASE/PCT#1"</f>
        <v>ACCT#9725-004/REC BASE/PCT#1</v>
      </c>
    </row>
    <row r="31" spans="1:9" x14ac:dyDescent="0.3">
      <c r="A31" t="str">
        <f>""</f>
        <v/>
      </c>
      <c r="F31" t="str">
        <f>"9725-004-95782"</f>
        <v>9725-004-95782</v>
      </c>
      <c r="G31" t="str">
        <f>"ACCT#9725-004/REC BASE/PCT#1"</f>
        <v>ACCT#9725-004/REC BASE/PCT#1</v>
      </c>
      <c r="H31" s="2">
        <v>1379.73</v>
      </c>
      <c r="I31" t="str">
        <f>"ACCT#9725-004/REC BASE/PCT#1"</f>
        <v>ACCT#9725-004/REC BASE/PCT#1</v>
      </c>
    </row>
    <row r="32" spans="1:9" x14ac:dyDescent="0.3">
      <c r="A32" t="str">
        <f>""</f>
        <v/>
      </c>
      <c r="F32" t="str">
        <f>"9725-004-95806"</f>
        <v>9725-004-95806</v>
      </c>
      <c r="G32" t="str">
        <f>"ACCT#9725-004/REC BASE/PCT#1"</f>
        <v>ACCT#9725-004/REC BASE/PCT#1</v>
      </c>
      <c r="H32" s="2">
        <v>914.91</v>
      </c>
      <c r="I32" t="str">
        <f>"ACCT#9725-004/REC BASE/PCT#1"</f>
        <v>ACCT#9725-004/REC BASE/PCT#1</v>
      </c>
    </row>
    <row r="33" spans="1:9" x14ac:dyDescent="0.3">
      <c r="A33" t="str">
        <f>""</f>
        <v/>
      </c>
      <c r="F33" t="str">
        <f>""</f>
        <v/>
      </c>
      <c r="G33" t="str">
        <f>""</f>
        <v/>
      </c>
      <c r="I33" t="str">
        <f>"ACCT#9725-004/REC BASE/PCT#1"</f>
        <v>ACCT#9725-004/REC BASE/PCT#1</v>
      </c>
    </row>
    <row r="34" spans="1:9" x14ac:dyDescent="0.3">
      <c r="A34" t="str">
        <f>"004643"</f>
        <v>004643</v>
      </c>
      <c r="B34" t="s">
        <v>10</v>
      </c>
      <c r="C34">
        <v>999999</v>
      </c>
      <c r="D34" s="2">
        <v>125</v>
      </c>
      <c r="E34" s="1">
        <v>43019</v>
      </c>
      <c r="F34" t="str">
        <f>"727050"</f>
        <v>727050</v>
      </c>
      <c r="G34" t="str">
        <f>"SHREDDING OF SECURE DOCUMENTS"</f>
        <v>SHREDDING OF SECURE DOCUMENTS</v>
      </c>
      <c r="H34" s="2">
        <v>125</v>
      </c>
      <c r="I34" t="str">
        <f>"SHREDDING OF SECURE DOCUMENTS"</f>
        <v>SHREDDING OF SECURE DOCUMENTS</v>
      </c>
    </row>
    <row r="35" spans="1:9" x14ac:dyDescent="0.3">
      <c r="A35" t="str">
        <f>"004643"</f>
        <v>004643</v>
      </c>
      <c r="B35" t="s">
        <v>10</v>
      </c>
      <c r="C35">
        <v>999999</v>
      </c>
      <c r="D35" s="2">
        <v>767.5</v>
      </c>
      <c r="E35" s="1">
        <v>43032</v>
      </c>
      <c r="F35" t="str">
        <f>"614898"</f>
        <v>614898</v>
      </c>
      <c r="G35" t="str">
        <f>"SHREDDING SVCS/ROUTE CONSOLE"</f>
        <v>SHREDDING SVCS/ROUTE CONSOLE</v>
      </c>
      <c r="H35" s="2">
        <v>103</v>
      </c>
      <c r="I35" t="str">
        <f t="shared" ref="I35:I41" si="4">"SHREDDING SVCS/ROUTE CONSOLE"</f>
        <v>SHREDDING SVCS/ROUTE CONSOLE</v>
      </c>
    </row>
    <row r="36" spans="1:9" x14ac:dyDescent="0.3">
      <c r="A36" t="str">
        <f>""</f>
        <v/>
      </c>
      <c r="F36" t="str">
        <f>""</f>
        <v/>
      </c>
      <c r="G36" t="str">
        <f>""</f>
        <v/>
      </c>
      <c r="I36" t="str">
        <f t="shared" si="4"/>
        <v>SHREDDING SVCS/ROUTE CONSOLE</v>
      </c>
    </row>
    <row r="37" spans="1:9" x14ac:dyDescent="0.3">
      <c r="A37" t="str">
        <f>""</f>
        <v/>
      </c>
      <c r="F37" t="str">
        <f>""</f>
        <v/>
      </c>
      <c r="G37" t="str">
        <f>""</f>
        <v/>
      </c>
      <c r="I37" t="str">
        <f t="shared" si="4"/>
        <v>SHREDDING SVCS/ROUTE CONSOLE</v>
      </c>
    </row>
    <row r="38" spans="1:9" x14ac:dyDescent="0.3">
      <c r="A38" t="str">
        <f>""</f>
        <v/>
      </c>
      <c r="F38" t="str">
        <f>""</f>
        <v/>
      </c>
      <c r="G38" t="str">
        <f>""</f>
        <v/>
      </c>
      <c r="I38" t="str">
        <f t="shared" si="4"/>
        <v>SHREDDING SVCS/ROUTE CONSOLE</v>
      </c>
    </row>
    <row r="39" spans="1:9" x14ac:dyDescent="0.3">
      <c r="A39" t="str">
        <f>""</f>
        <v/>
      </c>
      <c r="F39" t="str">
        <f>""</f>
        <v/>
      </c>
      <c r="G39" t="str">
        <f>""</f>
        <v/>
      </c>
      <c r="I39" t="str">
        <f t="shared" si="4"/>
        <v>SHREDDING SVCS/ROUTE CONSOLE</v>
      </c>
    </row>
    <row r="40" spans="1:9" x14ac:dyDescent="0.3">
      <c r="A40" t="str">
        <f>""</f>
        <v/>
      </c>
      <c r="F40" t="str">
        <f>""</f>
        <v/>
      </c>
      <c r="G40" t="str">
        <f>""</f>
        <v/>
      </c>
      <c r="I40" t="str">
        <f t="shared" si="4"/>
        <v>SHREDDING SVCS/ROUTE CONSOLE</v>
      </c>
    </row>
    <row r="41" spans="1:9" x14ac:dyDescent="0.3">
      <c r="A41" t="str">
        <f>""</f>
        <v/>
      </c>
      <c r="F41" t="str">
        <f>""</f>
        <v/>
      </c>
      <c r="G41" t="str">
        <f>""</f>
        <v/>
      </c>
      <c r="I41" t="str">
        <f t="shared" si="4"/>
        <v>SHREDDING SVCS/ROUTE CONSOLE</v>
      </c>
    </row>
    <row r="42" spans="1:9" x14ac:dyDescent="0.3">
      <c r="A42" t="str">
        <f>""</f>
        <v/>
      </c>
      <c r="F42" t="str">
        <f>"624086"</f>
        <v>624086</v>
      </c>
      <c r="G42" t="str">
        <f>"SHREDDING/PURGE:FIRST BIN TIP"</f>
        <v>SHREDDING/PURGE:FIRST BIN TIP</v>
      </c>
      <c r="H42" s="2">
        <v>79</v>
      </c>
      <c r="I42" t="str">
        <f t="shared" ref="I42:I48" si="5">"SHREDDING/PURGE:FIRST BIN TIP"</f>
        <v>SHREDDING/PURGE:FIRST BIN TIP</v>
      </c>
    </row>
    <row r="43" spans="1:9" x14ac:dyDescent="0.3">
      <c r="A43" t="str">
        <f>""</f>
        <v/>
      </c>
      <c r="F43" t="str">
        <f>""</f>
        <v/>
      </c>
      <c r="G43" t="str">
        <f>""</f>
        <v/>
      </c>
      <c r="I43" t="str">
        <f t="shared" si="5"/>
        <v>SHREDDING/PURGE:FIRST BIN TIP</v>
      </c>
    </row>
    <row r="44" spans="1:9" x14ac:dyDescent="0.3">
      <c r="A44" t="str">
        <f>""</f>
        <v/>
      </c>
      <c r="F44" t="str">
        <f>""</f>
        <v/>
      </c>
      <c r="G44" t="str">
        <f>""</f>
        <v/>
      </c>
      <c r="I44" t="str">
        <f t="shared" si="5"/>
        <v>SHREDDING/PURGE:FIRST BIN TIP</v>
      </c>
    </row>
    <row r="45" spans="1:9" x14ac:dyDescent="0.3">
      <c r="A45" t="str">
        <f>""</f>
        <v/>
      </c>
      <c r="F45" t="str">
        <f>""</f>
        <v/>
      </c>
      <c r="G45" t="str">
        <f>""</f>
        <v/>
      </c>
      <c r="I45" t="str">
        <f t="shared" si="5"/>
        <v>SHREDDING/PURGE:FIRST BIN TIP</v>
      </c>
    </row>
    <row r="46" spans="1:9" x14ac:dyDescent="0.3">
      <c r="A46" t="str">
        <f>""</f>
        <v/>
      </c>
      <c r="F46" t="str">
        <f>""</f>
        <v/>
      </c>
      <c r="G46" t="str">
        <f>""</f>
        <v/>
      </c>
      <c r="I46" t="str">
        <f t="shared" si="5"/>
        <v>SHREDDING/PURGE:FIRST BIN TIP</v>
      </c>
    </row>
    <row r="47" spans="1:9" x14ac:dyDescent="0.3">
      <c r="A47" t="str">
        <f>""</f>
        <v/>
      </c>
      <c r="F47" t="str">
        <f>""</f>
        <v/>
      </c>
      <c r="G47" t="str">
        <f>""</f>
        <v/>
      </c>
      <c r="I47" t="str">
        <f t="shared" si="5"/>
        <v>SHREDDING/PURGE:FIRST BIN TIP</v>
      </c>
    </row>
    <row r="48" spans="1:9" x14ac:dyDescent="0.3">
      <c r="A48" t="str">
        <f>""</f>
        <v/>
      </c>
      <c r="F48" t="str">
        <f>""</f>
        <v/>
      </c>
      <c r="G48" t="str">
        <f>""</f>
        <v/>
      </c>
      <c r="I48" t="str">
        <f t="shared" si="5"/>
        <v>SHREDDING/PURGE:FIRST BIN TIP</v>
      </c>
    </row>
    <row r="49" spans="1:9" x14ac:dyDescent="0.3">
      <c r="A49" t="str">
        <f>""</f>
        <v/>
      </c>
      <c r="F49" t="str">
        <f>"627537"</f>
        <v>627537</v>
      </c>
      <c r="G49" t="str">
        <f>"SHREDDING SVCS/ROUTE:CONSOLE"</f>
        <v>SHREDDING SVCS/ROUTE:CONSOLE</v>
      </c>
      <c r="H49" s="2">
        <v>103</v>
      </c>
      <c r="I49" t="str">
        <f t="shared" ref="I49:I69" si="6">"SHREDDING SVCS/ROUTE:CONSOLE"</f>
        <v>SHREDDING SVCS/ROUTE:CONSOLE</v>
      </c>
    </row>
    <row r="50" spans="1:9" x14ac:dyDescent="0.3">
      <c r="A50" t="str">
        <f>""</f>
        <v/>
      </c>
      <c r="F50" t="str">
        <f>""</f>
        <v/>
      </c>
      <c r="G50" t="str">
        <f>""</f>
        <v/>
      </c>
      <c r="I50" t="str">
        <f t="shared" si="6"/>
        <v>SHREDDING SVCS/ROUTE:CONSOLE</v>
      </c>
    </row>
    <row r="51" spans="1:9" x14ac:dyDescent="0.3">
      <c r="A51" t="str">
        <f>""</f>
        <v/>
      </c>
      <c r="F51" t="str">
        <f>""</f>
        <v/>
      </c>
      <c r="G51" t="str">
        <f>""</f>
        <v/>
      </c>
      <c r="I51" t="str">
        <f t="shared" si="6"/>
        <v>SHREDDING SVCS/ROUTE:CONSOLE</v>
      </c>
    </row>
    <row r="52" spans="1:9" x14ac:dyDescent="0.3">
      <c r="A52" t="str">
        <f>""</f>
        <v/>
      </c>
      <c r="F52" t="str">
        <f>""</f>
        <v/>
      </c>
      <c r="G52" t="str">
        <f>""</f>
        <v/>
      </c>
      <c r="I52" t="str">
        <f t="shared" si="6"/>
        <v>SHREDDING SVCS/ROUTE:CONSOLE</v>
      </c>
    </row>
    <row r="53" spans="1:9" x14ac:dyDescent="0.3">
      <c r="A53" t="str">
        <f>""</f>
        <v/>
      </c>
      <c r="F53" t="str">
        <f>""</f>
        <v/>
      </c>
      <c r="G53" t="str">
        <f>""</f>
        <v/>
      </c>
      <c r="I53" t="str">
        <f t="shared" si="6"/>
        <v>SHREDDING SVCS/ROUTE:CONSOLE</v>
      </c>
    </row>
    <row r="54" spans="1:9" x14ac:dyDescent="0.3">
      <c r="A54" t="str">
        <f>""</f>
        <v/>
      </c>
      <c r="F54" t="str">
        <f>""</f>
        <v/>
      </c>
      <c r="G54" t="str">
        <f>""</f>
        <v/>
      </c>
      <c r="I54" t="str">
        <f t="shared" si="6"/>
        <v>SHREDDING SVCS/ROUTE:CONSOLE</v>
      </c>
    </row>
    <row r="55" spans="1:9" x14ac:dyDescent="0.3">
      <c r="A55" t="str">
        <f>""</f>
        <v/>
      </c>
      <c r="F55" t="str">
        <f>""</f>
        <v/>
      </c>
      <c r="G55" t="str">
        <f>""</f>
        <v/>
      </c>
      <c r="I55" t="str">
        <f t="shared" si="6"/>
        <v>SHREDDING SVCS/ROUTE:CONSOLE</v>
      </c>
    </row>
    <row r="56" spans="1:9" x14ac:dyDescent="0.3">
      <c r="A56" t="str">
        <f>""</f>
        <v/>
      </c>
      <c r="F56" t="str">
        <f>"633935"</f>
        <v>633935</v>
      </c>
      <c r="G56" t="str">
        <f>"SHREDDING SVCS/ROUTE:CONSOLE"</f>
        <v>SHREDDING SVCS/ROUTE:CONSOLE</v>
      </c>
      <c r="H56" s="2">
        <v>103</v>
      </c>
      <c r="I56" t="str">
        <f t="shared" si="6"/>
        <v>SHREDDING SVCS/ROUTE:CONSOLE</v>
      </c>
    </row>
    <row r="57" spans="1:9" x14ac:dyDescent="0.3">
      <c r="A57" t="str">
        <f>""</f>
        <v/>
      </c>
      <c r="F57" t="str">
        <f>""</f>
        <v/>
      </c>
      <c r="G57" t="str">
        <f>""</f>
        <v/>
      </c>
      <c r="I57" t="str">
        <f t="shared" si="6"/>
        <v>SHREDDING SVCS/ROUTE:CONSOLE</v>
      </c>
    </row>
    <row r="58" spans="1:9" x14ac:dyDescent="0.3">
      <c r="A58" t="str">
        <f>""</f>
        <v/>
      </c>
      <c r="F58" t="str">
        <f>""</f>
        <v/>
      </c>
      <c r="G58" t="str">
        <f>""</f>
        <v/>
      </c>
      <c r="I58" t="str">
        <f t="shared" si="6"/>
        <v>SHREDDING SVCS/ROUTE:CONSOLE</v>
      </c>
    </row>
    <row r="59" spans="1:9" x14ac:dyDescent="0.3">
      <c r="A59" t="str">
        <f>""</f>
        <v/>
      </c>
      <c r="F59" t="str">
        <f>""</f>
        <v/>
      </c>
      <c r="G59" t="str">
        <f>""</f>
        <v/>
      </c>
      <c r="I59" t="str">
        <f t="shared" si="6"/>
        <v>SHREDDING SVCS/ROUTE:CONSOLE</v>
      </c>
    </row>
    <row r="60" spans="1:9" x14ac:dyDescent="0.3">
      <c r="A60" t="str">
        <f>""</f>
        <v/>
      </c>
      <c r="F60" t="str">
        <f>""</f>
        <v/>
      </c>
      <c r="G60" t="str">
        <f>""</f>
        <v/>
      </c>
      <c r="I60" t="str">
        <f t="shared" si="6"/>
        <v>SHREDDING SVCS/ROUTE:CONSOLE</v>
      </c>
    </row>
    <row r="61" spans="1:9" x14ac:dyDescent="0.3">
      <c r="A61" t="str">
        <f>""</f>
        <v/>
      </c>
      <c r="F61" t="str">
        <f>""</f>
        <v/>
      </c>
      <c r="G61" t="str">
        <f>""</f>
        <v/>
      </c>
      <c r="I61" t="str">
        <f t="shared" si="6"/>
        <v>SHREDDING SVCS/ROUTE:CONSOLE</v>
      </c>
    </row>
    <row r="62" spans="1:9" x14ac:dyDescent="0.3">
      <c r="A62" t="str">
        <f>""</f>
        <v/>
      </c>
      <c r="F62" t="str">
        <f>""</f>
        <v/>
      </c>
      <c r="G62" t="str">
        <f>""</f>
        <v/>
      </c>
      <c r="I62" t="str">
        <f t="shared" si="6"/>
        <v>SHREDDING SVCS/ROUTE:CONSOLE</v>
      </c>
    </row>
    <row r="63" spans="1:9" x14ac:dyDescent="0.3">
      <c r="A63" t="str">
        <f>""</f>
        <v/>
      </c>
      <c r="F63" t="str">
        <f>"640334"</f>
        <v>640334</v>
      </c>
      <c r="G63" t="str">
        <f>"SHREDDING SVCS/ROUTE:CONSOLE"</f>
        <v>SHREDDING SVCS/ROUTE:CONSOLE</v>
      </c>
      <c r="H63" s="2">
        <v>103</v>
      </c>
      <c r="I63" t="str">
        <f t="shared" si="6"/>
        <v>SHREDDING SVCS/ROUTE:CONSOLE</v>
      </c>
    </row>
    <row r="64" spans="1:9" x14ac:dyDescent="0.3">
      <c r="A64" t="str">
        <f>""</f>
        <v/>
      </c>
      <c r="F64" t="str">
        <f>""</f>
        <v/>
      </c>
      <c r="G64" t="str">
        <f>""</f>
        <v/>
      </c>
      <c r="I64" t="str">
        <f t="shared" si="6"/>
        <v>SHREDDING SVCS/ROUTE:CONSOLE</v>
      </c>
    </row>
    <row r="65" spans="1:9" x14ac:dyDescent="0.3">
      <c r="A65" t="str">
        <f>""</f>
        <v/>
      </c>
      <c r="F65" t="str">
        <f>""</f>
        <v/>
      </c>
      <c r="G65" t="str">
        <f>""</f>
        <v/>
      </c>
      <c r="I65" t="str">
        <f t="shared" si="6"/>
        <v>SHREDDING SVCS/ROUTE:CONSOLE</v>
      </c>
    </row>
    <row r="66" spans="1:9" x14ac:dyDescent="0.3">
      <c r="A66" t="str">
        <f>""</f>
        <v/>
      </c>
      <c r="F66" t="str">
        <f>""</f>
        <v/>
      </c>
      <c r="G66" t="str">
        <f>""</f>
        <v/>
      </c>
      <c r="I66" t="str">
        <f t="shared" si="6"/>
        <v>SHREDDING SVCS/ROUTE:CONSOLE</v>
      </c>
    </row>
    <row r="67" spans="1:9" x14ac:dyDescent="0.3">
      <c r="A67" t="str">
        <f>""</f>
        <v/>
      </c>
      <c r="F67" t="str">
        <f>""</f>
        <v/>
      </c>
      <c r="G67" t="str">
        <f>""</f>
        <v/>
      </c>
      <c r="I67" t="str">
        <f t="shared" si="6"/>
        <v>SHREDDING SVCS/ROUTE:CONSOLE</v>
      </c>
    </row>
    <row r="68" spans="1:9" x14ac:dyDescent="0.3">
      <c r="A68" t="str">
        <f>""</f>
        <v/>
      </c>
      <c r="F68" t="str">
        <f>""</f>
        <v/>
      </c>
      <c r="G68" t="str">
        <f>""</f>
        <v/>
      </c>
      <c r="I68" t="str">
        <f t="shared" si="6"/>
        <v>SHREDDING SVCS/ROUTE:CONSOLE</v>
      </c>
    </row>
    <row r="69" spans="1:9" x14ac:dyDescent="0.3">
      <c r="A69" t="str">
        <f>""</f>
        <v/>
      </c>
      <c r="F69" t="str">
        <f>""</f>
        <v/>
      </c>
      <c r="G69" t="str">
        <f>""</f>
        <v/>
      </c>
      <c r="I69" t="str">
        <f t="shared" si="6"/>
        <v>SHREDDING SVCS/ROUTE:CONSOLE</v>
      </c>
    </row>
    <row r="70" spans="1:9" x14ac:dyDescent="0.3">
      <c r="A70" t="str">
        <f>""</f>
        <v/>
      </c>
      <c r="F70" t="str">
        <f>"730952"</f>
        <v>730952</v>
      </c>
      <c r="G70" t="str">
        <f>"SHREDDING SVCS"</f>
        <v>SHREDDING SVCS</v>
      </c>
      <c r="H70" s="2">
        <v>103</v>
      </c>
      <c r="I70" t="str">
        <f t="shared" ref="I70:I76" si="7">"SHREDDING SVCS"</f>
        <v>SHREDDING SVCS</v>
      </c>
    </row>
    <row r="71" spans="1:9" x14ac:dyDescent="0.3">
      <c r="A71" t="str">
        <f>""</f>
        <v/>
      </c>
      <c r="F71" t="str">
        <f>""</f>
        <v/>
      </c>
      <c r="G71" t="str">
        <f>""</f>
        <v/>
      </c>
      <c r="I71" t="str">
        <f t="shared" si="7"/>
        <v>SHREDDING SVCS</v>
      </c>
    </row>
    <row r="72" spans="1:9" x14ac:dyDescent="0.3">
      <c r="A72" t="str">
        <f>""</f>
        <v/>
      </c>
      <c r="F72" t="str">
        <f>""</f>
        <v/>
      </c>
      <c r="G72" t="str">
        <f>""</f>
        <v/>
      </c>
      <c r="I72" t="str">
        <f t="shared" si="7"/>
        <v>SHREDDING SVCS</v>
      </c>
    </row>
    <row r="73" spans="1:9" x14ac:dyDescent="0.3">
      <c r="A73" t="str">
        <f>""</f>
        <v/>
      </c>
      <c r="F73" t="str">
        <f>""</f>
        <v/>
      </c>
      <c r="G73" t="str">
        <f>""</f>
        <v/>
      </c>
      <c r="I73" t="str">
        <f t="shared" si="7"/>
        <v>SHREDDING SVCS</v>
      </c>
    </row>
    <row r="74" spans="1:9" x14ac:dyDescent="0.3">
      <c r="A74" t="str">
        <f>""</f>
        <v/>
      </c>
      <c r="F74" t="str">
        <f>""</f>
        <v/>
      </c>
      <c r="G74" t="str">
        <f>""</f>
        <v/>
      </c>
      <c r="I74" t="str">
        <f t="shared" si="7"/>
        <v>SHREDDING SVCS</v>
      </c>
    </row>
    <row r="75" spans="1:9" x14ac:dyDescent="0.3">
      <c r="A75" t="str">
        <f>""</f>
        <v/>
      </c>
      <c r="F75" t="str">
        <f>""</f>
        <v/>
      </c>
      <c r="G75" t="str">
        <f>""</f>
        <v/>
      </c>
      <c r="I75" t="str">
        <f t="shared" si="7"/>
        <v>SHREDDING SVCS</v>
      </c>
    </row>
    <row r="76" spans="1:9" x14ac:dyDescent="0.3">
      <c r="A76" t="str">
        <f>""</f>
        <v/>
      </c>
      <c r="F76" t="str">
        <f>""</f>
        <v/>
      </c>
      <c r="G76" t="str">
        <f>""</f>
        <v/>
      </c>
      <c r="I76" t="str">
        <f t="shared" si="7"/>
        <v>SHREDDING SVCS</v>
      </c>
    </row>
    <row r="77" spans="1:9" x14ac:dyDescent="0.3">
      <c r="A77" t="str">
        <f>""</f>
        <v/>
      </c>
      <c r="F77" t="str">
        <f>"731201"</f>
        <v>731201</v>
      </c>
      <c r="G77" t="str">
        <f>"INV 731201"</f>
        <v>INV 731201</v>
      </c>
      <c r="H77" s="2">
        <v>122</v>
      </c>
      <c r="I77" t="str">
        <f>"INV 731201"</f>
        <v>INV 731201</v>
      </c>
    </row>
    <row r="78" spans="1:9" x14ac:dyDescent="0.3">
      <c r="A78" t="str">
        <f>""</f>
        <v/>
      </c>
      <c r="F78" t="str">
        <f>""</f>
        <v/>
      </c>
      <c r="G78" t="str">
        <f>""</f>
        <v/>
      </c>
      <c r="I78" t="str">
        <f>"INV 731201"</f>
        <v>INV 731201</v>
      </c>
    </row>
    <row r="79" spans="1:9" x14ac:dyDescent="0.3">
      <c r="A79" t="str">
        <f>""</f>
        <v/>
      </c>
      <c r="F79" t="str">
        <f>"731202"</f>
        <v>731202</v>
      </c>
      <c r="G79" t="str">
        <f>"SHREDDING SVCS/TAX OFFICE"</f>
        <v>SHREDDING SVCS/TAX OFFICE</v>
      </c>
      <c r="H79" s="2">
        <v>51.5</v>
      </c>
      <c r="I79" t="str">
        <f>"SHREDDING SVCS/TAX OFFICE"</f>
        <v>SHREDDING SVCS/TAX OFFICE</v>
      </c>
    </row>
    <row r="80" spans="1:9" x14ac:dyDescent="0.3">
      <c r="A80" t="str">
        <f>"ALINE"</f>
        <v>ALINE</v>
      </c>
      <c r="B80" t="s">
        <v>11</v>
      </c>
      <c r="C80">
        <v>73177</v>
      </c>
      <c r="D80" s="2">
        <v>96.85</v>
      </c>
      <c r="E80" s="1">
        <v>43031</v>
      </c>
      <c r="F80" t="str">
        <f>"STATEMENT#278731"</f>
        <v>STATEMENT#278731</v>
      </c>
      <c r="G80" t="str">
        <f>"CUST#16500/PCT#4"</f>
        <v>CUST#16500/PCT#4</v>
      </c>
      <c r="H80" s="2">
        <v>96.85</v>
      </c>
      <c r="I80" t="str">
        <f>"CUST#16500/PCT#4"</f>
        <v>CUST#16500/PCT#4</v>
      </c>
    </row>
    <row r="81" spans="1:9" x14ac:dyDescent="0.3">
      <c r="A81" t="str">
        <f>"002048"</f>
        <v>002048</v>
      </c>
      <c r="B81" t="s">
        <v>12</v>
      </c>
      <c r="C81">
        <v>999999</v>
      </c>
      <c r="D81" s="2">
        <v>6944.5</v>
      </c>
      <c r="E81" s="1">
        <v>43019</v>
      </c>
      <c r="F81" t="str">
        <f>"201710035252"</f>
        <v>201710035252</v>
      </c>
      <c r="G81" t="str">
        <f>"HAULING 9/18/17-10/2/17"</f>
        <v>HAULING 9/18/17-10/2/17</v>
      </c>
      <c r="H81" s="2">
        <v>4000.33</v>
      </c>
      <c r="I81" t="str">
        <f>"HAULING 9/18/17-10/2/17"</f>
        <v>HAULING 9/18/17-10/2/17</v>
      </c>
    </row>
    <row r="82" spans="1:9" x14ac:dyDescent="0.3">
      <c r="A82" t="str">
        <f>""</f>
        <v/>
      </c>
      <c r="F82" t="str">
        <f>"201710035254"</f>
        <v>201710035254</v>
      </c>
      <c r="G82" t="str">
        <f>"HAULING 9/18/17-9/29/17/PCT#4"</f>
        <v>HAULING 9/18/17-9/29/17/PCT#4</v>
      </c>
      <c r="H82" s="2">
        <v>2944.17</v>
      </c>
      <c r="I82" t="str">
        <f>"HAULING 9/18/17-9/29/17/PCT#4"</f>
        <v>HAULING 9/18/17-9/29/17/PCT#4</v>
      </c>
    </row>
    <row r="83" spans="1:9" x14ac:dyDescent="0.3">
      <c r="A83" t="str">
        <f>"002048"</f>
        <v>002048</v>
      </c>
      <c r="B83" t="s">
        <v>12</v>
      </c>
      <c r="C83">
        <v>999999</v>
      </c>
      <c r="D83" s="2">
        <v>6379.64</v>
      </c>
      <c r="E83" s="1">
        <v>43032</v>
      </c>
      <c r="F83" t="str">
        <f>"201710175731"</f>
        <v>201710175731</v>
      </c>
      <c r="G83" t="str">
        <f>"HAULING EXP-10/3-10/11/17/PCT1"</f>
        <v>HAULING EXP-10/3-10/11/17/PCT1</v>
      </c>
      <c r="H83" s="2">
        <v>4017.22</v>
      </c>
      <c r="I83" t="str">
        <f>"HAULING EXP-10/3-10/11/17/PCT1"</f>
        <v>HAULING EXP-10/3-10/11/17/PCT1</v>
      </c>
    </row>
    <row r="84" spans="1:9" x14ac:dyDescent="0.3">
      <c r="A84" t="str">
        <f>""</f>
        <v/>
      </c>
      <c r="F84" t="str">
        <f>"201710175742"</f>
        <v>201710175742</v>
      </c>
      <c r="G84" t="str">
        <f>"HAULING EXPENSE 10/3-10/11/17"</f>
        <v>HAULING EXPENSE 10/3-10/11/17</v>
      </c>
      <c r="H84" s="2">
        <v>2362.42</v>
      </c>
      <c r="I84" t="str">
        <f>"HAULING EXPENSE 10/3-10/11/17"</f>
        <v>HAULING EXPENSE 10/3-10/11/17</v>
      </c>
    </row>
    <row r="85" spans="1:9" x14ac:dyDescent="0.3">
      <c r="A85" t="str">
        <f>"005247"</f>
        <v>005247</v>
      </c>
      <c r="B85" t="s">
        <v>13</v>
      </c>
      <c r="C85">
        <v>999999</v>
      </c>
      <c r="D85" s="2">
        <v>2600</v>
      </c>
      <c r="E85" s="1">
        <v>43032</v>
      </c>
      <c r="F85" t="str">
        <f>"000021 000023"</f>
        <v>000021 000023</v>
      </c>
      <c r="G85" t="str">
        <f>"Inv# 000021 &amp; 000023"</f>
        <v>Inv# 000021 &amp; 000023</v>
      </c>
      <c r="H85" s="2">
        <v>2600</v>
      </c>
      <c r="I85" t="str">
        <f>"Inv# 000021"</f>
        <v>Inv# 000021</v>
      </c>
    </row>
    <row r="86" spans="1:9" x14ac:dyDescent="0.3">
      <c r="A86" t="str">
        <f>""</f>
        <v/>
      </c>
      <c r="F86" t="str">
        <f>""</f>
        <v/>
      </c>
      <c r="G86" t="str">
        <f>""</f>
        <v/>
      </c>
      <c r="I86" t="str">
        <f>"Inv# 000023"</f>
        <v>Inv# 000023</v>
      </c>
    </row>
    <row r="87" spans="1:9" x14ac:dyDescent="0.3">
      <c r="A87" t="str">
        <f>"000954"</f>
        <v>000954</v>
      </c>
      <c r="B87" t="s">
        <v>14</v>
      </c>
      <c r="C87">
        <v>72917</v>
      </c>
      <c r="D87" s="2">
        <v>610</v>
      </c>
      <c r="E87" s="1">
        <v>43018</v>
      </c>
      <c r="F87" t="str">
        <f>"201710045289"</f>
        <v>201710045289</v>
      </c>
      <c r="G87" t="str">
        <f>"16-18062"</f>
        <v>16-18062</v>
      </c>
      <c r="H87" s="2">
        <v>100</v>
      </c>
      <c r="I87" t="str">
        <f>"16-18062"</f>
        <v>16-18062</v>
      </c>
    </row>
    <row r="88" spans="1:9" x14ac:dyDescent="0.3">
      <c r="A88" t="str">
        <f>""</f>
        <v/>
      </c>
      <c r="F88" t="str">
        <f>"201710045290"</f>
        <v>201710045290</v>
      </c>
      <c r="G88" t="str">
        <f>"15-17277"</f>
        <v>15-17277</v>
      </c>
      <c r="H88" s="2">
        <v>100</v>
      </c>
      <c r="I88" t="str">
        <f>"15-17277"</f>
        <v>15-17277</v>
      </c>
    </row>
    <row r="89" spans="1:9" x14ac:dyDescent="0.3">
      <c r="A89" t="str">
        <f>""</f>
        <v/>
      </c>
      <c r="F89" t="str">
        <f>"201710045291"</f>
        <v>201710045291</v>
      </c>
      <c r="G89" t="str">
        <f>"16-17760"</f>
        <v>16-17760</v>
      </c>
      <c r="H89" s="2">
        <v>122.5</v>
      </c>
      <c r="I89" t="str">
        <f>"16-17760"</f>
        <v>16-17760</v>
      </c>
    </row>
    <row r="90" spans="1:9" x14ac:dyDescent="0.3">
      <c r="A90" t="str">
        <f>""</f>
        <v/>
      </c>
      <c r="F90" t="str">
        <f>"201710045292"</f>
        <v>201710045292</v>
      </c>
      <c r="G90" t="str">
        <f>"16-17713"</f>
        <v>16-17713</v>
      </c>
      <c r="H90" s="2">
        <v>137.5</v>
      </c>
      <c r="I90" t="str">
        <f>"16-17713"</f>
        <v>16-17713</v>
      </c>
    </row>
    <row r="91" spans="1:9" x14ac:dyDescent="0.3">
      <c r="A91" t="str">
        <f>""</f>
        <v/>
      </c>
      <c r="F91" t="str">
        <f>"201710045293"</f>
        <v>201710045293</v>
      </c>
      <c r="G91" t="str">
        <f>"17-18229"</f>
        <v>17-18229</v>
      </c>
      <c r="H91" s="2">
        <v>75</v>
      </c>
      <c r="I91" t="str">
        <f>"17-18229"</f>
        <v>17-18229</v>
      </c>
    </row>
    <row r="92" spans="1:9" x14ac:dyDescent="0.3">
      <c r="A92" t="str">
        <f>""</f>
        <v/>
      </c>
      <c r="F92" t="str">
        <f>"201710045294"</f>
        <v>201710045294</v>
      </c>
      <c r="G92" t="str">
        <f>"14-16404"</f>
        <v>14-16404</v>
      </c>
      <c r="H92" s="2">
        <v>75</v>
      </c>
      <c r="I92" t="str">
        <f>"14-16404"</f>
        <v>14-16404</v>
      </c>
    </row>
    <row r="93" spans="1:9" x14ac:dyDescent="0.3">
      <c r="A93" t="str">
        <f>"003117"</f>
        <v>003117</v>
      </c>
      <c r="B93" t="s">
        <v>15</v>
      </c>
      <c r="C93">
        <v>72918</v>
      </c>
      <c r="D93" s="2">
        <v>398.18</v>
      </c>
      <c r="E93" s="1">
        <v>43018</v>
      </c>
      <c r="F93" t="str">
        <f>"201709275148"</f>
        <v>201709275148</v>
      </c>
      <c r="G93" t="str">
        <f>"REIMBURSEMENT FOR MARKETING"</f>
        <v>REIMBURSEMENT FOR MARKETING</v>
      </c>
      <c r="H93" s="2">
        <v>398.18</v>
      </c>
      <c r="I93" t="str">
        <f>"REIMBURSEMENT FOR MARKETING"</f>
        <v>REIMBURSEMENT FOR MARKETING</v>
      </c>
    </row>
    <row r="94" spans="1:9" x14ac:dyDescent="0.3">
      <c r="A94" t="str">
        <f>"003117"</f>
        <v>003117</v>
      </c>
      <c r="B94" t="s">
        <v>15</v>
      </c>
      <c r="C94">
        <v>73178</v>
      </c>
      <c r="D94" s="2">
        <v>1798.25</v>
      </c>
      <c r="E94" s="1">
        <v>43031</v>
      </c>
      <c r="F94" t="str">
        <f>"201710175715"</f>
        <v>201710175715</v>
      </c>
      <c r="G94" t="str">
        <f>"REIMBURSE STATE FAIR-HOTEL"</f>
        <v>REIMBURSE STATE FAIR-HOTEL</v>
      </c>
      <c r="H94" s="2">
        <v>773.66</v>
      </c>
      <c r="I94" t="str">
        <f>"REIMBURSE STATE FAIR-HOTEL"</f>
        <v>REIMBURSE STATE FAIR-HOTEL</v>
      </c>
    </row>
    <row r="95" spans="1:9" x14ac:dyDescent="0.3">
      <c r="A95" t="str">
        <f>""</f>
        <v/>
      </c>
      <c r="F95" t="str">
        <f>"201710175716"</f>
        <v>201710175716</v>
      </c>
      <c r="G95" t="str">
        <f>"REIMBURSE MARKETING MATERIALS"</f>
        <v>REIMBURSE MARKETING MATERIALS</v>
      </c>
      <c r="H95" s="2">
        <v>169.03</v>
      </c>
      <c r="I95" t="str">
        <f>"REIMBURSE MARKETING MATERIALS"</f>
        <v>REIMBURSE MARKETING MATERIALS</v>
      </c>
    </row>
    <row r="96" spans="1:9" x14ac:dyDescent="0.3">
      <c r="A96" t="str">
        <f>""</f>
        <v/>
      </c>
      <c r="F96" t="str">
        <f>"201710175717"</f>
        <v>201710175717</v>
      </c>
      <c r="G96" t="str">
        <f>"REIMBURSE-HOTEL/TTIA SUMMIT"</f>
        <v>REIMBURSE-HOTEL/TTIA SUMMIT</v>
      </c>
      <c r="H96" s="2">
        <v>800.56</v>
      </c>
      <c r="I96" t="str">
        <f>"REIMBURSE-HOTEL/TTIA SUMMIT"</f>
        <v>REIMBURSE-HOTEL/TTIA SUMMIT</v>
      </c>
    </row>
    <row r="97" spans="1:9" x14ac:dyDescent="0.3">
      <c r="A97" t="str">
        <f>""</f>
        <v/>
      </c>
      <c r="F97" t="str">
        <f>"201710175730"</f>
        <v>201710175730</v>
      </c>
      <c r="G97" t="str">
        <f>"TRAVEL ADVANCE-ARCIT CONFERENC"</f>
        <v>TRAVEL ADVANCE-ARCIT CONFERENC</v>
      </c>
      <c r="H97" s="2">
        <v>55</v>
      </c>
      <c r="I97" t="str">
        <f>"TRAVEL ADVANCE-ARCIT CONFERENC"</f>
        <v>TRAVEL ADVANCE-ARCIT CONFERENC</v>
      </c>
    </row>
    <row r="98" spans="1:9" x14ac:dyDescent="0.3">
      <c r="A98" t="str">
        <f>"000238"</f>
        <v>000238</v>
      </c>
      <c r="B98" t="s">
        <v>16</v>
      </c>
      <c r="C98">
        <v>72919</v>
      </c>
      <c r="D98" s="2">
        <v>4000</v>
      </c>
      <c r="E98" s="1">
        <v>43018</v>
      </c>
      <c r="F98" t="str">
        <f>"201710045278"</f>
        <v>201710045278</v>
      </c>
      <c r="G98" t="str">
        <f>"CLIENT SVCS AWARD/FY 17-18"</f>
        <v>CLIENT SVCS AWARD/FY 17-18</v>
      </c>
      <c r="H98" s="2">
        <v>4000</v>
      </c>
      <c r="I98" t="str">
        <f>"CLIENT SVCS AWARD"</f>
        <v>CLIENT SVCS AWARD</v>
      </c>
    </row>
    <row r="99" spans="1:9" x14ac:dyDescent="0.3">
      <c r="A99" t="str">
        <f>"KWS"</f>
        <v>KWS</v>
      </c>
      <c r="B99" t="s">
        <v>17</v>
      </c>
      <c r="C99">
        <v>72920</v>
      </c>
      <c r="D99" s="2">
        <v>468.6</v>
      </c>
      <c r="E99" s="1">
        <v>43018</v>
      </c>
      <c r="F99" t="str">
        <f>"9067675806"</f>
        <v>9067675806</v>
      </c>
      <c r="G99" t="str">
        <f>"PAYER#2278443/PCT#2"</f>
        <v>PAYER#2278443/PCT#2</v>
      </c>
      <c r="H99" s="2">
        <v>468.6</v>
      </c>
      <c r="I99" t="str">
        <f>"PAYER#2278443/PCT#2"</f>
        <v>PAYER#2278443/PCT#2</v>
      </c>
    </row>
    <row r="100" spans="1:9" x14ac:dyDescent="0.3">
      <c r="A100" t="str">
        <f>"AG"</f>
        <v>AG</v>
      </c>
      <c r="B100" t="s">
        <v>18</v>
      </c>
      <c r="C100">
        <v>73179</v>
      </c>
      <c r="D100" s="2">
        <v>798.27</v>
      </c>
      <c r="E100" s="1">
        <v>43031</v>
      </c>
      <c r="F100" t="str">
        <f>"5970827"</f>
        <v>5970827</v>
      </c>
      <c r="G100" t="str">
        <f>"Hitch Post"</f>
        <v>Hitch Post</v>
      </c>
      <c r="H100" s="2">
        <v>798.27</v>
      </c>
      <c r="I100" t="str">
        <f>"Part #02958644"</f>
        <v>Part #02958644</v>
      </c>
    </row>
    <row r="101" spans="1:9" x14ac:dyDescent="0.3">
      <c r="A101" t="str">
        <f>"NPP"</f>
        <v>NPP</v>
      </c>
      <c r="B101" t="s">
        <v>19</v>
      </c>
      <c r="C101">
        <v>999999</v>
      </c>
      <c r="D101" s="2">
        <v>800</v>
      </c>
      <c r="E101" s="1">
        <v>43019</v>
      </c>
      <c r="F101" t="str">
        <f>"201709285157"</f>
        <v>201709285157</v>
      </c>
      <c r="G101" t="str">
        <f>"16240"</f>
        <v>16240</v>
      </c>
      <c r="H101" s="2">
        <v>400</v>
      </c>
      <c r="I101" t="str">
        <f>"16240"</f>
        <v>16240</v>
      </c>
    </row>
    <row r="102" spans="1:9" x14ac:dyDescent="0.3">
      <c r="A102" t="str">
        <f>""</f>
        <v/>
      </c>
      <c r="F102" t="str">
        <f>"201709285158"</f>
        <v>201709285158</v>
      </c>
      <c r="G102" t="str">
        <f>"16 278"</f>
        <v>16 278</v>
      </c>
      <c r="H102" s="2">
        <v>400</v>
      </c>
      <c r="I102" t="str">
        <f>"16 278"</f>
        <v>16 278</v>
      </c>
    </row>
    <row r="103" spans="1:9" x14ac:dyDescent="0.3">
      <c r="A103" t="str">
        <f>"002599"</f>
        <v>002599</v>
      </c>
      <c r="B103" t="s">
        <v>20</v>
      </c>
      <c r="C103">
        <v>72921</v>
      </c>
      <c r="D103" s="2">
        <v>391.25</v>
      </c>
      <c r="E103" s="1">
        <v>43018</v>
      </c>
      <c r="F103" t="str">
        <f>"22853-1"</f>
        <v>22853-1</v>
      </c>
      <c r="G103" t="str">
        <f>"CUST#100031/PCT#3"</f>
        <v>CUST#100031/PCT#3</v>
      </c>
      <c r="H103" s="2">
        <v>228.05</v>
      </c>
      <c r="I103" t="str">
        <f>"CUST#100031/PCT#3"</f>
        <v>CUST#100031/PCT#3</v>
      </c>
    </row>
    <row r="104" spans="1:9" x14ac:dyDescent="0.3">
      <c r="A104" t="str">
        <f>""</f>
        <v/>
      </c>
      <c r="F104" t="str">
        <f>"22853-2"</f>
        <v>22853-2</v>
      </c>
      <c r="G104" t="str">
        <f>"CUST#100031/PCT#3/912.819.730"</f>
        <v>CUST#100031/PCT#3/912.819.730</v>
      </c>
      <c r="H104" s="2">
        <v>163.19999999999999</v>
      </c>
      <c r="I104" t="str">
        <f>"CUST#100031/PCT#3/912.819.730"</f>
        <v>CUST#100031/PCT#3/912.819.730</v>
      </c>
    </row>
    <row r="105" spans="1:9" x14ac:dyDescent="0.3">
      <c r="A105" t="str">
        <f>"003296"</f>
        <v>003296</v>
      </c>
      <c r="B105" t="s">
        <v>21</v>
      </c>
      <c r="C105">
        <v>72922</v>
      </c>
      <c r="D105" s="2">
        <v>11568.88</v>
      </c>
      <c r="E105" s="1">
        <v>43018</v>
      </c>
      <c r="F105" t="str">
        <f>"S097242500"</f>
        <v>S097242500</v>
      </c>
      <c r="G105" t="str">
        <f>"CUST#379865/PCT#2"</f>
        <v>CUST#379865/PCT#2</v>
      </c>
      <c r="H105" s="2">
        <v>5098.4799999999996</v>
      </c>
      <c r="I105" t="str">
        <f>"CUST#379865/PCT#2"</f>
        <v>CUST#379865/PCT#2</v>
      </c>
    </row>
    <row r="106" spans="1:9" x14ac:dyDescent="0.3">
      <c r="A106" t="str">
        <f>""</f>
        <v/>
      </c>
      <c r="F106" t="str">
        <f>"S097579347"</f>
        <v>S097579347</v>
      </c>
      <c r="G106" t="str">
        <f>"CUST#379865/PARTS/PCT#2"</f>
        <v>CUST#379865/PARTS/PCT#2</v>
      </c>
      <c r="H106" s="2">
        <v>6470.4</v>
      </c>
      <c r="I106" t="str">
        <f>"CUST#379865/PARTS/PCT#2"</f>
        <v>CUST#379865/PARTS/PCT#2</v>
      </c>
    </row>
    <row r="107" spans="1:9" x14ac:dyDescent="0.3">
      <c r="A107" t="str">
        <f>"002148"</f>
        <v>002148</v>
      </c>
      <c r="B107" t="s">
        <v>22</v>
      </c>
      <c r="C107">
        <v>72923</v>
      </c>
      <c r="D107" s="2">
        <v>3581</v>
      </c>
      <c r="E107" s="1">
        <v>43018</v>
      </c>
      <c r="F107" t="str">
        <f>"925949561"</f>
        <v>925949561</v>
      </c>
      <c r="G107" t="str">
        <f>"INV 925949561"</f>
        <v>INV 925949561</v>
      </c>
      <c r="H107" s="2">
        <v>3581</v>
      </c>
      <c r="I107" t="str">
        <f>"INV 925949561"</f>
        <v>INV 925949561</v>
      </c>
    </row>
    <row r="108" spans="1:9" x14ac:dyDescent="0.3">
      <c r="A108" t="str">
        <f>"T14545"</f>
        <v>T14545</v>
      </c>
      <c r="B108" t="s">
        <v>23</v>
      </c>
      <c r="C108">
        <v>72924</v>
      </c>
      <c r="D108" s="2">
        <v>10438.07</v>
      </c>
      <c r="E108" s="1">
        <v>43018</v>
      </c>
      <c r="F108" t="str">
        <f>"107431"</f>
        <v>107431</v>
      </c>
      <c r="G108" t="str">
        <f>"2017 PRECINCT PC/POSTCARD"</f>
        <v>2017 PRECINCT PC/POSTCARD</v>
      </c>
      <c r="H108" s="2">
        <v>4663.07</v>
      </c>
      <c r="I108" t="str">
        <f>"2017 PRECINCT PC/POSTCARD"</f>
        <v>2017 PRECINCT PC/POSTCARD</v>
      </c>
    </row>
    <row r="109" spans="1:9" x14ac:dyDescent="0.3">
      <c r="A109" t="str">
        <f>""</f>
        <v/>
      </c>
      <c r="F109" t="str">
        <f>"107439"</f>
        <v>107439</v>
      </c>
      <c r="G109" t="str">
        <f>"VR APPS ENGLISH/SPANISH/ELECT"</f>
        <v>VR APPS ENGLISH/SPANISH/ELECT</v>
      </c>
      <c r="H109" s="2">
        <v>5775</v>
      </c>
      <c r="I109" t="str">
        <f>"VR APPS ENGLISH/SPANISH/ELECT"</f>
        <v>VR APPS ENGLISH/SPANISH/ELECT</v>
      </c>
    </row>
    <row r="110" spans="1:9" x14ac:dyDescent="0.3">
      <c r="A110" t="str">
        <f>"T7520"</f>
        <v>T7520</v>
      </c>
      <c r="B110" t="s">
        <v>24</v>
      </c>
      <c r="C110">
        <v>72925</v>
      </c>
      <c r="D110" s="2">
        <v>5710</v>
      </c>
      <c r="E110" s="1">
        <v>43018</v>
      </c>
      <c r="F110" t="str">
        <f>"201709295198"</f>
        <v>201709295198</v>
      </c>
      <c r="G110" t="str">
        <f>"JP1-16S01571"</f>
        <v>JP1-16S01571</v>
      </c>
      <c r="H110" s="2">
        <v>400</v>
      </c>
      <c r="I110" t="str">
        <f>"JP1-16S01571"</f>
        <v>JP1-16S01571</v>
      </c>
    </row>
    <row r="111" spans="1:9" x14ac:dyDescent="0.3">
      <c r="A111" t="str">
        <f>""</f>
        <v/>
      </c>
      <c r="F111" t="str">
        <f>"201709295199"</f>
        <v>201709295199</v>
      </c>
      <c r="G111" t="str">
        <f>"15 347"</f>
        <v>15 347</v>
      </c>
      <c r="H111" s="2">
        <v>400</v>
      </c>
      <c r="I111" t="str">
        <f>"15 347"</f>
        <v>15 347</v>
      </c>
    </row>
    <row r="112" spans="1:9" x14ac:dyDescent="0.3">
      <c r="A112" t="str">
        <f>""</f>
        <v/>
      </c>
      <c r="F112" t="str">
        <f>"201709295200"</f>
        <v>201709295200</v>
      </c>
      <c r="G112" t="str">
        <f>"405145-3M"</f>
        <v>405145-3M</v>
      </c>
      <c r="H112" s="2">
        <v>400</v>
      </c>
      <c r="I112" t="str">
        <f>"405145-3M"</f>
        <v>405145-3M</v>
      </c>
    </row>
    <row r="113" spans="1:9" x14ac:dyDescent="0.3">
      <c r="A113" t="str">
        <f>""</f>
        <v/>
      </c>
      <c r="F113" t="str">
        <f>"201710045295"</f>
        <v>201710045295</v>
      </c>
      <c r="G113" t="str">
        <f>"17-18628"</f>
        <v>17-18628</v>
      </c>
      <c r="H113" s="2">
        <v>100</v>
      </c>
      <c r="I113" t="str">
        <f>"17-18628"</f>
        <v>17-18628</v>
      </c>
    </row>
    <row r="114" spans="1:9" x14ac:dyDescent="0.3">
      <c r="A114" t="str">
        <f>""</f>
        <v/>
      </c>
      <c r="F114" t="str">
        <f>"201710045296"</f>
        <v>201710045296</v>
      </c>
      <c r="G114" t="str">
        <f>"55 133"</f>
        <v>55 133</v>
      </c>
      <c r="H114" s="2">
        <v>250</v>
      </c>
      <c r="I114" t="str">
        <f>"55 133"</f>
        <v>55 133</v>
      </c>
    </row>
    <row r="115" spans="1:9" x14ac:dyDescent="0.3">
      <c r="A115" t="str">
        <f>""</f>
        <v/>
      </c>
      <c r="F115" t="str">
        <f>"201710045297"</f>
        <v>201710045297</v>
      </c>
      <c r="G115" t="str">
        <f>"JP1-16501511A"</f>
        <v>JP1-16501511A</v>
      </c>
      <c r="H115" s="2">
        <v>250</v>
      </c>
      <c r="I115" t="str">
        <f>"JP1-16501511A"</f>
        <v>JP1-16501511A</v>
      </c>
    </row>
    <row r="116" spans="1:9" x14ac:dyDescent="0.3">
      <c r="A116" t="str">
        <f>""</f>
        <v/>
      </c>
      <c r="F116" t="str">
        <f>"201710045298"</f>
        <v>201710045298</v>
      </c>
      <c r="G116" t="str">
        <f>"15-17399"</f>
        <v>15-17399</v>
      </c>
      <c r="H116" s="2">
        <v>452.5</v>
      </c>
      <c r="I116" t="str">
        <f>"15-17399"</f>
        <v>15-17399</v>
      </c>
    </row>
    <row r="117" spans="1:9" x14ac:dyDescent="0.3">
      <c r="A117" t="str">
        <f>""</f>
        <v/>
      </c>
      <c r="F117" t="str">
        <f>"201710045299"</f>
        <v>201710045299</v>
      </c>
      <c r="G117" t="str">
        <f>"17-18392"</f>
        <v>17-18392</v>
      </c>
      <c r="H117" s="2">
        <v>425</v>
      </c>
      <c r="I117" t="str">
        <f>"17-18392"</f>
        <v>17-18392</v>
      </c>
    </row>
    <row r="118" spans="1:9" x14ac:dyDescent="0.3">
      <c r="A118" t="str">
        <f>""</f>
        <v/>
      </c>
      <c r="F118" t="str">
        <f>"201710045300"</f>
        <v>201710045300</v>
      </c>
      <c r="G118" t="str">
        <f>"16-17913"</f>
        <v>16-17913</v>
      </c>
      <c r="H118" s="2">
        <v>537.5</v>
      </c>
      <c r="I118" t="str">
        <f>"16-17913"</f>
        <v>16-17913</v>
      </c>
    </row>
    <row r="119" spans="1:9" x14ac:dyDescent="0.3">
      <c r="A119" t="str">
        <f>""</f>
        <v/>
      </c>
      <c r="F119" t="str">
        <f>"201710045301"</f>
        <v>201710045301</v>
      </c>
      <c r="G119" t="str">
        <f>"16-17944"</f>
        <v>16-17944</v>
      </c>
      <c r="H119" s="2">
        <v>1197.5</v>
      </c>
      <c r="I119" t="str">
        <f>"16-17944"</f>
        <v>16-17944</v>
      </c>
    </row>
    <row r="120" spans="1:9" x14ac:dyDescent="0.3">
      <c r="A120" t="str">
        <f>""</f>
        <v/>
      </c>
      <c r="F120" t="str">
        <f>"201710045302"</f>
        <v>201710045302</v>
      </c>
      <c r="G120" t="str">
        <f>"16-18045"</f>
        <v>16-18045</v>
      </c>
      <c r="H120" s="2">
        <v>160</v>
      </c>
      <c r="I120" t="str">
        <f>"16-18045"</f>
        <v>16-18045</v>
      </c>
    </row>
    <row r="121" spans="1:9" x14ac:dyDescent="0.3">
      <c r="A121" t="str">
        <f>""</f>
        <v/>
      </c>
      <c r="F121" t="str">
        <f>"201710045303"</f>
        <v>201710045303</v>
      </c>
      <c r="G121" t="str">
        <f>"17-18535"</f>
        <v>17-18535</v>
      </c>
      <c r="H121" s="2">
        <v>325</v>
      </c>
      <c r="I121" t="str">
        <f>"17-18535"</f>
        <v>17-18535</v>
      </c>
    </row>
    <row r="122" spans="1:9" x14ac:dyDescent="0.3">
      <c r="A122" t="str">
        <f>""</f>
        <v/>
      </c>
      <c r="F122" t="str">
        <f>"201710045304"</f>
        <v>201710045304</v>
      </c>
      <c r="G122" t="str">
        <f>"14-16896"</f>
        <v>14-16896</v>
      </c>
      <c r="H122" s="2">
        <v>235</v>
      </c>
      <c r="I122" t="str">
        <f>"14-16896"</f>
        <v>14-16896</v>
      </c>
    </row>
    <row r="123" spans="1:9" x14ac:dyDescent="0.3">
      <c r="A123" t="str">
        <f>""</f>
        <v/>
      </c>
      <c r="F123" t="str">
        <f>"201710045305"</f>
        <v>201710045305</v>
      </c>
      <c r="G123" t="str">
        <f>"16-17765"</f>
        <v>16-17765</v>
      </c>
      <c r="H123" s="2">
        <v>227.5</v>
      </c>
      <c r="I123" t="str">
        <f>"16-17765"</f>
        <v>16-17765</v>
      </c>
    </row>
    <row r="124" spans="1:9" x14ac:dyDescent="0.3">
      <c r="A124" t="str">
        <f>""</f>
        <v/>
      </c>
      <c r="F124" t="str">
        <f>"201710045306"</f>
        <v>201710045306</v>
      </c>
      <c r="G124" t="str">
        <f>"NO CAUSE # LISTED/S.W. CHILD"</f>
        <v>NO CAUSE # LISTED/S.W. CHILD</v>
      </c>
      <c r="H124" s="2">
        <v>100</v>
      </c>
      <c r="I124" t="str">
        <f>"NO CAUSE # LISTED/S.W. CHILD"</f>
        <v>NO CAUSE # LISTED/S.W. CHILD</v>
      </c>
    </row>
    <row r="125" spans="1:9" x14ac:dyDescent="0.3">
      <c r="A125" t="str">
        <f>""</f>
        <v/>
      </c>
      <c r="F125" t="str">
        <f>"201710045307"</f>
        <v>201710045307</v>
      </c>
      <c r="G125" t="str">
        <f>"J-3088"</f>
        <v>J-3088</v>
      </c>
      <c r="H125" s="2">
        <v>250</v>
      </c>
      <c r="I125" t="str">
        <f>"J-3088"</f>
        <v>J-3088</v>
      </c>
    </row>
    <row r="126" spans="1:9" x14ac:dyDescent="0.3">
      <c r="A126" t="str">
        <f>"T7520"</f>
        <v>T7520</v>
      </c>
      <c r="B126" t="s">
        <v>24</v>
      </c>
      <c r="C126">
        <v>999999</v>
      </c>
      <c r="D126" s="2">
        <v>1322.5</v>
      </c>
      <c r="E126" s="1">
        <v>43032</v>
      </c>
      <c r="F126" t="str">
        <f>"201710135698"</f>
        <v>201710135698</v>
      </c>
      <c r="G126" t="str">
        <f>"16 236"</f>
        <v>16 236</v>
      </c>
      <c r="H126" s="2">
        <v>400</v>
      </c>
      <c r="I126" t="str">
        <f>"16 236"</f>
        <v>16 236</v>
      </c>
    </row>
    <row r="127" spans="1:9" x14ac:dyDescent="0.3">
      <c r="A127" t="str">
        <f>""</f>
        <v/>
      </c>
      <c r="F127" t="str">
        <f>"201710185749"</f>
        <v>201710185749</v>
      </c>
      <c r="G127" t="str">
        <f>"16-17944"</f>
        <v>16-17944</v>
      </c>
      <c r="H127" s="2">
        <v>182.5</v>
      </c>
      <c r="I127" t="str">
        <f>"16-17944"</f>
        <v>16-17944</v>
      </c>
    </row>
    <row r="128" spans="1:9" x14ac:dyDescent="0.3">
      <c r="A128" t="str">
        <f>""</f>
        <v/>
      </c>
      <c r="F128" t="str">
        <f>"201710185750"</f>
        <v>201710185750</v>
      </c>
      <c r="G128" t="str">
        <f>"17-18543"</f>
        <v>17-18543</v>
      </c>
      <c r="H128" s="2">
        <v>265</v>
      </c>
      <c r="I128" t="str">
        <f>"17-18543"</f>
        <v>17-18543</v>
      </c>
    </row>
    <row r="129" spans="1:9" x14ac:dyDescent="0.3">
      <c r="A129" t="str">
        <f>""</f>
        <v/>
      </c>
      <c r="F129" t="str">
        <f>"201710185751"</f>
        <v>201710185751</v>
      </c>
      <c r="G129" t="str">
        <f>"54 514  54 515"</f>
        <v>54 514  54 515</v>
      </c>
      <c r="H129" s="2">
        <v>375</v>
      </c>
      <c r="I129" t="str">
        <f>"54 514  54 515"</f>
        <v>54 514  54 515</v>
      </c>
    </row>
    <row r="130" spans="1:9" x14ac:dyDescent="0.3">
      <c r="A130" t="str">
        <f>""</f>
        <v/>
      </c>
      <c r="F130" t="str">
        <f>"201710185752"</f>
        <v>201710185752</v>
      </c>
      <c r="G130" t="str">
        <f>"17-18614"</f>
        <v>17-18614</v>
      </c>
      <c r="H130" s="2">
        <v>100</v>
      </c>
      <c r="I130" t="str">
        <f>"17-18614"</f>
        <v>17-18614</v>
      </c>
    </row>
    <row r="131" spans="1:9" x14ac:dyDescent="0.3">
      <c r="A131" t="str">
        <f>"AMC"</f>
        <v>AMC</v>
      </c>
      <c r="B131" t="s">
        <v>25</v>
      </c>
      <c r="C131">
        <v>73180</v>
      </c>
      <c r="D131" s="2">
        <v>300.95</v>
      </c>
      <c r="E131" s="1">
        <v>43031</v>
      </c>
      <c r="F131" t="str">
        <f>"A44653"</f>
        <v>A44653</v>
      </c>
      <c r="G131" t="str">
        <f>"PARTS/PCT#3"</f>
        <v>PARTS/PCT#3</v>
      </c>
      <c r="H131" s="2">
        <v>300.95</v>
      </c>
      <c r="I131" t="str">
        <f>"PARTS/PCT#3"</f>
        <v>PARTS/PCT#3</v>
      </c>
    </row>
    <row r="132" spans="1:9" x14ac:dyDescent="0.3">
      <c r="A132" t="str">
        <f>"002661"</f>
        <v>002661</v>
      </c>
      <c r="B132" t="s">
        <v>26</v>
      </c>
      <c r="C132">
        <v>72926</v>
      </c>
      <c r="D132" s="2">
        <v>43.22</v>
      </c>
      <c r="E132" s="1">
        <v>43018</v>
      </c>
      <c r="F132" t="str">
        <f>"201710025224"</f>
        <v>201710025224</v>
      </c>
      <c r="G132" t="str">
        <f>"1709-249849  1709-242129/PCT#2"</f>
        <v>1709-249849  1709-242129/PCT#2</v>
      </c>
      <c r="H132" s="2">
        <v>43.22</v>
      </c>
      <c r="I132" t="str">
        <f>"1709-249849  1709-242129/PCT#2"</f>
        <v>1709-249849  1709-242129/PCT#2</v>
      </c>
    </row>
    <row r="133" spans="1:9" x14ac:dyDescent="0.3">
      <c r="A133" t="str">
        <f>"004902"</f>
        <v>004902</v>
      </c>
      <c r="B133" t="s">
        <v>27</v>
      </c>
      <c r="C133">
        <v>999999</v>
      </c>
      <c r="D133" s="2">
        <v>869.81</v>
      </c>
      <c r="E133" s="1">
        <v>43032</v>
      </c>
      <c r="F133" t="str">
        <f>"201710125597"</f>
        <v>201710125597</v>
      </c>
      <c r="G133" t="str">
        <f>"REIMBURSE-HOTEL/PER DIEM"</f>
        <v>REIMBURSE-HOTEL/PER DIEM</v>
      </c>
      <c r="H133" s="2">
        <v>141.38999999999999</v>
      </c>
      <c r="I133" t="str">
        <f>"REIMBURSE-HOTEL/PER DIEM"</f>
        <v>REIMBURSE-HOTEL/PER DIEM</v>
      </c>
    </row>
    <row r="134" spans="1:9" x14ac:dyDescent="0.3">
      <c r="A134" t="str">
        <f>""</f>
        <v/>
      </c>
      <c r="F134" t="str">
        <f>"201710125598"</f>
        <v>201710125598</v>
      </c>
      <c r="G134" t="str">
        <f>"REIMBURSE-MILEAGE"</f>
        <v>REIMBURSE-MILEAGE</v>
      </c>
      <c r="H134" s="2">
        <v>518.41999999999996</v>
      </c>
      <c r="I134" t="str">
        <f>"REIMBURSE-MILEAGE"</f>
        <v>REIMBURSE-MILEAGE</v>
      </c>
    </row>
    <row r="135" spans="1:9" x14ac:dyDescent="0.3">
      <c r="A135" t="str">
        <f>""</f>
        <v/>
      </c>
      <c r="F135" t="str">
        <f>"201710175700"</f>
        <v>201710175700</v>
      </c>
      <c r="G135" t="str">
        <f>"REIMBURSE-CONFERENCE"</f>
        <v>REIMBURSE-CONFERENCE</v>
      </c>
      <c r="H135" s="2">
        <v>210</v>
      </c>
      <c r="I135" t="str">
        <f>"REIMBURSE-CONFERENCE"</f>
        <v>REIMBURSE-CONFERENCE</v>
      </c>
    </row>
    <row r="136" spans="1:9" x14ac:dyDescent="0.3">
      <c r="A136" t="str">
        <f>"AQUAB"</f>
        <v>AQUAB</v>
      </c>
      <c r="B136" t="s">
        <v>28</v>
      </c>
      <c r="C136">
        <v>72927</v>
      </c>
      <c r="D136" s="2">
        <v>712.29</v>
      </c>
      <c r="E136" s="1">
        <v>43018</v>
      </c>
      <c r="F136" t="str">
        <f>"201710025227"</f>
        <v>201710025227</v>
      </c>
      <c r="G136" t="str">
        <f>"ACCT#011280/COUNTY CLERK"</f>
        <v>ACCT#011280/COUNTY CLERK</v>
      </c>
      <c r="H136" s="2">
        <v>54</v>
      </c>
      <c r="I136" t="str">
        <f>"ACCT#011280/COUNTY CLERK"</f>
        <v>ACCT#011280/COUNTY CLERK</v>
      </c>
    </row>
    <row r="137" spans="1:9" x14ac:dyDescent="0.3">
      <c r="A137" t="str">
        <f>""</f>
        <v/>
      </c>
      <c r="F137" t="str">
        <f>"201710035230"</f>
        <v>201710035230</v>
      </c>
      <c r="G137" t="str">
        <f>"ACCT#010057/AUDITOR"</f>
        <v>ACCT#010057/AUDITOR</v>
      </c>
      <c r="H137" s="2">
        <v>31.5</v>
      </c>
      <c r="I137" t="str">
        <f>"ACCT#010057/AUDITOR"</f>
        <v>ACCT#010057/AUDITOR</v>
      </c>
    </row>
    <row r="138" spans="1:9" x14ac:dyDescent="0.3">
      <c r="A138" t="str">
        <f>""</f>
        <v/>
      </c>
      <c r="F138" t="str">
        <f>"201710035231"</f>
        <v>201710035231</v>
      </c>
      <c r="G138" t="str">
        <f>"ACCT#010238/GENERAL SERVICES"</f>
        <v>ACCT#010238/GENERAL SERVICES</v>
      </c>
      <c r="H138" s="2">
        <v>93.75</v>
      </c>
      <c r="I138" t="str">
        <f>"ACCT#010238/GENERAL SERVICES"</f>
        <v>ACCT#010238/GENERAL SERVICES</v>
      </c>
    </row>
    <row r="139" spans="1:9" x14ac:dyDescent="0.3">
      <c r="A139" t="str">
        <f>""</f>
        <v/>
      </c>
      <c r="F139" t="str">
        <f>"201710035232"</f>
        <v>201710035232</v>
      </c>
      <c r="G139" t="str">
        <f>"ACCT#010311//COUNTY CT AT LAW"</f>
        <v>ACCT#010311//COUNTY CT AT LAW</v>
      </c>
      <c r="H139" s="2">
        <v>4.5</v>
      </c>
      <c r="I139" t="str">
        <f>"ACCT#010311//COUNTY CT AT LAW"</f>
        <v>ACCT#010311//COUNTY CT AT LAW</v>
      </c>
    </row>
    <row r="140" spans="1:9" x14ac:dyDescent="0.3">
      <c r="A140" t="str">
        <f>""</f>
        <v/>
      </c>
      <c r="F140" t="str">
        <f>"201710035233"</f>
        <v>201710035233</v>
      </c>
      <c r="G140" t="str">
        <f>"ACCT#010111/CCAL-BASTROP"</f>
        <v>ACCT#010111/CCAL-BASTROP</v>
      </c>
      <c r="H140" s="2">
        <v>13</v>
      </c>
      <c r="I140" t="str">
        <f>"ACCT#010111/CCAL-BASTROP"</f>
        <v>ACCT#010111/CCAL-BASTROP</v>
      </c>
    </row>
    <row r="141" spans="1:9" x14ac:dyDescent="0.3">
      <c r="A141" t="str">
        <f>""</f>
        <v/>
      </c>
      <c r="F141" t="str">
        <f>"201710035234"</f>
        <v>201710035234</v>
      </c>
      <c r="G141" t="str">
        <f>"ACCT#012571/TREASURER"</f>
        <v>ACCT#012571/TREASURER</v>
      </c>
      <c r="H141" s="2">
        <v>24</v>
      </c>
      <c r="I141" t="str">
        <f>"ACCT#012571/TREASURER"</f>
        <v>ACCT#012571/TREASURER</v>
      </c>
    </row>
    <row r="142" spans="1:9" x14ac:dyDescent="0.3">
      <c r="A142" t="str">
        <f>""</f>
        <v/>
      </c>
      <c r="F142" t="str">
        <f>"201710035235"</f>
        <v>201710035235</v>
      </c>
      <c r="G142" t="str">
        <f>"ACCT#010602/COMMISSIONER'S OFF"</f>
        <v>ACCT#010602/COMMISSIONER'S OFF</v>
      </c>
      <c r="H142" s="2">
        <v>46.5</v>
      </c>
      <c r="I142" t="str">
        <f>"ACCT#010602/COMMISSIONER'S OFF"</f>
        <v>ACCT#010602/COMMISSIONER'S OFF</v>
      </c>
    </row>
    <row r="143" spans="1:9" x14ac:dyDescent="0.3">
      <c r="A143" t="str">
        <f>""</f>
        <v/>
      </c>
      <c r="F143" t="str">
        <f>"201710035236"</f>
        <v>201710035236</v>
      </c>
      <c r="G143" t="str">
        <f>"ACCT#011955/DISTRICT JUDGE"</f>
        <v>ACCT#011955/DISTRICT JUDGE</v>
      </c>
      <c r="H143" s="2">
        <v>63</v>
      </c>
      <c r="I143" t="str">
        <f>"ACCT#011955/DISTRICT JUDGE"</f>
        <v>ACCT#011955/DISTRICT JUDGE</v>
      </c>
    </row>
    <row r="144" spans="1:9" x14ac:dyDescent="0.3">
      <c r="A144" t="str">
        <f>""</f>
        <v/>
      </c>
      <c r="F144" t="str">
        <f>"201710035237"</f>
        <v>201710035237</v>
      </c>
      <c r="G144" t="str">
        <f>"ACCT#012231/DIST JUDGE OFFICE"</f>
        <v>ACCT#012231/DIST JUDGE OFFICE</v>
      </c>
      <c r="H144" s="2">
        <v>10</v>
      </c>
      <c r="I144" t="str">
        <f>"ACCT#012231/DIST JUDGE OFFICE"</f>
        <v>ACCT#012231/DIST JUDGE OFFICE</v>
      </c>
    </row>
    <row r="145" spans="1:9" x14ac:dyDescent="0.3">
      <c r="A145" t="str">
        <f>""</f>
        <v/>
      </c>
      <c r="F145" t="str">
        <f>"201710035244"</f>
        <v>201710035244</v>
      </c>
      <c r="G145" t="str">
        <f>"ACCT#010149/AGRILIFE EXT"</f>
        <v>ACCT#010149/AGRILIFE EXT</v>
      </c>
      <c r="H145" s="2">
        <v>27.84</v>
      </c>
      <c r="I145" t="str">
        <f>"ACCT#010149/AGRILIFE EXT"</f>
        <v>ACCT#010149/AGRILIFE EXT</v>
      </c>
    </row>
    <row r="146" spans="1:9" x14ac:dyDescent="0.3">
      <c r="A146" t="str">
        <f>""</f>
        <v/>
      </c>
      <c r="F146" t="str">
        <f>"201710035245"</f>
        <v>201710035245</v>
      </c>
      <c r="G146" t="str">
        <f>"ACCT#011033/IT DEPT"</f>
        <v>ACCT#011033/IT DEPT</v>
      </c>
      <c r="H146" s="2">
        <v>75</v>
      </c>
      <c r="I146" t="str">
        <f>"ACCT#011033/IT DEPT"</f>
        <v>ACCT#011033/IT DEPT</v>
      </c>
    </row>
    <row r="147" spans="1:9" x14ac:dyDescent="0.3">
      <c r="A147" t="str">
        <f>""</f>
        <v/>
      </c>
      <c r="F147" t="str">
        <f>"201710035248"</f>
        <v>201710035248</v>
      </c>
      <c r="G147" t="str">
        <f>"ACCT#014877/OEM"</f>
        <v>ACCT#014877/OEM</v>
      </c>
      <c r="H147" s="2">
        <v>41.84</v>
      </c>
      <c r="I147" t="str">
        <f>"ACCT#014877/OEM"</f>
        <v>ACCT#014877/OEM</v>
      </c>
    </row>
    <row r="148" spans="1:9" x14ac:dyDescent="0.3">
      <c r="A148" t="str">
        <f>""</f>
        <v/>
      </c>
      <c r="F148" t="str">
        <f>"201710035249"</f>
        <v>201710035249</v>
      </c>
      <c r="G148" t="str">
        <f>"ACCT#011474/ELECTIONS"</f>
        <v>ACCT#011474/ELECTIONS</v>
      </c>
      <c r="H148" s="2">
        <v>40</v>
      </c>
      <c r="I148" t="str">
        <f>"ACCT#011474/ELECTIONS"</f>
        <v>ACCT#011474/ELECTIONS</v>
      </c>
    </row>
    <row r="149" spans="1:9" x14ac:dyDescent="0.3">
      <c r="A149" t="str">
        <f>""</f>
        <v/>
      </c>
      <c r="F149" t="str">
        <f>"201710045259"</f>
        <v>201710045259</v>
      </c>
      <c r="G149" t="str">
        <f>"ACCT#012259/DIST CLERK'S OFF"</f>
        <v>ACCT#012259/DIST CLERK'S OFF</v>
      </c>
      <c r="H149" s="2">
        <v>48</v>
      </c>
      <c r="I149" t="str">
        <f>"ACCT#012259/DIST CLERK'S OFF"</f>
        <v>ACCT#012259/DIST CLERK'S OFF</v>
      </c>
    </row>
    <row r="150" spans="1:9" x14ac:dyDescent="0.3">
      <c r="A150" t="str">
        <f>""</f>
        <v/>
      </c>
      <c r="F150" t="str">
        <f>"201710045260"</f>
        <v>201710045260</v>
      </c>
      <c r="G150" t="str">
        <f>"ACCT#013393/BASTROP CO H.R."</f>
        <v>ACCT#013393/BASTROP CO H.R.</v>
      </c>
      <c r="H150" s="2">
        <v>32.5</v>
      </c>
      <c r="I150" t="str">
        <f>"ACCT#013393/BASTROP CO H.R."</f>
        <v>ACCT#013393/BASTROP CO H.R.</v>
      </c>
    </row>
    <row r="151" spans="1:9" x14ac:dyDescent="0.3">
      <c r="A151" t="str">
        <f>""</f>
        <v/>
      </c>
      <c r="F151" t="str">
        <f>"201710045261"</f>
        <v>201710045261</v>
      </c>
      <c r="G151" t="str">
        <f>"ACCT#015199/BASTROP CO JP #1"</f>
        <v>ACCT#015199/BASTROP CO JP #1</v>
      </c>
      <c r="H151" s="2">
        <v>9</v>
      </c>
      <c r="I151" t="str">
        <f>"ACCT#015199/BASTROP CO JP #1"</f>
        <v>ACCT#015199/BASTROP CO JP #1</v>
      </c>
    </row>
    <row r="152" spans="1:9" x14ac:dyDescent="0.3">
      <c r="A152" t="str">
        <f>""</f>
        <v/>
      </c>
      <c r="F152" t="str">
        <f>"201710045262"</f>
        <v>201710045262</v>
      </c>
      <c r="G152" t="str">
        <f>"ACCT#013789/BASTROP CO"</f>
        <v>ACCT#013789/BASTROP CO</v>
      </c>
      <c r="H152" s="2">
        <v>29.84</v>
      </c>
      <c r="I152" t="str">
        <f>"ACCT#013789/BASTROP CO"</f>
        <v>ACCT#013789/BASTROP CO</v>
      </c>
    </row>
    <row r="153" spans="1:9" x14ac:dyDescent="0.3">
      <c r="A153" t="str">
        <f>""</f>
        <v/>
      </c>
      <c r="F153" t="str">
        <f>"201710045268"</f>
        <v>201710045268</v>
      </c>
      <c r="G153" t="str">
        <f>"ACCT#010835/COMM PCT#1"</f>
        <v>ACCT#010835/COMM PCT#1</v>
      </c>
      <c r="H153" s="2">
        <v>19.18</v>
      </c>
      <c r="I153" t="str">
        <f>"ACCT#010835/COMM PCT#1"</f>
        <v>ACCT#010835/COMM PCT#1</v>
      </c>
    </row>
    <row r="154" spans="1:9" x14ac:dyDescent="0.3">
      <c r="A154" t="str">
        <f>""</f>
        <v/>
      </c>
      <c r="F154" t="str">
        <f>"201710045551"</f>
        <v>201710045551</v>
      </c>
      <c r="G154" t="str">
        <f>"ACCT#014737/ANIMAL SERVICE"</f>
        <v>ACCT#014737/ANIMAL SERVICE</v>
      </c>
      <c r="H154" s="2">
        <v>48.84</v>
      </c>
      <c r="I154" t="str">
        <f>"ACCT#014737/ANIMAL SERVICE"</f>
        <v>ACCT#014737/ANIMAL SERVICE</v>
      </c>
    </row>
    <row r="155" spans="1:9" x14ac:dyDescent="0.3">
      <c r="A155" t="str">
        <f>"AQUAB"</f>
        <v>AQUAB</v>
      </c>
      <c r="B155" t="s">
        <v>28</v>
      </c>
      <c r="C155">
        <v>73181</v>
      </c>
      <c r="D155" s="2">
        <v>128.5</v>
      </c>
      <c r="E155" s="1">
        <v>43031</v>
      </c>
      <c r="F155" t="str">
        <f>"201710125587"</f>
        <v>201710125587</v>
      </c>
      <c r="G155" t="str">
        <f>"ACCT#012803/JUDGE"</f>
        <v>ACCT#012803/JUDGE</v>
      </c>
      <c r="H155" s="2">
        <v>16.5</v>
      </c>
      <c r="I155" t="str">
        <f>"ACCT#012803/JUDGE"</f>
        <v>ACCT#012803/JUDGE</v>
      </c>
    </row>
    <row r="156" spans="1:9" x14ac:dyDescent="0.3">
      <c r="A156" t="str">
        <f>""</f>
        <v/>
      </c>
      <c r="F156" t="str">
        <f>"201710125588"</f>
        <v>201710125588</v>
      </c>
      <c r="G156" t="str">
        <f>"ACCT#012260/DA'S OFFICE"</f>
        <v>ACCT#012260/DA'S OFFICE</v>
      </c>
      <c r="H156" s="2">
        <v>67.5</v>
      </c>
      <c r="I156" t="str">
        <f>"ACCT#012260/DA'S OFFICE"</f>
        <v>ACCT#012260/DA'S OFFICE</v>
      </c>
    </row>
    <row r="157" spans="1:9" x14ac:dyDescent="0.3">
      <c r="A157" t="str">
        <f>""</f>
        <v/>
      </c>
      <c r="F157" t="str">
        <f>"201710125589"</f>
        <v>201710125589</v>
      </c>
      <c r="G157" t="str">
        <f>"ACCT#015538/BASTROP CO ER COMM"</f>
        <v>ACCT#015538/BASTROP CO ER COMM</v>
      </c>
      <c r="H157" s="2">
        <v>44.5</v>
      </c>
      <c r="I157" t="str">
        <f>"ACCT#015538/BASTROP CO ER COMM"</f>
        <v>ACCT#015538/BASTROP CO ER COMM</v>
      </c>
    </row>
    <row r="158" spans="1:9" x14ac:dyDescent="0.3">
      <c r="A158" t="str">
        <f>"AWS"</f>
        <v>AWS</v>
      </c>
      <c r="B158" t="s">
        <v>29</v>
      </c>
      <c r="C158">
        <v>72889</v>
      </c>
      <c r="D158" s="2">
        <v>2113.21</v>
      </c>
      <c r="E158" s="1">
        <v>43014</v>
      </c>
      <c r="F158" t="str">
        <f>"201710065564"</f>
        <v>201710065564</v>
      </c>
      <c r="G158" t="str">
        <f>"ACCT#0401408501/10012017"</f>
        <v>ACCT#0401408501/10012017</v>
      </c>
      <c r="H158" s="2">
        <v>1061.29</v>
      </c>
      <c r="I158" t="str">
        <f>"ACCT#0401408501/10012017"</f>
        <v>ACCT#0401408501/10012017</v>
      </c>
    </row>
    <row r="159" spans="1:9" x14ac:dyDescent="0.3">
      <c r="A159" t="str">
        <f>""</f>
        <v/>
      </c>
      <c r="F159" t="str">
        <f>"201710065565"</f>
        <v>201710065565</v>
      </c>
      <c r="G159" t="str">
        <f>"ACCT#0400785803/10012017"</f>
        <v>ACCT#0400785803/10012017</v>
      </c>
      <c r="H159" s="2">
        <v>140.75</v>
      </c>
      <c r="I159" t="str">
        <f>"ACCT#0400785803/10012017"</f>
        <v>ACCT#0400785803/10012017</v>
      </c>
    </row>
    <row r="160" spans="1:9" x14ac:dyDescent="0.3">
      <c r="A160" t="str">
        <f>""</f>
        <v/>
      </c>
      <c r="F160" t="str">
        <f>"201710065566"</f>
        <v>201710065566</v>
      </c>
      <c r="G160" t="str">
        <f>"ACCT#0201891401/10012017"</f>
        <v>ACCT#0201891401/10012017</v>
      </c>
      <c r="H160" s="2">
        <v>182.68</v>
      </c>
      <c r="I160" t="str">
        <f>"ACCT#0201891401/10012017"</f>
        <v>ACCT#0201891401/10012017</v>
      </c>
    </row>
    <row r="161" spans="1:9" x14ac:dyDescent="0.3">
      <c r="A161" t="str">
        <f>""</f>
        <v/>
      </c>
      <c r="F161" t="str">
        <f>"201710065567"</f>
        <v>201710065567</v>
      </c>
      <c r="G161" t="str">
        <f>"ACCT#0201855301/10012017"</f>
        <v>ACCT#0201855301/10012017</v>
      </c>
      <c r="H161" s="2">
        <v>36.880000000000003</v>
      </c>
      <c r="I161" t="str">
        <f>"ACCT#0201855301/10012017"</f>
        <v>ACCT#0201855301/10012017</v>
      </c>
    </row>
    <row r="162" spans="1:9" x14ac:dyDescent="0.3">
      <c r="A162" t="str">
        <f>""</f>
        <v/>
      </c>
      <c r="F162" t="str">
        <f>"201710065568"</f>
        <v>201710065568</v>
      </c>
      <c r="G162" t="str">
        <f>"ACCT#0102120801/10012017"</f>
        <v>ACCT#0102120801/10012017</v>
      </c>
      <c r="H162" s="2">
        <v>649.30999999999995</v>
      </c>
      <c r="I162" t="str">
        <f>"ACCT#0102120801/10012017"</f>
        <v>ACCT#0102120801/10012017</v>
      </c>
    </row>
    <row r="163" spans="1:9" x14ac:dyDescent="0.3">
      <c r="A163" t="str">
        <f>""</f>
        <v/>
      </c>
      <c r="F163" t="str">
        <f>"201710065569"</f>
        <v>201710065569</v>
      </c>
      <c r="G163" t="str">
        <f>"ACCT#0800042801/10012017"</f>
        <v>ACCT#0800042801/10012017</v>
      </c>
      <c r="H163" s="2">
        <v>42.3</v>
      </c>
      <c r="I163" t="str">
        <f>"ACCT#0800042801/10012017"</f>
        <v>ACCT#0800042801/10012017</v>
      </c>
    </row>
    <row r="164" spans="1:9" x14ac:dyDescent="0.3">
      <c r="A164" t="str">
        <f>"AWS"</f>
        <v>AWS</v>
      </c>
      <c r="B164" t="s">
        <v>29</v>
      </c>
      <c r="C164">
        <v>73182</v>
      </c>
      <c r="D164" s="2">
        <v>1609.25</v>
      </c>
      <c r="E164" s="1">
        <v>43031</v>
      </c>
      <c r="F164" t="str">
        <f>"201710175718"</f>
        <v>201710175718</v>
      </c>
      <c r="G164" t="str">
        <f>"ACCT#7700010025/5 LDS OF WATER"</f>
        <v>ACCT#7700010025/5 LDS OF WATER</v>
      </c>
      <c r="H164" s="2">
        <v>51.25</v>
      </c>
      <c r="I164" t="str">
        <f>"ACCT#7700010025/5 LDS OF WATER"</f>
        <v>ACCT#7700010025/5 LDS OF WATER</v>
      </c>
    </row>
    <row r="165" spans="1:9" x14ac:dyDescent="0.3">
      <c r="A165" t="str">
        <f>""</f>
        <v/>
      </c>
      <c r="F165" t="str">
        <f>"201710175720"</f>
        <v>201710175720</v>
      </c>
      <c r="G165" t="str">
        <f>"ACT#7700010027/45 LDS WATER/P4"</f>
        <v>ACT#7700010027/45 LDS WATER/P4</v>
      </c>
      <c r="H165" s="2">
        <v>461.25</v>
      </c>
      <c r="I165" t="str">
        <f>"ACT#7700010027/45 LDS WATER/P4"</f>
        <v>ACT#7700010027/45 LDS WATER/P4</v>
      </c>
    </row>
    <row r="166" spans="1:9" x14ac:dyDescent="0.3">
      <c r="A166" t="str">
        <f>""</f>
        <v/>
      </c>
      <c r="F166" t="str">
        <f>"201710175740"</f>
        <v>201710175740</v>
      </c>
      <c r="G166" t="str">
        <f>"ACCT#7700010026/107 LDS OF WTR"</f>
        <v>ACCT#7700010026/107 LDS OF WTR</v>
      </c>
      <c r="H166" s="2">
        <v>1096.75</v>
      </c>
      <c r="I166" t="str">
        <f>"ACCT#7700010026/107 LDS OF WTR"</f>
        <v>ACCT#7700010026/107 LDS OF WTR</v>
      </c>
    </row>
    <row r="167" spans="1:9" x14ac:dyDescent="0.3">
      <c r="A167" t="str">
        <f>"AWS"</f>
        <v>AWS</v>
      </c>
      <c r="B167" t="s">
        <v>29</v>
      </c>
      <c r="C167">
        <v>73391</v>
      </c>
      <c r="D167" s="2">
        <v>1599.26</v>
      </c>
      <c r="E167" s="1">
        <v>43038</v>
      </c>
      <c r="F167" t="str">
        <f>"201710306060"</f>
        <v>201710306060</v>
      </c>
      <c r="G167" t="str">
        <f>"ACCT#0401408501\11012017"</f>
        <v>ACCT#0401408501\11012017</v>
      </c>
      <c r="H167" s="2">
        <v>613.97</v>
      </c>
      <c r="I167" t="str">
        <f>"ACCT#0401408501\11012017"</f>
        <v>ACCT#0401408501\11012017</v>
      </c>
    </row>
    <row r="168" spans="1:9" x14ac:dyDescent="0.3">
      <c r="A168" t="str">
        <f>""</f>
        <v/>
      </c>
      <c r="F168" t="str">
        <f>"201710306061"</f>
        <v>201710306061</v>
      </c>
      <c r="G168" t="str">
        <f>"ACCT#0400785803/11012017"</f>
        <v>ACCT#0400785803/11012017</v>
      </c>
      <c r="H168" s="2">
        <v>143.69</v>
      </c>
      <c r="I168" t="str">
        <f>"ACCT#0400785803/11012017"</f>
        <v>ACCT#0400785803/11012017</v>
      </c>
    </row>
    <row r="169" spans="1:9" x14ac:dyDescent="0.3">
      <c r="A169" t="str">
        <f>""</f>
        <v/>
      </c>
      <c r="F169" t="str">
        <f>"201710306062"</f>
        <v>201710306062</v>
      </c>
      <c r="G169" t="str">
        <f>"ACCT#0201891401/11012017"</f>
        <v>ACCT#0201891401/11012017</v>
      </c>
      <c r="H169" s="2">
        <v>139.16</v>
      </c>
      <c r="I169" t="str">
        <f>"ACCT#0201891401/11012017"</f>
        <v>ACCT#0201891401/11012017</v>
      </c>
    </row>
    <row r="170" spans="1:9" x14ac:dyDescent="0.3">
      <c r="A170" t="str">
        <f>""</f>
        <v/>
      </c>
      <c r="F170" t="str">
        <f>"201710306063"</f>
        <v>201710306063</v>
      </c>
      <c r="G170" t="str">
        <f>"ACCT#0201855301/11012017"</f>
        <v>ACCT#0201855301/11012017</v>
      </c>
      <c r="H170" s="2">
        <v>39.200000000000003</v>
      </c>
      <c r="I170" t="str">
        <f>"ACCT#0201855301/11012017"</f>
        <v>ACCT#0201855301/11012017</v>
      </c>
    </row>
    <row r="171" spans="1:9" x14ac:dyDescent="0.3">
      <c r="A171" t="str">
        <f>""</f>
        <v/>
      </c>
      <c r="F171" t="str">
        <f>"201710306064"</f>
        <v>201710306064</v>
      </c>
      <c r="G171" t="str">
        <f>"ACCT#0102120801/11012017"</f>
        <v>ACCT#0102120801/11012017</v>
      </c>
      <c r="H171" s="2">
        <v>627.91</v>
      </c>
      <c r="I171" t="str">
        <f>"ACCT#0102120801/11012017"</f>
        <v>ACCT#0102120801/11012017</v>
      </c>
    </row>
    <row r="172" spans="1:9" x14ac:dyDescent="0.3">
      <c r="A172" t="str">
        <f>""</f>
        <v/>
      </c>
      <c r="F172" t="str">
        <f>"201710306065"</f>
        <v>201710306065</v>
      </c>
      <c r="G172" t="str">
        <f>"ACCT#0800042801/11012017"</f>
        <v>ACCT#0800042801/11012017</v>
      </c>
      <c r="H172" s="2">
        <v>35.33</v>
      </c>
      <c r="I172" t="str">
        <f>"ACCT#0800042801/11012017"</f>
        <v>ACCT#0800042801/11012017</v>
      </c>
    </row>
    <row r="173" spans="1:9" x14ac:dyDescent="0.3">
      <c r="A173" t="str">
        <f>"003268"</f>
        <v>003268</v>
      </c>
      <c r="B173" t="s">
        <v>30</v>
      </c>
      <c r="C173">
        <v>73183</v>
      </c>
      <c r="D173" s="2">
        <v>395</v>
      </c>
      <c r="E173" s="1">
        <v>43031</v>
      </c>
      <c r="F173" t="str">
        <f>"201710185821"</f>
        <v>201710185821</v>
      </c>
      <c r="G173" t="str">
        <f>"MEMBERSHIP APPLICATION"</f>
        <v>MEMBERSHIP APPLICATION</v>
      </c>
      <c r="H173" s="2">
        <v>395</v>
      </c>
      <c r="I173" t="str">
        <f>"MEMBERSHIP APPLICATION"</f>
        <v>MEMBERSHIP APPLICATION</v>
      </c>
    </row>
    <row r="174" spans="1:9" x14ac:dyDescent="0.3">
      <c r="A174" t="str">
        <f>"003673"</f>
        <v>003673</v>
      </c>
      <c r="B174" t="s">
        <v>31</v>
      </c>
      <c r="C174">
        <v>72890</v>
      </c>
      <c r="D174" s="2">
        <v>5117.4799999999996</v>
      </c>
      <c r="E174" s="1">
        <v>43014</v>
      </c>
      <c r="F174" t="str">
        <f>"201710065584"</f>
        <v>201710065584</v>
      </c>
      <c r="G174" t="str">
        <f>"ACCT#512 A49-0048 193 3"</f>
        <v>ACCT#512 A49-0048 193 3</v>
      </c>
      <c r="H174" s="2">
        <v>5117.4799999999996</v>
      </c>
      <c r="I174" t="str">
        <f>"ACCT#512 A49-0048 193 3"</f>
        <v>ACCT#512 A49-0048 193 3</v>
      </c>
    </row>
    <row r="175" spans="1:9" x14ac:dyDescent="0.3">
      <c r="A175" t="str">
        <f>""</f>
        <v/>
      </c>
      <c r="F175" t="str">
        <f>""</f>
        <v/>
      </c>
      <c r="G175" t="str">
        <f>""</f>
        <v/>
      </c>
      <c r="I175" t="str">
        <f>"ACCT#512 A49-0048 193 3"</f>
        <v>ACCT#512 A49-0048 193 3</v>
      </c>
    </row>
    <row r="176" spans="1:9" x14ac:dyDescent="0.3">
      <c r="A176" t="str">
        <f>""</f>
        <v/>
      </c>
      <c r="F176" t="str">
        <f>""</f>
        <v/>
      </c>
      <c r="G176" t="str">
        <f>""</f>
        <v/>
      </c>
      <c r="I176" t="str">
        <f>"ACCT#512 A49-0048 193 3"</f>
        <v>ACCT#512 A49-0048 193 3</v>
      </c>
    </row>
    <row r="177" spans="1:9" x14ac:dyDescent="0.3">
      <c r="A177" t="str">
        <f>""</f>
        <v/>
      </c>
      <c r="F177" t="str">
        <f>""</f>
        <v/>
      </c>
      <c r="G177" t="str">
        <f>""</f>
        <v/>
      </c>
      <c r="I177" t="str">
        <f>"ACCT#512 A49-0048 193 3"</f>
        <v>ACCT#512 A49-0048 193 3</v>
      </c>
    </row>
    <row r="178" spans="1:9" x14ac:dyDescent="0.3">
      <c r="A178" t="str">
        <f>""</f>
        <v/>
      </c>
      <c r="F178" t="str">
        <f>""</f>
        <v/>
      </c>
      <c r="G178" t="str">
        <f>""</f>
        <v/>
      </c>
      <c r="I178" t="str">
        <f>"ACCT#512 A49-0048 193 3"</f>
        <v>ACCT#512 A49-0048 193 3</v>
      </c>
    </row>
    <row r="179" spans="1:9" x14ac:dyDescent="0.3">
      <c r="A179" t="str">
        <f>"003673"</f>
        <v>003673</v>
      </c>
      <c r="B179" t="s">
        <v>31</v>
      </c>
      <c r="C179">
        <v>73392</v>
      </c>
      <c r="D179" s="2">
        <v>5277.22</v>
      </c>
      <c r="E179" s="1">
        <v>43038</v>
      </c>
      <c r="F179" t="str">
        <f>"201710306059"</f>
        <v>201710306059</v>
      </c>
      <c r="G179" t="str">
        <f>"512A49-0048 193 3 - 10/17/17"</f>
        <v>512A49-0048 193 3 - 10/17/17</v>
      </c>
      <c r="H179" s="2">
        <v>5277.22</v>
      </c>
      <c r="I179" t="str">
        <f>"512A49-0048 193 3 - 10/17/17"</f>
        <v>512A49-0048 193 3 - 10/17/17</v>
      </c>
    </row>
    <row r="180" spans="1:9" x14ac:dyDescent="0.3">
      <c r="A180" t="str">
        <f>""</f>
        <v/>
      </c>
      <c r="F180" t="str">
        <f>""</f>
        <v/>
      </c>
      <c r="G180" t="str">
        <f>""</f>
        <v/>
      </c>
      <c r="I180" t="str">
        <f>"512A49-0048 193 3 - 10/17/17"</f>
        <v>512A49-0048 193 3 - 10/17/17</v>
      </c>
    </row>
    <row r="181" spans="1:9" x14ac:dyDescent="0.3">
      <c r="A181" t="str">
        <f>""</f>
        <v/>
      </c>
      <c r="F181" t="str">
        <f>""</f>
        <v/>
      </c>
      <c r="G181" t="str">
        <f>""</f>
        <v/>
      </c>
      <c r="I181" t="str">
        <f>"512A49-0048 193 3 - 10/17/17"</f>
        <v>512A49-0048 193 3 - 10/17/17</v>
      </c>
    </row>
    <row r="182" spans="1:9" x14ac:dyDescent="0.3">
      <c r="A182" t="str">
        <f>""</f>
        <v/>
      </c>
      <c r="F182" t="str">
        <f>""</f>
        <v/>
      </c>
      <c r="G182" t="str">
        <f>""</f>
        <v/>
      </c>
      <c r="I182" t="str">
        <f>"512A49-0048 193 3 - 10/17/17"</f>
        <v>512A49-0048 193 3 - 10/17/17</v>
      </c>
    </row>
    <row r="183" spans="1:9" x14ac:dyDescent="0.3">
      <c r="A183" t="str">
        <f>""</f>
        <v/>
      </c>
      <c r="F183" t="str">
        <f>""</f>
        <v/>
      </c>
      <c r="G183" t="str">
        <f>""</f>
        <v/>
      </c>
      <c r="I183" t="str">
        <f>"512A49-0048 193 3 - 10/17/17"</f>
        <v>512A49-0048 193 3 - 10/17/17</v>
      </c>
    </row>
    <row r="184" spans="1:9" x14ac:dyDescent="0.3">
      <c r="A184" t="str">
        <f>"AT&amp;TLO"</f>
        <v>AT&amp;TLO</v>
      </c>
      <c r="B184" t="s">
        <v>32</v>
      </c>
      <c r="C184">
        <v>72928</v>
      </c>
      <c r="D184" s="2">
        <v>5024.18</v>
      </c>
      <c r="E184" s="1">
        <v>43018</v>
      </c>
      <c r="F184" t="str">
        <f>"201709275153"</f>
        <v>201709275153</v>
      </c>
      <c r="G184" t="str">
        <f>"ACCT#831-000-6084 095"</f>
        <v>ACCT#831-000-6084 095</v>
      </c>
      <c r="H184" s="2">
        <v>1905.79</v>
      </c>
      <c r="I184" t="str">
        <f>"ACCT#831-000-6084 095"</f>
        <v>ACCT#831-000-6084 095</v>
      </c>
    </row>
    <row r="185" spans="1:9" x14ac:dyDescent="0.3">
      <c r="A185" t="str">
        <f>""</f>
        <v/>
      </c>
      <c r="F185" t="str">
        <f>"2645788306"</f>
        <v>2645788306</v>
      </c>
      <c r="G185" t="str">
        <f>"ACCT#831-00-6982 602"</f>
        <v>ACCT#831-00-6982 602</v>
      </c>
      <c r="H185" s="2">
        <v>1125.7</v>
      </c>
      <c r="I185" t="str">
        <f>"ACCT#831-00-6982 602"</f>
        <v>ACCT#831-00-6982 602</v>
      </c>
    </row>
    <row r="186" spans="1:9" x14ac:dyDescent="0.3">
      <c r="A186" t="str">
        <f>""</f>
        <v/>
      </c>
      <c r="F186" t="str">
        <f>"6078319308"</f>
        <v>6078319308</v>
      </c>
      <c r="G186" t="str">
        <f>"ACCT#831-000-7218 923"</f>
        <v>ACCT#831-000-7218 923</v>
      </c>
      <c r="H186" s="2">
        <v>1992.69</v>
      </c>
      <c r="I186" t="str">
        <f>"ACCT#831-000-7218 923"</f>
        <v>ACCT#831-000-7218 923</v>
      </c>
    </row>
    <row r="187" spans="1:9" x14ac:dyDescent="0.3">
      <c r="A187" t="str">
        <f>"T7386"</f>
        <v>T7386</v>
      </c>
      <c r="B187" t="s">
        <v>32</v>
      </c>
      <c r="C187">
        <v>73184</v>
      </c>
      <c r="D187" s="2">
        <v>1795.59</v>
      </c>
      <c r="E187" s="1">
        <v>43031</v>
      </c>
      <c r="F187" t="str">
        <f>"201710185845"</f>
        <v>201710185845</v>
      </c>
      <c r="G187" t="str">
        <f>"ACCT#512 303-1080 238 5"</f>
        <v>ACCT#512 303-1080 238 5</v>
      </c>
      <c r="H187" s="2">
        <v>1795.59</v>
      </c>
      <c r="I187" t="str">
        <f>"ACCT#512 303-1080 238 5"</f>
        <v>ACCT#512 303-1080 238 5</v>
      </c>
    </row>
    <row r="188" spans="1:9" x14ac:dyDescent="0.3">
      <c r="A188" t="str">
        <f>"AT&amp;TMO"</f>
        <v>AT&amp;TMO</v>
      </c>
      <c r="B188" t="s">
        <v>33</v>
      </c>
      <c r="C188">
        <v>72929</v>
      </c>
      <c r="D188" s="2">
        <v>3713.36</v>
      </c>
      <c r="E188" s="1">
        <v>43018</v>
      </c>
      <c r="F188" t="str">
        <f>"201710025219"</f>
        <v>201710025219</v>
      </c>
      <c r="G188" t="str">
        <f>"ACCT#287263291654"</f>
        <v>ACCT#287263291654</v>
      </c>
      <c r="H188" s="2">
        <v>1698.89</v>
      </c>
      <c r="I188" t="str">
        <f t="shared" ref="I188:I204" si="8">"ACCT#287263291654"</f>
        <v>ACCT#287263291654</v>
      </c>
    </row>
    <row r="189" spans="1:9" x14ac:dyDescent="0.3">
      <c r="A189" t="str">
        <f>""</f>
        <v/>
      </c>
      <c r="F189" t="str">
        <f>""</f>
        <v/>
      </c>
      <c r="G189" t="str">
        <f>""</f>
        <v/>
      </c>
      <c r="I189" t="str">
        <f t="shared" si="8"/>
        <v>ACCT#287263291654</v>
      </c>
    </row>
    <row r="190" spans="1:9" x14ac:dyDescent="0.3">
      <c r="A190" t="str">
        <f>""</f>
        <v/>
      </c>
      <c r="F190" t="str">
        <f>""</f>
        <v/>
      </c>
      <c r="G190" t="str">
        <f>""</f>
        <v/>
      </c>
      <c r="I190" t="str">
        <f t="shared" si="8"/>
        <v>ACCT#287263291654</v>
      </c>
    </row>
    <row r="191" spans="1:9" x14ac:dyDescent="0.3">
      <c r="A191" t="str">
        <f>""</f>
        <v/>
      </c>
      <c r="F191" t="str">
        <f>""</f>
        <v/>
      </c>
      <c r="G191" t="str">
        <f>""</f>
        <v/>
      </c>
      <c r="I191" t="str">
        <f t="shared" si="8"/>
        <v>ACCT#287263291654</v>
      </c>
    </row>
    <row r="192" spans="1:9" x14ac:dyDescent="0.3">
      <c r="A192" t="str">
        <f>""</f>
        <v/>
      </c>
      <c r="F192" t="str">
        <f>""</f>
        <v/>
      </c>
      <c r="G192" t="str">
        <f>""</f>
        <v/>
      </c>
      <c r="I192" t="str">
        <f t="shared" si="8"/>
        <v>ACCT#287263291654</v>
      </c>
    </row>
    <row r="193" spans="1:9" x14ac:dyDescent="0.3">
      <c r="A193" t="str">
        <f>""</f>
        <v/>
      </c>
      <c r="F193" t="str">
        <f>""</f>
        <v/>
      </c>
      <c r="G193" t="str">
        <f>""</f>
        <v/>
      </c>
      <c r="I193" t="str">
        <f t="shared" si="8"/>
        <v>ACCT#287263291654</v>
      </c>
    </row>
    <row r="194" spans="1:9" x14ac:dyDescent="0.3">
      <c r="A194" t="str">
        <f>""</f>
        <v/>
      </c>
      <c r="F194" t="str">
        <f>""</f>
        <v/>
      </c>
      <c r="G194" t="str">
        <f>""</f>
        <v/>
      </c>
      <c r="I194" t="str">
        <f t="shared" si="8"/>
        <v>ACCT#287263291654</v>
      </c>
    </row>
    <row r="195" spans="1:9" x14ac:dyDescent="0.3">
      <c r="A195" t="str">
        <f>""</f>
        <v/>
      </c>
      <c r="F195" t="str">
        <f>""</f>
        <v/>
      </c>
      <c r="G195" t="str">
        <f>""</f>
        <v/>
      </c>
      <c r="I195" t="str">
        <f t="shared" si="8"/>
        <v>ACCT#287263291654</v>
      </c>
    </row>
    <row r="196" spans="1:9" x14ac:dyDescent="0.3">
      <c r="A196" t="str">
        <f>""</f>
        <v/>
      </c>
      <c r="F196" t="str">
        <f>""</f>
        <v/>
      </c>
      <c r="G196" t="str">
        <f>""</f>
        <v/>
      </c>
      <c r="I196" t="str">
        <f t="shared" si="8"/>
        <v>ACCT#287263291654</v>
      </c>
    </row>
    <row r="197" spans="1:9" x14ac:dyDescent="0.3">
      <c r="A197" t="str">
        <f>""</f>
        <v/>
      </c>
      <c r="F197" t="str">
        <f>""</f>
        <v/>
      </c>
      <c r="G197" t="str">
        <f>""</f>
        <v/>
      </c>
      <c r="I197" t="str">
        <f t="shared" si="8"/>
        <v>ACCT#287263291654</v>
      </c>
    </row>
    <row r="198" spans="1:9" x14ac:dyDescent="0.3">
      <c r="A198" t="str">
        <f>""</f>
        <v/>
      </c>
      <c r="F198" t="str">
        <f>""</f>
        <v/>
      </c>
      <c r="G198" t="str">
        <f>""</f>
        <v/>
      </c>
      <c r="I198" t="str">
        <f t="shared" si="8"/>
        <v>ACCT#287263291654</v>
      </c>
    </row>
    <row r="199" spans="1:9" x14ac:dyDescent="0.3">
      <c r="A199" t="str">
        <f>""</f>
        <v/>
      </c>
      <c r="F199" t="str">
        <f>""</f>
        <v/>
      </c>
      <c r="G199" t="str">
        <f>""</f>
        <v/>
      </c>
      <c r="I199" t="str">
        <f t="shared" si="8"/>
        <v>ACCT#287263291654</v>
      </c>
    </row>
    <row r="200" spans="1:9" x14ac:dyDescent="0.3">
      <c r="A200" t="str">
        <f>""</f>
        <v/>
      </c>
      <c r="F200" t="str">
        <f>""</f>
        <v/>
      </c>
      <c r="G200" t="str">
        <f>""</f>
        <v/>
      </c>
      <c r="I200" t="str">
        <f t="shared" si="8"/>
        <v>ACCT#287263291654</v>
      </c>
    </row>
    <row r="201" spans="1:9" x14ac:dyDescent="0.3">
      <c r="A201" t="str">
        <f>""</f>
        <v/>
      </c>
      <c r="F201" t="str">
        <f>""</f>
        <v/>
      </c>
      <c r="G201" t="str">
        <f>""</f>
        <v/>
      </c>
      <c r="I201" t="str">
        <f t="shared" si="8"/>
        <v>ACCT#287263291654</v>
      </c>
    </row>
    <row r="202" spans="1:9" x14ac:dyDescent="0.3">
      <c r="A202" t="str">
        <f>""</f>
        <v/>
      </c>
      <c r="F202" t="str">
        <f>""</f>
        <v/>
      </c>
      <c r="G202" t="str">
        <f>""</f>
        <v/>
      </c>
      <c r="I202" t="str">
        <f t="shared" si="8"/>
        <v>ACCT#287263291654</v>
      </c>
    </row>
    <row r="203" spans="1:9" x14ac:dyDescent="0.3">
      <c r="A203" t="str">
        <f>""</f>
        <v/>
      </c>
      <c r="F203" t="str">
        <f>""</f>
        <v/>
      </c>
      <c r="G203" t="str">
        <f>""</f>
        <v/>
      </c>
      <c r="I203" t="str">
        <f t="shared" si="8"/>
        <v>ACCT#287263291654</v>
      </c>
    </row>
    <row r="204" spans="1:9" x14ac:dyDescent="0.3">
      <c r="A204" t="str">
        <f>""</f>
        <v/>
      </c>
      <c r="F204" t="str">
        <f>""</f>
        <v/>
      </c>
      <c r="G204" t="str">
        <f>""</f>
        <v/>
      </c>
      <c r="I204" t="str">
        <f t="shared" si="8"/>
        <v>ACCT#287263291654</v>
      </c>
    </row>
    <row r="205" spans="1:9" x14ac:dyDescent="0.3">
      <c r="A205" t="str">
        <f>""</f>
        <v/>
      </c>
      <c r="F205" t="str">
        <f>"287263291729X09202"</f>
        <v>287263291729X09202</v>
      </c>
      <c r="G205" t="str">
        <f>"ACCT#287263291729/FAN06062279"</f>
        <v>ACCT#287263291729/FAN06062279</v>
      </c>
      <c r="H205" s="2">
        <v>2014.47</v>
      </c>
      <c r="I205" t="str">
        <f>"ACCT#287263291729/FAN06062279"</f>
        <v>ACCT#287263291729/FAN06062279</v>
      </c>
    </row>
    <row r="206" spans="1:9" x14ac:dyDescent="0.3">
      <c r="A206" t="str">
        <f>"AT&amp;T13"</f>
        <v>AT&amp;T13</v>
      </c>
      <c r="B206" t="s">
        <v>34</v>
      </c>
      <c r="C206">
        <v>73185</v>
      </c>
      <c r="D206" s="2">
        <v>105.78</v>
      </c>
      <c r="E206" s="1">
        <v>43031</v>
      </c>
      <c r="F206" t="str">
        <f>"201710175712"</f>
        <v>201710175712</v>
      </c>
      <c r="G206" t="str">
        <f>"ACCT#826392401/WIRELESS"</f>
        <v>ACCT#826392401/WIRELESS</v>
      </c>
      <c r="H206" s="2">
        <v>105.78</v>
      </c>
      <c r="I206" t="str">
        <f>"ACCT#826392401/WIRELESS"</f>
        <v>ACCT#826392401/WIRELESS</v>
      </c>
    </row>
    <row r="207" spans="1:9" x14ac:dyDescent="0.3">
      <c r="A207" t="str">
        <f>"ASC"</f>
        <v>ASC</v>
      </c>
      <c r="B207" t="s">
        <v>35</v>
      </c>
      <c r="C207">
        <v>72930</v>
      </c>
      <c r="D207" s="2">
        <v>555.70000000000005</v>
      </c>
      <c r="E207" s="1">
        <v>43018</v>
      </c>
      <c r="F207" t="str">
        <f>"89888"</f>
        <v>89888</v>
      </c>
      <c r="G207" t="str">
        <f>"WK ORD#13061/HOSE ASSY"</f>
        <v>WK ORD#13061/HOSE ASSY</v>
      </c>
      <c r="H207" s="2">
        <v>367.52</v>
      </c>
      <c r="I207" t="str">
        <f>"WK ORD#13061/HOSE ASSY"</f>
        <v>WK ORD#13061/HOSE ASSY</v>
      </c>
    </row>
    <row r="208" spans="1:9" x14ac:dyDescent="0.3">
      <c r="A208" t="str">
        <f>""</f>
        <v/>
      </c>
      <c r="F208" t="str">
        <f>"89900"</f>
        <v>89900</v>
      </c>
      <c r="G208" t="str">
        <f>"WK ORD#13193/HOSE ASSY/PCT#4"</f>
        <v>WK ORD#13193/HOSE ASSY/PCT#4</v>
      </c>
      <c r="H208" s="2">
        <v>188.18</v>
      </c>
      <c r="I208" t="str">
        <f>"WK ORD#13193/HOSE ASSY/PCT#4"</f>
        <v>WK ORD#13193/HOSE ASSY/PCT#4</v>
      </c>
    </row>
    <row r="209" spans="1:9" x14ac:dyDescent="0.3">
      <c r="A209" t="str">
        <f>"005251"</f>
        <v>005251</v>
      </c>
      <c r="B209" t="s">
        <v>36</v>
      </c>
      <c r="C209">
        <v>73186</v>
      </c>
      <c r="D209" s="2">
        <v>1575</v>
      </c>
      <c r="E209" s="1">
        <v>43031</v>
      </c>
      <c r="F209" t="str">
        <f>"6680"</f>
        <v>6680</v>
      </c>
      <c r="G209" t="str">
        <f>"3-30 YD CONTAINERS/PCT#3"</f>
        <v>3-30 YD CONTAINERS/PCT#3</v>
      </c>
      <c r="H209" s="2">
        <v>1575</v>
      </c>
      <c r="I209" t="str">
        <f>"3-30 YD CONTAINERS/PCT#3"</f>
        <v>3-30 YD CONTAINERS/PCT#3</v>
      </c>
    </row>
    <row r="210" spans="1:9" x14ac:dyDescent="0.3">
      <c r="A210" t="str">
        <f>"003291"</f>
        <v>003291</v>
      </c>
      <c r="B210" t="s">
        <v>37</v>
      </c>
      <c r="C210">
        <v>999999</v>
      </c>
      <c r="D210" s="2">
        <v>224.64</v>
      </c>
      <c r="E210" s="1">
        <v>43019</v>
      </c>
      <c r="F210" t="str">
        <f>"I00213184-09142017"</f>
        <v>I00213184-09142017</v>
      </c>
      <c r="G210" t="str">
        <f>"Ad# I00213184-09142017"</f>
        <v>Ad# I00213184-09142017</v>
      </c>
      <c r="H210" s="2">
        <v>224.64</v>
      </c>
      <c r="I210" t="str">
        <f>"Ad# I00213184-09142017"</f>
        <v>Ad# I00213184-09142017</v>
      </c>
    </row>
    <row r="211" spans="1:9" x14ac:dyDescent="0.3">
      <c r="A211" t="str">
        <f>"003291"</f>
        <v>003291</v>
      </c>
      <c r="B211" t="s">
        <v>37</v>
      </c>
      <c r="C211">
        <v>999999</v>
      </c>
      <c r="D211" s="2">
        <v>609.96</v>
      </c>
      <c r="E211" s="1">
        <v>43032</v>
      </c>
      <c r="F211" t="str">
        <f>"0000218056"</f>
        <v>0000218056</v>
      </c>
      <c r="G211" t="str">
        <f>"Ad#222683"</f>
        <v>Ad#222683</v>
      </c>
      <c r="H211" s="2">
        <v>380.16</v>
      </c>
      <c r="I211" t="str">
        <f>"Ad#222683"</f>
        <v>Ad#222683</v>
      </c>
    </row>
    <row r="212" spans="1:9" x14ac:dyDescent="0.3">
      <c r="A212" t="str">
        <f>""</f>
        <v/>
      </c>
      <c r="F212" t="str">
        <f>"0000226675"</f>
        <v>0000226675</v>
      </c>
      <c r="G212" t="str">
        <f>"Ad# 226675"</f>
        <v>Ad# 226675</v>
      </c>
      <c r="H212" s="2">
        <v>108</v>
      </c>
      <c r="I212" t="str">
        <f>"Ad# 226675"</f>
        <v>Ad# 226675</v>
      </c>
    </row>
    <row r="213" spans="1:9" x14ac:dyDescent="0.3">
      <c r="A213" t="str">
        <f>""</f>
        <v/>
      </c>
      <c r="F213" t="str">
        <f>"210809"</f>
        <v>210809</v>
      </c>
      <c r="G213" t="str">
        <f>"Ad# 210809"</f>
        <v>Ad# 210809</v>
      </c>
      <c r="H213" s="2">
        <v>65.64</v>
      </c>
      <c r="I213" t="str">
        <f>"Ad# 210809"</f>
        <v>Ad# 210809</v>
      </c>
    </row>
    <row r="214" spans="1:9" x14ac:dyDescent="0.3">
      <c r="A214" t="str">
        <f>""</f>
        <v/>
      </c>
      <c r="F214" t="str">
        <f>"I00218095-09212017"</f>
        <v>I00218095-09212017</v>
      </c>
      <c r="G214" t="str">
        <f>"Ad# 218095"</f>
        <v>Ad# 218095</v>
      </c>
      <c r="H214" s="2">
        <v>56.16</v>
      </c>
      <c r="I214" t="str">
        <f>"Fee"</f>
        <v>Fee</v>
      </c>
    </row>
    <row r="215" spans="1:9" x14ac:dyDescent="0.3">
      <c r="A215" t="str">
        <f>"T6757"</f>
        <v>T6757</v>
      </c>
      <c r="B215" t="s">
        <v>38</v>
      </c>
      <c r="C215">
        <v>999999</v>
      </c>
      <c r="D215" s="2">
        <v>446.67</v>
      </c>
      <c r="E215" s="1">
        <v>43019</v>
      </c>
      <c r="F215" t="str">
        <f>"201710045368"</f>
        <v>201710045368</v>
      </c>
      <c r="G215" t="str">
        <f>"INDIGENT HEALTH"</f>
        <v>INDIGENT HEALTH</v>
      </c>
      <c r="H215" s="2">
        <v>446.67</v>
      </c>
      <c r="I215" t="str">
        <f t="shared" ref="I215:I220" si="9">"INDIGENT HEALTH"</f>
        <v>INDIGENT HEALTH</v>
      </c>
    </row>
    <row r="216" spans="1:9" x14ac:dyDescent="0.3">
      <c r="A216" t="str">
        <f>""</f>
        <v/>
      </c>
      <c r="F216" t="str">
        <f>""</f>
        <v/>
      </c>
      <c r="G216" t="str">
        <f>""</f>
        <v/>
      </c>
      <c r="I216" t="str">
        <f t="shared" si="9"/>
        <v>INDIGENT HEALTH</v>
      </c>
    </row>
    <row r="217" spans="1:9" x14ac:dyDescent="0.3">
      <c r="A217" t="str">
        <f>"T1251"</f>
        <v>T1251</v>
      </c>
      <c r="B217" t="s">
        <v>39</v>
      </c>
      <c r="C217">
        <v>72931</v>
      </c>
      <c r="D217" s="2">
        <v>762.07</v>
      </c>
      <c r="E217" s="1">
        <v>43018</v>
      </c>
      <c r="F217" t="str">
        <f>"201710045369"</f>
        <v>201710045369</v>
      </c>
      <c r="G217" t="str">
        <f>"INDIGENT HEALTH"</f>
        <v>INDIGENT HEALTH</v>
      </c>
      <c r="H217" s="2">
        <v>762.07</v>
      </c>
      <c r="I217" t="str">
        <f t="shared" si="9"/>
        <v>INDIGENT HEALTH</v>
      </c>
    </row>
    <row r="218" spans="1:9" x14ac:dyDescent="0.3">
      <c r="A218" t="str">
        <f>""</f>
        <v/>
      </c>
      <c r="F218" t="str">
        <f>""</f>
        <v/>
      </c>
      <c r="G218" t="str">
        <f>""</f>
        <v/>
      </c>
      <c r="I218" t="str">
        <f t="shared" si="9"/>
        <v>INDIGENT HEALTH</v>
      </c>
    </row>
    <row r="219" spans="1:9" x14ac:dyDescent="0.3">
      <c r="A219" t="str">
        <f>"T1251"</f>
        <v>T1251</v>
      </c>
      <c r="B219" t="s">
        <v>39</v>
      </c>
      <c r="C219">
        <v>73187</v>
      </c>
      <c r="D219" s="2">
        <v>129.37</v>
      </c>
      <c r="E219" s="1">
        <v>43031</v>
      </c>
      <c r="F219" t="str">
        <f>"201710185828"</f>
        <v>201710185828</v>
      </c>
      <c r="G219" t="str">
        <f>"INDIGENT HEALTH"</f>
        <v>INDIGENT HEALTH</v>
      </c>
      <c r="H219" s="2">
        <v>129.37</v>
      </c>
      <c r="I219" t="str">
        <f t="shared" si="9"/>
        <v>INDIGENT HEALTH</v>
      </c>
    </row>
    <row r="220" spans="1:9" x14ac:dyDescent="0.3">
      <c r="A220" t="str">
        <f>""</f>
        <v/>
      </c>
      <c r="F220" t="str">
        <f>""</f>
        <v/>
      </c>
      <c r="G220" t="str">
        <f>""</f>
        <v/>
      </c>
      <c r="I220" t="str">
        <f t="shared" si="9"/>
        <v>INDIGENT HEALTH</v>
      </c>
    </row>
    <row r="221" spans="1:9" x14ac:dyDescent="0.3">
      <c r="A221" t="str">
        <f>"005201"</f>
        <v>005201</v>
      </c>
      <c r="B221" t="s">
        <v>40</v>
      </c>
      <c r="C221">
        <v>73188</v>
      </c>
      <c r="D221" s="2">
        <v>6500</v>
      </c>
      <c r="E221" s="1">
        <v>43031</v>
      </c>
      <c r="F221" t="str">
        <f>"06E43C2E-FE33-A7"</f>
        <v>06E43C2E-FE33-A7</v>
      </c>
      <c r="G221" t="str">
        <f>"Inv# 06E43C2E-FE33-A7"</f>
        <v>Inv# 06E43C2E-FE33-A7</v>
      </c>
      <c r="H221" s="2">
        <v>2000</v>
      </c>
      <c r="I221" t="str">
        <f>"Inv# 06E43C2E-FE33-A7"</f>
        <v>Inv# 06E43C2E-FE33-A7</v>
      </c>
    </row>
    <row r="222" spans="1:9" x14ac:dyDescent="0.3">
      <c r="A222" t="str">
        <f>""</f>
        <v/>
      </c>
      <c r="F222" t="str">
        <f>"06FA6257-D8F8-76"</f>
        <v>06FA6257-D8F8-76</v>
      </c>
      <c r="G222" t="str">
        <f>"Inv# 06FA6257-D8F8-76"</f>
        <v>Inv# 06FA6257-D8F8-76</v>
      </c>
      <c r="H222" s="2">
        <v>4500</v>
      </c>
      <c r="I222" t="str">
        <f>"Inv# 06FA6257-D8F8-76"</f>
        <v>Inv# 06FA6257-D8F8-76</v>
      </c>
    </row>
    <row r="223" spans="1:9" x14ac:dyDescent="0.3">
      <c r="A223" t="str">
        <f>"B&amp;B"</f>
        <v>B&amp;B</v>
      </c>
      <c r="B223" t="s">
        <v>41</v>
      </c>
      <c r="C223">
        <v>72932</v>
      </c>
      <c r="D223" s="2">
        <v>1985.39</v>
      </c>
      <c r="E223" s="1">
        <v>43018</v>
      </c>
      <c r="F223" t="str">
        <f>"201710025228"</f>
        <v>201710025228</v>
      </c>
      <c r="G223" t="str">
        <f>"CUST#1700/PCT#2"</f>
        <v>CUST#1700/PCT#2</v>
      </c>
      <c r="H223" s="2">
        <v>110.53</v>
      </c>
      <c r="I223" t="str">
        <f>"CUST#1700/PCT#2"</f>
        <v>CUST#1700/PCT#2</v>
      </c>
    </row>
    <row r="224" spans="1:9" x14ac:dyDescent="0.3">
      <c r="A224" t="str">
        <f>""</f>
        <v/>
      </c>
      <c r="F224" t="str">
        <f>"201710025229"</f>
        <v>201710025229</v>
      </c>
      <c r="G224" t="str">
        <f>"CUST#1750/PCT#3"</f>
        <v>CUST#1750/PCT#3</v>
      </c>
      <c r="H224" s="2">
        <v>297.27999999999997</v>
      </c>
      <c r="I224" t="str">
        <f>"CUST#1750/PCT#3"</f>
        <v>CUST#1750/PCT#3</v>
      </c>
    </row>
    <row r="225" spans="1:9" x14ac:dyDescent="0.3">
      <c r="A225" t="str">
        <f>""</f>
        <v/>
      </c>
      <c r="F225" t="str">
        <f>"201710035240"</f>
        <v>201710035240</v>
      </c>
      <c r="G225" t="str">
        <f>"CUST#1800/PCT#4"</f>
        <v>CUST#1800/PCT#4</v>
      </c>
      <c r="H225" s="2">
        <v>403.84</v>
      </c>
      <c r="I225" t="str">
        <f>"CUST#1800/PCT#4"</f>
        <v>CUST#1800/PCT#4</v>
      </c>
    </row>
    <row r="226" spans="1:9" x14ac:dyDescent="0.3">
      <c r="A226" t="str">
        <f>""</f>
        <v/>
      </c>
      <c r="F226" t="str">
        <f>"201710035246"</f>
        <v>201710035246</v>
      </c>
      <c r="G226" t="str">
        <f>"CUST#1650/PCT#1"</f>
        <v>CUST#1650/PCT#1</v>
      </c>
      <c r="H226" s="2">
        <v>236.96</v>
      </c>
      <c r="I226" t="str">
        <f>"CUST#1650/PCT#1"</f>
        <v>CUST#1650/PCT#1</v>
      </c>
    </row>
    <row r="227" spans="1:9" x14ac:dyDescent="0.3">
      <c r="A227" t="str">
        <f>""</f>
        <v/>
      </c>
      <c r="F227" t="str">
        <f>""</f>
        <v/>
      </c>
      <c r="G227" t="str">
        <f>""</f>
        <v/>
      </c>
      <c r="I227" t="str">
        <f>"CUST#1650/PCT#1"</f>
        <v>CUST#1650/PCT#1</v>
      </c>
    </row>
    <row r="228" spans="1:9" x14ac:dyDescent="0.3">
      <c r="A228" t="str">
        <f>""</f>
        <v/>
      </c>
      <c r="F228" t="str">
        <f>""</f>
        <v/>
      </c>
      <c r="G228" t="str">
        <f>""</f>
        <v/>
      </c>
      <c r="I228" t="str">
        <f>"CUST#1650/PCT#1"</f>
        <v>CUST#1650/PCT#1</v>
      </c>
    </row>
    <row r="229" spans="1:9" x14ac:dyDescent="0.3">
      <c r="A229" t="str">
        <f>""</f>
        <v/>
      </c>
      <c r="F229" t="str">
        <f>"201710035250"</f>
        <v>201710035250</v>
      </c>
      <c r="G229" t="str">
        <f>"CUST#1650/PCT#1"</f>
        <v>CUST#1650/PCT#1</v>
      </c>
      <c r="H229" s="2">
        <v>858.51</v>
      </c>
      <c r="I229" t="str">
        <f>"CUST#1650/PCT#1"</f>
        <v>CUST#1650/PCT#1</v>
      </c>
    </row>
    <row r="230" spans="1:9" x14ac:dyDescent="0.3">
      <c r="A230" t="str">
        <f>""</f>
        <v/>
      </c>
      <c r="F230" t="str">
        <f>"9205-541644"</f>
        <v>9205-541644</v>
      </c>
      <c r="G230" t="str">
        <f>"INV 9205-541644"</f>
        <v>INV 9205-541644</v>
      </c>
      <c r="H230" s="2">
        <v>78.27</v>
      </c>
      <c r="I230" t="str">
        <f>"INV 9205-541644"</f>
        <v>INV 9205-541644</v>
      </c>
    </row>
    <row r="231" spans="1:9" x14ac:dyDescent="0.3">
      <c r="A231" t="str">
        <f>"B&amp;B"</f>
        <v>B&amp;B</v>
      </c>
      <c r="B231" t="s">
        <v>41</v>
      </c>
      <c r="C231">
        <v>73189</v>
      </c>
      <c r="D231" s="2">
        <v>254.65</v>
      </c>
      <c r="E231" s="1">
        <v>43031</v>
      </c>
      <c r="F231" t="str">
        <f>"9205-542026/543684"</f>
        <v>9205-542026/543684</v>
      </c>
      <c r="G231" t="str">
        <f>"INV 9205-542026"</f>
        <v>INV 9205-542026</v>
      </c>
      <c r="H231" s="2">
        <v>254.65</v>
      </c>
      <c r="I231" t="str">
        <f>"INV 9205-542026"</f>
        <v>INV 9205-542026</v>
      </c>
    </row>
    <row r="232" spans="1:9" x14ac:dyDescent="0.3">
      <c r="A232" t="str">
        <f>""</f>
        <v/>
      </c>
      <c r="F232" t="str">
        <f>""</f>
        <v/>
      </c>
      <c r="G232" t="str">
        <f>""</f>
        <v/>
      </c>
      <c r="I232" t="str">
        <f>"INV 9205-543684"</f>
        <v>INV 9205-543684</v>
      </c>
    </row>
    <row r="233" spans="1:9" x14ac:dyDescent="0.3">
      <c r="A233" t="str">
        <f>"BTW"</f>
        <v>BTW</v>
      </c>
      <c r="B233" t="s">
        <v>42</v>
      </c>
      <c r="C233">
        <v>72933</v>
      </c>
      <c r="D233" s="2">
        <v>1068.47</v>
      </c>
      <c r="E233" s="1">
        <v>43018</v>
      </c>
      <c r="F233" t="str">
        <f>"201710025217"</f>
        <v>201710025217</v>
      </c>
      <c r="G233" t="str">
        <f>"344091/344149/344339/PCT#3"</f>
        <v>344091/344149/344339/PCT#3</v>
      </c>
      <c r="H233" s="2">
        <v>150</v>
      </c>
      <c r="I233" t="str">
        <f>"344091/344149/344339/PCT#3"</f>
        <v>344091/344149/344339/PCT#3</v>
      </c>
    </row>
    <row r="234" spans="1:9" x14ac:dyDescent="0.3">
      <c r="A234" t="str">
        <f>""</f>
        <v/>
      </c>
      <c r="F234" t="str">
        <f>"201710035247"</f>
        <v>201710035247</v>
      </c>
      <c r="G234" t="str">
        <f>"ACCT#0009/343891/343920/344196"</f>
        <v>ACCT#0009/343891/343920/344196</v>
      </c>
      <c r="H234" s="2">
        <v>89.49</v>
      </c>
      <c r="I234" t="str">
        <f>"ACCT#0009/343891/343920/344196"</f>
        <v>ACCT#0009/343891/343920/344196</v>
      </c>
    </row>
    <row r="235" spans="1:9" x14ac:dyDescent="0.3">
      <c r="A235" t="str">
        <f>""</f>
        <v/>
      </c>
      <c r="F235" t="str">
        <f>"201710035251"</f>
        <v>201710035251</v>
      </c>
      <c r="G235" t="str">
        <f>"ACCT#0009/343891/343920/344196"</f>
        <v>ACCT#0009/343891/343920/344196</v>
      </c>
      <c r="H235" s="2">
        <v>60</v>
      </c>
      <c r="I235" t="str">
        <f>"ACCT#0009/343891/343920/344196"</f>
        <v>ACCT#0009/343891/343920/344196</v>
      </c>
    </row>
    <row r="236" spans="1:9" x14ac:dyDescent="0.3">
      <c r="A236" t="str">
        <f>""</f>
        <v/>
      </c>
      <c r="F236" t="str">
        <f>"201710035253"</f>
        <v>201710035253</v>
      </c>
      <c r="G236" t="str">
        <f>"ACCT#0010/343997/344043/344337"</f>
        <v>ACCT#0010/343997/344043/344337</v>
      </c>
      <c r="H236" s="2">
        <v>273</v>
      </c>
      <c r="I236" t="str">
        <f>"ACCT#0010/343997/344043/344337"</f>
        <v>ACCT#0010/343997/344043/344337</v>
      </c>
    </row>
    <row r="237" spans="1:9" x14ac:dyDescent="0.3">
      <c r="A237" t="str">
        <f>""</f>
        <v/>
      </c>
      <c r="F237" t="str">
        <f>"344373"</f>
        <v>344373</v>
      </c>
      <c r="G237" t="str">
        <f>"ACCT#0024/PCT#4"</f>
        <v>ACCT#0024/PCT#4</v>
      </c>
      <c r="H237" s="2">
        <v>495.98</v>
      </c>
      <c r="I237" t="str">
        <f>"ACCT#0024/PCT#4"</f>
        <v>ACCT#0024/PCT#4</v>
      </c>
    </row>
    <row r="238" spans="1:9" x14ac:dyDescent="0.3">
      <c r="A238" t="str">
        <f>"BTW"</f>
        <v>BTW</v>
      </c>
      <c r="B238" t="s">
        <v>42</v>
      </c>
      <c r="C238">
        <v>73190</v>
      </c>
      <c r="D238" s="2">
        <v>231.34</v>
      </c>
      <c r="E238" s="1">
        <v>43031</v>
      </c>
      <c r="F238" t="str">
        <f>"201710125594"</f>
        <v>201710125594</v>
      </c>
      <c r="G238" t="str">
        <f>"ACCT#0008/ENVIR/SAN"</f>
        <v>ACCT#0008/ENVIR/SAN</v>
      </c>
      <c r="H238" s="2">
        <v>231.34</v>
      </c>
      <c r="I238" t="str">
        <f>"ACCT#0008/ENVIR/SAN"</f>
        <v>ACCT#0008/ENVIR/SAN</v>
      </c>
    </row>
    <row r="239" spans="1:9" x14ac:dyDescent="0.3">
      <c r="A239" t="str">
        <f>"001769"</f>
        <v>001769</v>
      </c>
      <c r="B239" t="s">
        <v>43</v>
      </c>
      <c r="C239">
        <v>999999</v>
      </c>
      <c r="D239" s="2">
        <v>600</v>
      </c>
      <c r="E239" s="1">
        <v>43019</v>
      </c>
      <c r="F239" t="str">
        <f>"1523"</f>
        <v>1523</v>
      </c>
      <c r="G239" t="str">
        <f>"TREE REMOVAL/CATTLEMAN DR/P2"</f>
        <v>TREE REMOVAL/CATTLEMAN DR/P2</v>
      </c>
      <c r="H239" s="2">
        <v>600</v>
      </c>
      <c r="I239" t="str">
        <f>"TREE REMOVAL/CATTLEMAN DR/P2"</f>
        <v>TREE REMOVAL/CATTLEMAN DR/P2</v>
      </c>
    </row>
    <row r="240" spans="1:9" x14ac:dyDescent="0.3">
      <c r="A240" t="str">
        <f>"004875"</f>
        <v>004875</v>
      </c>
      <c r="B240" t="s">
        <v>44</v>
      </c>
      <c r="C240">
        <v>73191</v>
      </c>
      <c r="D240" s="2">
        <v>140322.12</v>
      </c>
      <c r="E240" s="1">
        <v>43031</v>
      </c>
      <c r="F240" t="str">
        <f>"19-1370-24"</f>
        <v>19-1370-24</v>
      </c>
      <c r="G240" t="str">
        <f>"Inv# 1 Courthouse DEMO"</f>
        <v>Inv# 1 Courthouse DEMO</v>
      </c>
      <c r="H240" s="2">
        <v>18850</v>
      </c>
      <c r="I240" t="str">
        <f>"Inv# 1 Courthouse DEMO"</f>
        <v>Inv# 1 Courthouse DEMO</v>
      </c>
    </row>
    <row r="241" spans="1:10" x14ac:dyDescent="0.3">
      <c r="A241" t="str">
        <f>""</f>
        <v/>
      </c>
      <c r="F241" t="str">
        <f>"19-1370-25"</f>
        <v>19-1370-25</v>
      </c>
      <c r="G241" t="str">
        <f>"Inv# 1 Courtroom Rebuild"</f>
        <v>Inv# 1 Courtroom Rebuild</v>
      </c>
      <c r="H241" s="2">
        <v>121472.12</v>
      </c>
      <c r="I241" t="str">
        <f>"Inv# 1 Courtroom Rebuild"</f>
        <v>Inv# 1 Courtroom Rebuild</v>
      </c>
    </row>
    <row r="242" spans="1:10" x14ac:dyDescent="0.3">
      <c r="A242" t="str">
        <f>"T8883"</f>
        <v>T8883</v>
      </c>
      <c r="B242" t="s">
        <v>45</v>
      </c>
      <c r="C242">
        <v>73192</v>
      </c>
      <c r="D242" s="2">
        <v>250</v>
      </c>
      <c r="E242" s="1">
        <v>43031</v>
      </c>
      <c r="F242" t="str">
        <f>"373292"</f>
        <v>373292</v>
      </c>
      <c r="G242" t="str">
        <f>"INV 373292/UNIT 5273"</f>
        <v>INV 373292/UNIT 5273</v>
      </c>
      <c r="H242" s="2">
        <v>250</v>
      </c>
      <c r="I242" t="str">
        <f>"INV 373292/UNIT 5273"</f>
        <v>INV 373292/UNIT 5273</v>
      </c>
    </row>
    <row r="243" spans="1:10" x14ac:dyDescent="0.3">
      <c r="A243" t="str">
        <f>"000871"</f>
        <v>000871</v>
      </c>
      <c r="B243" t="s">
        <v>46</v>
      </c>
      <c r="C243">
        <v>73193</v>
      </c>
      <c r="D243" s="2">
        <v>446.94</v>
      </c>
      <c r="E243" s="1">
        <v>43031</v>
      </c>
      <c r="F243" t="str">
        <f>"201710175734"</f>
        <v>201710175734</v>
      </c>
      <c r="G243" t="str">
        <f>"TML BOOTH-HOTEL EXPENSES"</f>
        <v>TML BOOTH-HOTEL EXPENSES</v>
      </c>
      <c r="H243" s="2">
        <v>446.94</v>
      </c>
      <c r="I243" t="str">
        <f>"TML BOOTH-HOTEL EXPENSES"</f>
        <v>TML BOOTH-HOTEL EXPENSES</v>
      </c>
    </row>
    <row r="244" spans="1:10" x14ac:dyDescent="0.3">
      <c r="A244" t="str">
        <f>"003002"</f>
        <v>003002</v>
      </c>
      <c r="B244" t="s">
        <v>47</v>
      </c>
      <c r="C244">
        <v>72934</v>
      </c>
      <c r="D244" s="2">
        <v>25000</v>
      </c>
      <c r="E244" s="1">
        <v>43018</v>
      </c>
      <c r="F244" t="str">
        <f>"201710045279"</f>
        <v>201710045279</v>
      </c>
      <c r="G244" t="str">
        <f>"FY2017-2018"</f>
        <v>FY2017-2018</v>
      </c>
      <c r="H244" s="2">
        <v>25000</v>
      </c>
      <c r="I244" t="str">
        <f>"FY2017-2018"</f>
        <v>FY2017-2018</v>
      </c>
    </row>
    <row r="245" spans="1:10" x14ac:dyDescent="0.3">
      <c r="A245" t="str">
        <f>"T1636"</f>
        <v>T1636</v>
      </c>
      <c r="B245" t="s">
        <v>48</v>
      </c>
      <c r="C245">
        <v>72935</v>
      </c>
      <c r="D245" s="2">
        <v>815</v>
      </c>
      <c r="E245" s="1">
        <v>43018</v>
      </c>
      <c r="F245" t="s">
        <v>49</v>
      </c>
      <c r="G245" t="s">
        <v>50</v>
      </c>
      <c r="H245" s="2" t="str">
        <f>"SERVICE 08/04/2017"</f>
        <v>SERVICE 08/04/2017</v>
      </c>
      <c r="I245" t="str">
        <f>"995-4110"</f>
        <v>995-4110</v>
      </c>
      <c r="J245">
        <v>75</v>
      </c>
    </row>
    <row r="246" spans="1:10" x14ac:dyDescent="0.3">
      <c r="A246" t="str">
        <f>""</f>
        <v/>
      </c>
      <c r="F246" t="s">
        <v>51</v>
      </c>
      <c r="G246" t="s">
        <v>52</v>
      </c>
      <c r="H246" s="2" t="str">
        <f>"SERVICE 08/22/17"</f>
        <v>SERVICE 08/22/17</v>
      </c>
      <c r="I246" t="str">
        <f>"995-4110"</f>
        <v>995-4110</v>
      </c>
      <c r="J246">
        <v>275</v>
      </c>
    </row>
    <row r="247" spans="1:10" x14ac:dyDescent="0.3">
      <c r="A247" t="str">
        <f>""</f>
        <v/>
      </c>
      <c r="F247" t="s">
        <v>51</v>
      </c>
      <c r="G247" t="s">
        <v>53</v>
      </c>
      <c r="H247" s="2" t="str">
        <f>"SERVICE 08/09/17"</f>
        <v>SERVICE 08/09/17</v>
      </c>
      <c r="I247" t="str">
        <f>"995-4110"</f>
        <v>995-4110</v>
      </c>
      <c r="J247">
        <v>75</v>
      </c>
    </row>
    <row r="248" spans="1:10" x14ac:dyDescent="0.3">
      <c r="A248" t="str">
        <f>""</f>
        <v/>
      </c>
      <c r="F248" t="s">
        <v>51</v>
      </c>
      <c r="G248" t="s">
        <v>54</v>
      </c>
      <c r="H248" s="2" t="str">
        <f>"SERVICE  08/09/2017"</f>
        <v>SERVICE  08/09/2017</v>
      </c>
      <c r="I248" t="str">
        <f>"995-4110"</f>
        <v>995-4110</v>
      </c>
      <c r="J248">
        <v>75</v>
      </c>
    </row>
    <row r="249" spans="1:10" x14ac:dyDescent="0.3">
      <c r="A249" t="str">
        <f>""</f>
        <v/>
      </c>
      <c r="F249" t="str">
        <f>"12751"</f>
        <v>12751</v>
      </c>
      <c r="G249" t="str">
        <f>"SERVICE  08/23/17"</f>
        <v>SERVICE  08/23/17</v>
      </c>
      <c r="H249" s="2">
        <v>75</v>
      </c>
      <c r="I249" t="str">
        <f>"SERVICE  08/23/17"</f>
        <v>SERVICE  08/23/17</v>
      </c>
    </row>
    <row r="250" spans="1:10" x14ac:dyDescent="0.3">
      <c r="A250" t="str">
        <f>""</f>
        <v/>
      </c>
      <c r="F250" t="str">
        <f>"8718"</f>
        <v>8718</v>
      </c>
      <c r="G250" t="str">
        <f>"SERVICE 08/07/17"</f>
        <v>SERVICE 08/07/17</v>
      </c>
      <c r="H250" s="2">
        <v>240</v>
      </c>
      <c r="I250" t="str">
        <f>"SERVICE 08/07/17"</f>
        <v>SERVICE 08/07/17</v>
      </c>
    </row>
    <row r="251" spans="1:10" x14ac:dyDescent="0.3">
      <c r="A251" t="str">
        <f>"BASCO"</f>
        <v>BASCO</v>
      </c>
      <c r="B251" t="s">
        <v>55</v>
      </c>
      <c r="C251">
        <v>73194</v>
      </c>
      <c r="D251" s="2">
        <v>385.67</v>
      </c>
      <c r="E251" s="1">
        <v>43031</v>
      </c>
      <c r="F251" t="str">
        <f>"201710125605"</f>
        <v>201710125605</v>
      </c>
      <c r="G251" t="str">
        <f>"ACCT#BC01/OFFICE SUPPLIES"</f>
        <v>ACCT#BC01/OFFICE SUPPLIES</v>
      </c>
      <c r="H251" s="2">
        <v>331.67</v>
      </c>
      <c r="I251" t="str">
        <f>"ACCT#BC01/OFFICE SUPPLIES"</f>
        <v>ACCT#BC01/OFFICE SUPPLIES</v>
      </c>
    </row>
    <row r="252" spans="1:10" x14ac:dyDescent="0.3">
      <c r="A252" t="str">
        <f>""</f>
        <v/>
      </c>
      <c r="F252" t="str">
        <f>""</f>
        <v/>
      </c>
      <c r="G252" t="str">
        <f>""</f>
        <v/>
      </c>
      <c r="I252" t="str">
        <f>"ACCT#BC01/OFFICE SUPPLIES"</f>
        <v>ACCT#BC01/OFFICE SUPPLIES</v>
      </c>
    </row>
    <row r="253" spans="1:10" x14ac:dyDescent="0.3">
      <c r="A253" t="str">
        <f>""</f>
        <v/>
      </c>
      <c r="F253" t="str">
        <f>""</f>
        <v/>
      </c>
      <c r="G253" t="str">
        <f>""</f>
        <v/>
      </c>
      <c r="I253" t="str">
        <f>"ACCT#BC01/OFFICE SUPPLIES"</f>
        <v>ACCT#BC01/OFFICE SUPPLIES</v>
      </c>
    </row>
    <row r="254" spans="1:10" x14ac:dyDescent="0.3">
      <c r="A254" t="str">
        <f>""</f>
        <v/>
      </c>
      <c r="F254" t="str">
        <f>"201710135616"</f>
        <v>201710135616</v>
      </c>
      <c r="G254" t="str">
        <f>"ACCT#BC01/SUPPLIES/PCT#2"</f>
        <v>ACCT#BC01/SUPPLIES/PCT#2</v>
      </c>
      <c r="H254" s="2">
        <v>54</v>
      </c>
      <c r="I254" t="str">
        <f>"ACCT#BC01/SUPPLIES/PCT#2"</f>
        <v>ACCT#BC01/SUPPLIES/PCT#2</v>
      </c>
    </row>
    <row r="255" spans="1:10" x14ac:dyDescent="0.3">
      <c r="A255" t="str">
        <f>"BCPD"</f>
        <v>BCPD</v>
      </c>
      <c r="B255" t="s">
        <v>56</v>
      </c>
      <c r="C255">
        <v>72936</v>
      </c>
      <c r="D255" s="2">
        <v>74704.5</v>
      </c>
      <c r="E255" s="1">
        <v>43018</v>
      </c>
      <c r="F255" t="str">
        <f>"1ST QTR FY 2018"</f>
        <v>1ST QTR FY 2018</v>
      </c>
      <c r="G255" t="str">
        <f>"REVENUE BASTROP"</f>
        <v>REVENUE BASTROP</v>
      </c>
      <c r="H255" s="2">
        <v>74704.5</v>
      </c>
      <c r="I255" t="str">
        <f>"REVENUE BASTROP"</f>
        <v>REVENUE BASTROP</v>
      </c>
    </row>
    <row r="256" spans="1:10" x14ac:dyDescent="0.3">
      <c r="A256" t="str">
        <f>"T3799"</f>
        <v>T3799</v>
      </c>
      <c r="B256" t="s">
        <v>57</v>
      </c>
      <c r="C256">
        <v>73195</v>
      </c>
      <c r="D256" s="2">
        <v>956.37</v>
      </c>
      <c r="E256" s="1">
        <v>43031</v>
      </c>
      <c r="F256" t="str">
        <f>"166"</f>
        <v>166</v>
      </c>
      <c r="G256" t="str">
        <f>"GAS/BASTROP CO ESS/911 ADDRESS"</f>
        <v>GAS/BASTROP CO ESS/911 ADDRESS</v>
      </c>
      <c r="H256" s="2">
        <v>956.37</v>
      </c>
      <c r="I256" t="str">
        <f>"GAS/BASTROP CO ESS/911 ADDRESS"</f>
        <v>GAS/BASTROP CO ESS/911 ADDRESS</v>
      </c>
    </row>
    <row r="257" spans="1:9" x14ac:dyDescent="0.3">
      <c r="A257" t="str">
        <f>"T13544"</f>
        <v>T13544</v>
      </c>
      <c r="B257" t="s">
        <v>58</v>
      </c>
      <c r="C257">
        <v>999999</v>
      </c>
      <c r="D257" s="2">
        <v>69.27</v>
      </c>
      <c r="E257" s="1">
        <v>43019</v>
      </c>
      <c r="F257" t="str">
        <f>"201710045370"</f>
        <v>201710045370</v>
      </c>
      <c r="G257" t="str">
        <f>"INDIGENT HEALTH"</f>
        <v>INDIGENT HEALTH</v>
      </c>
      <c r="H257" s="2">
        <v>69.27</v>
      </c>
      <c r="I257" t="str">
        <f>"INDIGENT HEALTH"</f>
        <v>INDIGENT HEALTH</v>
      </c>
    </row>
    <row r="258" spans="1:9" x14ac:dyDescent="0.3">
      <c r="A258" t="str">
        <f>""</f>
        <v/>
      </c>
      <c r="F258" t="str">
        <f>""</f>
        <v/>
      </c>
      <c r="G258" t="str">
        <f>""</f>
        <v/>
      </c>
      <c r="I258" t="str">
        <f>"INDIGENT HEALTH"</f>
        <v>INDIGENT HEALTH</v>
      </c>
    </row>
    <row r="259" spans="1:9" x14ac:dyDescent="0.3">
      <c r="A259" t="str">
        <f>"000719"</f>
        <v>000719</v>
      </c>
      <c r="B259" t="s">
        <v>59</v>
      </c>
      <c r="C259">
        <v>72937</v>
      </c>
      <c r="D259" s="2">
        <v>118.5</v>
      </c>
      <c r="E259" s="1">
        <v>43018</v>
      </c>
      <c r="F259" t="str">
        <f>"201709285180"</f>
        <v>201709285180</v>
      </c>
      <c r="G259" t="str">
        <f>"SPARK PLUGS/PCT#3"</f>
        <v>SPARK PLUGS/PCT#3</v>
      </c>
      <c r="H259" s="2">
        <v>8.5</v>
      </c>
      <c r="I259" t="str">
        <f>"SPARK PLUGS/PCT#3"</f>
        <v>SPARK PLUGS/PCT#3</v>
      </c>
    </row>
    <row r="260" spans="1:9" x14ac:dyDescent="0.3">
      <c r="A260" t="str">
        <f>""</f>
        <v/>
      </c>
      <c r="F260" t="str">
        <f>"201710045270"</f>
        <v>201710045270</v>
      </c>
      <c r="G260" t="str">
        <f>"FUEL/OIL/PCT#3"</f>
        <v>FUEL/OIL/PCT#3</v>
      </c>
      <c r="H260" s="2">
        <v>77.5</v>
      </c>
      <c r="I260" t="str">
        <f>"FUEL/OIL/PCT#3"</f>
        <v>FUEL/OIL/PCT#3</v>
      </c>
    </row>
    <row r="261" spans="1:9" x14ac:dyDescent="0.3">
      <c r="A261" t="str">
        <f>""</f>
        <v/>
      </c>
      <c r="F261" t="str">
        <f>"201710045271"</f>
        <v>201710045271</v>
      </c>
      <c r="G261" t="str">
        <f>"ROLL OF LINE/PCT#3"</f>
        <v>ROLL OF LINE/PCT#3</v>
      </c>
      <c r="H261" s="2">
        <v>32.5</v>
      </c>
      <c r="I261" t="str">
        <f>"ROLL OF LINE/PCT#3"</f>
        <v>ROLL OF LINE/PCT#3</v>
      </c>
    </row>
    <row r="262" spans="1:9" x14ac:dyDescent="0.3">
      <c r="A262" t="str">
        <f>"000719"</f>
        <v>000719</v>
      </c>
      <c r="B262" t="s">
        <v>59</v>
      </c>
      <c r="C262">
        <v>73196</v>
      </c>
      <c r="D262" s="2">
        <v>200.01</v>
      </c>
      <c r="E262" s="1">
        <v>43031</v>
      </c>
      <c r="F262" t="str">
        <f>"201710175707"</f>
        <v>201710175707</v>
      </c>
      <c r="G262" t="str">
        <f>"SUPPLIES/GEN SVCS"</f>
        <v>SUPPLIES/GEN SVCS</v>
      </c>
      <c r="H262" s="2">
        <v>57.06</v>
      </c>
      <c r="I262" t="str">
        <f>"SUPPLIES/GEN SVCS"</f>
        <v>SUPPLIES/GEN SVCS</v>
      </c>
    </row>
    <row r="263" spans="1:9" x14ac:dyDescent="0.3">
      <c r="A263" t="str">
        <f>""</f>
        <v/>
      </c>
      <c r="F263" t="str">
        <f>"201710175708"</f>
        <v>201710175708</v>
      </c>
      <c r="G263" t="str">
        <f>"SPRINGS/GEN SVCS"</f>
        <v>SPRINGS/GEN SVCS</v>
      </c>
      <c r="H263" s="2">
        <v>9</v>
      </c>
      <c r="I263" t="str">
        <f>"SPRINGS/GEN SVCS"</f>
        <v>SPRINGS/GEN SVCS</v>
      </c>
    </row>
    <row r="264" spans="1:9" x14ac:dyDescent="0.3">
      <c r="A264" t="str">
        <f>""</f>
        <v/>
      </c>
      <c r="F264" t="str">
        <f>"201710185827"</f>
        <v>201710185827</v>
      </c>
      <c r="G264" t="str">
        <f>"CAPS/SPRING/GENERAL SVCS"</f>
        <v>CAPS/SPRING/GENERAL SVCS</v>
      </c>
      <c r="H264" s="2">
        <v>30.68</v>
      </c>
      <c r="I264" t="str">
        <f>"CAPS/SPRING/GENERAL SVCS"</f>
        <v>CAPS/SPRING/GENERAL SVCS</v>
      </c>
    </row>
    <row r="265" spans="1:9" x14ac:dyDescent="0.3">
      <c r="A265" t="str">
        <f>""</f>
        <v/>
      </c>
      <c r="F265" t="str">
        <f>"5617"</f>
        <v>5617</v>
      </c>
      <c r="G265" t="str">
        <f>"ROPE/LABOR/PCT#3"</f>
        <v>ROPE/LABOR/PCT#3</v>
      </c>
      <c r="H265" s="2">
        <v>17</v>
      </c>
      <c r="I265" t="str">
        <f>"ROPE/LABOR/PCT#3"</f>
        <v>ROPE/LABOR/PCT#3</v>
      </c>
    </row>
    <row r="266" spans="1:9" x14ac:dyDescent="0.3">
      <c r="A266" t="str">
        <f>""</f>
        <v/>
      </c>
      <c r="F266" t="str">
        <f>"5735"</f>
        <v>5735</v>
      </c>
      <c r="G266" t="str">
        <f>"BEARING SABJK"</f>
        <v>BEARING SABJK</v>
      </c>
      <c r="H266" s="2">
        <v>86.27</v>
      </c>
      <c r="I266" t="str">
        <f>"BEARING SABJK"</f>
        <v>BEARING SABJK</v>
      </c>
    </row>
    <row r="267" spans="1:9" x14ac:dyDescent="0.3">
      <c r="A267" t="str">
        <f>"001542"</f>
        <v>001542</v>
      </c>
      <c r="B267" t="s">
        <v>60</v>
      </c>
      <c r="C267">
        <v>999999</v>
      </c>
      <c r="D267" s="2">
        <v>2465</v>
      </c>
      <c r="E267" s="1">
        <v>43019</v>
      </c>
      <c r="F267" t="str">
        <f>"2017093"</f>
        <v>2017093</v>
      </c>
      <c r="G267" t="str">
        <f>"TRANSPORT-S.KENNEDY"</f>
        <v>TRANSPORT-S.KENNEDY</v>
      </c>
      <c r="H267" s="2">
        <v>495</v>
      </c>
      <c r="I267" t="str">
        <f>"TRANSPORT-S.KENNEDY"</f>
        <v>TRANSPORT-S.KENNEDY</v>
      </c>
    </row>
    <row r="268" spans="1:9" x14ac:dyDescent="0.3">
      <c r="A268" t="str">
        <f>""</f>
        <v/>
      </c>
      <c r="F268" t="str">
        <f>"2017094"</f>
        <v>2017094</v>
      </c>
      <c r="G268" t="str">
        <f>"TRANSPORT-M.ACOSTA"</f>
        <v>TRANSPORT-M.ACOSTA</v>
      </c>
      <c r="H268" s="2">
        <v>390</v>
      </c>
      <c r="I268" t="str">
        <f>"TRANSPORT-M.ACOSTA"</f>
        <v>TRANSPORT-M.ACOSTA</v>
      </c>
    </row>
    <row r="269" spans="1:9" x14ac:dyDescent="0.3">
      <c r="A269" t="str">
        <f>""</f>
        <v/>
      </c>
      <c r="F269" t="str">
        <f>"2017095"</f>
        <v>2017095</v>
      </c>
      <c r="G269" t="str">
        <f>"TRANSPORT-N. SLATER"</f>
        <v>TRANSPORT-N. SLATER</v>
      </c>
      <c r="H269" s="2">
        <v>495</v>
      </c>
      <c r="I269" t="str">
        <f>"TRANSPORT-N. SLATER"</f>
        <v>TRANSPORT-N. SLATER</v>
      </c>
    </row>
    <row r="270" spans="1:9" x14ac:dyDescent="0.3">
      <c r="A270" t="str">
        <f>""</f>
        <v/>
      </c>
      <c r="F270" t="str">
        <f>"2017103"</f>
        <v>2017103</v>
      </c>
      <c r="G270" t="str">
        <f>"TRANSPORT - I. FIEBRICH"</f>
        <v>TRANSPORT - I. FIEBRICH</v>
      </c>
      <c r="H270" s="2">
        <v>400</v>
      </c>
      <c r="I270" t="str">
        <f>"TRANSPORT - I. FIEBRICH"</f>
        <v>TRANSPORT - I. FIEBRICH</v>
      </c>
    </row>
    <row r="271" spans="1:9" x14ac:dyDescent="0.3">
      <c r="A271" t="str">
        <f>""</f>
        <v/>
      </c>
      <c r="F271" t="str">
        <f>"2017107"</f>
        <v>2017107</v>
      </c>
      <c r="G271" t="str">
        <f>"TRANSPORT-N.HAZELTON"</f>
        <v>TRANSPORT-N.HAZELTON</v>
      </c>
      <c r="H271" s="2">
        <v>295</v>
      </c>
      <c r="I271" t="str">
        <f>"TRANSPORT-N.HAZELTON"</f>
        <v>TRANSPORT-N.HAZELTON</v>
      </c>
    </row>
    <row r="272" spans="1:9" x14ac:dyDescent="0.3">
      <c r="A272" t="str">
        <f>""</f>
        <v/>
      </c>
      <c r="F272" t="str">
        <f>"2017109"</f>
        <v>2017109</v>
      </c>
      <c r="G272" t="str">
        <f>"TRANSPORT-I.MARTINEZ"</f>
        <v>TRANSPORT-I.MARTINEZ</v>
      </c>
      <c r="H272" s="2">
        <v>390</v>
      </c>
      <c r="I272" t="str">
        <f>"TRANSPORT-I.MARTINEZ"</f>
        <v>TRANSPORT-I.MARTINEZ</v>
      </c>
    </row>
    <row r="273" spans="1:9" x14ac:dyDescent="0.3">
      <c r="A273" t="str">
        <f>"001542"</f>
        <v>001542</v>
      </c>
      <c r="B273" t="s">
        <v>60</v>
      </c>
      <c r="C273">
        <v>999999</v>
      </c>
      <c r="D273" s="2">
        <v>1580</v>
      </c>
      <c r="E273" s="1">
        <v>43032</v>
      </c>
      <c r="F273" t="str">
        <f>"2017111"</f>
        <v>2017111</v>
      </c>
      <c r="G273" t="str">
        <f>"TRANSPORT-R. WENDEL"</f>
        <v>TRANSPORT-R. WENDEL</v>
      </c>
      <c r="H273" s="2">
        <v>400</v>
      </c>
      <c r="I273" t="str">
        <f>"TRANSPORT-R. WENDEL"</f>
        <v>TRANSPORT-R. WENDEL</v>
      </c>
    </row>
    <row r="274" spans="1:9" x14ac:dyDescent="0.3">
      <c r="A274" t="str">
        <f>""</f>
        <v/>
      </c>
      <c r="F274" t="str">
        <f>"2017114"</f>
        <v>2017114</v>
      </c>
      <c r="G274" t="str">
        <f>"TRANSPORT-A. SAMPSON"</f>
        <v>TRANSPORT-A. SAMPSON</v>
      </c>
      <c r="H274" s="2">
        <v>400</v>
      </c>
      <c r="I274" t="str">
        <f>"TRANSPORT-A. SAMPSON"</f>
        <v>TRANSPORT-A. SAMPSON</v>
      </c>
    </row>
    <row r="275" spans="1:9" x14ac:dyDescent="0.3">
      <c r="A275" t="str">
        <f>""</f>
        <v/>
      </c>
      <c r="F275" t="str">
        <f>"2017115"</f>
        <v>2017115</v>
      </c>
      <c r="G275" t="str">
        <f>"TRANSPORT-A. SALEH"</f>
        <v>TRANSPORT-A. SALEH</v>
      </c>
      <c r="H275" s="2">
        <v>390</v>
      </c>
      <c r="I275" t="str">
        <f>"TRANSPORT-A. SALEH"</f>
        <v>TRANSPORT-A. SALEH</v>
      </c>
    </row>
    <row r="276" spans="1:9" x14ac:dyDescent="0.3">
      <c r="A276" t="str">
        <f>""</f>
        <v/>
      </c>
      <c r="F276" t="str">
        <f>"2017124"</f>
        <v>2017124</v>
      </c>
      <c r="G276" t="str">
        <f>"TRANSPORT-K. MORGAN"</f>
        <v>TRANSPORT-K. MORGAN</v>
      </c>
      <c r="H276" s="2">
        <v>390</v>
      </c>
      <c r="I276" t="str">
        <f>"TRANSPORT-K. MORGAN"</f>
        <v>TRANSPORT-K. MORGAN</v>
      </c>
    </row>
    <row r="277" spans="1:9" x14ac:dyDescent="0.3">
      <c r="A277" t="str">
        <f>"000485"</f>
        <v>000485</v>
      </c>
      <c r="B277" t="s">
        <v>61</v>
      </c>
      <c r="C277">
        <v>72938</v>
      </c>
      <c r="D277" s="2">
        <v>2200</v>
      </c>
      <c r="E277" s="1">
        <v>43018</v>
      </c>
      <c r="F277" t="str">
        <f>"4869R"</f>
        <v>4869R</v>
      </c>
      <c r="G277" t="str">
        <f>"REMOVE TREES/PCT#1"</f>
        <v>REMOVE TREES/PCT#1</v>
      </c>
      <c r="H277" s="2">
        <v>2200</v>
      </c>
      <c r="I277" t="str">
        <f>"REMOVE TREES/PCT#1"</f>
        <v>REMOVE TREES/PCT#1</v>
      </c>
    </row>
    <row r="278" spans="1:9" x14ac:dyDescent="0.3">
      <c r="A278" t="str">
        <f>"BVH"</f>
        <v>BVH</v>
      </c>
      <c r="B278" t="s">
        <v>62</v>
      </c>
      <c r="C278">
        <v>72939</v>
      </c>
      <c r="D278" s="2">
        <v>199.69</v>
      </c>
      <c r="E278" s="1">
        <v>43018</v>
      </c>
      <c r="F278" t="str">
        <f>"1093303"</f>
        <v>1093303</v>
      </c>
      <c r="G278" t="str">
        <f>"INV 1093303"</f>
        <v>INV 1093303</v>
      </c>
      <c r="H278" s="2">
        <v>199.69</v>
      </c>
      <c r="I278" t="str">
        <f>"INV 1093303"</f>
        <v>INV 1093303</v>
      </c>
    </row>
    <row r="279" spans="1:9" x14ac:dyDescent="0.3">
      <c r="A279" t="str">
        <f>"000110"</f>
        <v>000110</v>
      </c>
      <c r="B279" t="s">
        <v>63</v>
      </c>
      <c r="C279">
        <v>999999</v>
      </c>
      <c r="D279" s="2">
        <v>1050</v>
      </c>
      <c r="E279" s="1">
        <v>43032</v>
      </c>
      <c r="F279" t="str">
        <f>"BACKGROUND CHECKS"</f>
        <v>BACKGROUND CHECKS</v>
      </c>
      <c r="G279" t="str">
        <f>"SEPTEMBER BACKGROUNDS"</f>
        <v>SEPTEMBER BACKGROUNDS</v>
      </c>
      <c r="H279" s="2">
        <v>1050</v>
      </c>
      <c r="I279" t="str">
        <f>"BACKGROUND - LE"</f>
        <v>BACKGROUND - LE</v>
      </c>
    </row>
    <row r="280" spans="1:9" x14ac:dyDescent="0.3">
      <c r="A280" t="str">
        <f>""</f>
        <v/>
      </c>
      <c r="F280" t="str">
        <f>""</f>
        <v/>
      </c>
      <c r="G280" t="str">
        <f>""</f>
        <v/>
      </c>
      <c r="I280" t="str">
        <f>"BACKGROUND JAIL"</f>
        <v>BACKGROUND JAIL</v>
      </c>
    </row>
    <row r="281" spans="1:9" x14ac:dyDescent="0.3">
      <c r="A281" t="str">
        <f>"KEITH"</f>
        <v>KEITH</v>
      </c>
      <c r="B281" t="s">
        <v>64</v>
      </c>
      <c r="C281">
        <v>72940</v>
      </c>
      <c r="D281" s="2">
        <v>1442.98</v>
      </c>
      <c r="E281" s="1">
        <v>43018</v>
      </c>
      <c r="F281" t="str">
        <f>"4455555"</f>
        <v>4455555</v>
      </c>
      <c r="G281" t="str">
        <f>"INV 4455555"</f>
        <v>INV 4455555</v>
      </c>
      <c r="H281" s="2">
        <v>735.81</v>
      </c>
      <c r="I281" t="str">
        <f>"INV 4455555"</f>
        <v>INV 4455555</v>
      </c>
    </row>
    <row r="282" spans="1:9" x14ac:dyDescent="0.3">
      <c r="A282" t="str">
        <f>""</f>
        <v/>
      </c>
      <c r="F282" t="str">
        <f>"74448015"</f>
        <v>74448015</v>
      </c>
      <c r="G282" t="str">
        <f>"INV 74448015"</f>
        <v>INV 74448015</v>
      </c>
      <c r="H282" s="2">
        <v>707.17</v>
      </c>
      <c r="I282" t="str">
        <f>"INV 74448015"</f>
        <v>INV 74448015</v>
      </c>
    </row>
    <row r="283" spans="1:9" x14ac:dyDescent="0.3">
      <c r="A283" t="str">
        <f>"KEITH"</f>
        <v>KEITH</v>
      </c>
      <c r="B283" t="s">
        <v>64</v>
      </c>
      <c r="C283">
        <v>73197</v>
      </c>
      <c r="D283" s="2">
        <v>2112.86</v>
      </c>
      <c r="E283" s="1">
        <v>43031</v>
      </c>
      <c r="F283" t="str">
        <f>"74470873/74463816"</f>
        <v>74470873/74463816</v>
      </c>
      <c r="G283" t="str">
        <f>"INV 74470873"</f>
        <v>INV 74470873</v>
      </c>
      <c r="H283" s="2">
        <v>2112.86</v>
      </c>
      <c r="I283" t="str">
        <f>"INV 74470873"</f>
        <v>INV 74470873</v>
      </c>
    </row>
    <row r="284" spans="1:9" x14ac:dyDescent="0.3">
      <c r="A284" t="str">
        <f>""</f>
        <v/>
      </c>
      <c r="F284" t="str">
        <f>""</f>
        <v/>
      </c>
      <c r="G284" t="str">
        <f>""</f>
        <v/>
      </c>
      <c r="I284" t="str">
        <f>"INV 74463816"</f>
        <v>INV 74463816</v>
      </c>
    </row>
    <row r="285" spans="1:9" x14ac:dyDescent="0.3">
      <c r="A285" t="str">
        <f>"004075"</f>
        <v>004075</v>
      </c>
      <c r="B285" t="s">
        <v>65</v>
      </c>
      <c r="C285">
        <v>999999</v>
      </c>
      <c r="D285" s="2">
        <v>2488.33</v>
      </c>
      <c r="E285" s="1">
        <v>43032</v>
      </c>
      <c r="F285" t="str">
        <f>"188541-00"</f>
        <v>188541-00</v>
      </c>
      <c r="G285" t="str">
        <f>"INV 188541-00"</f>
        <v>INV 188541-00</v>
      </c>
      <c r="H285" s="2">
        <v>2488.33</v>
      </c>
      <c r="I285" t="str">
        <f>"INV 188541-00"</f>
        <v>INV 188541-00</v>
      </c>
    </row>
    <row r="286" spans="1:9" x14ac:dyDescent="0.3">
      <c r="A286" t="str">
        <f>"001112"</f>
        <v>001112</v>
      </c>
      <c r="B286" t="s">
        <v>66</v>
      </c>
      <c r="C286">
        <v>73198</v>
      </c>
      <c r="D286" s="2">
        <v>438.99</v>
      </c>
      <c r="E286" s="1">
        <v>43031</v>
      </c>
      <c r="F286" t="str">
        <f>"14659"</f>
        <v>14659</v>
      </c>
      <c r="G286" t="str">
        <f>"GPS Camera &amp; Accessories"</f>
        <v>GPS Camera &amp; Accessories</v>
      </c>
      <c r="H286" s="2">
        <v>438.99</v>
      </c>
      <c r="I286" t="str">
        <f>"Item# BB20743201"</f>
        <v>Item# BB20743201</v>
      </c>
    </row>
    <row r="287" spans="1:9" x14ac:dyDescent="0.3">
      <c r="A287" t="str">
        <f>""</f>
        <v/>
      </c>
      <c r="F287" t="str">
        <f>""</f>
        <v/>
      </c>
      <c r="G287" t="str">
        <f>""</f>
        <v/>
      </c>
      <c r="I287" t="str">
        <f>"Item# bb11869186"</f>
        <v>Item# bb11869186</v>
      </c>
    </row>
    <row r="288" spans="1:9" x14ac:dyDescent="0.3">
      <c r="A288" t="str">
        <f>""</f>
        <v/>
      </c>
      <c r="F288" t="str">
        <f>""</f>
        <v/>
      </c>
      <c r="G288" t="str">
        <f>""</f>
        <v/>
      </c>
      <c r="I288" t="str">
        <f>"Shipping"</f>
        <v>Shipping</v>
      </c>
    </row>
    <row r="289" spans="1:10" x14ac:dyDescent="0.3">
      <c r="A289" t="str">
        <f>"T12436"</f>
        <v>T12436</v>
      </c>
      <c r="B289" t="s">
        <v>67</v>
      </c>
      <c r="C289">
        <v>999999</v>
      </c>
      <c r="D289" s="2">
        <v>800</v>
      </c>
      <c r="E289" s="1">
        <v>43019</v>
      </c>
      <c r="F289" t="str">
        <f>"201710045287"</f>
        <v>201710045287</v>
      </c>
      <c r="G289" t="str">
        <f>"CAUSE#15-17246/MEDIATION SVCS"</f>
        <v>CAUSE#15-17246/MEDIATION SVCS</v>
      </c>
      <c r="H289" s="2">
        <v>500</v>
      </c>
      <c r="I289" t="str">
        <f>"CAUSE#15-17246"</f>
        <v>CAUSE#15-17246</v>
      </c>
    </row>
    <row r="290" spans="1:10" x14ac:dyDescent="0.3">
      <c r="A290" t="str">
        <f>""</f>
        <v/>
      </c>
      <c r="F290" t="str">
        <f>"201710045288"</f>
        <v>201710045288</v>
      </c>
      <c r="G290" t="str">
        <f>"CAUSE#3SC-06-17/MEDIATION SVCS"</f>
        <v>CAUSE#3SC-06-17/MEDIATION SVCS</v>
      </c>
      <c r="H290" s="2">
        <v>300</v>
      </c>
      <c r="I290" t="str">
        <f>"CAUSE#3SC-06-17/MEDIATION SVCS"</f>
        <v>CAUSE#3SC-06-17/MEDIATION SVCS</v>
      </c>
    </row>
    <row r="291" spans="1:10" x14ac:dyDescent="0.3">
      <c r="A291" t="str">
        <f>"002443"</f>
        <v>002443</v>
      </c>
      <c r="B291" t="s">
        <v>68</v>
      </c>
      <c r="C291">
        <v>72941</v>
      </c>
      <c r="D291" s="2">
        <v>480</v>
      </c>
      <c r="E291" s="1">
        <v>43018</v>
      </c>
      <c r="F291" t="str">
        <f>"8718"</f>
        <v>8718</v>
      </c>
      <c r="G291" t="str">
        <f>"SERVICE  08/07/17"</f>
        <v>SERVICE  08/07/17</v>
      </c>
      <c r="H291" s="2">
        <v>480</v>
      </c>
      <c r="I291" t="str">
        <f>"SERVICE  08/07/17"</f>
        <v>SERVICE  08/07/17</v>
      </c>
    </row>
    <row r="292" spans="1:10" x14ac:dyDescent="0.3">
      <c r="A292" t="str">
        <f>"002443"</f>
        <v>002443</v>
      </c>
      <c r="B292" t="s">
        <v>68</v>
      </c>
      <c r="C292">
        <v>73388</v>
      </c>
      <c r="D292" s="2">
        <v>300</v>
      </c>
      <c r="E292" s="1">
        <v>43038</v>
      </c>
      <c r="F292" t="s">
        <v>51</v>
      </c>
      <c r="G292" t="s">
        <v>69</v>
      </c>
      <c r="H292" s="2" t="str">
        <f>"Cause 12 447 Service 06/14/17"</f>
        <v>Cause 12 447 Service 06/14/17</v>
      </c>
      <c r="I292" t="str">
        <f>"995-4110"</f>
        <v>995-4110</v>
      </c>
      <c r="J292">
        <v>75</v>
      </c>
    </row>
    <row r="293" spans="1:10" x14ac:dyDescent="0.3">
      <c r="A293" t="str">
        <f>""</f>
        <v/>
      </c>
      <c r="F293" t="str">
        <f>"12480 Reissue"</f>
        <v>12480 Reissue</v>
      </c>
      <c r="G293" t="str">
        <f>"Cause 12480 Service 06/14/17"</f>
        <v>Cause 12480 Service 06/14/17</v>
      </c>
      <c r="H293" s="2">
        <v>225</v>
      </c>
      <c r="I293" t="str">
        <f>"Cause 12480 Service 06/14/17"</f>
        <v>Cause 12480 Service 06/14/17</v>
      </c>
    </row>
    <row r="294" spans="1:10" x14ac:dyDescent="0.3">
      <c r="A294" t="str">
        <f>"T2043"</f>
        <v>T2043</v>
      </c>
      <c r="B294" t="s">
        <v>70</v>
      </c>
      <c r="C294">
        <v>999999</v>
      </c>
      <c r="D294" s="2">
        <v>300</v>
      </c>
      <c r="E294" s="1">
        <v>43032</v>
      </c>
      <c r="F294" t="str">
        <f>"104745"</f>
        <v>104745</v>
      </c>
      <c r="G294" t="str">
        <f>"PROFESSIONAL SVCS"</f>
        <v>PROFESSIONAL SVCS</v>
      </c>
      <c r="H294" s="2">
        <v>300</v>
      </c>
      <c r="I294" t="str">
        <f>"PROFESSIONAL SVCS"</f>
        <v>PROFESSIONAL SVCS</v>
      </c>
    </row>
    <row r="295" spans="1:10" x14ac:dyDescent="0.3">
      <c r="A295" t="str">
        <f>"004147"</f>
        <v>004147</v>
      </c>
      <c r="B295" t="s">
        <v>71</v>
      </c>
      <c r="C295">
        <v>72942</v>
      </c>
      <c r="D295" s="2">
        <v>2288.89</v>
      </c>
      <c r="E295" s="1">
        <v>43018</v>
      </c>
      <c r="F295" t="str">
        <f>"4132"</f>
        <v>4132</v>
      </c>
      <c r="G295" t="str">
        <f>"2003 FORD/PCT#4"</f>
        <v>2003 FORD/PCT#4</v>
      </c>
      <c r="H295" s="2">
        <v>2288.89</v>
      </c>
      <c r="I295" t="str">
        <f>"2003 FORD/PCT#4"</f>
        <v>2003 FORD/PCT#4</v>
      </c>
    </row>
    <row r="296" spans="1:10" x14ac:dyDescent="0.3">
      <c r="A296" t="str">
        <f>"000593"</f>
        <v>000593</v>
      </c>
      <c r="B296" t="s">
        <v>72</v>
      </c>
      <c r="C296">
        <v>72943</v>
      </c>
      <c r="D296" s="2">
        <v>904.2</v>
      </c>
      <c r="E296" s="1">
        <v>43018</v>
      </c>
      <c r="F296" t="str">
        <f>"84078930033/0118"</f>
        <v>84078930033/0118</v>
      </c>
      <c r="G296" t="str">
        <f>"BIMBO FOODS INC"</f>
        <v>BIMBO FOODS INC</v>
      </c>
      <c r="H296" s="2">
        <v>639.20000000000005</v>
      </c>
      <c r="I296" t="str">
        <f>"INV 84078930033"</f>
        <v>INV 84078930033</v>
      </c>
    </row>
    <row r="297" spans="1:10" x14ac:dyDescent="0.3">
      <c r="A297" t="str">
        <f>""</f>
        <v/>
      </c>
      <c r="F297" t="str">
        <f>""</f>
        <v/>
      </c>
      <c r="G297" t="str">
        <f>""</f>
        <v/>
      </c>
      <c r="I297" t="str">
        <f>"INV 84078930118"</f>
        <v>INV 84078930118</v>
      </c>
    </row>
    <row r="298" spans="1:10" x14ac:dyDescent="0.3">
      <c r="A298" t="str">
        <f>""</f>
        <v/>
      </c>
      <c r="F298" t="str">
        <f>"84078930211"</f>
        <v>84078930211</v>
      </c>
      <c r="G298" t="str">
        <f>"INV 84078930211"</f>
        <v>INV 84078930211</v>
      </c>
      <c r="H298" s="2">
        <v>265</v>
      </c>
      <c r="I298" t="str">
        <f>"INV 84078930211"</f>
        <v>INV 84078930211</v>
      </c>
    </row>
    <row r="299" spans="1:10" x14ac:dyDescent="0.3">
      <c r="A299" t="str">
        <f>"000593"</f>
        <v>000593</v>
      </c>
      <c r="B299" t="s">
        <v>72</v>
      </c>
      <c r="C299">
        <v>73199</v>
      </c>
      <c r="D299" s="2">
        <v>299.48</v>
      </c>
      <c r="E299" s="1">
        <v>43031</v>
      </c>
      <c r="F299" t="str">
        <f>"84078930304"</f>
        <v>84078930304</v>
      </c>
      <c r="G299" t="str">
        <f>"INV 84078930304"</f>
        <v>INV 84078930304</v>
      </c>
      <c r="H299" s="2">
        <v>299.48</v>
      </c>
      <c r="I299" t="str">
        <f>"INV 84078930304"</f>
        <v>INV 84078930304</v>
      </c>
    </row>
    <row r="300" spans="1:10" x14ac:dyDescent="0.3">
      <c r="A300" t="str">
        <f>"003732"</f>
        <v>003732</v>
      </c>
      <c r="B300" t="s">
        <v>73</v>
      </c>
      <c r="C300">
        <v>999999</v>
      </c>
      <c r="D300" s="2">
        <v>200</v>
      </c>
      <c r="E300" s="1">
        <v>43019</v>
      </c>
      <c r="F300" t="str">
        <f>"201710045310"</f>
        <v>201710045310</v>
      </c>
      <c r="G300" t="str">
        <f>"J.3081"</f>
        <v>J.3081</v>
      </c>
      <c r="H300" s="2">
        <v>100</v>
      </c>
      <c r="I300" t="str">
        <f>"J.3081"</f>
        <v>J.3081</v>
      </c>
    </row>
    <row r="301" spans="1:10" x14ac:dyDescent="0.3">
      <c r="A301" t="str">
        <f>""</f>
        <v/>
      </c>
      <c r="F301" t="str">
        <f>"201710045311"</f>
        <v>201710045311</v>
      </c>
      <c r="G301" t="str">
        <f>"17-18616"</f>
        <v>17-18616</v>
      </c>
      <c r="H301" s="2">
        <v>100</v>
      </c>
      <c r="I301" t="str">
        <f>"17-18616"</f>
        <v>17-18616</v>
      </c>
    </row>
    <row r="302" spans="1:10" x14ac:dyDescent="0.3">
      <c r="A302" t="str">
        <f>"003732"</f>
        <v>003732</v>
      </c>
      <c r="B302" t="s">
        <v>73</v>
      </c>
      <c r="C302">
        <v>999999</v>
      </c>
      <c r="D302" s="2">
        <v>556.25</v>
      </c>
      <c r="E302" s="1">
        <v>43032</v>
      </c>
      <c r="F302" t="str">
        <f>"201710185753"</f>
        <v>201710185753</v>
      </c>
      <c r="G302" t="str">
        <f>"17-18564"</f>
        <v>17-18564</v>
      </c>
      <c r="H302" s="2">
        <v>206.25</v>
      </c>
      <c r="I302" t="str">
        <f>"17-18564"</f>
        <v>17-18564</v>
      </c>
    </row>
    <row r="303" spans="1:10" x14ac:dyDescent="0.3">
      <c r="A303" t="str">
        <f>""</f>
        <v/>
      </c>
      <c r="F303" t="str">
        <f>"201710185754"</f>
        <v>201710185754</v>
      </c>
      <c r="G303" t="str">
        <f>"17-18622"</f>
        <v>17-18622</v>
      </c>
      <c r="H303" s="2">
        <v>100</v>
      </c>
      <c r="I303" t="str">
        <f>"17-18622"</f>
        <v>17-18622</v>
      </c>
    </row>
    <row r="304" spans="1:10" x14ac:dyDescent="0.3">
      <c r="A304" t="str">
        <f>""</f>
        <v/>
      </c>
      <c r="F304" t="str">
        <f>"201710185755"</f>
        <v>201710185755</v>
      </c>
      <c r="G304" t="str">
        <f>"55 368"</f>
        <v>55 368</v>
      </c>
      <c r="H304" s="2">
        <v>250</v>
      </c>
      <c r="I304" t="str">
        <f>"55 368"</f>
        <v>55 368</v>
      </c>
    </row>
    <row r="305" spans="1:10" x14ac:dyDescent="0.3">
      <c r="A305" t="str">
        <f>"005063"</f>
        <v>005063</v>
      </c>
      <c r="B305" t="s">
        <v>74</v>
      </c>
      <c r="C305">
        <v>999999</v>
      </c>
      <c r="D305" s="2">
        <v>3728</v>
      </c>
      <c r="E305" s="1">
        <v>43019</v>
      </c>
      <c r="F305" t="str">
        <f>"5070"</f>
        <v>5070</v>
      </c>
      <c r="G305" t="str">
        <f>"Ready Suit"</f>
        <v>Ready Suit</v>
      </c>
      <c r="H305" s="2">
        <v>3728</v>
      </c>
      <c r="I305" t="str">
        <f>"Ready Suit"</f>
        <v>Ready Suit</v>
      </c>
    </row>
    <row r="306" spans="1:10" x14ac:dyDescent="0.3">
      <c r="A306" t="str">
        <f>""</f>
        <v/>
      </c>
      <c r="F306" t="str">
        <f>""</f>
        <v/>
      </c>
      <c r="G306" t="str">
        <f>""</f>
        <v/>
      </c>
      <c r="I306" t="str">
        <f>"Shipping"</f>
        <v>Shipping</v>
      </c>
    </row>
    <row r="307" spans="1:10" x14ac:dyDescent="0.3">
      <c r="A307" t="str">
        <f>"005029"</f>
        <v>005029</v>
      </c>
      <c r="B307" t="s">
        <v>75</v>
      </c>
      <c r="C307">
        <v>72944</v>
      </c>
      <c r="D307" s="2">
        <v>40</v>
      </c>
      <c r="E307" s="1">
        <v>43018</v>
      </c>
      <c r="F307" t="s">
        <v>76</v>
      </c>
      <c r="G307" t="s">
        <v>77</v>
      </c>
      <c r="H307" s="2" t="str">
        <f>"RESTITUTION-P. BOATMAN"</f>
        <v>RESTITUTION-P. BOATMAN</v>
      </c>
      <c r="I307" t="str">
        <f>"210-0000"</f>
        <v>210-0000</v>
      </c>
      <c r="J307">
        <v>40</v>
      </c>
    </row>
    <row r="308" spans="1:10" x14ac:dyDescent="0.3">
      <c r="A308" t="str">
        <f>"BEC"</f>
        <v>BEC</v>
      </c>
      <c r="B308" t="s">
        <v>78</v>
      </c>
      <c r="C308">
        <v>73172</v>
      </c>
      <c r="D308" s="2">
        <v>3399.79</v>
      </c>
      <c r="E308" s="1">
        <v>43026</v>
      </c>
      <c r="F308" t="str">
        <f>"201710185849"</f>
        <v>201710185849</v>
      </c>
      <c r="G308" t="str">
        <f>"ACCT#5500033554 - 10/03/2017"</f>
        <v>ACCT#5500033554 - 10/03/2017</v>
      </c>
      <c r="H308" s="2">
        <v>30</v>
      </c>
      <c r="I308" t="str">
        <f>"BLUEBONNET ELECTRIC COOP"</f>
        <v>BLUEBONNET ELECTRIC COOP</v>
      </c>
    </row>
    <row r="309" spans="1:10" x14ac:dyDescent="0.3">
      <c r="A309" t="str">
        <f>""</f>
        <v/>
      </c>
      <c r="F309" t="str">
        <f>"201710185850"</f>
        <v>201710185850</v>
      </c>
      <c r="G309" t="str">
        <f>"ACCT#5000057374 - 10/03/2017"</f>
        <v>ACCT#5000057374 - 10/03/2017</v>
      </c>
      <c r="H309" s="2">
        <v>3369.79</v>
      </c>
      <c r="I309" t="str">
        <f>"BLUEBONNET ELECTRIC COOP"</f>
        <v>BLUEBONNET ELECTRIC COOP</v>
      </c>
    </row>
    <row r="310" spans="1:10" x14ac:dyDescent="0.3">
      <c r="A310" t="str">
        <f>""</f>
        <v/>
      </c>
      <c r="F310" t="str">
        <f>""</f>
        <v/>
      </c>
      <c r="G310" t="str">
        <f>""</f>
        <v/>
      </c>
      <c r="I310" t="str">
        <f>"BLUEBONNET ELECTRIC COOP"</f>
        <v>BLUEBONNET ELECTRIC COOP</v>
      </c>
    </row>
    <row r="311" spans="1:10" x14ac:dyDescent="0.3">
      <c r="A311" t="str">
        <f>""</f>
        <v/>
      </c>
      <c r="F311" t="str">
        <f>""</f>
        <v/>
      </c>
      <c r="G311" t="str">
        <f>""</f>
        <v/>
      </c>
      <c r="I311" t="str">
        <f>"BLUEBONNET ELECTRIC COOP"</f>
        <v>BLUEBONNET ELECTRIC COOP</v>
      </c>
    </row>
    <row r="312" spans="1:10" x14ac:dyDescent="0.3">
      <c r="A312" t="str">
        <f>""</f>
        <v/>
      </c>
      <c r="F312" t="str">
        <f>""</f>
        <v/>
      </c>
      <c r="G312" t="str">
        <f>""</f>
        <v/>
      </c>
      <c r="I312" t="str">
        <f>"BLUEBONNET ELECTRIC COOP"</f>
        <v>BLUEBONNET ELECTRIC COOP</v>
      </c>
    </row>
    <row r="313" spans="1:10" x14ac:dyDescent="0.3">
      <c r="A313" t="str">
        <f>"T5975"</f>
        <v>T5975</v>
      </c>
      <c r="B313" t="s">
        <v>79</v>
      </c>
      <c r="C313">
        <v>72945</v>
      </c>
      <c r="D313" s="2">
        <v>950</v>
      </c>
      <c r="E313" s="1">
        <v>43018</v>
      </c>
      <c r="F313" t="str">
        <f>"92017"</f>
        <v>92017</v>
      </c>
      <c r="G313" t="str">
        <f>"INV 92017"</f>
        <v>INV 92017</v>
      </c>
      <c r="H313" s="2">
        <v>950</v>
      </c>
      <c r="I313" t="str">
        <f>"INV 92017"</f>
        <v>INV 92017</v>
      </c>
    </row>
    <row r="314" spans="1:10" x14ac:dyDescent="0.3">
      <c r="A314" t="str">
        <f>"BBCI"</f>
        <v>BBCI</v>
      </c>
      <c r="B314" t="s">
        <v>80</v>
      </c>
      <c r="C314">
        <v>72946</v>
      </c>
      <c r="D314" s="2">
        <v>172.9</v>
      </c>
      <c r="E314" s="1">
        <v>43018</v>
      </c>
      <c r="F314" t="str">
        <f>"UT1000429150/1"</f>
        <v>UT1000429150/1</v>
      </c>
      <c r="G314" t="str">
        <f>"INV UT1000429151"</f>
        <v>INV UT1000429151</v>
      </c>
      <c r="H314" s="2">
        <v>172.9</v>
      </c>
      <c r="I314" t="str">
        <f>"INV UT1000429151"</f>
        <v>INV UT1000429151</v>
      </c>
    </row>
    <row r="315" spans="1:10" x14ac:dyDescent="0.3">
      <c r="A315" t="str">
        <f>""</f>
        <v/>
      </c>
      <c r="F315" t="str">
        <f>""</f>
        <v/>
      </c>
      <c r="G315" t="str">
        <f>""</f>
        <v/>
      </c>
      <c r="I315" t="str">
        <f>"INV UT1000429150"</f>
        <v>INV UT1000429150</v>
      </c>
    </row>
    <row r="316" spans="1:10" x14ac:dyDescent="0.3">
      <c r="A316" t="str">
        <f>"BBCI"</f>
        <v>BBCI</v>
      </c>
      <c r="B316" t="s">
        <v>80</v>
      </c>
      <c r="C316">
        <v>73200</v>
      </c>
      <c r="D316" s="2">
        <v>810.17</v>
      </c>
      <c r="E316" s="1">
        <v>43031</v>
      </c>
      <c r="F316" t="str">
        <f>"UT1000390398"</f>
        <v>UT1000390398</v>
      </c>
      <c r="G316" t="str">
        <f>"INV UT1000390398"</f>
        <v>INV UT1000390398</v>
      </c>
      <c r="H316" s="2">
        <v>387</v>
      </c>
      <c r="I316" t="str">
        <f>"INV UT1000390398"</f>
        <v>INV UT1000390398</v>
      </c>
    </row>
    <row r="317" spans="1:10" x14ac:dyDescent="0.3">
      <c r="A317" t="str">
        <f>""</f>
        <v/>
      </c>
      <c r="F317" t="str">
        <f>"UTI1000434952"</f>
        <v>UTI1000434952</v>
      </c>
      <c r="G317" t="str">
        <f>"INV UT1000434952"</f>
        <v>INV UT1000434952</v>
      </c>
      <c r="H317" s="2">
        <v>423.17</v>
      </c>
      <c r="I317" t="str">
        <f>"INV UT1000434952"</f>
        <v>INV UT1000434952</v>
      </c>
    </row>
    <row r="318" spans="1:10" x14ac:dyDescent="0.3">
      <c r="A318" t="str">
        <f>"001367"</f>
        <v>001367</v>
      </c>
      <c r="B318" t="s">
        <v>81</v>
      </c>
      <c r="C318">
        <v>72947</v>
      </c>
      <c r="D318" s="2">
        <v>3845.49</v>
      </c>
      <c r="E318" s="1">
        <v>43018</v>
      </c>
      <c r="F318" t="str">
        <f>"6210"</f>
        <v>6210</v>
      </c>
      <c r="G318" t="str">
        <f>"INV 6210/UNIT 1628"</f>
        <v>INV 6210/UNIT 1628</v>
      </c>
      <c r="H318" s="2">
        <v>149.97999999999999</v>
      </c>
      <c r="I318" t="str">
        <f>"INV 6210/UNIT 1628"</f>
        <v>INV 6210/UNIT 1628</v>
      </c>
    </row>
    <row r="319" spans="1:10" x14ac:dyDescent="0.3">
      <c r="A319" t="str">
        <f>""</f>
        <v/>
      </c>
      <c r="F319" t="str">
        <f>"6215"</f>
        <v>6215</v>
      </c>
      <c r="G319" t="str">
        <f>"INV 6215/UNIT 0125"</f>
        <v>INV 6215/UNIT 0125</v>
      </c>
      <c r="H319" s="2">
        <v>494.76</v>
      </c>
      <c r="I319" t="str">
        <f>"INV 6215/UNIT 0125"</f>
        <v>INV 6215/UNIT 0125</v>
      </c>
    </row>
    <row r="320" spans="1:10" x14ac:dyDescent="0.3">
      <c r="A320" t="str">
        <f>""</f>
        <v/>
      </c>
      <c r="F320" t="str">
        <f>"6258"</f>
        <v>6258</v>
      </c>
      <c r="G320" t="str">
        <f>"INV 6258/UNIT 1667"</f>
        <v>INV 6258/UNIT 1667</v>
      </c>
      <c r="H320" s="2">
        <v>676.71</v>
      </c>
      <c r="I320" t="str">
        <f>"INV 6258/UNIT 1667"</f>
        <v>INV 6258/UNIT 1667</v>
      </c>
    </row>
    <row r="321" spans="1:9" x14ac:dyDescent="0.3">
      <c r="A321" t="str">
        <f>""</f>
        <v/>
      </c>
      <c r="F321" t="str">
        <f>"6303"</f>
        <v>6303</v>
      </c>
      <c r="G321" t="str">
        <f>"INV 6303/UNIT 0126"</f>
        <v>INV 6303/UNIT 0126</v>
      </c>
      <c r="H321" s="2">
        <v>128.69999999999999</v>
      </c>
      <c r="I321" t="str">
        <f>"INV 6303/UNIT 0126"</f>
        <v>INV 6303/UNIT 0126</v>
      </c>
    </row>
    <row r="322" spans="1:9" x14ac:dyDescent="0.3">
      <c r="A322" t="str">
        <f>""</f>
        <v/>
      </c>
      <c r="F322" t="str">
        <f>"6312"</f>
        <v>6312</v>
      </c>
      <c r="G322" t="str">
        <f>"INV 6312/UNIT 0122"</f>
        <v>INV 6312/UNIT 0122</v>
      </c>
      <c r="H322" s="2">
        <v>28.21</v>
      </c>
      <c r="I322" t="str">
        <f>"INV 6312/UNIT 0122"</f>
        <v>INV 6312/UNIT 0122</v>
      </c>
    </row>
    <row r="323" spans="1:9" x14ac:dyDescent="0.3">
      <c r="A323" t="str">
        <f>""</f>
        <v/>
      </c>
      <c r="F323" t="str">
        <f>"6334"</f>
        <v>6334</v>
      </c>
      <c r="G323" t="str">
        <f>"INV 6334 /UNIT 0882"</f>
        <v>INV 6334 /UNIT 0882</v>
      </c>
      <c r="H323" s="2">
        <v>676.71</v>
      </c>
      <c r="I323" t="str">
        <f>"INV          /UNIT 0882"</f>
        <v>INV          /UNIT 0882</v>
      </c>
    </row>
    <row r="324" spans="1:9" x14ac:dyDescent="0.3">
      <c r="A324" t="str">
        <f>""</f>
        <v/>
      </c>
      <c r="F324" t="str">
        <f>"BATTERIES"</f>
        <v>BATTERIES</v>
      </c>
      <c r="G324" t="str">
        <f>"COMMAND BUS"</f>
        <v>COMMAND BUS</v>
      </c>
      <c r="H324" s="2">
        <v>443.38</v>
      </c>
      <c r="I324" t="str">
        <f>"COMMAND BUS"</f>
        <v>COMMAND BUS</v>
      </c>
    </row>
    <row r="325" spans="1:9" x14ac:dyDescent="0.3">
      <c r="A325" t="str">
        <f>""</f>
        <v/>
      </c>
      <c r="F325" t="str">
        <f>"INV6293"</f>
        <v>INV6293</v>
      </c>
      <c r="G325" t="str">
        <f>"INV 6293/UNIT 3805"</f>
        <v>INV 6293/UNIT 3805</v>
      </c>
      <c r="H325" s="2">
        <v>275.01</v>
      </c>
      <c r="I325" t="str">
        <f>"INV 6293/UNIT 3805"</f>
        <v>INV 6293/UNIT 3805</v>
      </c>
    </row>
    <row r="326" spans="1:9" x14ac:dyDescent="0.3">
      <c r="A326" t="str">
        <f>""</f>
        <v/>
      </c>
      <c r="F326" t="str">
        <f>"INV6310"</f>
        <v>INV6310</v>
      </c>
      <c r="G326" t="str">
        <f>"INV 6310/0121"</f>
        <v>INV 6310/0121</v>
      </c>
      <c r="H326" s="2">
        <v>494.76</v>
      </c>
      <c r="I326" t="str">
        <f>"INV 6310/0121"</f>
        <v>INV 6310/0121</v>
      </c>
    </row>
    <row r="327" spans="1:9" x14ac:dyDescent="0.3">
      <c r="A327" t="str">
        <f>""</f>
        <v/>
      </c>
      <c r="F327" t="str">
        <f>"INV6313"</f>
        <v>INV6313</v>
      </c>
      <c r="G327" t="str">
        <f>"INV 6313/UNIT 0312"</f>
        <v>INV 6313/UNIT 0312</v>
      </c>
      <c r="H327" s="2">
        <v>477.27</v>
      </c>
      <c r="I327" t="str">
        <f>"INV 6313/UNIT 0312"</f>
        <v>INV 6313/UNIT 0312</v>
      </c>
    </row>
    <row r="328" spans="1:9" x14ac:dyDescent="0.3">
      <c r="A328" t="str">
        <f>"001367"</f>
        <v>001367</v>
      </c>
      <c r="B328" t="s">
        <v>81</v>
      </c>
      <c r="C328">
        <v>73201</v>
      </c>
      <c r="D328" s="2">
        <v>3879.68</v>
      </c>
      <c r="E328" s="1">
        <v>43031</v>
      </c>
      <c r="F328" t="str">
        <f>"6318/UNIT 1672"</f>
        <v>6318/UNIT 1672</v>
      </c>
      <c r="G328" t="str">
        <f>"INV 6318/UNIT 1672"</f>
        <v>INV 6318/UNIT 1672</v>
      </c>
      <c r="H328" s="2">
        <v>275.01</v>
      </c>
      <c r="I328" t="str">
        <f>"INV 6318/UNIT 1672"</f>
        <v>INV 6318/UNIT 1672</v>
      </c>
    </row>
    <row r="329" spans="1:9" x14ac:dyDescent="0.3">
      <c r="A329" t="str">
        <f>""</f>
        <v/>
      </c>
      <c r="F329" t="str">
        <f>"6342 6326 6328 632"</f>
        <v>6342 6326 6328 632</v>
      </c>
      <c r="G329" t="str">
        <f>"INV  / COMMAND BUS"</f>
        <v>INV  / COMMAND BUS</v>
      </c>
      <c r="H329" s="2">
        <v>260.75</v>
      </c>
      <c r="I329" t="str">
        <f>"INV  / COMMAND BUS"</f>
        <v>INV  / COMMAND BUS</v>
      </c>
    </row>
    <row r="330" spans="1:9" x14ac:dyDescent="0.3">
      <c r="A330" t="str">
        <f>""</f>
        <v/>
      </c>
      <c r="F330" t="str">
        <f>""</f>
        <v/>
      </c>
      <c r="G330" t="str">
        <f>""</f>
        <v/>
      </c>
      <c r="I330" t="str">
        <f>"INV 6342/UNIT 119"</f>
        <v>INV 6342/UNIT 119</v>
      </c>
    </row>
    <row r="331" spans="1:9" x14ac:dyDescent="0.3">
      <c r="A331" t="str">
        <f>""</f>
        <v/>
      </c>
      <c r="F331" t="str">
        <f>""</f>
        <v/>
      </c>
      <c r="G331" t="str">
        <f>""</f>
        <v/>
      </c>
      <c r="I331" t="str">
        <f>"INV 6326/UNIT 5350"</f>
        <v>INV 6326/UNIT 5350</v>
      </c>
    </row>
    <row r="332" spans="1:9" x14ac:dyDescent="0.3">
      <c r="A332" t="str">
        <f>""</f>
        <v/>
      </c>
      <c r="F332" t="str">
        <f>""</f>
        <v/>
      </c>
      <c r="G332" t="str">
        <f>""</f>
        <v/>
      </c>
      <c r="I332" t="str">
        <f>"INV 6328/UNIT 123"</f>
        <v>INV 6328/UNIT 123</v>
      </c>
    </row>
    <row r="333" spans="1:9" x14ac:dyDescent="0.3">
      <c r="A333" t="str">
        <f>""</f>
        <v/>
      </c>
      <c r="F333" t="str">
        <f>""</f>
        <v/>
      </c>
      <c r="G333" t="str">
        <f>""</f>
        <v/>
      </c>
      <c r="I333" t="str">
        <f>"INV 6329/UNIT 124"</f>
        <v>INV 6329/UNIT 124</v>
      </c>
    </row>
    <row r="334" spans="1:9" x14ac:dyDescent="0.3">
      <c r="A334" t="str">
        <f>""</f>
        <v/>
      </c>
      <c r="F334" t="str">
        <f>""</f>
        <v/>
      </c>
      <c r="G334" t="str">
        <f>""</f>
        <v/>
      </c>
      <c r="I334" t="str">
        <f>"INV 6337/UNIT 8954"</f>
        <v>INV 6337/UNIT 8954</v>
      </c>
    </row>
    <row r="335" spans="1:9" x14ac:dyDescent="0.3">
      <c r="A335" t="str">
        <f>""</f>
        <v/>
      </c>
      <c r="F335" t="str">
        <f>"6381/UNIT 0119"</f>
        <v>6381/UNIT 0119</v>
      </c>
      <c r="G335" t="str">
        <f>"INV 6381/UNIT 0119"</f>
        <v>INV 6381/UNIT 0119</v>
      </c>
      <c r="H335" s="2">
        <v>478.15</v>
      </c>
      <c r="I335" t="str">
        <f>"INV 6381/UNIT 0119"</f>
        <v>INV 6381/UNIT 0119</v>
      </c>
    </row>
    <row r="336" spans="1:9" x14ac:dyDescent="0.3">
      <c r="A336" t="str">
        <f>""</f>
        <v/>
      </c>
      <c r="F336" t="str">
        <f>"6390"</f>
        <v>6390</v>
      </c>
      <c r="G336" t="str">
        <f>"CHANGED OIL/FILTER"</f>
        <v>CHANGED OIL/FILTER</v>
      </c>
      <c r="H336" s="2">
        <v>43.36</v>
      </c>
      <c r="I336" t="str">
        <f>"CHANGED OIL/FILTER"</f>
        <v>CHANGED OIL/FILTER</v>
      </c>
    </row>
    <row r="337" spans="1:9" x14ac:dyDescent="0.3">
      <c r="A337" t="str">
        <f>""</f>
        <v/>
      </c>
      <c r="F337" t="str">
        <f>"6400"</f>
        <v>6400</v>
      </c>
      <c r="G337" t="str">
        <f>"AUTO REPAIRS/ PCT#1"</f>
        <v>AUTO REPAIRS/ PCT#1</v>
      </c>
      <c r="H337" s="2">
        <v>234.84</v>
      </c>
      <c r="I337" t="str">
        <f>"AUTO REPAIRS/ PCT#1"</f>
        <v>AUTO REPAIRS/ PCT#1</v>
      </c>
    </row>
    <row r="338" spans="1:9" x14ac:dyDescent="0.3">
      <c r="A338" t="str">
        <f>""</f>
        <v/>
      </c>
      <c r="F338" t="str">
        <f>"6418"</f>
        <v>6418</v>
      </c>
      <c r="G338" t="str">
        <f>"INV 6418/UNIT 0314"</f>
        <v>INV 6418/UNIT 0314</v>
      </c>
      <c r="H338" s="2">
        <v>137.13</v>
      </c>
      <c r="I338" t="str">
        <f>"INV 6418/UNIT 0314"</f>
        <v>INV 6418/UNIT 0314</v>
      </c>
    </row>
    <row r="339" spans="1:9" x14ac:dyDescent="0.3">
      <c r="A339" t="str">
        <f>""</f>
        <v/>
      </c>
      <c r="F339" t="str">
        <f>"COMMAND BUS-BATTER"</f>
        <v>COMMAND BUS-BATTER</v>
      </c>
      <c r="G339" t="str">
        <f>"COMMAND BUS"</f>
        <v>COMMAND BUS</v>
      </c>
      <c r="H339" s="2">
        <v>443.38</v>
      </c>
      <c r="I339" t="str">
        <f>"COMMAND BUS"</f>
        <v>COMMAND BUS</v>
      </c>
    </row>
    <row r="340" spans="1:9" x14ac:dyDescent="0.3">
      <c r="A340" t="str">
        <f>""</f>
        <v/>
      </c>
      <c r="F340" t="str">
        <f>"INV6362"</f>
        <v>INV6362</v>
      </c>
      <c r="G340" t="str">
        <f>"INV 6362/UNIT 116"</f>
        <v>INV 6362/UNIT 116</v>
      </c>
      <c r="H340" s="2">
        <v>315.13</v>
      </c>
      <c r="I340" t="str">
        <f>"INV 6362/UNIT 116"</f>
        <v>INV 6362/UNIT 116</v>
      </c>
    </row>
    <row r="341" spans="1:9" x14ac:dyDescent="0.3">
      <c r="A341" t="str">
        <f>""</f>
        <v/>
      </c>
      <c r="F341" t="str">
        <f>"INV6373/UNIT 4719"</f>
        <v>INV6373/UNIT 4719</v>
      </c>
      <c r="G341" t="str">
        <f>"INV 6373/UNIT 4719"</f>
        <v>INV 6373/UNIT 4719</v>
      </c>
      <c r="H341" s="2">
        <v>361.14</v>
      </c>
      <c r="I341" t="str">
        <f>"INV 6373/UNIT 4719"</f>
        <v>INV 6373/UNIT 4719</v>
      </c>
    </row>
    <row r="342" spans="1:9" x14ac:dyDescent="0.3">
      <c r="A342" t="str">
        <f>""</f>
        <v/>
      </c>
      <c r="F342" t="str">
        <f>"INV6392/UNIT1666"</f>
        <v>INV6392/UNIT1666</v>
      </c>
      <c r="G342" t="str">
        <f>"INV 6392/UNIT 1666"</f>
        <v>INV 6392/UNIT 1666</v>
      </c>
      <c r="H342" s="2">
        <v>165.71</v>
      </c>
      <c r="I342" t="str">
        <f>"INV 6392/UNIT 1666"</f>
        <v>INV 6392/UNIT 1666</v>
      </c>
    </row>
    <row r="343" spans="1:9" x14ac:dyDescent="0.3">
      <c r="A343" t="str">
        <f>""</f>
        <v/>
      </c>
      <c r="F343" t="str">
        <f>"INV6422/UNIT1630"</f>
        <v>INV6422/UNIT1630</v>
      </c>
      <c r="G343" t="str">
        <f>"INV 6422/UNIT 1630"</f>
        <v>INV 6422/UNIT 1630</v>
      </c>
      <c r="H343" s="2">
        <v>388.73</v>
      </c>
      <c r="I343" t="str">
        <f>"INV 6422/UNIT 1630"</f>
        <v>INV 6422/UNIT 1630</v>
      </c>
    </row>
    <row r="344" spans="1:9" x14ac:dyDescent="0.3">
      <c r="A344" t="str">
        <f>""</f>
        <v/>
      </c>
      <c r="F344" t="str">
        <f>"VEH MAINTENANCE"</f>
        <v>VEH MAINTENANCE</v>
      </c>
      <c r="G344" t="str">
        <f>"INV 6358/UNIT 6502"</f>
        <v>INV 6358/UNIT 6502</v>
      </c>
      <c r="H344" s="2">
        <v>776.35</v>
      </c>
      <c r="I344" t="str">
        <f>"INV 6358/UNIT 6502"</f>
        <v>INV 6358/UNIT 6502</v>
      </c>
    </row>
    <row r="345" spans="1:9" x14ac:dyDescent="0.3">
      <c r="A345" t="str">
        <f>""</f>
        <v/>
      </c>
      <c r="F345" t="str">
        <f>""</f>
        <v/>
      </c>
      <c r="G345" t="str">
        <f>""</f>
        <v/>
      </c>
      <c r="I345" t="str">
        <f>"INV 6360/UNIT 1669"</f>
        <v>INV 6360/UNIT 1669</v>
      </c>
    </row>
    <row r="346" spans="1:9" x14ac:dyDescent="0.3">
      <c r="A346" t="str">
        <f>""</f>
        <v/>
      </c>
      <c r="F346" t="str">
        <f>""</f>
        <v/>
      </c>
      <c r="G346" t="str">
        <f>""</f>
        <v/>
      </c>
      <c r="I346" t="str">
        <f>"INV 6371/UNIT 6492"</f>
        <v>INV 6371/UNIT 6492</v>
      </c>
    </row>
    <row r="347" spans="1:9" x14ac:dyDescent="0.3">
      <c r="A347" t="str">
        <f>""</f>
        <v/>
      </c>
      <c r="F347" t="str">
        <f>""</f>
        <v/>
      </c>
      <c r="G347" t="str">
        <f>""</f>
        <v/>
      </c>
      <c r="I347" t="str">
        <f>"INV 6372/UNIT 4719"</f>
        <v>INV 6372/UNIT 4719</v>
      </c>
    </row>
    <row r="348" spans="1:9" x14ac:dyDescent="0.3">
      <c r="A348" t="str">
        <f>""</f>
        <v/>
      </c>
      <c r="F348" t="str">
        <f>""</f>
        <v/>
      </c>
      <c r="G348" t="str">
        <f>""</f>
        <v/>
      </c>
      <c r="I348" t="str">
        <f>"INV 6375/ UNIT 1627"</f>
        <v>INV 6375/ UNIT 1627</v>
      </c>
    </row>
    <row r="349" spans="1:9" x14ac:dyDescent="0.3">
      <c r="A349" t="str">
        <f>""</f>
        <v/>
      </c>
      <c r="F349" t="str">
        <f>""</f>
        <v/>
      </c>
      <c r="G349" t="str">
        <f>""</f>
        <v/>
      </c>
      <c r="I349" t="str">
        <f>"INV 6382/UNIT 4362"</f>
        <v>INV 6382/UNIT 4362</v>
      </c>
    </row>
    <row r="350" spans="1:9" x14ac:dyDescent="0.3">
      <c r="A350" t="str">
        <f>""</f>
        <v/>
      </c>
      <c r="F350" t="str">
        <f>""</f>
        <v/>
      </c>
      <c r="G350" t="str">
        <f>""</f>
        <v/>
      </c>
      <c r="I350" t="str">
        <f>"INV 6383/UNIT 80"</f>
        <v>INV 6383/UNIT 80</v>
      </c>
    </row>
    <row r="351" spans="1:9" x14ac:dyDescent="0.3">
      <c r="A351" t="str">
        <f>""</f>
        <v/>
      </c>
      <c r="F351" t="str">
        <f>""</f>
        <v/>
      </c>
      <c r="G351" t="str">
        <f>""</f>
        <v/>
      </c>
      <c r="I351" t="str">
        <f>"INV 6389/UNIT 0124"</f>
        <v>INV 6389/UNIT 0124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"INV 6394/UNIT 8948"</f>
        <v>INV 6394/UNIT 8948</v>
      </c>
    </row>
    <row r="353" spans="1:9" x14ac:dyDescent="0.3">
      <c r="A353" t="str">
        <f>""</f>
        <v/>
      </c>
      <c r="F353" t="str">
        <f>""</f>
        <v/>
      </c>
      <c r="G353" t="str">
        <f>""</f>
        <v/>
      </c>
      <c r="I353" t="str">
        <f>"INV 6403/UNIT 0120"</f>
        <v>INV 6403/UNIT 0120</v>
      </c>
    </row>
    <row r="354" spans="1:9" x14ac:dyDescent="0.3">
      <c r="A354" t="str">
        <f>""</f>
        <v/>
      </c>
      <c r="F354" t="str">
        <f>""</f>
        <v/>
      </c>
      <c r="G354" t="str">
        <f>""</f>
        <v/>
      </c>
      <c r="I354" t="str">
        <f>"INV 6407/UNIT 4716"</f>
        <v>INV 6407/UNIT 4716</v>
      </c>
    </row>
    <row r="355" spans="1:9" x14ac:dyDescent="0.3">
      <c r="A355" t="str">
        <f>""</f>
        <v/>
      </c>
      <c r="F355" t="str">
        <f>""</f>
        <v/>
      </c>
      <c r="G355" t="str">
        <f>""</f>
        <v/>
      </c>
      <c r="I355" t="str">
        <f>"INV 6414/UNIT 6539"</f>
        <v>INV 6414/UNIT 6539</v>
      </c>
    </row>
    <row r="356" spans="1:9" x14ac:dyDescent="0.3">
      <c r="A356" t="str">
        <f>""</f>
        <v/>
      </c>
      <c r="F356" t="str">
        <f>""</f>
        <v/>
      </c>
      <c r="G356" t="str">
        <f>""</f>
        <v/>
      </c>
      <c r="I356" t="str">
        <f>"INV 6423/UNIT 6543"</f>
        <v>INV 6423/UNIT 6543</v>
      </c>
    </row>
    <row r="357" spans="1:9" x14ac:dyDescent="0.3">
      <c r="A357" t="str">
        <f>""</f>
        <v/>
      </c>
      <c r="F357" t="str">
        <f>""</f>
        <v/>
      </c>
      <c r="G357" t="str">
        <f>""</f>
        <v/>
      </c>
      <c r="I357" t="str">
        <f>"INV 6441/UNIT 1668"</f>
        <v>INV 6441/UNIT 1668</v>
      </c>
    </row>
    <row r="358" spans="1:9" x14ac:dyDescent="0.3">
      <c r="A358" t="str">
        <f>""</f>
        <v/>
      </c>
      <c r="F358" t="str">
        <f>""</f>
        <v/>
      </c>
      <c r="G358" t="str">
        <f>""</f>
        <v/>
      </c>
      <c r="I358" t="str">
        <f>"INV 6442/UNIT 0125"</f>
        <v>INV 6442/UNIT 0125</v>
      </c>
    </row>
    <row r="359" spans="1:9" x14ac:dyDescent="0.3">
      <c r="A359" t="str">
        <f>"004069"</f>
        <v>004069</v>
      </c>
      <c r="B359" t="s">
        <v>82</v>
      </c>
      <c r="C359">
        <v>72948</v>
      </c>
      <c r="D359" s="2">
        <v>398.74</v>
      </c>
      <c r="E359" s="1">
        <v>43018</v>
      </c>
      <c r="F359" t="str">
        <f>"89061"</f>
        <v>89061</v>
      </c>
      <c r="G359" t="str">
        <f>"ACCT#1268/PCT#3"</f>
        <v>ACCT#1268/PCT#3</v>
      </c>
      <c r="H359" s="2">
        <v>398.74</v>
      </c>
      <c r="I359" t="str">
        <f>"ACCT#1268/PCT#3"</f>
        <v>ACCT#1268/PCT#3</v>
      </c>
    </row>
    <row r="360" spans="1:9" x14ac:dyDescent="0.3">
      <c r="A360" t="str">
        <f>"004069"</f>
        <v>004069</v>
      </c>
      <c r="B360" t="s">
        <v>82</v>
      </c>
      <c r="C360">
        <v>73202</v>
      </c>
      <c r="D360" s="2">
        <v>495.64</v>
      </c>
      <c r="E360" s="1">
        <v>43031</v>
      </c>
      <c r="F360" t="str">
        <f>"89293"</f>
        <v>89293</v>
      </c>
      <c r="G360" t="str">
        <f>"ACCT#1268/T#1436373/1436477/P3"</f>
        <v>ACCT#1268/T#1436373/1436477/P3</v>
      </c>
      <c r="H360" s="2">
        <v>196.31</v>
      </c>
      <c r="I360" t="str">
        <f>"ACCT#1268/T#1436373/1436477/P3"</f>
        <v>ACCT#1268/T#1436373/1436477/P3</v>
      </c>
    </row>
    <row r="361" spans="1:9" x14ac:dyDescent="0.3">
      <c r="A361" t="str">
        <f>""</f>
        <v/>
      </c>
      <c r="F361" t="str">
        <f>"89454"</f>
        <v>89454</v>
      </c>
      <c r="G361" t="str">
        <f>"ACCT#1268/BASE/PCT#3"</f>
        <v>ACCT#1268/BASE/PCT#3</v>
      </c>
      <c r="H361" s="2">
        <v>299.33</v>
      </c>
      <c r="I361" t="str">
        <f>"ACCT#1268/BASE/PCT#3"</f>
        <v>ACCT#1268/BASE/PCT#3</v>
      </c>
    </row>
    <row r="362" spans="1:9" x14ac:dyDescent="0.3">
      <c r="A362" t="str">
        <f>"T11280"</f>
        <v>T11280</v>
      </c>
      <c r="B362" t="s">
        <v>83</v>
      </c>
      <c r="C362">
        <v>72949</v>
      </c>
      <c r="D362" s="2">
        <v>1304.8499999999999</v>
      </c>
      <c r="E362" s="1">
        <v>43018</v>
      </c>
      <c r="F362" t="str">
        <f>"201710025202"</f>
        <v>201710025202</v>
      </c>
      <c r="G362" t="str">
        <f>"REIMBURSE-MILEAGE/MEALS"</f>
        <v>REIMBURSE-MILEAGE/MEALS</v>
      </c>
      <c r="H362" s="2">
        <v>133.49</v>
      </c>
      <c r="I362" t="str">
        <f>"REIMBURSE-MILEAGE/MEALS"</f>
        <v>REIMBURSE-MILEAGE/MEALS</v>
      </c>
    </row>
    <row r="363" spans="1:9" x14ac:dyDescent="0.3">
      <c r="A363" t="str">
        <f>""</f>
        <v/>
      </c>
      <c r="F363" t="str">
        <f>"201710025203"</f>
        <v>201710025203</v>
      </c>
      <c r="G363" t="str">
        <f>"REIMBURSE-TRAVEL EXPENSES"</f>
        <v>REIMBURSE-TRAVEL EXPENSES</v>
      </c>
      <c r="H363" s="2">
        <v>576</v>
      </c>
      <c r="I363" t="str">
        <f>"REIMBURSE-TRAVEL EXPENSES"</f>
        <v>REIMBURSE-TRAVEL EXPENSES</v>
      </c>
    </row>
    <row r="364" spans="1:9" x14ac:dyDescent="0.3">
      <c r="A364" t="str">
        <f>""</f>
        <v/>
      </c>
      <c r="F364" t="str">
        <f>"201710025208"</f>
        <v>201710025208</v>
      </c>
      <c r="G364" t="str">
        <f>"REIMBURSE-PER DIEM/LODGING/MIL"</f>
        <v>REIMBURSE-PER DIEM/LODGING/MIL</v>
      </c>
      <c r="H364" s="2">
        <v>595.36</v>
      </c>
      <c r="I364" t="str">
        <f>"REIMBURSE-PER DIEM/LODGING"</f>
        <v>REIMBURSE-PER DIEM/LODGING</v>
      </c>
    </row>
    <row r="365" spans="1:9" x14ac:dyDescent="0.3">
      <c r="A365" t="str">
        <f>"T9216"</f>
        <v>T9216</v>
      </c>
      <c r="B365" t="s">
        <v>84</v>
      </c>
      <c r="C365">
        <v>72950</v>
      </c>
      <c r="D365" s="2">
        <v>500</v>
      </c>
      <c r="E365" s="1">
        <v>43018</v>
      </c>
      <c r="F365" t="str">
        <f>"201710045308"</f>
        <v>201710045308</v>
      </c>
      <c r="G365" t="str">
        <f>"54 961"</f>
        <v>54 961</v>
      </c>
      <c r="H365" s="2">
        <v>250</v>
      </c>
      <c r="I365" t="str">
        <f>"54 961"</f>
        <v>54 961</v>
      </c>
    </row>
    <row r="366" spans="1:9" x14ac:dyDescent="0.3">
      <c r="A366" t="str">
        <f>""</f>
        <v/>
      </c>
      <c r="F366" t="str">
        <f>"201710045309"</f>
        <v>201710045309</v>
      </c>
      <c r="G366" t="str">
        <f>"55 180"</f>
        <v>55 180</v>
      </c>
      <c r="H366" s="2">
        <v>250</v>
      </c>
      <c r="I366" t="str">
        <f>"55 180"</f>
        <v>55 180</v>
      </c>
    </row>
    <row r="367" spans="1:9" x14ac:dyDescent="0.3">
      <c r="A367" t="str">
        <f>"T9216"</f>
        <v>T9216</v>
      </c>
      <c r="B367" t="s">
        <v>84</v>
      </c>
      <c r="C367">
        <v>73203</v>
      </c>
      <c r="D367" s="2">
        <v>250</v>
      </c>
      <c r="E367" s="1">
        <v>43031</v>
      </c>
      <c r="F367" t="str">
        <f>"201710185756"</f>
        <v>201710185756</v>
      </c>
      <c r="G367" t="str">
        <f>"55 403"</f>
        <v>55 403</v>
      </c>
      <c r="H367" s="2">
        <v>250</v>
      </c>
      <c r="I367" t="str">
        <f>"55 403"</f>
        <v>55 403</v>
      </c>
    </row>
    <row r="368" spans="1:9" x14ac:dyDescent="0.3">
      <c r="A368" t="str">
        <f>"000205"</f>
        <v>000205</v>
      </c>
      <c r="B368" t="s">
        <v>85</v>
      </c>
      <c r="C368">
        <v>999999</v>
      </c>
      <c r="D368" s="2">
        <v>162.47999999999999</v>
      </c>
      <c r="E368" s="1">
        <v>43032</v>
      </c>
      <c r="F368" t="str">
        <f>"166548"</f>
        <v>166548</v>
      </c>
      <c r="G368" t="str">
        <f>"CUST#1190073/SUPPLIES"</f>
        <v>CUST#1190073/SUPPLIES</v>
      </c>
      <c r="H368" s="2">
        <v>162.47999999999999</v>
      </c>
      <c r="I368" t="str">
        <f>"CUST#1190073/SUPPLIES"</f>
        <v>CUST#1190073/SUPPLIES</v>
      </c>
    </row>
    <row r="369" spans="1:9" x14ac:dyDescent="0.3">
      <c r="A369" t="str">
        <f>"004635"</f>
        <v>004635</v>
      </c>
      <c r="B369" t="s">
        <v>86</v>
      </c>
      <c r="C369">
        <v>72951</v>
      </c>
      <c r="D369" s="2">
        <v>275</v>
      </c>
      <c r="E369" s="1">
        <v>43018</v>
      </c>
      <c r="F369" t="str">
        <f>"201709295188"</f>
        <v>201709295188</v>
      </c>
      <c r="G369" t="str">
        <f>"ACCT#187937/EXTERMINATOR SVCS"</f>
        <v>ACCT#187937/EXTERMINATOR SVCS</v>
      </c>
      <c r="H369" s="2">
        <v>275</v>
      </c>
      <c r="I369" t="str">
        <f>"ACCT#187937/EXTERMINATOR SVCS"</f>
        <v>ACCT#187937/EXTERMINATOR SVCS</v>
      </c>
    </row>
    <row r="370" spans="1:9" x14ac:dyDescent="0.3">
      <c r="A370" t="str">
        <f>"002356"</f>
        <v>002356</v>
      </c>
      <c r="B370" t="s">
        <v>87</v>
      </c>
      <c r="C370">
        <v>73204</v>
      </c>
      <c r="D370" s="2">
        <v>60</v>
      </c>
      <c r="E370" s="1">
        <v>43031</v>
      </c>
      <c r="F370" t="str">
        <f>"17-18629"</f>
        <v>17-18629</v>
      </c>
      <c r="G370" t="str">
        <f>"CENTRAL ADOPTION REG FUND"</f>
        <v>CENTRAL ADOPTION REG FUND</v>
      </c>
      <c r="H370" s="2">
        <v>15</v>
      </c>
      <c r="I370" t="str">
        <f>"CENTRAL ADOPTION REG FUND"</f>
        <v>CENTRAL ADOPTION REG FUND</v>
      </c>
    </row>
    <row r="371" spans="1:9" x14ac:dyDescent="0.3">
      <c r="A371" t="str">
        <f>""</f>
        <v/>
      </c>
      <c r="F371" t="str">
        <f>"17-18645"</f>
        <v>17-18645</v>
      </c>
      <c r="G371" t="str">
        <f>"CENTRAL ADOPTION REG FUND"</f>
        <v>CENTRAL ADOPTION REG FUND</v>
      </c>
      <c r="H371" s="2">
        <v>15</v>
      </c>
      <c r="I371" t="str">
        <f>"CENTRAL ADOPTION REG FUND"</f>
        <v>CENTRAL ADOPTION REG FUND</v>
      </c>
    </row>
    <row r="372" spans="1:9" x14ac:dyDescent="0.3">
      <c r="A372" t="str">
        <f>""</f>
        <v/>
      </c>
      <c r="F372" t="str">
        <f>"17-18648"</f>
        <v>17-18648</v>
      </c>
      <c r="G372" t="str">
        <f>"CENTRAL ADOPTION  REG FUND"</f>
        <v>CENTRAL ADOPTION  REG FUND</v>
      </c>
      <c r="H372" s="2">
        <v>15</v>
      </c>
      <c r="I372" t="str">
        <f>"CENTRAL ADOPTION  REG FUND"</f>
        <v>CENTRAL ADOPTION  REG FUND</v>
      </c>
    </row>
    <row r="373" spans="1:9" x14ac:dyDescent="0.3">
      <c r="A373" t="str">
        <f>""</f>
        <v/>
      </c>
      <c r="F373" t="str">
        <f>"423-5270"</f>
        <v>423-5270</v>
      </c>
      <c r="G373" t="str">
        <f>"CENTRAL ADOPTION REG FUND"</f>
        <v>CENTRAL ADOPTION REG FUND</v>
      </c>
      <c r="H373" s="2">
        <v>15</v>
      </c>
      <c r="I373" t="str">
        <f>"CENTRAL ADOPTION REG FUND"</f>
        <v>CENTRAL ADOPTION REG FUND</v>
      </c>
    </row>
    <row r="374" spans="1:9" x14ac:dyDescent="0.3">
      <c r="A374" t="str">
        <f>"000629"</f>
        <v>000629</v>
      </c>
      <c r="B374" t="s">
        <v>88</v>
      </c>
      <c r="C374">
        <v>73205</v>
      </c>
      <c r="D374" s="2">
        <v>46870</v>
      </c>
      <c r="E374" s="1">
        <v>43031</v>
      </c>
      <c r="F374" t="str">
        <f>"H1341525"</f>
        <v>H1341525</v>
      </c>
      <c r="G374" t="str">
        <f>"2018 Chevrolet Truck"</f>
        <v>2018 Chevrolet Truck</v>
      </c>
      <c r="H374" s="2">
        <v>46870</v>
      </c>
      <c r="I374" t="str">
        <f>"2017 Chevrolet Van"</f>
        <v>2017 Chevrolet Van</v>
      </c>
    </row>
    <row r="375" spans="1:9" x14ac:dyDescent="0.3">
      <c r="A375" t="str">
        <f>""</f>
        <v/>
      </c>
      <c r="F375" t="str">
        <f>""</f>
        <v/>
      </c>
      <c r="G375" t="str">
        <f>""</f>
        <v/>
      </c>
      <c r="I375" t="str">
        <f>"2018 Chevrolet Truck"</f>
        <v>2018 Chevrolet Truck</v>
      </c>
    </row>
    <row r="376" spans="1:9" x14ac:dyDescent="0.3">
      <c r="A376" t="str">
        <f>"002687"</f>
        <v>002687</v>
      </c>
      <c r="B376" t="s">
        <v>89</v>
      </c>
      <c r="C376">
        <v>72952</v>
      </c>
      <c r="D376" s="2">
        <v>130</v>
      </c>
      <c r="E376" s="1">
        <v>43018</v>
      </c>
      <c r="F376" t="str">
        <f>"8718"</f>
        <v>8718</v>
      </c>
      <c r="G376" t="str">
        <f>"SERVICE  08/07/17"</f>
        <v>SERVICE  08/07/17</v>
      </c>
      <c r="H376" s="2">
        <v>130</v>
      </c>
      <c r="I376" t="str">
        <f>"SERVICE  08/07/17"</f>
        <v>SERVICE  08/07/17</v>
      </c>
    </row>
    <row r="377" spans="1:9" x14ac:dyDescent="0.3">
      <c r="A377" t="str">
        <f>"T12518"</f>
        <v>T12518</v>
      </c>
      <c r="B377" t="s">
        <v>90</v>
      </c>
      <c r="C377">
        <v>72953</v>
      </c>
      <c r="D377" s="2">
        <v>4190</v>
      </c>
      <c r="E377" s="1">
        <v>43018</v>
      </c>
      <c r="F377" t="str">
        <f>"2018M 067"</f>
        <v>2018M 067</v>
      </c>
      <c r="G377" t="str">
        <f>"2018 CAPCOG ANNUAL DUES"</f>
        <v>2018 CAPCOG ANNUAL DUES</v>
      </c>
      <c r="H377" s="2">
        <v>4190</v>
      </c>
      <c r="I377" t="str">
        <f>"2018 CAPCOG ANNUAL DUES"</f>
        <v>2018 CAPCOG ANNUAL DUES</v>
      </c>
    </row>
    <row r="378" spans="1:9" x14ac:dyDescent="0.3">
      <c r="A378" t="str">
        <f>"T12518"</f>
        <v>T12518</v>
      </c>
      <c r="B378" t="s">
        <v>90</v>
      </c>
      <c r="C378">
        <v>73206</v>
      </c>
      <c r="D378" s="2">
        <v>4726</v>
      </c>
      <c r="E378" s="1">
        <v>43031</v>
      </c>
      <c r="F378" t="str">
        <f>"2018M 099"</f>
        <v>2018M 099</v>
      </c>
      <c r="G378" t="str">
        <f>"2018 AIR QUALITY MONITORING"</f>
        <v>2018 AIR QUALITY MONITORING</v>
      </c>
      <c r="H378" s="2">
        <v>4726</v>
      </c>
      <c r="I378" t="str">
        <f>"2018 AIR QUALITY MONITORING"</f>
        <v>2018 AIR QUALITY MONITORING</v>
      </c>
    </row>
    <row r="379" spans="1:9" x14ac:dyDescent="0.3">
      <c r="A379" t="str">
        <f>"CBOA"</f>
        <v>CBOA</v>
      </c>
      <c r="B379" t="s">
        <v>91</v>
      </c>
      <c r="C379">
        <v>999999</v>
      </c>
      <c r="D379" s="2">
        <v>103.06</v>
      </c>
      <c r="E379" s="1">
        <v>43032</v>
      </c>
      <c r="F379" t="str">
        <f>"1604732"</f>
        <v>1604732</v>
      </c>
      <c r="G379" t="str">
        <f>"ACCT#000690/ORD#01353870/PCT#1"</f>
        <v>ACCT#000690/ORD#01353870/PCT#1</v>
      </c>
      <c r="H379" s="2">
        <v>103.06</v>
      </c>
      <c r="I379" t="str">
        <f>"ACCT#000690/ORD#01353870/PCT#1"</f>
        <v>ACCT#000690/ORD#01353870/PCT#1</v>
      </c>
    </row>
    <row r="380" spans="1:9" x14ac:dyDescent="0.3">
      <c r="A380" t="str">
        <f>"002723"</f>
        <v>002723</v>
      </c>
      <c r="B380" t="s">
        <v>92</v>
      </c>
      <c r="C380">
        <v>73207</v>
      </c>
      <c r="D380" s="2">
        <v>325</v>
      </c>
      <c r="E380" s="1">
        <v>43031</v>
      </c>
      <c r="F380" t="str">
        <f>"14944"</f>
        <v>14944</v>
      </c>
      <c r="G380" t="str">
        <f>"4TH QTR MAINT"</f>
        <v>4TH QTR MAINT</v>
      </c>
      <c r="H380" s="2">
        <v>325</v>
      </c>
      <c r="I380" t="str">
        <f>"4TH QTR MAINT"</f>
        <v>4TH QTR MAINT</v>
      </c>
    </row>
    <row r="381" spans="1:9" x14ac:dyDescent="0.3">
      <c r="A381" t="str">
        <f>"002726"</f>
        <v>002726</v>
      </c>
      <c r="B381" t="s">
        <v>93</v>
      </c>
      <c r="C381">
        <v>0</v>
      </c>
      <c r="D381" s="2">
        <v>4213.57</v>
      </c>
      <c r="E381" s="1">
        <v>43019</v>
      </c>
      <c r="F381" t="str">
        <f>"ACCT#  0058"</f>
        <v>ACCT#  0058</v>
      </c>
      <c r="G381" t="str">
        <f>"ACCT# 0058"</f>
        <v>ACCT# 0058</v>
      </c>
      <c r="H381" s="2">
        <v>4213.57</v>
      </c>
      <c r="I381" t="str">
        <f>"STAPLES REFUND"</f>
        <v>STAPLES REFUND</v>
      </c>
    </row>
    <row r="382" spans="1:9" x14ac:dyDescent="0.3">
      <c r="A382" t="str">
        <f>""</f>
        <v/>
      </c>
      <c r="F382" t="str">
        <f>""</f>
        <v/>
      </c>
      <c r="G382" t="str">
        <f>""</f>
        <v/>
      </c>
      <c r="I382" t="str">
        <f>"STAPLES"</f>
        <v>STAPLES</v>
      </c>
    </row>
    <row r="383" spans="1:9" x14ac:dyDescent="0.3">
      <c r="A383" t="str">
        <f>""</f>
        <v/>
      </c>
      <c r="F383" t="str">
        <f>""</f>
        <v/>
      </c>
      <c r="G383" t="str">
        <f>""</f>
        <v/>
      </c>
      <c r="I383" t="str">
        <f>"PAYSCALE"</f>
        <v>PAYSCALE</v>
      </c>
    </row>
    <row r="384" spans="1:9" x14ac:dyDescent="0.3">
      <c r="A384" t="str">
        <f>""</f>
        <v/>
      </c>
      <c r="F384" t="str">
        <f>""</f>
        <v/>
      </c>
      <c r="G384" t="str">
        <f>""</f>
        <v/>
      </c>
      <c r="I384" t="str">
        <f>"WHENIWORK REFUND"</f>
        <v>WHENIWORK REFUND</v>
      </c>
    </row>
    <row r="385" spans="1:9" x14ac:dyDescent="0.3">
      <c r="A385" t="str">
        <f>""</f>
        <v/>
      </c>
      <c r="F385" t="str">
        <f>""</f>
        <v/>
      </c>
      <c r="G385" t="str">
        <f>""</f>
        <v/>
      </c>
      <c r="I385" t="str">
        <f>"WHENIWORK"</f>
        <v>WHENIWORK</v>
      </c>
    </row>
    <row r="386" spans="1:9" x14ac:dyDescent="0.3">
      <c r="A386" t="str">
        <f>""</f>
        <v/>
      </c>
      <c r="F386" t="str">
        <f>""</f>
        <v/>
      </c>
      <c r="G386" t="str">
        <f>""</f>
        <v/>
      </c>
      <c r="I386" t="str">
        <f>"WALMART"</f>
        <v>WALMART</v>
      </c>
    </row>
    <row r="387" spans="1:9" x14ac:dyDescent="0.3">
      <c r="A387" t="str">
        <f>""</f>
        <v/>
      </c>
      <c r="F387" t="str">
        <f>""</f>
        <v/>
      </c>
      <c r="G387" t="str">
        <f>""</f>
        <v/>
      </c>
      <c r="I387" t="str">
        <f>"AMAZON"</f>
        <v>AMAZON</v>
      </c>
    </row>
    <row r="388" spans="1:9" x14ac:dyDescent="0.3">
      <c r="A388" t="str">
        <f>""</f>
        <v/>
      </c>
      <c r="F388" t="str">
        <f>""</f>
        <v/>
      </c>
      <c r="G388" t="str">
        <f>""</f>
        <v/>
      </c>
      <c r="I388" t="str">
        <f>"AMAZON"</f>
        <v>AMAZON</v>
      </c>
    </row>
    <row r="389" spans="1:9" x14ac:dyDescent="0.3">
      <c r="A389" t="str">
        <f>""</f>
        <v/>
      </c>
      <c r="F389" t="str">
        <f>""</f>
        <v/>
      </c>
      <c r="G389" t="str">
        <f>""</f>
        <v/>
      </c>
      <c r="I389" t="str">
        <f>"ROSANNA GARZA"</f>
        <v>ROSANNA GARZA</v>
      </c>
    </row>
    <row r="390" spans="1:9" x14ac:dyDescent="0.3">
      <c r="A390" t="str">
        <f>""</f>
        <v/>
      </c>
      <c r="F390" t="str">
        <f>""</f>
        <v/>
      </c>
      <c r="G390" t="str">
        <f>""</f>
        <v/>
      </c>
      <c r="I390" t="str">
        <f>"ROBERT BENNET"</f>
        <v>ROBERT BENNET</v>
      </c>
    </row>
    <row r="391" spans="1:9" x14ac:dyDescent="0.3">
      <c r="A391" t="str">
        <f>""</f>
        <v/>
      </c>
      <c r="F391" t="str">
        <f>""</f>
        <v/>
      </c>
      <c r="G391" t="str">
        <f>""</f>
        <v/>
      </c>
      <c r="I391" t="str">
        <f>"ANNETTE MURLEY"</f>
        <v>ANNETTE MURLEY</v>
      </c>
    </row>
    <row r="392" spans="1:9" x14ac:dyDescent="0.3">
      <c r="A392" t="str">
        <f>""</f>
        <v/>
      </c>
      <c r="F392" t="str">
        <f>""</f>
        <v/>
      </c>
      <c r="G392" t="str">
        <f>""</f>
        <v/>
      </c>
      <c r="I392" t="str">
        <f>"CHARLES ADAMS"</f>
        <v>CHARLES ADAMS</v>
      </c>
    </row>
    <row r="393" spans="1:9" x14ac:dyDescent="0.3">
      <c r="A393" t="str">
        <f>""</f>
        <v/>
      </c>
      <c r="F393" t="str">
        <f>""</f>
        <v/>
      </c>
      <c r="G393" t="str">
        <f>""</f>
        <v/>
      </c>
      <c r="I393" t="str">
        <f>"ERIKA DEJESUS"</f>
        <v>ERIKA DEJESUS</v>
      </c>
    </row>
    <row r="394" spans="1:9" x14ac:dyDescent="0.3">
      <c r="A394" t="str">
        <f>""</f>
        <v/>
      </c>
      <c r="F394" t="str">
        <f>""</f>
        <v/>
      </c>
      <c r="G394" t="str">
        <f>""</f>
        <v/>
      </c>
      <c r="I394" t="str">
        <f>"KENNETH LEATHERWOOD"</f>
        <v>KENNETH LEATHERWOOD</v>
      </c>
    </row>
    <row r="395" spans="1:9" x14ac:dyDescent="0.3">
      <c r="A395" t="str">
        <f>""</f>
        <v/>
      </c>
      <c r="F395" t="str">
        <f>""</f>
        <v/>
      </c>
      <c r="G395" t="str">
        <f>""</f>
        <v/>
      </c>
      <c r="I395" t="str">
        <f>"SEARS REFUND"</f>
        <v>SEARS REFUND</v>
      </c>
    </row>
    <row r="396" spans="1:9" x14ac:dyDescent="0.3">
      <c r="A396" t="str">
        <f>""</f>
        <v/>
      </c>
      <c r="F396" t="str">
        <f>""</f>
        <v/>
      </c>
      <c r="G396" t="str">
        <f>""</f>
        <v/>
      </c>
      <c r="I396" t="str">
        <f>"SEARS"</f>
        <v>SEARS</v>
      </c>
    </row>
    <row r="397" spans="1:9" x14ac:dyDescent="0.3">
      <c r="A397" t="str">
        <f>""</f>
        <v/>
      </c>
      <c r="F397" t="str">
        <f>""</f>
        <v/>
      </c>
      <c r="G397" t="str">
        <f>""</f>
        <v/>
      </c>
      <c r="I397" t="str">
        <f>"GLOBALINDUSTRIAL"</f>
        <v>GLOBALINDUSTRIAL</v>
      </c>
    </row>
    <row r="398" spans="1:9" x14ac:dyDescent="0.3">
      <c r="A398" t="str">
        <f>""</f>
        <v/>
      </c>
      <c r="F398" t="str">
        <f>""</f>
        <v/>
      </c>
      <c r="G398" t="str">
        <f>""</f>
        <v/>
      </c>
      <c r="I398" t="str">
        <f>"AMAZON"</f>
        <v>AMAZON</v>
      </c>
    </row>
    <row r="399" spans="1:9" x14ac:dyDescent="0.3">
      <c r="A399" t="str">
        <f>""</f>
        <v/>
      </c>
      <c r="F399" t="str">
        <f>""</f>
        <v/>
      </c>
      <c r="G399" t="str">
        <f>""</f>
        <v/>
      </c>
      <c r="I399" t="str">
        <f>"AMAZON"</f>
        <v>AMAZON</v>
      </c>
    </row>
    <row r="400" spans="1:9" x14ac:dyDescent="0.3">
      <c r="A400" t="str">
        <f>""</f>
        <v/>
      </c>
      <c r="F400" t="str">
        <f>""</f>
        <v/>
      </c>
      <c r="G400" t="str">
        <f>""</f>
        <v/>
      </c>
      <c r="I400" t="str">
        <f>"AMAZON"</f>
        <v>AMAZON</v>
      </c>
    </row>
    <row r="401" spans="1:9" x14ac:dyDescent="0.3">
      <c r="A401" t="str">
        <f>""</f>
        <v/>
      </c>
      <c r="F401" t="str">
        <f>""</f>
        <v/>
      </c>
      <c r="G401" t="str">
        <f>""</f>
        <v/>
      </c>
      <c r="I401" t="str">
        <f>"SEARS"</f>
        <v>SEARS</v>
      </c>
    </row>
    <row r="402" spans="1:9" x14ac:dyDescent="0.3">
      <c r="A402" t="str">
        <f>""</f>
        <v/>
      </c>
      <c r="F402" t="str">
        <f>""</f>
        <v/>
      </c>
      <c r="G402" t="str">
        <f>""</f>
        <v/>
      </c>
      <c r="I402" t="str">
        <f>"MAIL &amp; SIGNS"</f>
        <v>MAIL &amp; SIGNS</v>
      </c>
    </row>
    <row r="403" spans="1:9" x14ac:dyDescent="0.3">
      <c r="A403" t="str">
        <f>""</f>
        <v/>
      </c>
      <c r="F403" t="str">
        <f>""</f>
        <v/>
      </c>
      <c r="G403" t="str">
        <f>""</f>
        <v/>
      </c>
      <c r="I403" t="str">
        <f>"WALMART"</f>
        <v>WALMART</v>
      </c>
    </row>
    <row r="404" spans="1:9" x14ac:dyDescent="0.3">
      <c r="A404" t="str">
        <f>"CARD"</f>
        <v>CARD</v>
      </c>
      <c r="B404" t="s">
        <v>93</v>
      </c>
      <c r="C404">
        <v>0</v>
      </c>
      <c r="D404" s="2">
        <v>629.58000000000004</v>
      </c>
      <c r="E404" s="1">
        <v>43031</v>
      </c>
      <c r="F404" t="str">
        <f>"STATEMENT 9/22/17"</f>
        <v>STATEMENT 9/22/17</v>
      </c>
      <c r="G404" t="str">
        <f>"0574 STATEMENT 8/24-09/22"</f>
        <v>0574 STATEMENT 8/24-09/22</v>
      </c>
      <c r="H404" s="2">
        <v>629.58000000000004</v>
      </c>
      <c r="I404" t="str">
        <f>"SUPERCIRCUITS"</f>
        <v>SUPERCIRCUITS</v>
      </c>
    </row>
    <row r="405" spans="1:9" x14ac:dyDescent="0.3">
      <c r="A405" t="str">
        <f>""</f>
        <v/>
      </c>
      <c r="F405" t="str">
        <f>""</f>
        <v/>
      </c>
      <c r="G405" t="str">
        <f>""</f>
        <v/>
      </c>
      <c r="I405" t="str">
        <f>"STAPLES"</f>
        <v>STAPLES</v>
      </c>
    </row>
    <row r="406" spans="1:9" x14ac:dyDescent="0.3">
      <c r="A406" t="str">
        <f>""</f>
        <v/>
      </c>
      <c r="F406" t="str">
        <f>""</f>
        <v/>
      </c>
      <c r="G406" t="str">
        <f>""</f>
        <v/>
      </c>
      <c r="I406" t="str">
        <f>"HOME DEPOT"</f>
        <v>HOME DEPOT</v>
      </c>
    </row>
    <row r="407" spans="1:9" x14ac:dyDescent="0.3">
      <c r="A407" t="str">
        <f>""</f>
        <v/>
      </c>
      <c r="F407" t="str">
        <f>""</f>
        <v/>
      </c>
      <c r="G407" t="str">
        <f>""</f>
        <v/>
      </c>
      <c r="I407" t="str">
        <f>"STAPLES"</f>
        <v>STAPLES</v>
      </c>
    </row>
    <row r="408" spans="1:9" x14ac:dyDescent="0.3">
      <c r="A408" t="str">
        <f>""</f>
        <v/>
      </c>
      <c r="F408" t="str">
        <f>""</f>
        <v/>
      </c>
      <c r="G408" t="str">
        <f>""</f>
        <v/>
      </c>
      <c r="I408" t="str">
        <f>"STAPLES"</f>
        <v>STAPLES</v>
      </c>
    </row>
    <row r="409" spans="1:9" x14ac:dyDescent="0.3">
      <c r="A409" t="str">
        <f>""</f>
        <v/>
      </c>
      <c r="F409" t="str">
        <f>""</f>
        <v/>
      </c>
      <c r="G409" t="str">
        <f>""</f>
        <v/>
      </c>
      <c r="I409" t="str">
        <f>"QUICKTROPHY NAMETAG"</f>
        <v>QUICKTROPHY NAMETAG</v>
      </c>
    </row>
    <row r="410" spans="1:9" x14ac:dyDescent="0.3">
      <c r="A410" t="str">
        <f>""</f>
        <v/>
      </c>
      <c r="F410" t="str">
        <f>""</f>
        <v/>
      </c>
      <c r="G410" t="str">
        <f>""</f>
        <v/>
      </c>
      <c r="I410" t="str">
        <f>"RUBBER FLOORING  INC"</f>
        <v>RUBBER FLOORING  INC</v>
      </c>
    </row>
    <row r="411" spans="1:9" x14ac:dyDescent="0.3">
      <c r="A411" t="str">
        <f>"T4871"</f>
        <v>T4871</v>
      </c>
      <c r="B411" t="s">
        <v>94</v>
      </c>
      <c r="C411">
        <v>999999</v>
      </c>
      <c r="D411" s="2">
        <v>897.29</v>
      </c>
      <c r="E411" s="1">
        <v>43019</v>
      </c>
      <c r="F411" t="str">
        <f>"KDR9173"</f>
        <v>KDR9173</v>
      </c>
      <c r="G411" t="str">
        <f>"APC Backups"</f>
        <v>APC Backups</v>
      </c>
      <c r="H411" s="2">
        <v>727.68</v>
      </c>
      <c r="I411" t="str">
        <f>"APC Backups"</f>
        <v>APC Backups</v>
      </c>
    </row>
    <row r="412" spans="1:9" x14ac:dyDescent="0.3">
      <c r="A412" t="str">
        <f>""</f>
        <v/>
      </c>
      <c r="F412" t="str">
        <f>"KGF5693"</f>
        <v>KGF5693</v>
      </c>
      <c r="G412" t="str">
        <f>"Quote# 1BS6PDS"</f>
        <v>Quote# 1BS6PDS</v>
      </c>
      <c r="H412" s="2">
        <v>169.61</v>
      </c>
      <c r="I412" t="str">
        <f>"Item# 107240"</f>
        <v>Item# 107240</v>
      </c>
    </row>
    <row r="413" spans="1:9" x14ac:dyDescent="0.3">
      <c r="A413" t="str">
        <f>"CTRPNT"</f>
        <v>CTRPNT</v>
      </c>
      <c r="B413" t="s">
        <v>95</v>
      </c>
      <c r="C413">
        <v>72891</v>
      </c>
      <c r="D413" s="2">
        <v>1525.87</v>
      </c>
      <c r="E413" s="1">
        <v>43014</v>
      </c>
      <c r="F413" t="str">
        <f>"201710065576"</f>
        <v>201710065576</v>
      </c>
      <c r="G413" t="str">
        <f>"ACCT#2959074-2 / 09282017"</f>
        <v>ACCT#2959074-2 / 09282017</v>
      </c>
      <c r="H413" s="2">
        <v>44.97</v>
      </c>
      <c r="I413" t="str">
        <f>"ACCT#2959074-2 / 09282017"</f>
        <v>ACCT#2959074-2 / 09282017</v>
      </c>
    </row>
    <row r="414" spans="1:9" x14ac:dyDescent="0.3">
      <c r="A414" t="str">
        <f>""</f>
        <v/>
      </c>
      <c r="F414" t="str">
        <f>"201710065577"</f>
        <v>201710065577</v>
      </c>
      <c r="G414" t="str">
        <f>"ACCT#2974567-6 / 09282017"</f>
        <v>ACCT#2974567-6 / 09282017</v>
      </c>
      <c r="H414" s="2">
        <v>1360.6</v>
      </c>
      <c r="I414" t="str">
        <f>"ACCT#2974567-6 / 09282017"</f>
        <v>ACCT#2974567-6 / 09282017</v>
      </c>
    </row>
    <row r="415" spans="1:9" x14ac:dyDescent="0.3">
      <c r="A415" t="str">
        <f>""</f>
        <v/>
      </c>
      <c r="F415" t="str">
        <f>"201710065578"</f>
        <v>201710065578</v>
      </c>
      <c r="G415" t="str">
        <f>"ACCT#3204433-1 / 09252017"</f>
        <v>ACCT#3204433-1 / 09252017</v>
      </c>
      <c r="H415" s="2">
        <v>40.1</v>
      </c>
      <c r="I415" t="str">
        <f>"ACCT#3204433-1 / 09252017"</f>
        <v>ACCT#3204433-1 / 09252017</v>
      </c>
    </row>
    <row r="416" spans="1:9" x14ac:dyDescent="0.3">
      <c r="A416" t="str">
        <f>""</f>
        <v/>
      </c>
      <c r="F416" t="str">
        <f>"201710065579"</f>
        <v>201710065579</v>
      </c>
      <c r="G416" t="str">
        <f>"ACCT#3204434-9 / 09282017"</f>
        <v>ACCT#3204434-9 / 09282017</v>
      </c>
      <c r="H416" s="2">
        <v>40.1</v>
      </c>
      <c r="I416" t="str">
        <f>"ACCT#3204434-9 / 09282017"</f>
        <v>ACCT#3204434-9 / 09282017</v>
      </c>
    </row>
    <row r="417" spans="1:9" x14ac:dyDescent="0.3">
      <c r="A417" t="str">
        <f>""</f>
        <v/>
      </c>
      <c r="F417" t="str">
        <f>"201710065580"</f>
        <v>201710065580</v>
      </c>
      <c r="G417" t="str">
        <f>"ACCT#6400890108-0 / 09252017"</f>
        <v>ACCT#6400890108-0 / 09252017</v>
      </c>
      <c r="H417" s="2">
        <v>40.1</v>
      </c>
      <c r="I417" t="str">
        <f>"ACCT#6400890108-0 / 09252017"</f>
        <v>ACCT#6400890108-0 / 09252017</v>
      </c>
    </row>
    <row r="418" spans="1:9" x14ac:dyDescent="0.3">
      <c r="A418" t="str">
        <f>"T12897"</f>
        <v>T12897</v>
      </c>
      <c r="B418" t="s">
        <v>96</v>
      </c>
      <c r="C418">
        <v>73372</v>
      </c>
      <c r="D418" s="2">
        <v>4738.9799999999996</v>
      </c>
      <c r="E418" s="1">
        <v>43031</v>
      </c>
      <c r="F418" t="str">
        <f>"CID2144878R"</f>
        <v>CID2144878R</v>
      </c>
      <c r="G418" t="str">
        <f>"Cooling Towels / PO#17-18371"</f>
        <v>Cooling Towels / PO#17-18371</v>
      </c>
      <c r="H418" s="2">
        <v>4738.9799999999996</v>
      </c>
      <c r="I418" t="str">
        <f>"Cooling Towels / PO#17-18371"</f>
        <v>Cooling Towels / PO#17-18371</v>
      </c>
    </row>
    <row r="419" spans="1:9" x14ac:dyDescent="0.3">
      <c r="A419" t="str">
        <f>"CENTEX"</f>
        <v>CENTEX</v>
      </c>
      <c r="B419" t="s">
        <v>97</v>
      </c>
      <c r="C419">
        <v>72954</v>
      </c>
      <c r="D419" s="2">
        <v>3824.1</v>
      </c>
      <c r="E419" s="1">
        <v>43018</v>
      </c>
      <c r="F419" t="str">
        <f>"30121109"</f>
        <v>30121109</v>
      </c>
      <c r="G419" t="str">
        <f>"CUST#BASPCT1/ORD#37-19558/PCT1"</f>
        <v>CUST#BASPCT1/ORD#37-19558/PCT1</v>
      </c>
      <c r="H419" s="2">
        <v>845.19</v>
      </c>
      <c r="I419" t="str">
        <f>"CUST#BASPCT1/ORD#37-19558/PCT1"</f>
        <v>CUST#BASPCT1/ORD#37-19558/PCT1</v>
      </c>
    </row>
    <row r="420" spans="1:9" x14ac:dyDescent="0.3">
      <c r="A420" t="str">
        <f>""</f>
        <v/>
      </c>
      <c r="F420" t="str">
        <f>"30121137"</f>
        <v>30121137</v>
      </c>
      <c r="G420" t="str">
        <f>"ORD#37-19558/BASE/PCT#1"</f>
        <v>ORD#37-19558/BASE/PCT#1</v>
      </c>
      <c r="H420" s="2">
        <v>853.56</v>
      </c>
      <c r="I420" t="str">
        <f>"ORD#37-19558/BASE/PCT#1"</f>
        <v>ORD#37-19558/BASE/PCT#1</v>
      </c>
    </row>
    <row r="421" spans="1:9" x14ac:dyDescent="0.3">
      <c r="A421" t="str">
        <f>""</f>
        <v/>
      </c>
      <c r="F421" t="str">
        <f>"30121176"</f>
        <v>30121176</v>
      </c>
      <c r="G421" t="str">
        <f>"CUST#BASPCT1/ORD#37-19558/PCT1"</f>
        <v>CUST#BASPCT1/ORD#37-19558/PCT1</v>
      </c>
      <c r="H421" s="2">
        <v>843.48</v>
      </c>
      <c r="I421" t="str">
        <f>"CUST#BASPCT1/ORD#37-19558/PCT1"</f>
        <v>CUST#BASPCT1/ORD#37-19558/PCT1</v>
      </c>
    </row>
    <row r="422" spans="1:9" x14ac:dyDescent="0.3">
      <c r="A422" t="str">
        <f>""</f>
        <v/>
      </c>
      <c r="F422" t="str">
        <f>"30121251"</f>
        <v>30121251</v>
      </c>
      <c r="G422" t="str">
        <f>"CUST#BASPCT1/ORD#37-19558/PCT1"</f>
        <v>CUST#BASPCT1/ORD#37-19558/PCT1</v>
      </c>
      <c r="H422" s="2">
        <v>431.82</v>
      </c>
      <c r="I422" t="str">
        <f>"CUST#BASPCT1/ORD#37-19558/PCT1"</f>
        <v>CUST#BASPCT1/ORD#37-19558/PCT1</v>
      </c>
    </row>
    <row r="423" spans="1:9" x14ac:dyDescent="0.3">
      <c r="A423" t="str">
        <f>""</f>
        <v/>
      </c>
      <c r="F423" t="str">
        <f>"30121252"</f>
        <v>30121252</v>
      </c>
      <c r="G423" t="str">
        <f>"CUST#BASPCT4/ORD#37-19552/PCT4"</f>
        <v>CUST#BASPCT4/ORD#37-19552/PCT4</v>
      </c>
      <c r="H423" s="2">
        <v>419.13</v>
      </c>
      <c r="I423" t="str">
        <f>"CUST#BASPCT4/ORD#37-19552/PCT4"</f>
        <v>CUST#BASPCT4/ORD#37-19552/PCT4</v>
      </c>
    </row>
    <row r="424" spans="1:9" x14ac:dyDescent="0.3">
      <c r="A424" t="str">
        <f>""</f>
        <v/>
      </c>
      <c r="F424" t="str">
        <f>"30121280"</f>
        <v>30121280</v>
      </c>
      <c r="G424" t="str">
        <f>"CUST#BASPCT1/ORD#37-19558/PCT1"</f>
        <v>CUST#BASPCT1/ORD#37-19558/PCT1</v>
      </c>
      <c r="H424" s="2">
        <v>430.92</v>
      </c>
      <c r="I424" t="str">
        <f>"CUST#BASPCT1/ORD#37-19558/PCT1"</f>
        <v>CUST#BASPCT1/ORD#37-19558/PCT1</v>
      </c>
    </row>
    <row r="425" spans="1:9" x14ac:dyDescent="0.3">
      <c r="A425" t="str">
        <f>"CENTEX"</f>
        <v>CENTEX</v>
      </c>
      <c r="B425" t="s">
        <v>97</v>
      </c>
      <c r="C425">
        <v>73208</v>
      </c>
      <c r="D425" s="2">
        <v>5934.15</v>
      </c>
      <c r="E425" s="1">
        <v>43031</v>
      </c>
      <c r="F425" t="str">
        <f>"30121207"</f>
        <v>30121207</v>
      </c>
      <c r="G425" t="str">
        <f>"CUST#BASPCT1/ORD#37-19558/PCT1"</f>
        <v>CUST#BASPCT1/ORD#37-19558/PCT1</v>
      </c>
      <c r="H425" s="2">
        <v>425.34</v>
      </c>
      <c r="I425" t="str">
        <f>"CUST#BASPCT1/ORD#37-19558/PCT1"</f>
        <v>CUST#BASPCT1/ORD#37-19558/PCT1</v>
      </c>
    </row>
    <row r="426" spans="1:9" x14ac:dyDescent="0.3">
      <c r="A426" t="str">
        <f>""</f>
        <v/>
      </c>
      <c r="F426" t="str">
        <f>"30121208"</f>
        <v>30121208</v>
      </c>
      <c r="G426" t="str">
        <f>"CUST#BASPCT4/ORD#37-19552/PCT4"</f>
        <v>CUST#BASPCT4/ORD#37-19552/PCT4</v>
      </c>
      <c r="H426" s="2">
        <v>421.2</v>
      </c>
      <c r="I426" t="str">
        <f>"CUST#BASPCT4/ORD#37-19552/PCT4"</f>
        <v>CUST#BASPCT4/ORD#37-19552/PCT4</v>
      </c>
    </row>
    <row r="427" spans="1:9" x14ac:dyDescent="0.3">
      <c r="A427" t="str">
        <f>""</f>
        <v/>
      </c>
      <c r="F427" t="str">
        <f>"30121230"</f>
        <v>30121230</v>
      </c>
      <c r="G427" t="str">
        <f>"CUST#BASPCT1/ORD#37-19558/PCT1"</f>
        <v>CUST#BASPCT1/ORD#37-19558/PCT1</v>
      </c>
      <c r="H427" s="2">
        <v>428.13</v>
      </c>
      <c r="I427" t="str">
        <f>"CUST#BASPCT1/ORD#37-19558/PCT1"</f>
        <v>CUST#BASPCT1/ORD#37-19558/PCT1</v>
      </c>
    </row>
    <row r="428" spans="1:9" x14ac:dyDescent="0.3">
      <c r="A428" t="str">
        <f>""</f>
        <v/>
      </c>
      <c r="F428" t="str">
        <f>"30121231"</f>
        <v>30121231</v>
      </c>
      <c r="G428" t="str">
        <f>"CUST#BASPCT4/ORD#37-19552/PCT4"</f>
        <v>CUST#BASPCT4/ORD#37-19552/PCT4</v>
      </c>
      <c r="H428" s="2">
        <v>420.21</v>
      </c>
      <c r="I428" t="str">
        <f>"CUST#BASPCT4/ORD#37-19552/PCT4"</f>
        <v>CUST#BASPCT4/ORD#37-19552/PCT4</v>
      </c>
    </row>
    <row r="429" spans="1:9" x14ac:dyDescent="0.3">
      <c r="A429" t="str">
        <f>""</f>
        <v/>
      </c>
      <c r="F429" t="str">
        <f>"30121304"</f>
        <v>30121304</v>
      </c>
      <c r="G429" t="str">
        <f>"CUST#BASPCT1/ORD#37-19558/PCT1"</f>
        <v>CUST#BASPCT1/ORD#37-19558/PCT1</v>
      </c>
      <c r="H429" s="2">
        <v>429.48</v>
      </c>
      <c r="I429" t="str">
        <f>"CUST#BASPCT1/ORD#37-19558/PCT1"</f>
        <v>CUST#BASPCT1/ORD#37-19558/PCT1</v>
      </c>
    </row>
    <row r="430" spans="1:9" x14ac:dyDescent="0.3">
      <c r="A430" t="str">
        <f>""</f>
        <v/>
      </c>
      <c r="F430" t="str">
        <f>"30121305"</f>
        <v>30121305</v>
      </c>
      <c r="G430" t="str">
        <f>"CUST#BASPCT4/ORD#37-19552/PCT4"</f>
        <v>CUST#BASPCT4/ORD#37-19552/PCT4</v>
      </c>
      <c r="H430" s="2">
        <v>421.65</v>
      </c>
      <c r="I430" t="str">
        <f>"CUST#BASPCT4/ORD#37-19552/PCT4"</f>
        <v>CUST#BASPCT4/ORD#37-19552/PCT4</v>
      </c>
    </row>
    <row r="431" spans="1:9" x14ac:dyDescent="0.3">
      <c r="A431" t="str">
        <f>""</f>
        <v/>
      </c>
      <c r="F431" t="str">
        <f>"30121359"</f>
        <v>30121359</v>
      </c>
      <c r="G431" t="str">
        <f>"CUST#BASPCT1/ORD#37-19558/PCT1"</f>
        <v>CUST#BASPCT1/ORD#37-19558/PCT1</v>
      </c>
      <c r="H431" s="2">
        <v>430.65</v>
      </c>
      <c r="I431" t="str">
        <f>"CUST#BASPCT1/ORD#37-19558/PCT1"</f>
        <v>CUST#BASPCT1/ORD#37-19558/PCT1</v>
      </c>
    </row>
    <row r="432" spans="1:9" x14ac:dyDescent="0.3">
      <c r="A432" t="str">
        <f>""</f>
        <v/>
      </c>
      <c r="F432" t="str">
        <f>"30121360"</f>
        <v>30121360</v>
      </c>
      <c r="G432" t="str">
        <f>"CUST#BASPCT4/ORD#37-19552/PCT4"</f>
        <v>CUST#BASPCT4/ORD#37-19552/PCT4</v>
      </c>
      <c r="H432" s="2">
        <v>411.75</v>
      </c>
      <c r="I432" t="str">
        <f>"CUST#BASPCT4/ORD#37-19552/PCT4"</f>
        <v>CUST#BASPCT4/ORD#37-19552/PCT4</v>
      </c>
    </row>
    <row r="433" spans="1:9" x14ac:dyDescent="0.3">
      <c r="A433" t="str">
        <f>""</f>
        <v/>
      </c>
      <c r="F433" t="str">
        <f>"30121368"</f>
        <v>30121368</v>
      </c>
      <c r="G433" t="str">
        <f>"CUST#BASPCT1/ORD#37-19558/PCT1"</f>
        <v>CUST#BASPCT1/ORD#37-19558/PCT1</v>
      </c>
      <c r="H433" s="2">
        <v>426.96</v>
      </c>
      <c r="I433" t="str">
        <f>"CUST#BASPCT1/ORD#37-19558/PCT1"</f>
        <v>CUST#BASPCT1/ORD#37-19558/PCT1</v>
      </c>
    </row>
    <row r="434" spans="1:9" x14ac:dyDescent="0.3">
      <c r="A434" t="str">
        <f>""</f>
        <v/>
      </c>
      <c r="F434" t="str">
        <f>"30121369"</f>
        <v>30121369</v>
      </c>
      <c r="G434" t="str">
        <f>"CUST#BASPCT4/ORD#37-19552/PCT4"</f>
        <v>CUST#BASPCT4/ORD#37-19552/PCT4</v>
      </c>
      <c r="H434" s="2">
        <v>416.16</v>
      </c>
      <c r="I434" t="str">
        <f>"CUST#BASPCT4/ORD#37-19552/PCT4"</f>
        <v>CUST#BASPCT4/ORD#37-19552/PCT4</v>
      </c>
    </row>
    <row r="435" spans="1:9" x14ac:dyDescent="0.3">
      <c r="A435" t="str">
        <f>""</f>
        <v/>
      </c>
      <c r="F435" t="str">
        <f>"30121384"</f>
        <v>30121384</v>
      </c>
      <c r="G435" t="str">
        <f>"CUST#BASPCT1/ORD#37-19558/PCT1"</f>
        <v>CUST#BASPCT1/ORD#37-19558/PCT1</v>
      </c>
      <c r="H435" s="2">
        <v>421.47</v>
      </c>
      <c r="I435" t="str">
        <f>"CUST#BASPCT1/ORD#37-19558/PCT1"</f>
        <v>CUST#BASPCT1/ORD#37-19558/PCT1</v>
      </c>
    </row>
    <row r="436" spans="1:9" x14ac:dyDescent="0.3">
      <c r="A436" t="str">
        <f>""</f>
        <v/>
      </c>
      <c r="F436" t="str">
        <f>"30121385"</f>
        <v>30121385</v>
      </c>
      <c r="G436" t="str">
        <f>"CUST#BASPCT4/ORD#37-19552/PCT4"</f>
        <v>CUST#BASPCT4/ORD#37-19552/PCT4</v>
      </c>
      <c r="H436" s="2">
        <v>421.11</v>
      </c>
      <c r="I436" t="str">
        <f>"CUST#BASPCT4/ORD#37-19552/PCT4"</f>
        <v>CUST#BASPCT4/ORD#37-19552/PCT4</v>
      </c>
    </row>
    <row r="437" spans="1:9" x14ac:dyDescent="0.3">
      <c r="A437" t="str">
        <f>""</f>
        <v/>
      </c>
      <c r="F437" t="str">
        <f>"30121407"</f>
        <v>30121407</v>
      </c>
      <c r="G437" t="str">
        <f>"CUST#BASPCT1/ORD#37-19558/PCT1"</f>
        <v>CUST#BASPCT1/ORD#37-19558/PCT1</v>
      </c>
      <c r="H437" s="2">
        <v>437.13</v>
      </c>
      <c r="I437" t="str">
        <f>"CUST#BASPCT1/ORD#37-19558/PCT1"</f>
        <v>CUST#BASPCT1/ORD#37-19558/PCT1</v>
      </c>
    </row>
    <row r="438" spans="1:9" x14ac:dyDescent="0.3">
      <c r="A438" t="str">
        <f>""</f>
        <v/>
      </c>
      <c r="F438" t="str">
        <f>"30121408"</f>
        <v>30121408</v>
      </c>
      <c r="G438" t="str">
        <f>"CUST#BASPCT4/ORD#37-19552/PCT4"</f>
        <v>CUST#BASPCT4/ORD#37-19552/PCT4</v>
      </c>
      <c r="H438" s="2">
        <v>422.91</v>
      </c>
      <c r="I438" t="str">
        <f>"CUST#BASPCT4/ORD#37-19552/PCT4"</f>
        <v>CUST#BASPCT4/ORD#37-19552/PCT4</v>
      </c>
    </row>
    <row r="439" spans="1:9" x14ac:dyDescent="0.3">
      <c r="A439" t="str">
        <f>"003739"</f>
        <v>003739</v>
      </c>
      <c r="B439" t="s">
        <v>98</v>
      </c>
      <c r="C439">
        <v>72955</v>
      </c>
      <c r="D439" s="2">
        <v>5820</v>
      </c>
      <c r="E439" s="1">
        <v>43018</v>
      </c>
      <c r="F439" t="str">
        <f>"0000045390"</f>
        <v>0000045390</v>
      </c>
      <c r="G439" t="str">
        <f>"Inv# 0000045390"</f>
        <v>Inv# 0000045390</v>
      </c>
      <c r="H439" s="2">
        <v>5820</v>
      </c>
      <c r="I439" t="str">
        <f>"Inv# 0000045390"</f>
        <v>Inv# 0000045390</v>
      </c>
    </row>
    <row r="440" spans="1:9" x14ac:dyDescent="0.3">
      <c r="A440" t="str">
        <f>"002795"</f>
        <v>002795</v>
      </c>
      <c r="B440" t="s">
        <v>99</v>
      </c>
      <c r="C440">
        <v>72956</v>
      </c>
      <c r="D440" s="2">
        <v>6300</v>
      </c>
      <c r="E440" s="1">
        <v>43018</v>
      </c>
      <c r="F440" t="str">
        <f>"11890"</f>
        <v>11890</v>
      </c>
      <c r="G440" t="str">
        <f>"AUTOPSY-S. PRICE CTA 204-17"</f>
        <v>AUTOPSY-S. PRICE CTA 204-17</v>
      </c>
      <c r="H440" s="2">
        <v>2100</v>
      </c>
      <c r="I440" t="str">
        <f>"AUTOPSY-S. PRICE CTA 204-17"</f>
        <v>AUTOPSY-S. PRICE CTA 204-17</v>
      </c>
    </row>
    <row r="441" spans="1:9" x14ac:dyDescent="0.3">
      <c r="A441" t="str">
        <f>""</f>
        <v/>
      </c>
      <c r="F441" t="str">
        <f>"11891"</f>
        <v>11891</v>
      </c>
      <c r="G441" t="str">
        <f>"AUTOPSY CTA 243-17 N PETTY JR."</f>
        <v>AUTOPSY CTA 243-17 N PETTY JR.</v>
      </c>
      <c r="H441" s="2">
        <v>2100</v>
      </c>
      <c r="I441" t="str">
        <f>"CTA 243-17 NOLAN PETTY JR."</f>
        <v>CTA 243-17 NOLAN PETTY JR.</v>
      </c>
    </row>
    <row r="442" spans="1:9" x14ac:dyDescent="0.3">
      <c r="A442" t="str">
        <f>""</f>
        <v/>
      </c>
      <c r="F442" t="str">
        <f>"11901"</f>
        <v>11901</v>
      </c>
      <c r="G442" t="str">
        <f>"AUTOPSY-D.JANECEK CTA291-17"</f>
        <v>AUTOPSY-D.JANECEK CTA291-17</v>
      </c>
      <c r="H442" s="2">
        <v>2100</v>
      </c>
      <c r="I442" t="str">
        <f>"AUTOPSY-D.JANECEK CTA291-17"</f>
        <v>AUTOPSY-D.JANECEK CTA291-17</v>
      </c>
    </row>
    <row r="443" spans="1:9" x14ac:dyDescent="0.3">
      <c r="A443" t="str">
        <f>"002795"</f>
        <v>002795</v>
      </c>
      <c r="B443" t="s">
        <v>99</v>
      </c>
      <c r="C443">
        <v>73209</v>
      </c>
      <c r="D443" s="2">
        <v>12600</v>
      </c>
      <c r="E443" s="1">
        <v>43031</v>
      </c>
      <c r="F443" t="str">
        <f>"11707"</f>
        <v>11707</v>
      </c>
      <c r="G443" t="str">
        <f>"CTA 030-17 L. HARRELL"</f>
        <v>CTA 030-17 L. HARRELL</v>
      </c>
      <c r="H443" s="2">
        <v>2100</v>
      </c>
      <c r="I443" t="str">
        <f>"CTA 030-17 L. HARRELL"</f>
        <v>CTA 030-17 L. HARRELL</v>
      </c>
    </row>
    <row r="444" spans="1:9" x14ac:dyDescent="0.3">
      <c r="A444" t="str">
        <f>""</f>
        <v/>
      </c>
      <c r="F444" t="str">
        <f>"11910"</f>
        <v>11910</v>
      </c>
      <c r="G444" t="str">
        <f>"CTA 287-17:P. GASSENMEYER"</f>
        <v>CTA 287-17:P. GASSENMEYER</v>
      </c>
      <c r="H444" s="2">
        <v>2100</v>
      </c>
      <c r="I444" t="str">
        <f>"CTA 287-17:P. GASSENMEYER"</f>
        <v>CTA 287-17:P. GASSENMEYER</v>
      </c>
    </row>
    <row r="445" spans="1:9" x14ac:dyDescent="0.3">
      <c r="A445" t="str">
        <f>""</f>
        <v/>
      </c>
      <c r="F445" t="str">
        <f>"11914"</f>
        <v>11914</v>
      </c>
      <c r="G445" t="str">
        <f>"CTA 394-16 R.GRAHOVEC"</f>
        <v>CTA 394-16 R.GRAHOVEC</v>
      </c>
      <c r="H445" s="2">
        <v>2100</v>
      </c>
      <c r="I445" t="str">
        <f>"CTA 394-16 R.GRAHOVEC"</f>
        <v>CTA 394-16 R.GRAHOVEC</v>
      </c>
    </row>
    <row r="446" spans="1:9" x14ac:dyDescent="0.3">
      <c r="A446" t="str">
        <f>""</f>
        <v/>
      </c>
      <c r="F446" t="str">
        <f>"11917"</f>
        <v>11917</v>
      </c>
      <c r="G446" t="str">
        <f>"CTA 063-17 J. W. ROSALES"</f>
        <v>CTA 063-17 J. W. ROSALES</v>
      </c>
      <c r="H446" s="2">
        <v>2100</v>
      </c>
      <c r="I446" t="str">
        <f>"CTA 063-17 J. W. ROSALES"</f>
        <v>CTA 063-17 J. W. ROSALES</v>
      </c>
    </row>
    <row r="447" spans="1:9" x14ac:dyDescent="0.3">
      <c r="A447" t="str">
        <f>""</f>
        <v/>
      </c>
      <c r="F447" t="str">
        <f>"11918"</f>
        <v>11918</v>
      </c>
      <c r="G447" t="str">
        <f>"CTA 069-17 J. FRERICH"</f>
        <v>CTA 069-17 J. FRERICH</v>
      </c>
      <c r="H447" s="2">
        <v>2100</v>
      </c>
      <c r="I447" t="str">
        <f>"CTA 069-17 J. FRERICH"</f>
        <v>CTA 069-17 J. FRERICH</v>
      </c>
    </row>
    <row r="448" spans="1:9" x14ac:dyDescent="0.3">
      <c r="A448" t="str">
        <f>""</f>
        <v/>
      </c>
      <c r="F448" t="str">
        <f>"11920"</f>
        <v>11920</v>
      </c>
      <c r="G448" t="str">
        <f>"CTA 212-17 T. S. MOORE"</f>
        <v>CTA 212-17 T. S. MOORE</v>
      </c>
      <c r="H448" s="2">
        <v>2100</v>
      </c>
      <c r="I448" t="str">
        <f>"CTA 212-17 T. S. MOORE"</f>
        <v>CTA 212-17 T. S. MOORE</v>
      </c>
    </row>
    <row r="449" spans="1:9" x14ac:dyDescent="0.3">
      <c r="A449" t="str">
        <f>"CERT"</f>
        <v>CERT</v>
      </c>
      <c r="B449" t="s">
        <v>100</v>
      </c>
      <c r="C449">
        <v>73210</v>
      </c>
      <c r="D449" s="2">
        <v>480.6</v>
      </c>
      <c r="E449" s="1">
        <v>43031</v>
      </c>
      <c r="F449" t="str">
        <f>"2856222"</f>
        <v>2856222</v>
      </c>
      <c r="G449" t="str">
        <f>"CUST#271202/PROD#12042830/PCT2"</f>
        <v>CUST#271202/PROD#12042830/PCT2</v>
      </c>
      <c r="H449" s="2">
        <v>480.6</v>
      </c>
      <c r="I449" t="str">
        <f>"CUST#271202/PROD#12042830/PCT2"</f>
        <v>CUST#271202/PROD#12042830/PCT2</v>
      </c>
    </row>
    <row r="450" spans="1:9" x14ac:dyDescent="0.3">
      <c r="A450" t="str">
        <f>"004648"</f>
        <v>004648</v>
      </c>
      <c r="B450" t="s">
        <v>101</v>
      </c>
      <c r="C450">
        <v>72957</v>
      </c>
      <c r="D450" s="2">
        <v>100</v>
      </c>
      <c r="E450" s="1">
        <v>43018</v>
      </c>
      <c r="F450" t="str">
        <f>"201710045312"</f>
        <v>201710045312</v>
      </c>
      <c r="G450" t="str">
        <f>"17-18229"</f>
        <v>17-18229</v>
      </c>
      <c r="H450" s="2">
        <v>100</v>
      </c>
      <c r="I450" t="str">
        <f>"17-18229"</f>
        <v>17-18229</v>
      </c>
    </row>
    <row r="451" spans="1:9" x14ac:dyDescent="0.3">
      <c r="A451" t="str">
        <f>"T9145"</f>
        <v>T9145</v>
      </c>
      <c r="B451" t="s">
        <v>102</v>
      </c>
      <c r="C451">
        <v>999999</v>
      </c>
      <c r="D451" s="2">
        <v>475</v>
      </c>
      <c r="E451" s="1">
        <v>43019</v>
      </c>
      <c r="F451" t="str">
        <f>"201710045313"</f>
        <v>201710045313</v>
      </c>
      <c r="G451" t="str">
        <f>"55 005  55 533"</f>
        <v>55 005  55 533</v>
      </c>
      <c r="H451" s="2">
        <v>375</v>
      </c>
      <c r="I451" t="str">
        <f>"55 005  55 533"</f>
        <v>55 005  55 533</v>
      </c>
    </row>
    <row r="452" spans="1:9" x14ac:dyDescent="0.3">
      <c r="A452" t="str">
        <f>""</f>
        <v/>
      </c>
      <c r="F452" t="str">
        <f>"201710045314"</f>
        <v>201710045314</v>
      </c>
      <c r="G452" t="str">
        <f>"17-18578"</f>
        <v>17-18578</v>
      </c>
      <c r="H452" s="2">
        <v>100</v>
      </c>
      <c r="I452" t="str">
        <f>"17-18578"</f>
        <v>17-18578</v>
      </c>
    </row>
    <row r="453" spans="1:9" x14ac:dyDescent="0.3">
      <c r="A453" t="str">
        <f>"T9145"</f>
        <v>T9145</v>
      </c>
      <c r="B453" t="s">
        <v>102</v>
      </c>
      <c r="C453">
        <v>999999</v>
      </c>
      <c r="D453" s="2">
        <v>975</v>
      </c>
      <c r="E453" s="1">
        <v>43032</v>
      </c>
      <c r="F453" t="str">
        <f>"201710185757"</f>
        <v>201710185757</v>
      </c>
      <c r="G453" t="str">
        <f>"16-18105"</f>
        <v>16-18105</v>
      </c>
      <c r="H453" s="2">
        <v>100</v>
      </c>
      <c r="I453" t="str">
        <f>"16-18105"</f>
        <v>16-18105</v>
      </c>
    </row>
    <row r="454" spans="1:9" x14ac:dyDescent="0.3">
      <c r="A454" t="str">
        <f>""</f>
        <v/>
      </c>
      <c r="F454" t="str">
        <f>"201710185758"</f>
        <v>201710185758</v>
      </c>
      <c r="G454" t="str">
        <f>"55 562"</f>
        <v>55 562</v>
      </c>
      <c r="H454" s="2">
        <v>250</v>
      </c>
      <c r="I454" t="str">
        <f>"55 562"</f>
        <v>55 562</v>
      </c>
    </row>
    <row r="455" spans="1:9" x14ac:dyDescent="0.3">
      <c r="A455" t="str">
        <f>""</f>
        <v/>
      </c>
      <c r="F455" t="str">
        <f>"201710185760"</f>
        <v>201710185760</v>
      </c>
      <c r="G455" t="str">
        <f>"55 102"</f>
        <v>55 102</v>
      </c>
      <c r="H455" s="2">
        <v>250</v>
      </c>
      <c r="I455" t="str">
        <f>"55 102"</f>
        <v>55 102</v>
      </c>
    </row>
    <row r="456" spans="1:9" x14ac:dyDescent="0.3">
      <c r="A456" t="str">
        <f>""</f>
        <v/>
      </c>
      <c r="F456" t="str">
        <f>"201710185761"</f>
        <v>201710185761</v>
      </c>
      <c r="G456" t="str">
        <f>"54 890  3012032016A"</f>
        <v>54 890  3012032016A</v>
      </c>
      <c r="H456" s="2">
        <v>375</v>
      </c>
      <c r="I456" t="str">
        <f>"54 890  3012032016A"</f>
        <v>54 890  3012032016A</v>
      </c>
    </row>
    <row r="457" spans="1:9" x14ac:dyDescent="0.3">
      <c r="A457" t="str">
        <f>"005030"</f>
        <v>005030</v>
      </c>
      <c r="B457" t="s">
        <v>103</v>
      </c>
      <c r="C457">
        <v>72958</v>
      </c>
      <c r="D457" s="2">
        <v>152.08000000000001</v>
      </c>
      <c r="E457" s="1">
        <v>43018</v>
      </c>
      <c r="F457" t="str">
        <f>"1011"</f>
        <v>1011</v>
      </c>
      <c r="G457" t="str">
        <f>"SURGICAL DRAPE/BCAS"</f>
        <v>SURGICAL DRAPE/BCAS</v>
      </c>
      <c r="H457" s="2">
        <v>152.08000000000001</v>
      </c>
      <c r="I457" t="str">
        <f>"SURGICAL DRAPE/BCAS"</f>
        <v>SURGICAL DRAPE/BCAS</v>
      </c>
    </row>
    <row r="458" spans="1:9" x14ac:dyDescent="0.3">
      <c r="A458" t="str">
        <f>"005030"</f>
        <v>005030</v>
      </c>
      <c r="B458" t="s">
        <v>103</v>
      </c>
      <c r="C458">
        <v>999999</v>
      </c>
      <c r="D458" s="2">
        <v>98.85</v>
      </c>
      <c r="E458" s="1">
        <v>43032</v>
      </c>
      <c r="F458" t="str">
        <f>"1012"</f>
        <v>1012</v>
      </c>
      <c r="G458" t="str">
        <f>"PROBIOTIC"</f>
        <v>PROBIOTIC</v>
      </c>
      <c r="H458" s="2">
        <v>98.85</v>
      </c>
      <c r="I458" t="str">
        <f>"PROBIOTIC"</f>
        <v>PROBIOTIC</v>
      </c>
    </row>
    <row r="459" spans="1:9" x14ac:dyDescent="0.3">
      <c r="A459" t="str">
        <f>"T14263"</f>
        <v>T14263</v>
      </c>
      <c r="B459" t="s">
        <v>104</v>
      </c>
      <c r="C459">
        <v>73211</v>
      </c>
      <c r="D459" s="2">
        <v>390</v>
      </c>
      <c r="E459" s="1">
        <v>43031</v>
      </c>
      <c r="F459" t="str">
        <f>"201710185822"</f>
        <v>201710185822</v>
      </c>
      <c r="G459" t="str">
        <f>"PROFESSIONAL SERVICES"</f>
        <v>PROFESSIONAL SERVICES</v>
      </c>
      <c r="H459" s="2">
        <v>390</v>
      </c>
      <c r="I459" t="str">
        <f>"PROFESSIONAL SERVICES"</f>
        <v>PROFESSIONAL SERVICES</v>
      </c>
    </row>
    <row r="460" spans="1:9" x14ac:dyDescent="0.3">
      <c r="A460" t="str">
        <f>"004228"</f>
        <v>004228</v>
      </c>
      <c r="B460" t="s">
        <v>105</v>
      </c>
      <c r="C460">
        <v>73212</v>
      </c>
      <c r="D460" s="2">
        <v>1733.39</v>
      </c>
      <c r="E460" s="1">
        <v>43031</v>
      </c>
      <c r="F460" t="str">
        <f>"201710175702"</f>
        <v>201710175702</v>
      </c>
      <c r="G460" t="str">
        <f>"MILEAGE REIMBURSEMENT"</f>
        <v>MILEAGE REIMBURSEMENT</v>
      </c>
      <c r="H460" s="2">
        <v>217.21</v>
      </c>
      <c r="I460" t="str">
        <f>"MILEAGE REIMBURSEMENT"</f>
        <v>MILEAGE REIMBURSEMENT</v>
      </c>
    </row>
    <row r="461" spans="1:9" x14ac:dyDescent="0.3">
      <c r="A461" t="str">
        <f>""</f>
        <v/>
      </c>
      <c r="F461" t="str">
        <f>"201710175703"</f>
        <v>201710175703</v>
      </c>
      <c r="G461" t="str">
        <f>"REIMBURSE-LODGING"</f>
        <v>REIMBURSE-LODGING</v>
      </c>
      <c r="H461" s="2">
        <v>654.67999999999995</v>
      </c>
      <c r="I461" t="str">
        <f>"REIMBURSE-LODGING"</f>
        <v>REIMBURSE-LODGING</v>
      </c>
    </row>
    <row r="462" spans="1:9" x14ac:dyDescent="0.3">
      <c r="A462" t="str">
        <f>""</f>
        <v/>
      </c>
      <c r="F462" t="str">
        <f>"201710175709"</f>
        <v>201710175709</v>
      </c>
      <c r="G462" t="str">
        <f>"TTIA ANNUAL CONFERENCE HOTEL"</f>
        <v>TTIA ANNUAL CONFERENCE HOTEL</v>
      </c>
      <c r="H462" s="2">
        <v>600.41999999999996</v>
      </c>
      <c r="I462" t="str">
        <f>"TTIA ANNUAL CONFERENCE HOTEL"</f>
        <v>TTIA ANNUAL CONFERENCE HOTEL</v>
      </c>
    </row>
    <row r="463" spans="1:9" x14ac:dyDescent="0.3">
      <c r="A463" t="str">
        <f>""</f>
        <v/>
      </c>
      <c r="F463" t="str">
        <f>"201710175710"</f>
        <v>201710175710</v>
      </c>
      <c r="G463" t="str">
        <f>"MILEAGE"</f>
        <v>MILEAGE</v>
      </c>
      <c r="H463" s="2">
        <v>261.08</v>
      </c>
      <c r="I463" t="str">
        <f>"MILEAGE"</f>
        <v>MILEAGE</v>
      </c>
    </row>
    <row r="464" spans="1:9" x14ac:dyDescent="0.3">
      <c r="A464" t="str">
        <f>"005120"</f>
        <v>005120</v>
      </c>
      <c r="B464" t="s">
        <v>106</v>
      </c>
      <c r="C464">
        <v>73213</v>
      </c>
      <c r="D464" s="2">
        <v>80.260000000000005</v>
      </c>
      <c r="E464" s="1">
        <v>43031</v>
      </c>
      <c r="F464" t="str">
        <f>"5009012476"</f>
        <v>5009012476</v>
      </c>
      <c r="G464" t="str">
        <f>"CUST#0011167190/PCT#1"</f>
        <v>CUST#0011167190/PCT#1</v>
      </c>
      <c r="H464" s="2">
        <v>80.260000000000005</v>
      </c>
      <c r="I464" t="str">
        <f>"CUST#0011167190/PCT#1"</f>
        <v>CUST#0011167190/PCT#1</v>
      </c>
    </row>
    <row r="465" spans="1:9" x14ac:dyDescent="0.3">
      <c r="A465" t="str">
        <f>"005132"</f>
        <v>005132</v>
      </c>
      <c r="B465" t="s">
        <v>107</v>
      </c>
      <c r="C465">
        <v>72959</v>
      </c>
      <c r="D465" s="2">
        <v>208.82</v>
      </c>
      <c r="E465" s="1">
        <v>43018</v>
      </c>
      <c r="F465" t="str">
        <f>"8403341525"</f>
        <v>8403341525</v>
      </c>
      <c r="G465" t="str">
        <f>"CUST#10377368/PCT#3"</f>
        <v>CUST#10377368/PCT#3</v>
      </c>
      <c r="H465" s="2">
        <v>208.82</v>
      </c>
      <c r="I465" t="str">
        <f>"CUST#10377368/PCT#3"</f>
        <v>CUST#10377368/PCT#3</v>
      </c>
    </row>
    <row r="466" spans="1:9" x14ac:dyDescent="0.3">
      <c r="A466" t="str">
        <f>"005132"</f>
        <v>005132</v>
      </c>
      <c r="B466" t="s">
        <v>107</v>
      </c>
      <c r="C466">
        <v>73214</v>
      </c>
      <c r="D466" s="2">
        <v>409.43</v>
      </c>
      <c r="E466" s="1">
        <v>43031</v>
      </c>
      <c r="F466" t="str">
        <f>"8403356722"</f>
        <v>8403356722</v>
      </c>
      <c r="G466" t="str">
        <f>"CUST#10377368/PCT#2"</f>
        <v>CUST#10377368/PCT#2</v>
      </c>
      <c r="H466" s="2">
        <v>52.97</v>
      </c>
      <c r="I466" t="str">
        <f>"CUST#10377368/PCT#2"</f>
        <v>CUST#10377368/PCT#2</v>
      </c>
    </row>
    <row r="467" spans="1:9" x14ac:dyDescent="0.3">
      <c r="A467" t="str">
        <f>""</f>
        <v/>
      </c>
      <c r="F467" t="str">
        <f>"8403372790"</f>
        <v>8403372790</v>
      </c>
      <c r="G467" t="str">
        <f>"CUST#10377368/PCT#3"</f>
        <v>CUST#10377368/PCT#3</v>
      </c>
      <c r="H467" s="2">
        <v>356.46</v>
      </c>
      <c r="I467" t="str">
        <f>"CUST#10377368/PCT#3"</f>
        <v>CUST#10377368/PCT#3</v>
      </c>
    </row>
    <row r="468" spans="1:9" x14ac:dyDescent="0.3">
      <c r="A468" t="str">
        <f>"004728"</f>
        <v>004728</v>
      </c>
      <c r="B468" t="s">
        <v>108</v>
      </c>
      <c r="C468">
        <v>73215</v>
      </c>
      <c r="D468" s="2">
        <v>3920.34</v>
      </c>
      <c r="E468" s="1">
        <v>43031</v>
      </c>
      <c r="F468" t="str">
        <f>"201710125600"</f>
        <v>201710125600</v>
      </c>
      <c r="G468" t="str">
        <f>"086-11451"</f>
        <v>086-11451</v>
      </c>
      <c r="H468" s="2">
        <v>41.56</v>
      </c>
      <c r="I468" t="str">
        <f>"086-11451"</f>
        <v>086-11451</v>
      </c>
    </row>
    <row r="469" spans="1:9" x14ac:dyDescent="0.3">
      <c r="A469" t="str">
        <f>""</f>
        <v/>
      </c>
      <c r="F469" t="str">
        <f>"201710125601"</f>
        <v>201710125601</v>
      </c>
      <c r="G469" t="str">
        <f>"ACCT#086-11381/GEN SVCS"</f>
        <v>ACCT#086-11381/GEN SVCS</v>
      </c>
      <c r="H469" s="2">
        <v>677.9</v>
      </c>
      <c r="I469" t="str">
        <f>"ACCT#086-11381/GEN SVCS"</f>
        <v>ACCT#086-11381/GEN SVCS</v>
      </c>
    </row>
    <row r="470" spans="1:9" x14ac:dyDescent="0.3">
      <c r="A470" t="str">
        <f>""</f>
        <v/>
      </c>
      <c r="F470" t="str">
        <f>"201710125602"</f>
        <v>201710125602</v>
      </c>
      <c r="G470" t="str">
        <f>"ACCT#086-11458/ANIMAL SHELTER"</f>
        <v>ACCT#086-11458/ANIMAL SHELTER</v>
      </c>
      <c r="H470" s="2">
        <v>432.06</v>
      </c>
      <c r="I470" t="str">
        <f>"ACCT#086-11458/ANIMAL SHELTER"</f>
        <v>ACCT#086-11458/ANIMAL SHELTER</v>
      </c>
    </row>
    <row r="471" spans="1:9" x14ac:dyDescent="0.3">
      <c r="A471" t="str">
        <f>""</f>
        <v/>
      </c>
      <c r="F471" t="str">
        <f>"201710135612"</f>
        <v>201710135612</v>
      </c>
      <c r="G471" t="str">
        <f>"ACCT#086-11451/PCT#1"</f>
        <v>ACCT#086-11451/PCT#1</v>
      </c>
      <c r="H471" s="2">
        <v>604.88</v>
      </c>
      <c r="I471" t="str">
        <f>"ACCT#086-11451/PCT#1"</f>
        <v>ACCT#086-11451/PCT#1</v>
      </c>
    </row>
    <row r="472" spans="1:9" x14ac:dyDescent="0.3">
      <c r="A472" t="str">
        <f>""</f>
        <v/>
      </c>
      <c r="F472" t="str">
        <f>"201710135623"</f>
        <v>201710135623</v>
      </c>
      <c r="G472" t="str">
        <f>"ACCT#086-11386/PCT#4"</f>
        <v>ACCT#086-11386/PCT#4</v>
      </c>
      <c r="H472" s="2">
        <v>1488.5</v>
      </c>
      <c r="I472" t="str">
        <f>"ACCT#086-11386/PCT#4"</f>
        <v>ACCT#086-11386/PCT#4</v>
      </c>
    </row>
    <row r="473" spans="1:9" x14ac:dyDescent="0.3">
      <c r="A473" t="str">
        <f>""</f>
        <v/>
      </c>
      <c r="F473" t="str">
        <f>"201710175739"</f>
        <v>201710175739</v>
      </c>
      <c r="G473" t="str">
        <f>"ACCT#086-11375PCT#2"</f>
        <v>ACCT#086-11375PCT#2</v>
      </c>
      <c r="H473" s="2">
        <v>675.44</v>
      </c>
      <c r="I473" t="str">
        <f>"ACCT#086-11375PCT#2"</f>
        <v>ACCT#086-11375PCT#2</v>
      </c>
    </row>
    <row r="474" spans="1:9" x14ac:dyDescent="0.3">
      <c r="A474" t="str">
        <f>"004283"</f>
        <v>004283</v>
      </c>
      <c r="B474" t="s">
        <v>109</v>
      </c>
      <c r="C474">
        <v>72960</v>
      </c>
      <c r="D474" s="2">
        <v>5075</v>
      </c>
      <c r="E474" s="1">
        <v>43018</v>
      </c>
      <c r="F474" t="str">
        <f>"11702018"</f>
        <v>11702018</v>
      </c>
      <c r="G474" t="str">
        <f>"Cistera Upgrade"</f>
        <v>Cistera Upgrade</v>
      </c>
      <c r="H474" s="2">
        <v>5075</v>
      </c>
      <c r="I474" t="str">
        <f>"Cistera Upgrade"</f>
        <v>Cistera Upgrade</v>
      </c>
    </row>
    <row r="475" spans="1:9" x14ac:dyDescent="0.3">
      <c r="A475" t="str">
        <f>"BCO"</f>
        <v>BCO</v>
      </c>
      <c r="B475" t="s">
        <v>110</v>
      </c>
      <c r="C475">
        <v>73173</v>
      </c>
      <c r="D475" s="2">
        <v>47631.25</v>
      </c>
      <c r="E475" s="1">
        <v>43026</v>
      </c>
      <c r="F475" t="str">
        <f>"201710185852"</f>
        <v>201710185852</v>
      </c>
      <c r="G475" t="str">
        <f>"ACCT#02-2083-04 - 09/29/2017"</f>
        <v>ACCT#02-2083-04 - 09/29/2017</v>
      </c>
      <c r="H475" s="2">
        <v>1318.98</v>
      </c>
      <c r="I475" t="str">
        <f>"ACCT#02-2083-04 - 09/29/2017"</f>
        <v>ACCT#02-2083-04 - 09/29/2017</v>
      </c>
    </row>
    <row r="476" spans="1:9" x14ac:dyDescent="0.3">
      <c r="A476" t="str">
        <f>""</f>
        <v/>
      </c>
      <c r="F476" t="str">
        <f>"201710185853"</f>
        <v>201710185853</v>
      </c>
      <c r="G476" t="str">
        <f>"COUNTY DEVELOPMENT CENTER"</f>
        <v>COUNTY DEVELOPMENT CENTER</v>
      </c>
      <c r="H476" s="2">
        <v>1972.81</v>
      </c>
      <c r="I476" t="str">
        <f>"CITY OF BASTROP"</f>
        <v>CITY OF BASTROP</v>
      </c>
    </row>
    <row r="477" spans="1:9" x14ac:dyDescent="0.3">
      <c r="A477" t="str">
        <f>""</f>
        <v/>
      </c>
      <c r="F477" t="str">
        <f>"201710185854"</f>
        <v>201710185854</v>
      </c>
      <c r="G477" t="str">
        <f>"LAW ENFORCEMENT CENTER"</f>
        <v>LAW ENFORCEMENT CENTER</v>
      </c>
      <c r="H477" s="2">
        <v>28647.49</v>
      </c>
      <c r="I477" t="str">
        <f>"CITY OF BASTROP"</f>
        <v>CITY OF BASTROP</v>
      </c>
    </row>
    <row r="478" spans="1:9" x14ac:dyDescent="0.3">
      <c r="A478" t="str">
        <f>""</f>
        <v/>
      </c>
      <c r="F478" t="str">
        <f>"201710185855"</f>
        <v>201710185855</v>
      </c>
      <c r="G478" t="str">
        <f>"COUNTY COURTHOUSE"</f>
        <v>COUNTY COURTHOUSE</v>
      </c>
      <c r="H478" s="2">
        <v>15691.97</v>
      </c>
      <c r="I478" t="str">
        <f>"CITY OF BASTROP"</f>
        <v>CITY OF BASTROP</v>
      </c>
    </row>
    <row r="479" spans="1:9" x14ac:dyDescent="0.3">
      <c r="A479" t="str">
        <f>"COB"</f>
        <v>COB</v>
      </c>
      <c r="B479" t="s">
        <v>110</v>
      </c>
      <c r="C479">
        <v>73216</v>
      </c>
      <c r="D479" s="2">
        <v>500</v>
      </c>
      <c r="E479" s="1">
        <v>43031</v>
      </c>
      <c r="F479" t="str">
        <f>"201710185818"</f>
        <v>201710185818</v>
      </c>
      <c r="G479" t="str">
        <f>"RENTAL-PARKING LOT"</f>
        <v>RENTAL-PARKING LOT</v>
      </c>
      <c r="H479" s="2">
        <v>500</v>
      </c>
      <c r="I479" t="str">
        <f>"RENTAL-PARKING LOT"</f>
        <v>RENTAL-PARKING LOT</v>
      </c>
    </row>
    <row r="480" spans="1:9" x14ac:dyDescent="0.3">
      <c r="A480" t="str">
        <f>"SCO"</f>
        <v>SCO</v>
      </c>
      <c r="B480" t="s">
        <v>111</v>
      </c>
      <c r="C480">
        <v>72892</v>
      </c>
      <c r="D480" s="2">
        <v>2008.78</v>
      </c>
      <c r="E480" s="1">
        <v>43014</v>
      </c>
      <c r="F480" t="str">
        <f>"201710065570"</f>
        <v>201710065570</v>
      </c>
      <c r="G480" t="str">
        <f>"ACCT#007-0000388-000/09262017"</f>
        <v>ACCT#007-0000388-000/09262017</v>
      </c>
      <c r="H480" s="2">
        <v>630.39</v>
      </c>
      <c r="I480" t="str">
        <f>"ACCT#007-0000388-000/09262017"</f>
        <v>ACCT#007-0000388-000/09262017</v>
      </c>
    </row>
    <row r="481" spans="1:9" x14ac:dyDescent="0.3">
      <c r="A481" t="str">
        <f>""</f>
        <v/>
      </c>
      <c r="F481" t="str">
        <f>"201710065571"</f>
        <v>201710065571</v>
      </c>
      <c r="G481" t="str">
        <f>"ACCT#007-0000389-000/09262017"</f>
        <v>ACCT#007-0000389-000/09262017</v>
      </c>
      <c r="H481" s="2">
        <v>28.69</v>
      </c>
      <c r="I481" t="str">
        <f>"ACCT#007-0000389-000/09262017"</f>
        <v>ACCT#007-0000389-000/09262017</v>
      </c>
    </row>
    <row r="482" spans="1:9" x14ac:dyDescent="0.3">
      <c r="A482" t="str">
        <f>""</f>
        <v/>
      </c>
      <c r="F482" t="str">
        <f>"201710065572"</f>
        <v>201710065572</v>
      </c>
      <c r="G482" t="str">
        <f>"ACCT#044-0001240-000/09262017"</f>
        <v>ACCT#044-0001240-000/09262017</v>
      </c>
      <c r="H482" s="2">
        <v>362.26</v>
      </c>
      <c r="I482" t="str">
        <f>"ACCT#044-0001240-000/09262017"</f>
        <v>ACCT#044-0001240-000/09262017</v>
      </c>
    </row>
    <row r="483" spans="1:9" x14ac:dyDescent="0.3">
      <c r="A483" t="str">
        <f>""</f>
        <v/>
      </c>
      <c r="F483" t="str">
        <f>"201710065573"</f>
        <v>201710065573</v>
      </c>
      <c r="G483" t="str">
        <f>"ACCT#044-0001250-000/09262017"</f>
        <v>ACCT#044-0001250-000/09262017</v>
      </c>
      <c r="H483" s="2">
        <v>88.49</v>
      </c>
      <c r="I483" t="str">
        <f>"ACCT#044-0001250-000/09262017"</f>
        <v>ACCT#044-0001250-000/09262017</v>
      </c>
    </row>
    <row r="484" spans="1:9" x14ac:dyDescent="0.3">
      <c r="A484" t="str">
        <f>""</f>
        <v/>
      </c>
      <c r="F484" t="str">
        <f>"201710065574"</f>
        <v>201710065574</v>
      </c>
      <c r="G484" t="str">
        <f>"ACCT#044-0001252-000/09262017"</f>
        <v>ACCT#044-0001252-000/09262017</v>
      </c>
      <c r="H484" s="2">
        <v>624.53</v>
      </c>
      <c r="I484" t="str">
        <f>"ACCT#044-0001252-000/09262017"</f>
        <v>ACCT#044-0001252-000/09262017</v>
      </c>
    </row>
    <row r="485" spans="1:9" x14ac:dyDescent="0.3">
      <c r="A485" t="str">
        <f>""</f>
        <v/>
      </c>
      <c r="F485" t="str">
        <f>"201710065575"</f>
        <v>201710065575</v>
      </c>
      <c r="G485" t="str">
        <f>"ACCT#044-0001253-000/09262017"</f>
        <v>ACCT#044-0001253-000/09262017</v>
      </c>
      <c r="H485" s="2">
        <v>274.42</v>
      </c>
      <c r="I485" t="str">
        <f>"ACCT#044-0001253-000/09262017"</f>
        <v>ACCT#044-0001253-000/09262017</v>
      </c>
    </row>
    <row r="486" spans="1:9" x14ac:dyDescent="0.3">
      <c r="A486" t="str">
        <f>"SCO"</f>
        <v>SCO</v>
      </c>
      <c r="B486" t="s">
        <v>111</v>
      </c>
      <c r="C486">
        <v>73393</v>
      </c>
      <c r="D486" s="2">
        <v>1770.09</v>
      </c>
      <c r="E486" s="1">
        <v>43038</v>
      </c>
      <c r="F486" t="str">
        <f>"201710306066"</f>
        <v>201710306066</v>
      </c>
      <c r="G486" t="str">
        <f>"ACCT#007-0000388-000/10242017"</f>
        <v>ACCT#007-0000388-000/10242017</v>
      </c>
      <c r="H486" s="2">
        <v>616.53</v>
      </c>
      <c r="I486" t="str">
        <f>"ACCT#007-0000388-000/10242017"</f>
        <v>ACCT#007-0000388-000/10242017</v>
      </c>
    </row>
    <row r="487" spans="1:9" x14ac:dyDescent="0.3">
      <c r="A487" t="str">
        <f>""</f>
        <v/>
      </c>
      <c r="F487" t="str">
        <f>"201710306067"</f>
        <v>201710306067</v>
      </c>
      <c r="G487" t="str">
        <f>"ACCT#007-0000389-000/10242017"</f>
        <v>ACCT#007-0000389-000/10242017</v>
      </c>
      <c r="H487" s="2">
        <v>43.12</v>
      </c>
      <c r="I487" t="str">
        <f>"ACCT#007-0000389-000/10242017"</f>
        <v>ACCT#007-0000389-000/10242017</v>
      </c>
    </row>
    <row r="488" spans="1:9" x14ac:dyDescent="0.3">
      <c r="A488" t="str">
        <f>""</f>
        <v/>
      </c>
      <c r="F488" t="str">
        <f>"201710306068"</f>
        <v>201710306068</v>
      </c>
      <c r="G488" t="str">
        <f>"ACCT#044-0001240-000"</f>
        <v>ACCT#044-0001240-000</v>
      </c>
      <c r="H488" s="2">
        <v>342.14</v>
      </c>
      <c r="I488" t="str">
        <f>"ACCT#044-0001240-000"</f>
        <v>ACCT#044-0001240-000</v>
      </c>
    </row>
    <row r="489" spans="1:9" x14ac:dyDescent="0.3">
      <c r="A489" t="str">
        <f>""</f>
        <v/>
      </c>
      <c r="F489" t="str">
        <f>"201710306069"</f>
        <v>201710306069</v>
      </c>
      <c r="G489" t="str">
        <f>"ACCT#044-0001250-000/10242017"</f>
        <v>ACCT#044-0001250-000/10242017</v>
      </c>
      <c r="H489" s="2">
        <v>99.2</v>
      </c>
      <c r="I489" t="str">
        <f>"ACCT#044-0001250-000/10242017"</f>
        <v>ACCT#044-0001250-000/10242017</v>
      </c>
    </row>
    <row r="490" spans="1:9" x14ac:dyDescent="0.3">
      <c r="A490" t="str">
        <f>""</f>
        <v/>
      </c>
      <c r="F490" t="str">
        <f>"201710306070"</f>
        <v>201710306070</v>
      </c>
      <c r="G490" t="str">
        <f>"ACCT#044-0001252-000/10242017"</f>
        <v>ACCT#044-0001252-000/10242017</v>
      </c>
      <c r="H490" s="2">
        <v>366.04</v>
      </c>
      <c r="I490" t="str">
        <f>"ACCT#044-0001252-000/10242017"</f>
        <v>ACCT#044-0001252-000/10242017</v>
      </c>
    </row>
    <row r="491" spans="1:9" x14ac:dyDescent="0.3">
      <c r="A491" t="str">
        <f>""</f>
        <v/>
      </c>
      <c r="F491" t="str">
        <f>"201710306071"</f>
        <v>201710306071</v>
      </c>
      <c r="G491" t="str">
        <f>"ACCT#044-0001253-000/10242017"</f>
        <v>ACCT#044-0001253-000/10242017</v>
      </c>
      <c r="H491" s="2">
        <v>303.06</v>
      </c>
      <c r="I491" t="str">
        <f>"ACCT#044-0001253-000/10242017"</f>
        <v>ACCT#044-0001253-000/10242017</v>
      </c>
    </row>
    <row r="492" spans="1:9" x14ac:dyDescent="0.3">
      <c r="A492" t="str">
        <f>"005061"</f>
        <v>005061</v>
      </c>
      <c r="B492" t="s">
        <v>112</v>
      </c>
      <c r="C492">
        <v>72961</v>
      </c>
      <c r="D492" s="2">
        <v>3900</v>
      </c>
      <c r="E492" s="1">
        <v>43018</v>
      </c>
      <c r="F492" t="str">
        <f>"3480"</f>
        <v>3480</v>
      </c>
      <c r="G492" t="str">
        <f>"CLEGG INDUSTRIES INC."</f>
        <v>CLEGG INDUSTRIES INC.</v>
      </c>
      <c r="H492" s="2">
        <v>3900</v>
      </c>
      <c r="I492" t="str">
        <f>"Trailer Repair"</f>
        <v>Trailer Repair</v>
      </c>
    </row>
    <row r="493" spans="1:9" x14ac:dyDescent="0.3">
      <c r="A493" t="str">
        <f>"CLINIC"</f>
        <v>CLINIC</v>
      </c>
      <c r="B493" t="s">
        <v>113</v>
      </c>
      <c r="C493">
        <v>72962</v>
      </c>
      <c r="D493" s="2">
        <v>174.34</v>
      </c>
      <c r="E493" s="1">
        <v>43018</v>
      </c>
      <c r="F493" t="str">
        <f>"201710045372"</f>
        <v>201710045372</v>
      </c>
      <c r="G493" t="str">
        <f>"INDIGENT HEALTH"</f>
        <v>INDIGENT HEALTH</v>
      </c>
      <c r="H493" s="2">
        <v>174.34</v>
      </c>
      <c r="I493" t="str">
        <f>"INDIGENT HEALTH"</f>
        <v>INDIGENT HEALTH</v>
      </c>
    </row>
    <row r="494" spans="1:9" x14ac:dyDescent="0.3">
      <c r="A494" t="str">
        <f>"CLINIC"</f>
        <v>CLINIC</v>
      </c>
      <c r="B494" t="s">
        <v>113</v>
      </c>
      <c r="C494">
        <v>73217</v>
      </c>
      <c r="D494" s="2">
        <v>136.41</v>
      </c>
      <c r="E494" s="1">
        <v>43031</v>
      </c>
      <c r="F494" t="str">
        <f>"201710185829"</f>
        <v>201710185829</v>
      </c>
      <c r="G494" t="str">
        <f>"INDIGENT HEALTH"</f>
        <v>INDIGENT HEALTH</v>
      </c>
      <c r="H494" s="2">
        <v>136.41</v>
      </c>
      <c r="I494" t="str">
        <f>"INDIGENT HEALTH"</f>
        <v>INDIGENT HEALTH</v>
      </c>
    </row>
    <row r="495" spans="1:9" x14ac:dyDescent="0.3">
      <c r="A495" t="str">
        <f>"002809"</f>
        <v>002809</v>
      </c>
      <c r="B495" t="s">
        <v>114</v>
      </c>
      <c r="C495">
        <v>72963</v>
      </c>
      <c r="D495" s="2">
        <v>309</v>
      </c>
      <c r="E495" s="1">
        <v>43018</v>
      </c>
      <c r="F495" t="str">
        <f>"12463727298"</f>
        <v>12463727298</v>
      </c>
      <c r="G495" t="str">
        <f>"INV 12463727298"</f>
        <v>INV 12463727298</v>
      </c>
      <c r="H495" s="2">
        <v>309</v>
      </c>
      <c r="I495" t="str">
        <f>"INV 12463727298"</f>
        <v>INV 12463727298</v>
      </c>
    </row>
    <row r="496" spans="1:9" x14ac:dyDescent="0.3">
      <c r="A496" t="str">
        <f>"002809"</f>
        <v>002809</v>
      </c>
      <c r="B496" t="s">
        <v>114</v>
      </c>
      <c r="C496">
        <v>73218</v>
      </c>
      <c r="D496" s="2">
        <v>82</v>
      </c>
      <c r="E496" s="1">
        <v>43031</v>
      </c>
      <c r="F496" t="str">
        <f>"12457728402"</f>
        <v>12457728402</v>
      </c>
      <c r="G496" t="str">
        <f>"INV 12457728402"</f>
        <v>INV 12457728402</v>
      </c>
      <c r="H496" s="2">
        <v>82</v>
      </c>
      <c r="I496" t="str">
        <f>"INV 12457728402"</f>
        <v>INV 12457728402</v>
      </c>
    </row>
    <row r="497" spans="1:9" x14ac:dyDescent="0.3">
      <c r="A497" t="str">
        <f>"003939"</f>
        <v>003939</v>
      </c>
      <c r="B497" t="s">
        <v>115</v>
      </c>
      <c r="C497">
        <v>999999</v>
      </c>
      <c r="D497" s="2">
        <v>587.29</v>
      </c>
      <c r="E497" s="1">
        <v>43019</v>
      </c>
      <c r="F497" t="str">
        <f>"201710045373"</f>
        <v>201710045373</v>
      </c>
      <c r="G497" t="str">
        <f>"INDIGENT HEALTH"</f>
        <v>INDIGENT HEALTH</v>
      </c>
      <c r="H497" s="2">
        <v>587.29</v>
      </c>
      <c r="I497" t="str">
        <f>"INDIGENT HEALTH"</f>
        <v>INDIGENT HEALTH</v>
      </c>
    </row>
    <row r="498" spans="1:9" x14ac:dyDescent="0.3">
      <c r="A498" t="str">
        <f>""</f>
        <v/>
      </c>
      <c r="F498" t="str">
        <f>""</f>
        <v/>
      </c>
      <c r="G498" t="str">
        <f>""</f>
        <v/>
      </c>
      <c r="I498" t="str">
        <f>"INDIGENT HEALTH"</f>
        <v>INDIGENT HEALTH</v>
      </c>
    </row>
    <row r="499" spans="1:9" x14ac:dyDescent="0.3">
      <c r="A499" t="str">
        <f>"003939"</f>
        <v>003939</v>
      </c>
      <c r="B499" t="s">
        <v>115</v>
      </c>
      <c r="C499">
        <v>999999</v>
      </c>
      <c r="D499" s="2">
        <v>66.540000000000006</v>
      </c>
      <c r="E499" s="1">
        <v>43032</v>
      </c>
      <c r="F499" t="str">
        <f>"201710185830"</f>
        <v>201710185830</v>
      </c>
      <c r="G499" t="str">
        <f>"INDIGENT HEALTH"</f>
        <v>INDIGENT HEALTH</v>
      </c>
      <c r="H499" s="2">
        <v>66.540000000000006</v>
      </c>
      <c r="I499" t="str">
        <f>"INDIGENT HEALTH"</f>
        <v>INDIGENT HEALTH</v>
      </c>
    </row>
    <row r="500" spans="1:9" x14ac:dyDescent="0.3">
      <c r="A500" t="str">
        <f>"T14437"</f>
        <v>T14437</v>
      </c>
      <c r="B500" t="s">
        <v>116</v>
      </c>
      <c r="C500">
        <v>72964</v>
      </c>
      <c r="D500" s="2">
        <v>675.7</v>
      </c>
      <c r="E500" s="1">
        <v>43018</v>
      </c>
      <c r="F500" t="str">
        <f>"201710025209"</f>
        <v>201710025209</v>
      </c>
      <c r="G500" t="str">
        <f>"REIMBURSE-PER DIEM/LODGING/MIL"</f>
        <v>REIMBURSE-PER DIEM/LODGING/MIL</v>
      </c>
      <c r="H500" s="2">
        <v>547.73</v>
      </c>
      <c r="I500" t="str">
        <f>"REIMBURSE-PER DIEM/LODGING/MIL"</f>
        <v>REIMBURSE-PER DIEM/LODGING/MIL</v>
      </c>
    </row>
    <row r="501" spans="1:9" x14ac:dyDescent="0.3">
      <c r="A501" t="str">
        <f>""</f>
        <v/>
      </c>
      <c r="F501" t="str">
        <f>"201710025210"</f>
        <v>201710025210</v>
      </c>
      <c r="G501" t="str">
        <f>"REIMBURSE-MILEAGE"</f>
        <v>REIMBURSE-MILEAGE</v>
      </c>
      <c r="H501" s="2">
        <v>127.97</v>
      </c>
      <c r="I501" t="str">
        <f>"REIMBURSE-MILEAGE"</f>
        <v>REIMBURSE-MILEAGE</v>
      </c>
    </row>
    <row r="502" spans="1:9" x14ac:dyDescent="0.3">
      <c r="A502" t="str">
        <f>"CONTEC"</f>
        <v>CONTEC</v>
      </c>
      <c r="B502" t="s">
        <v>117</v>
      </c>
      <c r="C502">
        <v>73219</v>
      </c>
      <c r="D502" s="2">
        <v>25685</v>
      </c>
      <c r="E502" s="1">
        <v>43031</v>
      </c>
      <c r="F502" t="str">
        <f>"15705211"</f>
        <v>15705211</v>
      </c>
      <c r="G502" t="str">
        <f>"ACCT#434304/REF#12590247 SO/P3"</f>
        <v>ACCT#434304/REF#12590247 SO/P3</v>
      </c>
      <c r="H502" s="2">
        <v>3456</v>
      </c>
      <c r="I502" t="str">
        <f>"ACCT#434304/REF#12590247 SO/P3"</f>
        <v>ACCT#434304/REF#12590247 SO/P3</v>
      </c>
    </row>
    <row r="503" spans="1:9" x14ac:dyDescent="0.3">
      <c r="A503" t="str">
        <f>""</f>
        <v/>
      </c>
      <c r="F503" t="str">
        <f>"15705212"</f>
        <v>15705212</v>
      </c>
      <c r="G503" t="str">
        <f>"REF#12598263 SO/PCT#2"</f>
        <v>REF#12598263 SO/PCT#2</v>
      </c>
      <c r="H503" s="2">
        <v>6924</v>
      </c>
      <c r="I503" t="str">
        <f>"REF#12598263 SO/PCT#2"</f>
        <v>REF#12598263 SO/PCT#2</v>
      </c>
    </row>
    <row r="504" spans="1:9" x14ac:dyDescent="0.3">
      <c r="A504" t="str">
        <f>""</f>
        <v/>
      </c>
      <c r="F504" t="str">
        <f>"15707755"</f>
        <v>15707755</v>
      </c>
      <c r="G504" t="str">
        <f>"REF#12493267 SO/PCT#2"</f>
        <v>REF#12493267 SO/PCT#2</v>
      </c>
      <c r="H504" s="2">
        <v>10100</v>
      </c>
      <c r="I504" t="str">
        <f>"REF#12493267 SO/PCT#2"</f>
        <v>REF#12493267 SO/PCT#2</v>
      </c>
    </row>
    <row r="505" spans="1:9" x14ac:dyDescent="0.3">
      <c r="A505" t="str">
        <f>""</f>
        <v/>
      </c>
      <c r="F505" t="str">
        <f>"15756984"</f>
        <v>15756984</v>
      </c>
      <c r="G505" t="str">
        <f>"ACCT#434304/REF#12611241 SO/P4"</f>
        <v>ACCT#434304/REF#12611241 SO/P4</v>
      </c>
      <c r="H505" s="2">
        <v>5205</v>
      </c>
      <c r="I505" t="str">
        <f>"ACCT#434304/REF#12611241 SO/P4"</f>
        <v>ACCT#434304/REF#12611241 SO/P4</v>
      </c>
    </row>
    <row r="506" spans="1:9" x14ac:dyDescent="0.3">
      <c r="A506" t="str">
        <f>"005059"</f>
        <v>005059</v>
      </c>
      <c r="B506" t="s">
        <v>118</v>
      </c>
      <c r="C506">
        <v>73220</v>
      </c>
      <c r="D506" s="2">
        <v>150</v>
      </c>
      <c r="E506" s="1">
        <v>43031</v>
      </c>
      <c r="F506" t="str">
        <f>"855319"</f>
        <v>855319</v>
      </c>
      <c r="G506" t="str">
        <f>"INV 855319/UNIT 1673"</f>
        <v>INV 855319/UNIT 1673</v>
      </c>
      <c r="H506" s="2">
        <v>150</v>
      </c>
      <c r="I506" t="str">
        <f>"INV 855319/UNIT 1673"</f>
        <v>INV 855319/UNIT 1673</v>
      </c>
    </row>
    <row r="507" spans="1:9" x14ac:dyDescent="0.3">
      <c r="A507" t="str">
        <f>"CEC"</f>
        <v>CEC</v>
      </c>
      <c r="B507" t="s">
        <v>119</v>
      </c>
      <c r="C507">
        <v>999999</v>
      </c>
      <c r="D507" s="2">
        <v>421.3</v>
      </c>
      <c r="E507" s="1">
        <v>43019</v>
      </c>
      <c r="F507" t="str">
        <f>"IN45423"</f>
        <v>IN45423</v>
      </c>
      <c r="G507" t="str">
        <f>"PARTS/PCT#1"</f>
        <v>PARTS/PCT#1</v>
      </c>
      <c r="H507" s="2">
        <v>421.3</v>
      </c>
      <c r="I507" t="str">
        <f>"PARTS/PCT#1"</f>
        <v>PARTS/PCT#1</v>
      </c>
    </row>
    <row r="508" spans="1:9" x14ac:dyDescent="0.3">
      <c r="A508" t="str">
        <f>"CEC"</f>
        <v>CEC</v>
      </c>
      <c r="B508" t="s">
        <v>119</v>
      </c>
      <c r="C508">
        <v>999999</v>
      </c>
      <c r="D508" s="2">
        <v>9807.24</v>
      </c>
      <c r="E508" s="1">
        <v>43032</v>
      </c>
      <c r="F508" t="str">
        <f>"WS17807"</f>
        <v>WS17807</v>
      </c>
      <c r="G508" t="str">
        <f>"ACCT#353/PCT#3"</f>
        <v>ACCT#353/PCT#3</v>
      </c>
      <c r="H508" s="2">
        <v>9807.24</v>
      </c>
      <c r="I508" t="str">
        <f>"ACCT#353/PCT#3"</f>
        <v>ACCT#353/PCT#3</v>
      </c>
    </row>
    <row r="509" spans="1:9" x14ac:dyDescent="0.3">
      <c r="A509" t="str">
        <f>"004866"</f>
        <v>004866</v>
      </c>
      <c r="B509" t="s">
        <v>120</v>
      </c>
      <c r="C509">
        <v>73221</v>
      </c>
      <c r="D509" s="2">
        <v>324.99</v>
      </c>
      <c r="E509" s="1">
        <v>43031</v>
      </c>
      <c r="F509" t="str">
        <f>"4103*120*1"</f>
        <v>4103*120*1</v>
      </c>
      <c r="G509" t="str">
        <f>"PAT. ID#12021964/CLIENT:4103"</f>
        <v>PAT. ID#12021964/CLIENT:4103</v>
      </c>
      <c r="H509" s="2">
        <v>324.99</v>
      </c>
      <c r="I509" t="str">
        <f>"PAT. ID#12021964/CLIENT:4103"</f>
        <v>PAT. ID#12021964/CLIENT:4103</v>
      </c>
    </row>
    <row r="510" spans="1:9" x14ac:dyDescent="0.3">
      <c r="A510" t="str">
        <f>"001457"</f>
        <v>001457</v>
      </c>
      <c r="B510" t="s">
        <v>121</v>
      </c>
      <c r="C510">
        <v>72965</v>
      </c>
      <c r="D510" s="2">
        <v>2946</v>
      </c>
      <c r="E510" s="1">
        <v>43018</v>
      </c>
      <c r="F510" t="str">
        <f>"JCW-30077-01"</f>
        <v>JCW-30077-01</v>
      </c>
      <c r="G510" t="str">
        <f>"key card access"</f>
        <v>key card access</v>
      </c>
      <c r="H510" s="2">
        <v>2946</v>
      </c>
      <c r="I510" t="str">
        <f>"key card access"</f>
        <v>key card access</v>
      </c>
    </row>
    <row r="511" spans="1:9" x14ac:dyDescent="0.3">
      <c r="A511" t="str">
        <f>"001894"</f>
        <v>001894</v>
      </c>
      <c r="B511" t="s">
        <v>122</v>
      </c>
      <c r="C511">
        <v>73222</v>
      </c>
      <c r="D511" s="2">
        <v>121.42</v>
      </c>
      <c r="E511" s="1">
        <v>43031</v>
      </c>
      <c r="F511" t="str">
        <f>"P28394"</f>
        <v>P28394</v>
      </c>
      <c r="G511" t="str">
        <f>"ACCT#BASTR002/ORD#118326/PCT#4"</f>
        <v>ACCT#BASTR002/ORD#118326/PCT#4</v>
      </c>
      <c r="H511" s="2">
        <v>121.42</v>
      </c>
      <c r="I511" t="str">
        <f>"ACCT#BASTR002/ORD#118326/PCT#4"</f>
        <v>ACCT#BASTR002/ORD#118326/PCT#4</v>
      </c>
    </row>
    <row r="512" spans="1:9" x14ac:dyDescent="0.3">
      <c r="A512" t="str">
        <f>"004106"</f>
        <v>004106</v>
      </c>
      <c r="B512" t="s">
        <v>123</v>
      </c>
      <c r="C512">
        <v>73223</v>
      </c>
      <c r="D512" s="2">
        <v>1250</v>
      </c>
      <c r="E512" s="1">
        <v>43031</v>
      </c>
      <c r="F512" t="str">
        <f>"SEPTEMBER 2017"</f>
        <v>SEPTEMBER 2017</v>
      </c>
      <c r="G512" t="str">
        <f>"PSYCHOLOGICAL EVAL/SEP. 2017"</f>
        <v>PSYCHOLOGICAL EVAL/SEP. 2017</v>
      </c>
      <c r="H512" s="2">
        <v>250</v>
      </c>
      <c r="I512" t="str">
        <f>"PSYCHOLOGICAL EVAL/SEP. 2017"</f>
        <v>PSYCHOLOGICAL EVAL/SEP. 2017</v>
      </c>
    </row>
    <row r="513" spans="1:10" x14ac:dyDescent="0.3">
      <c r="A513" t="str">
        <f>""</f>
        <v/>
      </c>
      <c r="F513" t="str">
        <f>"SEPTEMBER EVALS"</f>
        <v>SEPTEMBER EVALS</v>
      </c>
      <c r="G513" t="str">
        <f>"SEPTEMBER EVALS"</f>
        <v>SEPTEMBER EVALS</v>
      </c>
      <c r="H513" s="2">
        <v>1000</v>
      </c>
      <c r="I513" t="str">
        <f>"SEPTEMBER EVALS"</f>
        <v>SEPTEMBER EVALS</v>
      </c>
    </row>
    <row r="514" spans="1:10" x14ac:dyDescent="0.3">
      <c r="A514" t="str">
        <f>"T11708"</f>
        <v>T11708</v>
      </c>
      <c r="B514" t="s">
        <v>124</v>
      </c>
      <c r="C514">
        <v>72966</v>
      </c>
      <c r="D514" s="2">
        <v>150</v>
      </c>
      <c r="E514" s="1">
        <v>43018</v>
      </c>
      <c r="F514" t="str">
        <f>"201710045264"</f>
        <v>201710045264</v>
      </c>
      <c r="G514" t="str">
        <f>"CLEANING SVCS/9/8 AND 9/22/17"</f>
        <v>CLEANING SVCS/9/8 AND 9/22/17</v>
      </c>
      <c r="H514" s="2">
        <v>150</v>
      </c>
      <c r="I514" t="str">
        <f>"CLEANING SVCS/9/8 AND 9/22/17"</f>
        <v>CLEANING SVCS/9/8 AND 9/22/17</v>
      </c>
    </row>
    <row r="515" spans="1:10" x14ac:dyDescent="0.3">
      <c r="A515" t="str">
        <f>"003136"</f>
        <v>003136</v>
      </c>
      <c r="B515" t="s">
        <v>125</v>
      </c>
      <c r="C515">
        <v>73037</v>
      </c>
      <c r="D515" s="2">
        <v>72</v>
      </c>
      <c r="E515" s="1">
        <v>43018</v>
      </c>
      <c r="F515" t="str">
        <f>"QUL234"</f>
        <v>QUL234</v>
      </c>
      <c r="G515" t="str">
        <f>"PLATE#1194228/BCAS"</f>
        <v>PLATE#1194228/BCAS</v>
      </c>
      <c r="H515" s="2">
        <v>17.5</v>
      </c>
      <c r="I515" t="str">
        <f>"PLATE#1194228/BCAS"</f>
        <v>PLATE#1194228/BCAS</v>
      </c>
    </row>
    <row r="516" spans="1:10" x14ac:dyDescent="0.3">
      <c r="A516" t="str">
        <f>""</f>
        <v/>
      </c>
      <c r="F516" t="str">
        <f>"QVB137"</f>
        <v>QVB137</v>
      </c>
      <c r="G516" t="str">
        <f>"LICENSE#1194229/BCAS"</f>
        <v>LICENSE#1194229/BCAS</v>
      </c>
      <c r="H516" s="2">
        <v>35.5</v>
      </c>
      <c r="I516" t="str">
        <f>"LICENSE#1194229/BCAS"</f>
        <v>LICENSE#1194229/BCAS</v>
      </c>
    </row>
    <row r="517" spans="1:10" x14ac:dyDescent="0.3">
      <c r="A517" t="str">
        <f>""</f>
        <v/>
      </c>
      <c r="F517" t="str">
        <f>"RTF974"</f>
        <v>RTF974</v>
      </c>
      <c r="G517" t="str">
        <f>"LICENSE#1309602/BCAS"</f>
        <v>LICENSE#1309602/BCAS</v>
      </c>
      <c r="H517" s="2">
        <v>19</v>
      </c>
      <c r="I517" t="str">
        <f>"LICENSE#1309602/BCAS"</f>
        <v>LICENSE#1309602/BCAS</v>
      </c>
    </row>
    <row r="518" spans="1:10" x14ac:dyDescent="0.3">
      <c r="A518" t="str">
        <f>"003136"</f>
        <v>003136</v>
      </c>
      <c r="B518" t="s">
        <v>125</v>
      </c>
      <c r="C518">
        <v>73280</v>
      </c>
      <c r="D518" s="2">
        <v>19.5</v>
      </c>
      <c r="E518" s="1">
        <v>43031</v>
      </c>
      <c r="F518" t="str">
        <f>"SGC394"</f>
        <v>SGC394</v>
      </c>
      <c r="G518" t="str">
        <f>"TOLL FEES FOR PLATE #1194228"</f>
        <v>TOLL FEES FOR PLATE #1194228</v>
      </c>
      <c r="H518" s="2">
        <v>12.25</v>
      </c>
      <c r="I518" t="str">
        <f>"TOLL FEES FOR PLATE #1194228"</f>
        <v>TOLL FEES FOR PLATE #1194228</v>
      </c>
    </row>
    <row r="519" spans="1:10" x14ac:dyDescent="0.3">
      <c r="A519" t="str">
        <f>""</f>
        <v/>
      </c>
      <c r="F519" t="str">
        <f>"SPL867"</f>
        <v>SPL867</v>
      </c>
      <c r="G519" t="str">
        <f>"TOLL FEES FOR PLATE #1194229"</f>
        <v>TOLL FEES FOR PLATE #1194229</v>
      </c>
      <c r="H519" s="2">
        <v>4</v>
      </c>
      <c r="I519" t="str">
        <f>"TOLL FEES FOR PLATE #1194229"</f>
        <v>TOLL FEES FOR PLATE #1194229</v>
      </c>
    </row>
    <row r="520" spans="1:10" x14ac:dyDescent="0.3">
      <c r="A520" t="str">
        <f>""</f>
        <v/>
      </c>
      <c r="F520" t="str">
        <f>"SQA181"</f>
        <v>SQA181</v>
      </c>
      <c r="G520" t="str">
        <f>"TOLL FEES PLATE #1194228"</f>
        <v>TOLL FEES PLATE #1194228</v>
      </c>
      <c r="H520" s="2">
        <v>3.25</v>
      </c>
      <c r="I520" t="str">
        <f>"TOLL FEES PLATE #1194228"</f>
        <v>TOLL FEES PLATE #1194228</v>
      </c>
    </row>
    <row r="521" spans="1:10" x14ac:dyDescent="0.3">
      <c r="A521" t="str">
        <f>"T9280"</f>
        <v>T9280</v>
      </c>
      <c r="B521" t="s">
        <v>126</v>
      </c>
      <c r="C521">
        <v>72967</v>
      </c>
      <c r="D521" s="2">
        <v>1590.89</v>
      </c>
      <c r="E521" s="1">
        <v>43018</v>
      </c>
      <c r="F521" t="str">
        <f>"295088"</f>
        <v>295088</v>
      </c>
      <c r="G521" t="str">
        <f>"iNV# 295088"</f>
        <v>iNV# 295088</v>
      </c>
      <c r="H521" s="2">
        <v>1590.89</v>
      </c>
      <c r="I521" t="str">
        <f>"Item RSH7725122450"</f>
        <v>Item RSH7725122450</v>
      </c>
    </row>
    <row r="522" spans="1:10" x14ac:dyDescent="0.3">
      <c r="A522" t="str">
        <f>""</f>
        <v/>
      </c>
      <c r="F522" t="str">
        <f>""</f>
        <v/>
      </c>
      <c r="G522" t="str">
        <f>""</f>
        <v/>
      </c>
      <c r="I522" t="str">
        <f>"Item RPOCP122"</f>
        <v>Item RPOCP122</v>
      </c>
    </row>
    <row r="523" spans="1:10" x14ac:dyDescent="0.3">
      <c r="A523" t="str">
        <f>""</f>
        <v/>
      </c>
      <c r="F523" t="str">
        <f>""</f>
        <v/>
      </c>
      <c r="G523" t="str">
        <f>""</f>
        <v/>
      </c>
      <c r="I523" t="str">
        <f>"Item RSH8108P2450"</f>
        <v>Item RSH8108P2450</v>
      </c>
    </row>
    <row r="524" spans="1:10" x14ac:dyDescent="0.3">
      <c r="A524" t="str">
        <f>""</f>
        <v/>
      </c>
      <c r="F524" t="str">
        <f>""</f>
        <v/>
      </c>
      <c r="G524" t="str">
        <f>""</f>
        <v/>
      </c>
      <c r="I524" t="str">
        <f>"Freight"</f>
        <v>Freight</v>
      </c>
    </row>
    <row r="525" spans="1:10" x14ac:dyDescent="0.3">
      <c r="A525" t="str">
        <f>"T7935"</f>
        <v>T7935</v>
      </c>
      <c r="B525" t="s">
        <v>127</v>
      </c>
      <c r="C525">
        <v>73224</v>
      </c>
      <c r="D525" s="2">
        <v>140.32</v>
      </c>
      <c r="E525" s="1">
        <v>43031</v>
      </c>
      <c r="F525" t="str">
        <f>"31512381 - 52"</f>
        <v>31512381 - 52</v>
      </c>
      <c r="G525" t="str">
        <f>"LEASE EQUIPMENT"</f>
        <v>LEASE EQUIPMENT</v>
      </c>
      <c r="H525" s="2">
        <v>140.32</v>
      </c>
      <c r="I525" t="str">
        <f>"LEASE EQUIPMENT"</f>
        <v>LEASE EQUIPMENT</v>
      </c>
    </row>
    <row r="526" spans="1:10" x14ac:dyDescent="0.3">
      <c r="A526" t="str">
        <f>"002352"</f>
        <v>002352</v>
      </c>
      <c r="B526" t="s">
        <v>128</v>
      </c>
      <c r="C526">
        <v>72968</v>
      </c>
      <c r="D526" s="2">
        <v>310</v>
      </c>
      <c r="E526" s="1">
        <v>43018</v>
      </c>
      <c r="F526" t="s">
        <v>51</v>
      </c>
      <c r="G526" t="s">
        <v>54</v>
      </c>
      <c r="H526" s="2" t="str">
        <f>"SERVICE  08/09/17"</f>
        <v>SERVICE  08/09/17</v>
      </c>
      <c r="I526" t="str">
        <f>"995-4110"</f>
        <v>995-4110</v>
      </c>
      <c r="J526">
        <v>160</v>
      </c>
    </row>
    <row r="527" spans="1:10" x14ac:dyDescent="0.3">
      <c r="A527" t="str">
        <f>""</f>
        <v/>
      </c>
      <c r="F527" t="str">
        <f>"12751"</f>
        <v>12751</v>
      </c>
      <c r="G527" t="str">
        <f>"SERVICE  08/23/17"</f>
        <v>SERVICE  08/23/17</v>
      </c>
      <c r="H527" s="2">
        <v>80</v>
      </c>
      <c r="I527" t="str">
        <f>"SERVICE  08/23/17"</f>
        <v>SERVICE  08/23/17</v>
      </c>
    </row>
    <row r="528" spans="1:10" x14ac:dyDescent="0.3">
      <c r="A528" t="str">
        <f>""</f>
        <v/>
      </c>
      <c r="F528" t="str">
        <f>"8718"</f>
        <v>8718</v>
      </c>
      <c r="G528" t="str">
        <f>"SERVICE  08/07/17"</f>
        <v>SERVICE  08/07/17</v>
      </c>
      <c r="H528" s="2">
        <v>70</v>
      </c>
      <c r="I528" t="str">
        <f>"SERVICE  08/07/17"</f>
        <v>SERVICE  08/07/17</v>
      </c>
    </row>
    <row r="529" spans="1:9" x14ac:dyDescent="0.3">
      <c r="A529" t="str">
        <f>"002028"</f>
        <v>002028</v>
      </c>
      <c r="B529" t="s">
        <v>129</v>
      </c>
      <c r="C529">
        <v>72969</v>
      </c>
      <c r="D529" s="2">
        <v>524.86</v>
      </c>
      <c r="E529" s="1">
        <v>43018</v>
      </c>
      <c r="F529" t="str">
        <f>"201710025206"</f>
        <v>201710025206</v>
      </c>
      <c r="G529" t="str">
        <f>"REIMBURSE-MILEAGE"</f>
        <v>REIMBURSE-MILEAGE</v>
      </c>
      <c r="H529" s="2">
        <v>102.83</v>
      </c>
      <c r="I529" t="str">
        <f>"REIMBURSE-MILEAGE"</f>
        <v>REIMBURSE-MILEAGE</v>
      </c>
    </row>
    <row r="530" spans="1:9" x14ac:dyDescent="0.3">
      <c r="A530" t="str">
        <f>""</f>
        <v/>
      </c>
      <c r="F530" t="str">
        <f>"201710025207"</f>
        <v>201710025207</v>
      </c>
      <c r="G530" t="str">
        <f>"REIMBURSE-PER DIEM/LODGING"</f>
        <v>REIMBURSE-PER DIEM/LODGING</v>
      </c>
      <c r="H530" s="2">
        <v>422.03</v>
      </c>
      <c r="I530" t="str">
        <f>"REIMBURSE-PER DIEM/LODGING"</f>
        <v>REIMBURSE-PER DIEM/LODGING</v>
      </c>
    </row>
    <row r="531" spans="1:9" x14ac:dyDescent="0.3">
      <c r="A531" t="str">
        <f>"003335"</f>
        <v>003335</v>
      </c>
      <c r="B531" t="s">
        <v>130</v>
      </c>
      <c r="C531">
        <v>999999</v>
      </c>
      <c r="D531" s="2">
        <v>1177.5</v>
      </c>
      <c r="E531" s="1">
        <v>43032</v>
      </c>
      <c r="F531" t="str">
        <f>"201710185762"</f>
        <v>201710185762</v>
      </c>
      <c r="G531" t="str">
        <f>"17-18543"</f>
        <v>17-18543</v>
      </c>
      <c r="H531" s="2">
        <v>392.5</v>
      </c>
      <c r="I531" t="str">
        <f>"17-18543"</f>
        <v>17-18543</v>
      </c>
    </row>
    <row r="532" spans="1:9" x14ac:dyDescent="0.3">
      <c r="A532" t="str">
        <f>""</f>
        <v/>
      </c>
      <c r="F532" t="str">
        <f>"201710185763"</f>
        <v>201710185763</v>
      </c>
      <c r="G532" t="str">
        <f>"16-17819"</f>
        <v>16-17819</v>
      </c>
      <c r="H532" s="2">
        <v>272.5</v>
      </c>
      <c r="I532" t="str">
        <f>"16-17819"</f>
        <v>16-17819</v>
      </c>
    </row>
    <row r="533" spans="1:9" x14ac:dyDescent="0.3">
      <c r="A533" t="str">
        <f>""</f>
        <v/>
      </c>
      <c r="F533" t="str">
        <f>"201710185764"</f>
        <v>201710185764</v>
      </c>
      <c r="G533" t="str">
        <f>"15-17513"</f>
        <v>15-17513</v>
      </c>
      <c r="H533" s="2">
        <v>262.5</v>
      </c>
      <c r="I533" t="str">
        <f>"15-17513"</f>
        <v>15-17513</v>
      </c>
    </row>
    <row r="534" spans="1:9" x14ac:dyDescent="0.3">
      <c r="A534" t="str">
        <f>""</f>
        <v/>
      </c>
      <c r="F534" t="str">
        <f>"201710185765"</f>
        <v>201710185765</v>
      </c>
      <c r="G534" t="str">
        <f>"J-3096"</f>
        <v>J-3096</v>
      </c>
      <c r="H534" s="2">
        <v>250</v>
      </c>
      <c r="I534" t="str">
        <f>"J-3096"</f>
        <v>J-3096</v>
      </c>
    </row>
    <row r="535" spans="1:9" x14ac:dyDescent="0.3">
      <c r="A535" t="str">
        <f>"DELL"</f>
        <v>DELL</v>
      </c>
      <c r="B535" t="s">
        <v>131</v>
      </c>
      <c r="C535">
        <v>73225</v>
      </c>
      <c r="D535" s="2">
        <v>5128.1099999999997</v>
      </c>
      <c r="E535" s="1">
        <v>43031</v>
      </c>
      <c r="F535" t="str">
        <f>"10192276880"</f>
        <v>10192276880</v>
      </c>
      <c r="G535" t="str">
        <f>"Soundbars for CAD Station"</f>
        <v>Soundbars for CAD Station</v>
      </c>
      <c r="H535" s="2">
        <v>88.71</v>
      </c>
      <c r="I535" t="str">
        <f>"Part# 318-2885"</f>
        <v>Part# 318-2885</v>
      </c>
    </row>
    <row r="536" spans="1:9" x14ac:dyDescent="0.3">
      <c r="A536" t="str">
        <f>""</f>
        <v/>
      </c>
      <c r="F536" t="str">
        <f>""</f>
        <v/>
      </c>
      <c r="G536" t="str">
        <f>""</f>
        <v/>
      </c>
      <c r="I536" t="str">
        <f>"Discount"</f>
        <v>Discount</v>
      </c>
    </row>
    <row r="537" spans="1:9" x14ac:dyDescent="0.3">
      <c r="A537" t="str">
        <f>""</f>
        <v/>
      </c>
      <c r="F537" t="str">
        <f>"10195546449"</f>
        <v>10195546449</v>
      </c>
      <c r="G537" t="str">
        <f>"Dell Optiplex"</f>
        <v>Dell Optiplex</v>
      </c>
      <c r="H537" s="2">
        <v>751.91</v>
      </c>
      <c r="I537" t="str">
        <f>"Dell Optiplex"</f>
        <v>Dell Optiplex</v>
      </c>
    </row>
    <row r="538" spans="1:9" x14ac:dyDescent="0.3">
      <c r="A538" t="str">
        <f>""</f>
        <v/>
      </c>
      <c r="F538" t="str">
        <f>"10196204970"</f>
        <v>10196204970</v>
      </c>
      <c r="G538" t="str">
        <f>"INV# 10196204970"</f>
        <v>INV# 10196204970</v>
      </c>
      <c r="H538" s="2">
        <v>2644.57</v>
      </c>
      <c r="I538" t="str">
        <f>"INV# 10196204970"</f>
        <v>INV# 10196204970</v>
      </c>
    </row>
    <row r="539" spans="1:9" x14ac:dyDescent="0.3">
      <c r="A539" t="str">
        <f>""</f>
        <v/>
      </c>
      <c r="F539" t="str">
        <f>"10196525868"</f>
        <v>10196525868</v>
      </c>
      <c r="G539" t="str">
        <f>"Inv# 10196525868"</f>
        <v>Inv# 10196525868</v>
      </c>
      <c r="H539" s="2">
        <v>1594.65</v>
      </c>
      <c r="I539" t="str">
        <f>"Monitor W/out stand"</f>
        <v>Monitor W/out stand</v>
      </c>
    </row>
    <row r="540" spans="1:9" x14ac:dyDescent="0.3">
      <c r="A540" t="str">
        <f>""</f>
        <v/>
      </c>
      <c r="F540" t="str">
        <f>""</f>
        <v/>
      </c>
      <c r="G540" t="str">
        <f>""</f>
        <v/>
      </c>
      <c r="I540" t="str">
        <f>"Latitude 5580"</f>
        <v>Latitude 5580</v>
      </c>
    </row>
    <row r="541" spans="1:9" x14ac:dyDescent="0.3">
      <c r="A541" t="str">
        <f>""</f>
        <v/>
      </c>
      <c r="F541" t="str">
        <f>""</f>
        <v/>
      </c>
      <c r="G541" t="str">
        <f>""</f>
        <v/>
      </c>
      <c r="I541" t="str">
        <f>"Monitor Stand"</f>
        <v>Monitor Stand</v>
      </c>
    </row>
    <row r="542" spans="1:9" x14ac:dyDescent="0.3">
      <c r="A542" t="str">
        <f>""</f>
        <v/>
      </c>
      <c r="F542" t="str">
        <f>""</f>
        <v/>
      </c>
      <c r="G542" t="str">
        <f>""</f>
        <v/>
      </c>
      <c r="I542" t="str">
        <f>"Monitor w/ Stand"</f>
        <v>Monitor w/ Stand</v>
      </c>
    </row>
    <row r="543" spans="1:9" x14ac:dyDescent="0.3">
      <c r="A543" t="str">
        <f>""</f>
        <v/>
      </c>
      <c r="F543" t="str">
        <f>""</f>
        <v/>
      </c>
      <c r="G543" t="str">
        <f>""</f>
        <v/>
      </c>
      <c r="I543" t="str">
        <f>"Soundbar"</f>
        <v>Soundbar</v>
      </c>
    </row>
    <row r="544" spans="1:9" x14ac:dyDescent="0.3">
      <c r="A544" t="str">
        <f>""</f>
        <v/>
      </c>
      <c r="F544" t="str">
        <f>"10197086087"</f>
        <v>10197086087</v>
      </c>
      <c r="G544" t="str">
        <f>"Quote# 3000017378431"</f>
        <v>Quote# 3000017378431</v>
      </c>
      <c r="H544" s="2">
        <v>48.27</v>
      </c>
      <c r="I544" t="str">
        <f>"Quote# 3000017378431"</f>
        <v>Quote# 3000017378431</v>
      </c>
    </row>
    <row r="545" spans="1:9" x14ac:dyDescent="0.3">
      <c r="A545" t="str">
        <f>"T5686"</f>
        <v>T5686</v>
      </c>
      <c r="B545" t="s">
        <v>132</v>
      </c>
      <c r="C545">
        <v>72970</v>
      </c>
      <c r="D545" s="2">
        <v>162.91</v>
      </c>
      <c r="E545" s="1">
        <v>43018</v>
      </c>
      <c r="F545" t="str">
        <f>"23851"</f>
        <v>23851</v>
      </c>
      <c r="G545" t="str">
        <f>"DUPLICATE KEY/AUDITOR"</f>
        <v>DUPLICATE KEY/AUDITOR</v>
      </c>
      <c r="H545" s="2">
        <v>4</v>
      </c>
      <c r="I545" t="str">
        <f>"DUPLICATE KEY/AUDITOR"</f>
        <v>DUPLICATE KEY/AUDITOR</v>
      </c>
    </row>
    <row r="546" spans="1:9" x14ac:dyDescent="0.3">
      <c r="A546" t="str">
        <f>""</f>
        <v/>
      </c>
      <c r="F546" t="str">
        <f>"23853"</f>
        <v>23853</v>
      </c>
      <c r="G546" t="str">
        <f>"DUPLICATE KEYS/OEM"</f>
        <v>DUPLICATE KEYS/OEM</v>
      </c>
      <c r="H546" s="2">
        <v>49.96</v>
      </c>
      <c r="I546" t="str">
        <f>"DUPLICATE KEYS/OEM"</f>
        <v>DUPLICATE KEYS/OEM</v>
      </c>
    </row>
    <row r="547" spans="1:9" x14ac:dyDescent="0.3">
      <c r="A547" t="str">
        <f>""</f>
        <v/>
      </c>
      <c r="F547" t="str">
        <f>"23857"</f>
        <v>23857</v>
      </c>
      <c r="G547" t="str">
        <f>"INV 23857"</f>
        <v>INV 23857</v>
      </c>
      <c r="H547" s="2">
        <v>24</v>
      </c>
      <c r="I547" t="str">
        <f>"INV 23857"</f>
        <v>INV 23857</v>
      </c>
    </row>
    <row r="548" spans="1:9" x14ac:dyDescent="0.3">
      <c r="A548" t="str">
        <f>""</f>
        <v/>
      </c>
      <c r="F548" t="str">
        <f>"23858"</f>
        <v>23858</v>
      </c>
      <c r="G548" t="str">
        <f>"REKEY LOCK/OEM"</f>
        <v>REKEY LOCK/OEM</v>
      </c>
      <c r="H548" s="2">
        <v>63</v>
      </c>
      <c r="I548" t="str">
        <f>"REKEY LOCK/OEM"</f>
        <v>REKEY LOCK/OEM</v>
      </c>
    </row>
    <row r="549" spans="1:9" x14ac:dyDescent="0.3">
      <c r="A549" t="str">
        <f>""</f>
        <v/>
      </c>
      <c r="F549" t="str">
        <f>"23868"</f>
        <v>23868</v>
      </c>
      <c r="G549" t="str">
        <f>"LOCKS SVCS/GENERAL SVCS"</f>
        <v>LOCKS SVCS/GENERAL SVCS</v>
      </c>
      <c r="H549" s="2">
        <v>21.95</v>
      </c>
      <c r="I549" t="str">
        <f>"LOCKS SVCS/GENERAL SVCS"</f>
        <v>LOCKS SVCS/GENERAL SVCS</v>
      </c>
    </row>
    <row r="550" spans="1:9" x14ac:dyDescent="0.3">
      <c r="A550" t="str">
        <f>"T5686"</f>
        <v>T5686</v>
      </c>
      <c r="B550" t="s">
        <v>132</v>
      </c>
      <c r="C550">
        <v>73226</v>
      </c>
      <c r="D550" s="2">
        <v>105</v>
      </c>
      <c r="E550" s="1">
        <v>43031</v>
      </c>
      <c r="F550" t="str">
        <f>"23900"</f>
        <v>23900</v>
      </c>
      <c r="G550" t="str">
        <f>"DUPLICATE KEYS"</f>
        <v>DUPLICATE KEYS</v>
      </c>
      <c r="H550" s="2">
        <v>55</v>
      </c>
      <c r="I550" t="str">
        <f>"DUPLICATE KEYS"</f>
        <v>DUPLICATE KEYS</v>
      </c>
    </row>
    <row r="551" spans="1:9" x14ac:dyDescent="0.3">
      <c r="A551" t="str">
        <f>""</f>
        <v/>
      </c>
      <c r="F551" t="str">
        <f>"23903"</f>
        <v>23903</v>
      </c>
      <c r="G551" t="str">
        <f>"INV 23903"</f>
        <v>INV 23903</v>
      </c>
      <c r="H551" s="2">
        <v>26</v>
      </c>
      <c r="I551" t="str">
        <f>"INV 23903"</f>
        <v>INV 23903</v>
      </c>
    </row>
    <row r="552" spans="1:9" x14ac:dyDescent="0.3">
      <c r="A552" t="str">
        <f>""</f>
        <v/>
      </c>
      <c r="F552" t="str">
        <f>"23909"</f>
        <v>23909</v>
      </c>
      <c r="G552" t="str">
        <f>"DUPLICATE KEYS"</f>
        <v>DUPLICATE KEYS</v>
      </c>
      <c r="H552" s="2">
        <v>24</v>
      </c>
      <c r="I552" t="str">
        <f>"DUPLICATE KEYS"</f>
        <v>DUPLICATE KEYS</v>
      </c>
    </row>
    <row r="553" spans="1:9" x14ac:dyDescent="0.3">
      <c r="A553" t="str">
        <f>"001911"</f>
        <v>001911</v>
      </c>
      <c r="B553" t="s">
        <v>133</v>
      </c>
      <c r="C553">
        <v>72971</v>
      </c>
      <c r="D553" s="2">
        <v>2400.44</v>
      </c>
      <c r="E553" s="1">
        <v>43018</v>
      </c>
      <c r="F553" t="str">
        <f>"17081118N"</f>
        <v>17081118N</v>
      </c>
      <c r="G553" t="str">
        <f>"CODE#PKE5000/33133133133000"</f>
        <v>CODE#PKE5000/33133133133000</v>
      </c>
      <c r="H553" s="2">
        <v>2400.44</v>
      </c>
      <c r="I553" t="str">
        <f>"CODE#PKE5000/33133133133000"</f>
        <v>CODE#PKE5000/33133133133000</v>
      </c>
    </row>
    <row r="554" spans="1:9" x14ac:dyDescent="0.3">
      <c r="A554" t="str">
        <f>""</f>
        <v/>
      </c>
      <c r="F554" t="str">
        <f>""</f>
        <v/>
      </c>
      <c r="G554" t="str">
        <f>""</f>
        <v/>
      </c>
      <c r="I554" t="str">
        <f>"CODE#PKE5000/33133133133000"</f>
        <v>CODE#PKE5000/33133133133000</v>
      </c>
    </row>
    <row r="555" spans="1:9" x14ac:dyDescent="0.3">
      <c r="A555" t="str">
        <f>"000573"</f>
        <v>000573</v>
      </c>
      <c r="B555" t="s">
        <v>134</v>
      </c>
      <c r="C555">
        <v>72972</v>
      </c>
      <c r="D555" s="2">
        <v>176.72</v>
      </c>
      <c r="E555" s="1">
        <v>43018</v>
      </c>
      <c r="F555" t="str">
        <f>"88833"</f>
        <v>88833</v>
      </c>
      <c r="G555" t="str">
        <f>"ACCT#23100/PCT#3"</f>
        <v>ACCT#23100/PCT#3</v>
      </c>
      <c r="H555" s="2">
        <v>176.72</v>
      </c>
      <c r="I555" t="str">
        <f>"ACCT#23100/PCT#3"</f>
        <v>ACCT#23100/PCT#3</v>
      </c>
    </row>
    <row r="556" spans="1:9" x14ac:dyDescent="0.3">
      <c r="A556" t="str">
        <f>"004924"</f>
        <v>004924</v>
      </c>
      <c r="B556" t="s">
        <v>135</v>
      </c>
      <c r="C556">
        <v>72893</v>
      </c>
      <c r="D556" s="2">
        <v>749.4</v>
      </c>
      <c r="E556" s="1">
        <v>43014</v>
      </c>
      <c r="F556" t="str">
        <f>"201710065581"</f>
        <v>201710065581</v>
      </c>
      <c r="G556" t="str">
        <f>"ACCT#405900028789/10012017"</f>
        <v>ACCT#405900028789/10012017</v>
      </c>
      <c r="H556" s="2">
        <v>187.35</v>
      </c>
      <c r="I556" t="str">
        <f>"ACCT#405900028789/10012017"</f>
        <v>ACCT#405900028789/10012017</v>
      </c>
    </row>
    <row r="557" spans="1:9" x14ac:dyDescent="0.3">
      <c r="A557" t="str">
        <f>""</f>
        <v/>
      </c>
      <c r="F557" t="str">
        <f>"201710065582"</f>
        <v>201710065582</v>
      </c>
      <c r="G557" t="str">
        <f>"ACCT#405900029225/10012017"</f>
        <v>ACCT#405900029225/10012017</v>
      </c>
      <c r="H557" s="2">
        <v>187.35</v>
      </c>
      <c r="I557" t="str">
        <f>"ACCT#405900029225/10012017"</f>
        <v>ACCT#405900029225/10012017</v>
      </c>
    </row>
    <row r="558" spans="1:9" x14ac:dyDescent="0.3">
      <c r="A558" t="str">
        <f>""</f>
        <v/>
      </c>
      <c r="F558" t="str">
        <f>"201710065583"</f>
        <v>201710065583</v>
      </c>
      <c r="G558" t="str">
        <f>"ACCT#405900029213/10012017"</f>
        <v>ACCT#405900029213/10012017</v>
      </c>
      <c r="H558" s="2">
        <v>374.7</v>
      </c>
      <c r="I558" t="str">
        <f>"ACCT#405900029213/10012017"</f>
        <v>ACCT#405900029213/10012017</v>
      </c>
    </row>
    <row r="559" spans="1:9" x14ac:dyDescent="0.3">
      <c r="A559" t="str">
        <f>"004924"</f>
        <v>004924</v>
      </c>
      <c r="B559" t="s">
        <v>135</v>
      </c>
      <c r="C559">
        <v>73394</v>
      </c>
      <c r="D559" s="2">
        <v>749.4</v>
      </c>
      <c r="E559" s="1">
        <v>43038</v>
      </c>
      <c r="F559" t="str">
        <f>"201710306072"</f>
        <v>201710306072</v>
      </c>
      <c r="G559" t="str">
        <f>"ACCT#405900029213/11012017"</f>
        <v>ACCT#405900029213/11012017</v>
      </c>
      <c r="H559" s="2">
        <v>374.7</v>
      </c>
      <c r="I559" t="str">
        <f>"ACCT#405900029213/11012017"</f>
        <v>ACCT#405900029213/11012017</v>
      </c>
    </row>
    <row r="560" spans="1:9" x14ac:dyDescent="0.3">
      <c r="A560" t="str">
        <f>""</f>
        <v/>
      </c>
      <c r="F560" t="str">
        <f>"201710306073"</f>
        <v>201710306073</v>
      </c>
      <c r="G560" t="str">
        <f>"ACCT#405900029225/11012017"</f>
        <v>ACCT#405900029225/11012017</v>
      </c>
      <c r="H560" s="2">
        <v>187.35</v>
      </c>
      <c r="I560" t="str">
        <f>"ACCT#405900029225/11012017"</f>
        <v>ACCT#405900029225/11012017</v>
      </c>
    </row>
    <row r="561" spans="1:9" x14ac:dyDescent="0.3">
      <c r="A561" t="str">
        <f>""</f>
        <v/>
      </c>
      <c r="F561" t="str">
        <f>"201710306074"</f>
        <v>201710306074</v>
      </c>
      <c r="G561" t="str">
        <f>"ACCT#405900028789/11012017"</f>
        <v>ACCT#405900028789/11012017</v>
      </c>
      <c r="H561" s="2">
        <v>187.35</v>
      </c>
      <c r="I561" t="str">
        <f>"ACCT#405900028789/11012017"</f>
        <v>ACCT#405900028789/11012017</v>
      </c>
    </row>
    <row r="562" spans="1:9" x14ac:dyDescent="0.3">
      <c r="A562" t="str">
        <f>"T13918"</f>
        <v>T13918</v>
      </c>
      <c r="B562" t="s">
        <v>136</v>
      </c>
      <c r="C562">
        <v>72973</v>
      </c>
      <c r="D562" s="2">
        <v>438.02</v>
      </c>
      <c r="E562" s="1">
        <v>43018</v>
      </c>
      <c r="F562" t="str">
        <f>"30511"</f>
        <v>30511</v>
      </c>
      <c r="G562" t="str">
        <f>"PCT#2"</f>
        <v>PCT#2</v>
      </c>
      <c r="H562" s="2">
        <v>438.02</v>
      </c>
      <c r="I562" t="str">
        <f>"PCT#2"</f>
        <v>PCT#2</v>
      </c>
    </row>
    <row r="563" spans="1:9" x14ac:dyDescent="0.3">
      <c r="A563" t="str">
        <f>"T9323"</f>
        <v>T9323</v>
      </c>
      <c r="B563" t="s">
        <v>137</v>
      </c>
      <c r="C563">
        <v>999999</v>
      </c>
      <c r="D563" s="2">
        <v>3500</v>
      </c>
      <c r="E563" s="1">
        <v>43019</v>
      </c>
      <c r="F563" t="str">
        <f>"201709285161"</f>
        <v>201709285161</v>
      </c>
      <c r="G563" t="str">
        <f>"14511"</f>
        <v>14511</v>
      </c>
      <c r="H563" s="2">
        <v>400</v>
      </c>
      <c r="I563" t="str">
        <f>"14511"</f>
        <v>14511</v>
      </c>
    </row>
    <row r="564" spans="1:9" x14ac:dyDescent="0.3">
      <c r="A564" t="str">
        <f>""</f>
        <v/>
      </c>
      <c r="F564" t="str">
        <f>"201709285162"</f>
        <v>201709285162</v>
      </c>
      <c r="G564" t="str">
        <f>"15962"</f>
        <v>15962</v>
      </c>
      <c r="H564" s="2">
        <v>400</v>
      </c>
      <c r="I564" t="str">
        <f>"15962"</f>
        <v>15962</v>
      </c>
    </row>
    <row r="565" spans="1:9" x14ac:dyDescent="0.3">
      <c r="A565" t="str">
        <f>""</f>
        <v/>
      </c>
      <c r="F565" t="str">
        <f>"201709285163"</f>
        <v>201709285163</v>
      </c>
      <c r="G565" t="str">
        <f>"10339"</f>
        <v>10339</v>
      </c>
      <c r="H565" s="2">
        <v>200</v>
      </c>
      <c r="I565" t="str">
        <f>"10339"</f>
        <v>10339</v>
      </c>
    </row>
    <row r="566" spans="1:9" x14ac:dyDescent="0.3">
      <c r="A566" t="str">
        <f>""</f>
        <v/>
      </c>
      <c r="F566" t="str">
        <f>"201709295197"</f>
        <v>201709295197</v>
      </c>
      <c r="G566" t="str">
        <f>"406157-9"</f>
        <v>406157-9</v>
      </c>
      <c r="H566" s="2">
        <v>150</v>
      </c>
      <c r="I566" t="str">
        <f>"406157-9"</f>
        <v>406157-9</v>
      </c>
    </row>
    <row r="567" spans="1:9" x14ac:dyDescent="0.3">
      <c r="A567" t="str">
        <f>""</f>
        <v/>
      </c>
      <c r="F567" t="str">
        <f>"201710025225"</f>
        <v>201710025225</v>
      </c>
      <c r="G567" t="str">
        <f>"423767"</f>
        <v>423767</v>
      </c>
      <c r="H567" s="2">
        <v>100</v>
      </c>
      <c r="I567" t="str">
        <f>"423767"</f>
        <v>423767</v>
      </c>
    </row>
    <row r="568" spans="1:9" x14ac:dyDescent="0.3">
      <c r="A568" t="str">
        <f>""</f>
        <v/>
      </c>
      <c r="F568" t="str">
        <f>"201710025226"</f>
        <v>201710025226</v>
      </c>
      <c r="G568" t="str">
        <f>"423-2529"</f>
        <v>423-2529</v>
      </c>
      <c r="H568" s="2">
        <v>180</v>
      </c>
      <c r="I568" t="str">
        <f>"423-2529"</f>
        <v>423-2529</v>
      </c>
    </row>
    <row r="569" spans="1:9" x14ac:dyDescent="0.3">
      <c r="A569" t="str">
        <f>""</f>
        <v/>
      </c>
      <c r="F569" t="str">
        <f>"201710045315"</f>
        <v>201710045315</v>
      </c>
      <c r="G569" t="str">
        <f>"55462"</f>
        <v>55462</v>
      </c>
      <c r="H569" s="2">
        <v>250</v>
      </c>
      <c r="I569" t="str">
        <f>"55462"</f>
        <v>55462</v>
      </c>
    </row>
    <row r="570" spans="1:9" x14ac:dyDescent="0.3">
      <c r="A570" t="str">
        <f>""</f>
        <v/>
      </c>
      <c r="F570" t="str">
        <f>"201710045316"</f>
        <v>201710045316</v>
      </c>
      <c r="G570" t="str">
        <f>"55437"</f>
        <v>55437</v>
      </c>
      <c r="H570" s="2">
        <v>250</v>
      </c>
      <c r="I570" t="str">
        <f>"55437"</f>
        <v>55437</v>
      </c>
    </row>
    <row r="571" spans="1:9" x14ac:dyDescent="0.3">
      <c r="A571" t="str">
        <f>""</f>
        <v/>
      </c>
      <c r="F571" t="str">
        <f>"201710045317"</f>
        <v>201710045317</v>
      </c>
      <c r="G571" t="str">
        <f>"54976"</f>
        <v>54976</v>
      </c>
      <c r="H571" s="2">
        <v>250</v>
      </c>
      <c r="I571" t="str">
        <f>"54976"</f>
        <v>54976</v>
      </c>
    </row>
    <row r="572" spans="1:9" x14ac:dyDescent="0.3">
      <c r="A572" t="str">
        <f>""</f>
        <v/>
      </c>
      <c r="F572" t="str">
        <f>"201710045318"</f>
        <v>201710045318</v>
      </c>
      <c r="G572" t="str">
        <f>"55362"</f>
        <v>55362</v>
      </c>
      <c r="H572" s="2">
        <v>250</v>
      </c>
      <c r="I572" t="str">
        <f>"55362"</f>
        <v>55362</v>
      </c>
    </row>
    <row r="573" spans="1:9" x14ac:dyDescent="0.3">
      <c r="A573" t="str">
        <f>""</f>
        <v/>
      </c>
      <c r="F573" t="str">
        <f>"201710045319"</f>
        <v>201710045319</v>
      </c>
      <c r="G573" t="str">
        <f>"CH-20170928"</f>
        <v>CH-20170928</v>
      </c>
      <c r="H573" s="2">
        <v>100</v>
      </c>
      <c r="I573" t="str">
        <f>"CH-20170928"</f>
        <v>CH-20170928</v>
      </c>
    </row>
    <row r="574" spans="1:9" x14ac:dyDescent="0.3">
      <c r="A574" t="str">
        <f>""</f>
        <v/>
      </c>
      <c r="F574" t="str">
        <f>"201710045320"</f>
        <v>201710045320</v>
      </c>
      <c r="G574" t="str">
        <f>"20170296"</f>
        <v>20170296</v>
      </c>
      <c r="H574" s="2">
        <v>250</v>
      </c>
      <c r="I574" t="str">
        <f>"20170296"</f>
        <v>20170296</v>
      </c>
    </row>
    <row r="575" spans="1:9" x14ac:dyDescent="0.3">
      <c r="A575" t="str">
        <f>""</f>
        <v/>
      </c>
      <c r="F575" t="str">
        <f>"201710045321"</f>
        <v>201710045321</v>
      </c>
      <c r="G575" t="str">
        <f>"16-17909"</f>
        <v>16-17909</v>
      </c>
      <c r="H575" s="2">
        <v>180</v>
      </c>
      <c r="I575" t="str">
        <f>"16-17909"</f>
        <v>16-17909</v>
      </c>
    </row>
    <row r="576" spans="1:9" x14ac:dyDescent="0.3">
      <c r="A576" t="str">
        <f>""</f>
        <v/>
      </c>
      <c r="F576" t="str">
        <f>"201710045322"</f>
        <v>201710045322</v>
      </c>
      <c r="G576" t="str">
        <f>"17-18493"</f>
        <v>17-18493</v>
      </c>
      <c r="H576" s="2">
        <v>140</v>
      </c>
      <c r="I576" t="str">
        <f>"17-18493"</f>
        <v>17-18493</v>
      </c>
    </row>
    <row r="577" spans="1:9" x14ac:dyDescent="0.3">
      <c r="A577" t="str">
        <f>""</f>
        <v/>
      </c>
      <c r="F577" t="str">
        <f>"201710045323"</f>
        <v>201710045323</v>
      </c>
      <c r="G577" t="str">
        <f>"16-17910"</f>
        <v>16-17910</v>
      </c>
      <c r="H577" s="2">
        <v>140</v>
      </c>
      <c r="I577" t="str">
        <f>"16-17910"</f>
        <v>16-17910</v>
      </c>
    </row>
    <row r="578" spans="1:9" x14ac:dyDescent="0.3">
      <c r="A578" t="str">
        <f>""</f>
        <v/>
      </c>
      <c r="F578" t="str">
        <f>"201710045324"</f>
        <v>201710045324</v>
      </c>
      <c r="G578" t="str">
        <f>"005785"</f>
        <v>005785</v>
      </c>
      <c r="H578" s="2">
        <v>260</v>
      </c>
      <c r="I578" t="str">
        <f>"005785"</f>
        <v>005785</v>
      </c>
    </row>
    <row r="579" spans="1:9" x14ac:dyDescent="0.3">
      <c r="A579" t="str">
        <f>"T9323"</f>
        <v>T9323</v>
      </c>
      <c r="B579" t="s">
        <v>137</v>
      </c>
      <c r="C579">
        <v>999999</v>
      </c>
      <c r="D579" s="2">
        <v>13952.5</v>
      </c>
      <c r="E579" s="1">
        <v>43032</v>
      </c>
      <c r="F579" t="str">
        <f>"201710135688"</f>
        <v>201710135688</v>
      </c>
      <c r="G579" t="str">
        <f>"15760  10/4/17"</f>
        <v>15760  10/4/17</v>
      </c>
      <c r="H579" s="2">
        <v>400</v>
      </c>
      <c r="I579" t="str">
        <f>"15760  10/4/17"</f>
        <v>15760  10/4/17</v>
      </c>
    </row>
    <row r="580" spans="1:9" x14ac:dyDescent="0.3">
      <c r="A580" t="str">
        <f>""</f>
        <v/>
      </c>
      <c r="F580" t="str">
        <f>"201710175722"</f>
        <v>201710175722</v>
      </c>
      <c r="G580" t="str">
        <f>"16001  10/05/17"</f>
        <v>16001  10/05/17</v>
      </c>
      <c r="H580" s="2">
        <v>11400</v>
      </c>
      <c r="I580" t="str">
        <f>"16001  10/05/17"</f>
        <v>16001  10/05/17</v>
      </c>
    </row>
    <row r="581" spans="1:9" x14ac:dyDescent="0.3">
      <c r="A581" t="str">
        <f>""</f>
        <v/>
      </c>
      <c r="F581" t="str">
        <f>"201710185766"</f>
        <v>201710185766</v>
      </c>
      <c r="G581" t="str">
        <f>"17-18617"</f>
        <v>17-18617</v>
      </c>
      <c r="H581" s="2">
        <v>225</v>
      </c>
      <c r="I581" t="str">
        <f>"17-18617"</f>
        <v>17-18617</v>
      </c>
    </row>
    <row r="582" spans="1:9" x14ac:dyDescent="0.3">
      <c r="A582" t="str">
        <f>""</f>
        <v/>
      </c>
      <c r="F582" t="str">
        <f>"201710185767"</f>
        <v>201710185767</v>
      </c>
      <c r="G582" t="str">
        <f>"06-10636"</f>
        <v>06-10636</v>
      </c>
      <c r="H582" s="2">
        <v>180</v>
      </c>
      <c r="I582" t="str">
        <f>"06-10636"</f>
        <v>06-10636</v>
      </c>
    </row>
    <row r="583" spans="1:9" x14ac:dyDescent="0.3">
      <c r="A583" t="str">
        <f>""</f>
        <v/>
      </c>
      <c r="F583" t="str">
        <f>"201710185768"</f>
        <v>201710185768</v>
      </c>
      <c r="G583" t="str">
        <f>"17-18317"</f>
        <v>17-18317</v>
      </c>
      <c r="H583" s="2">
        <v>220</v>
      </c>
      <c r="I583" t="str">
        <f>"17-18317"</f>
        <v>17-18317</v>
      </c>
    </row>
    <row r="584" spans="1:9" x14ac:dyDescent="0.3">
      <c r="A584" t="str">
        <f>""</f>
        <v/>
      </c>
      <c r="F584" t="str">
        <f>"201710185769"</f>
        <v>201710185769</v>
      </c>
      <c r="G584" t="str">
        <f>"17-18617"</f>
        <v>17-18617</v>
      </c>
      <c r="H584" s="2">
        <v>300</v>
      </c>
      <c r="I584" t="str">
        <f>"17-18617"</f>
        <v>17-18617</v>
      </c>
    </row>
    <row r="585" spans="1:9" x14ac:dyDescent="0.3">
      <c r="A585" t="str">
        <f>""</f>
        <v/>
      </c>
      <c r="F585" t="str">
        <f>"201710185770"</f>
        <v>201710185770</v>
      </c>
      <c r="G585" t="str">
        <f>"09-13569"</f>
        <v>09-13569</v>
      </c>
      <c r="H585" s="2">
        <v>140</v>
      </c>
      <c r="I585" t="str">
        <f>"09-13569"</f>
        <v>09-13569</v>
      </c>
    </row>
    <row r="586" spans="1:9" x14ac:dyDescent="0.3">
      <c r="A586" t="str">
        <f>""</f>
        <v/>
      </c>
      <c r="F586" t="str">
        <f>"201710185771"</f>
        <v>201710185771</v>
      </c>
      <c r="G586" t="str">
        <f>"55486  304162017C  309292017H"</f>
        <v>55486  304162017C  309292017H</v>
      </c>
      <c r="H586" s="2">
        <v>500</v>
      </c>
      <c r="I586" t="str">
        <f>"55486  304162017C  309292017H"</f>
        <v>55486  304162017C  309292017H</v>
      </c>
    </row>
    <row r="587" spans="1:9" x14ac:dyDescent="0.3">
      <c r="A587" t="str">
        <f>""</f>
        <v/>
      </c>
      <c r="F587" t="str">
        <f>"201710185772"</f>
        <v>201710185772</v>
      </c>
      <c r="G587" t="str">
        <f>"16-18023"</f>
        <v>16-18023</v>
      </c>
      <c r="H587" s="2">
        <v>587.5</v>
      </c>
      <c r="I587" t="str">
        <f>"16-18023"</f>
        <v>16-18023</v>
      </c>
    </row>
    <row r="588" spans="1:9" x14ac:dyDescent="0.3">
      <c r="A588" t="str">
        <f>"ECOLAB"</f>
        <v>ECOLAB</v>
      </c>
      <c r="B588" t="s">
        <v>138</v>
      </c>
      <c r="C588">
        <v>999999</v>
      </c>
      <c r="D588" s="2">
        <v>894.82</v>
      </c>
      <c r="E588" s="1">
        <v>43019</v>
      </c>
      <c r="F588" t="str">
        <f>"6956793"</f>
        <v>6956793</v>
      </c>
      <c r="G588" t="str">
        <f>"INV 6956793"</f>
        <v>INV 6956793</v>
      </c>
      <c r="H588" s="2">
        <v>894.82</v>
      </c>
      <c r="I588" t="str">
        <f>"INV 6956793"</f>
        <v>INV 6956793</v>
      </c>
    </row>
    <row r="589" spans="1:9" x14ac:dyDescent="0.3">
      <c r="A589" t="str">
        <f>"005241"</f>
        <v>005241</v>
      </c>
      <c r="B589" t="s">
        <v>139</v>
      </c>
      <c r="C589">
        <v>72974</v>
      </c>
      <c r="D589" s="2">
        <v>190</v>
      </c>
      <c r="E589" s="1">
        <v>43018</v>
      </c>
      <c r="F589" t="str">
        <f>"2290"</f>
        <v>2290</v>
      </c>
      <c r="G589" t="str">
        <f>"INV 2290/UNIT 125"</f>
        <v>INV 2290/UNIT 125</v>
      </c>
      <c r="H589" s="2">
        <v>190</v>
      </c>
      <c r="I589" t="str">
        <f>"INV 2290/UNIT 125"</f>
        <v>INV 2290/UNIT 125</v>
      </c>
    </row>
    <row r="590" spans="1:9" x14ac:dyDescent="0.3">
      <c r="A590" t="str">
        <f>"T6190"</f>
        <v>T6190</v>
      </c>
      <c r="B590" t="s">
        <v>140</v>
      </c>
      <c r="C590">
        <v>72975</v>
      </c>
      <c r="D590" s="2">
        <v>3539.39</v>
      </c>
      <c r="E590" s="1">
        <v>43018</v>
      </c>
      <c r="F590" t="str">
        <f>"1017311"</f>
        <v>1017311</v>
      </c>
      <c r="G590" t="str">
        <f>"ACCT#B06875/ORD#1118489"</f>
        <v>ACCT#B06875/ORD#1118489</v>
      </c>
      <c r="H590" s="2">
        <v>3539.39</v>
      </c>
      <c r="I590" t="str">
        <f>"ACCT#B06875/ORD#1118489"</f>
        <v>ACCT#B06875/ORD#1118489</v>
      </c>
    </row>
    <row r="591" spans="1:9" x14ac:dyDescent="0.3">
      <c r="A591" t="str">
        <f>"T6190"</f>
        <v>T6190</v>
      </c>
      <c r="B591" t="s">
        <v>140</v>
      </c>
      <c r="C591">
        <v>73227</v>
      </c>
      <c r="D591" s="2">
        <v>9178.66</v>
      </c>
      <c r="E591" s="1">
        <v>43031</v>
      </c>
      <c r="F591" t="str">
        <f>"1019778"</f>
        <v>1019778</v>
      </c>
      <c r="G591" t="str">
        <f>"ACCT#B06875/BALLOTS"</f>
        <v>ACCT#B06875/BALLOTS</v>
      </c>
      <c r="H591" s="2">
        <v>5413.6</v>
      </c>
      <c r="I591" t="str">
        <f>"ACCT#B06875/BALLOTS"</f>
        <v>ACCT#B06875/BALLOTS</v>
      </c>
    </row>
    <row r="592" spans="1:9" x14ac:dyDescent="0.3">
      <c r="A592" t="str">
        <f>""</f>
        <v/>
      </c>
      <c r="F592" t="str">
        <f>"1019779"</f>
        <v>1019779</v>
      </c>
      <c r="G592" t="str">
        <f>"ACCT#B06875/BALLOTS"</f>
        <v>ACCT#B06875/BALLOTS</v>
      </c>
      <c r="H592" s="2">
        <v>3765.06</v>
      </c>
      <c r="I592" t="str">
        <f>"ACCT#B06875/BALLOTS"</f>
        <v>ACCT#B06875/BALLOTS</v>
      </c>
    </row>
    <row r="593" spans="1:9" x14ac:dyDescent="0.3">
      <c r="A593" t="str">
        <f>"004076"</f>
        <v>004076</v>
      </c>
      <c r="B593" t="s">
        <v>141</v>
      </c>
      <c r="C593">
        <v>72976</v>
      </c>
      <c r="D593" s="2">
        <v>33.799999999999997</v>
      </c>
      <c r="E593" s="1">
        <v>43018</v>
      </c>
      <c r="F593" t="str">
        <f>"MILEAGE"</f>
        <v>MILEAGE</v>
      </c>
      <c r="G593" t="str">
        <f>"MILEAGE"</f>
        <v>MILEAGE</v>
      </c>
      <c r="H593" s="2">
        <v>33.799999999999997</v>
      </c>
      <c r="I593" t="str">
        <f>"MILEAGE"</f>
        <v>MILEAGE</v>
      </c>
    </row>
    <row r="594" spans="1:9" x14ac:dyDescent="0.3">
      <c r="A594" t="str">
        <f>"004788"</f>
        <v>004788</v>
      </c>
      <c r="B594" t="s">
        <v>142</v>
      </c>
      <c r="C594">
        <v>73228</v>
      </c>
      <c r="D594" s="2">
        <v>767.85</v>
      </c>
      <c r="E594" s="1">
        <v>43031</v>
      </c>
      <c r="F594" t="str">
        <f>"201710175729"</f>
        <v>201710175729</v>
      </c>
      <c r="G594" t="str">
        <f>"REIMBURSE TML BOOTH-HOTEL EXP"</f>
        <v>REIMBURSE TML BOOTH-HOTEL EXP</v>
      </c>
      <c r="H594" s="2">
        <v>767.85</v>
      </c>
      <c r="I594" t="str">
        <f>"REIMBURSE TML BOOTH-HOTEL EXP"</f>
        <v>REIMBURSE TML BOOTH-HOTEL EXP</v>
      </c>
    </row>
    <row r="595" spans="1:9" x14ac:dyDescent="0.3">
      <c r="A595" t="str">
        <f>"EC"</f>
        <v>EC</v>
      </c>
      <c r="B595" t="s">
        <v>143</v>
      </c>
      <c r="C595">
        <v>999999</v>
      </c>
      <c r="D595" s="2">
        <v>34</v>
      </c>
      <c r="E595" s="1">
        <v>43032</v>
      </c>
      <c r="F595" t="str">
        <f>"52421-8425"</f>
        <v>52421-8425</v>
      </c>
      <c r="G595" t="str">
        <f>"Replat Cayeton Rodriguez"</f>
        <v>Replat Cayeton Rodriguez</v>
      </c>
      <c r="H595" s="2">
        <v>34</v>
      </c>
      <c r="I595" t="str">
        <f>"Replat Cayeton Rodriguez"</f>
        <v>Replat Cayeton Rodriguez</v>
      </c>
    </row>
    <row r="596" spans="1:9" x14ac:dyDescent="0.3">
      <c r="A596" t="str">
        <f>"003710"</f>
        <v>003710</v>
      </c>
      <c r="B596" t="s">
        <v>144</v>
      </c>
      <c r="C596">
        <v>999999</v>
      </c>
      <c r="D596" s="2">
        <v>720</v>
      </c>
      <c r="E596" s="1">
        <v>43032</v>
      </c>
      <c r="F596" t="str">
        <f>"2017127"</f>
        <v>2017127</v>
      </c>
      <c r="G596" t="str">
        <f>"CREMATORIUM FEES"</f>
        <v>CREMATORIUM FEES</v>
      </c>
      <c r="H596" s="2">
        <v>720</v>
      </c>
      <c r="I596" t="str">
        <f>"CREMATORIUM FEES"</f>
        <v>CREMATORIUM FEES</v>
      </c>
    </row>
    <row r="597" spans="1:9" x14ac:dyDescent="0.3">
      <c r="A597" t="str">
        <f>"EU"</f>
        <v>EU</v>
      </c>
      <c r="B597" t="s">
        <v>145</v>
      </c>
      <c r="C597">
        <v>72894</v>
      </c>
      <c r="D597" s="2">
        <v>1076.97</v>
      </c>
      <c r="E597" s="1">
        <v>43014</v>
      </c>
      <c r="F597" t="str">
        <f>"201710065556"</f>
        <v>201710065556</v>
      </c>
      <c r="G597" t="str">
        <f>"ACCT#007-0008410-002/09302017"</f>
        <v>ACCT#007-0008410-002/09302017</v>
      </c>
      <c r="H597" s="2">
        <v>129.62</v>
      </c>
      <c r="I597" t="str">
        <f>"ACCT#007-0008410-002/09302017"</f>
        <v>ACCT#007-0008410-002/09302017</v>
      </c>
    </row>
    <row r="598" spans="1:9" x14ac:dyDescent="0.3">
      <c r="A598" t="str">
        <f>""</f>
        <v/>
      </c>
      <c r="F598" t="str">
        <f>"201710065557"</f>
        <v>201710065557</v>
      </c>
      <c r="G598" t="str">
        <f>"ACCT#007-0011501-000/09302017"</f>
        <v>ACCT#007-0011501-000/09302017</v>
      </c>
      <c r="H598" s="2">
        <v>152.12</v>
      </c>
      <c r="I598" t="str">
        <f>"ACCT#007-0011501-000/09302017"</f>
        <v>ACCT#007-0011501-000/09302017</v>
      </c>
    </row>
    <row r="599" spans="1:9" x14ac:dyDescent="0.3">
      <c r="A599" t="str">
        <f>""</f>
        <v/>
      </c>
      <c r="F599" t="str">
        <f>"201710065558"</f>
        <v>201710065558</v>
      </c>
      <c r="G599" t="str">
        <f>"ACCT#007-0011510-000/09302017"</f>
        <v>ACCT#007-0011510-000/09302017</v>
      </c>
      <c r="H599" s="2">
        <v>307.61</v>
      </c>
      <c r="I599" t="str">
        <f>"ACCT#007-0011510-000/09302017"</f>
        <v>ACCT#007-0011510-000/09302017</v>
      </c>
    </row>
    <row r="600" spans="1:9" x14ac:dyDescent="0.3">
      <c r="A600" t="str">
        <f>""</f>
        <v/>
      </c>
      <c r="F600" t="str">
        <f>"201710065559"</f>
        <v>201710065559</v>
      </c>
      <c r="G600" t="str">
        <f>"ACCT#007-001150-000/09302017"</f>
        <v>ACCT#007-001150-000/09302017</v>
      </c>
      <c r="H600" s="2">
        <v>77.09</v>
      </c>
      <c r="I600" t="str">
        <f>"ACCT#007-001150-000/09302017"</f>
        <v>ACCT#007-001150-000/09302017</v>
      </c>
    </row>
    <row r="601" spans="1:9" x14ac:dyDescent="0.3">
      <c r="A601" t="str">
        <f>""</f>
        <v/>
      </c>
      <c r="F601" t="str">
        <f>"201710065560"</f>
        <v>201710065560</v>
      </c>
      <c r="G601" t="str">
        <f>"ACCT#007-0011534-001/09302017"</f>
        <v>ACCT#007-0011534-001/09302017</v>
      </c>
      <c r="H601" s="2">
        <v>128.81</v>
      </c>
      <c r="I601" t="str">
        <f>"ACCT#007-0011534-001/09302017"</f>
        <v>ACCT#007-0011534-001/09302017</v>
      </c>
    </row>
    <row r="602" spans="1:9" x14ac:dyDescent="0.3">
      <c r="A602" t="str">
        <f>""</f>
        <v/>
      </c>
      <c r="F602" t="str">
        <f>"201710065561"</f>
        <v>201710065561</v>
      </c>
      <c r="G602" t="str">
        <f>"ACCT#007-0011535-000"</f>
        <v>ACCT#007-0011535-000</v>
      </c>
      <c r="H602" s="2">
        <v>192.38</v>
      </c>
      <c r="I602" t="str">
        <f>"ACCT#007-0011535-000"</f>
        <v>ACCT#007-0011535-000</v>
      </c>
    </row>
    <row r="603" spans="1:9" x14ac:dyDescent="0.3">
      <c r="A603" t="str">
        <f>""</f>
        <v/>
      </c>
      <c r="F603" t="str">
        <f>"201710065562"</f>
        <v>201710065562</v>
      </c>
      <c r="G603" t="str">
        <f>"ACCT#007-0011544-001"</f>
        <v>ACCT#007-0011544-001</v>
      </c>
      <c r="H603" s="2">
        <v>89.34</v>
      </c>
      <c r="I603" t="str">
        <f>"ACCT#007-0011544-001"</f>
        <v>ACCT#007-0011544-001</v>
      </c>
    </row>
    <row r="604" spans="1:9" x14ac:dyDescent="0.3">
      <c r="A604" t="str">
        <f>"004084"</f>
        <v>004084</v>
      </c>
      <c r="B604" t="s">
        <v>146</v>
      </c>
      <c r="C604">
        <v>73229</v>
      </c>
      <c r="D604" s="2">
        <v>165</v>
      </c>
      <c r="E604" s="1">
        <v>43031</v>
      </c>
      <c r="F604" t="str">
        <f>"17-2-05122"</f>
        <v>17-2-05122</v>
      </c>
      <c r="G604" t="str">
        <f>"2005 CHEVY TAHOE -"</f>
        <v>2005 CHEVY TAHOE -</v>
      </c>
      <c r="H604" s="2">
        <v>165</v>
      </c>
      <c r="I604" t="str">
        <f>"2005 CHEVY TAHOE -"</f>
        <v>2005 CHEVY TAHOE -</v>
      </c>
    </row>
    <row r="605" spans="1:9" x14ac:dyDescent="0.3">
      <c r="A605" t="str">
        <f>"003027"</f>
        <v>003027</v>
      </c>
      <c r="B605" t="s">
        <v>147</v>
      </c>
      <c r="C605">
        <v>72977</v>
      </c>
      <c r="D605" s="2">
        <v>525.95000000000005</v>
      </c>
      <c r="E605" s="1">
        <v>43018</v>
      </c>
      <c r="F605" t="str">
        <f>"201709285178"</f>
        <v>201709285178</v>
      </c>
      <c r="G605" t="str">
        <f>"CUST ID#0888336/PCT#1"</f>
        <v>CUST ID#0888336/PCT#1</v>
      </c>
      <c r="H605" s="2">
        <v>-0.08</v>
      </c>
      <c r="I605" t="str">
        <f>"CUST ID#0888336/PCT#1"</f>
        <v>CUST ID#0888336/PCT#1</v>
      </c>
    </row>
    <row r="606" spans="1:9" x14ac:dyDescent="0.3">
      <c r="A606" t="str">
        <f>""</f>
        <v/>
      </c>
      <c r="F606" t="str">
        <f>"145-10890-01"</f>
        <v>145-10890-01</v>
      </c>
      <c r="G606" t="str">
        <f>"INV 145-10890-01"</f>
        <v>INV 145-10890-01</v>
      </c>
      <c r="H606" s="2">
        <v>59.84</v>
      </c>
      <c r="I606" t="str">
        <f>"INV 145-10890-01"</f>
        <v>INV 145-10890-01</v>
      </c>
    </row>
    <row r="607" spans="1:9" x14ac:dyDescent="0.3">
      <c r="A607" t="str">
        <f>""</f>
        <v/>
      </c>
      <c r="F607" t="str">
        <f>"201709285176"</f>
        <v>201709285176</v>
      </c>
      <c r="G607" t="str">
        <f>"CUST#0888336"</f>
        <v>CUST#0888336</v>
      </c>
      <c r="H607" s="2">
        <v>466.19</v>
      </c>
      <c r="I607" t="str">
        <f>"CUST#0888336"</f>
        <v>CUST#0888336</v>
      </c>
    </row>
    <row r="608" spans="1:9" x14ac:dyDescent="0.3">
      <c r="A608" t="str">
        <f>"003027"</f>
        <v>003027</v>
      </c>
      <c r="B608" t="s">
        <v>147</v>
      </c>
      <c r="C608">
        <v>73230</v>
      </c>
      <c r="D608" s="2">
        <v>2618.46</v>
      </c>
      <c r="E608" s="1">
        <v>43031</v>
      </c>
      <c r="F608" t="str">
        <f>"145-10935-01"</f>
        <v>145-10935-01</v>
      </c>
      <c r="G608" t="str">
        <f>"CUST#0888336/COURTHOUSE LAWN"</f>
        <v>CUST#0888336/COURTHOUSE LAWN</v>
      </c>
      <c r="H608" s="2">
        <v>63.49</v>
      </c>
      <c r="I608" t="str">
        <f>"CUST#0888336/COURTHOUSE LAWN"</f>
        <v>CUST#0888336/COURTHOUSE LAWN</v>
      </c>
    </row>
    <row r="609" spans="1:9" x14ac:dyDescent="0.3">
      <c r="A609" t="str">
        <f>""</f>
        <v/>
      </c>
      <c r="F609" t="str">
        <f>"145-10956-01"</f>
        <v>145-10956-01</v>
      </c>
      <c r="G609" t="str">
        <f>"CUST#0888336"</f>
        <v>CUST#0888336</v>
      </c>
      <c r="H609" s="2">
        <v>566.03</v>
      </c>
      <c r="I609" t="str">
        <f>"CUST#0888336"</f>
        <v>CUST#0888336</v>
      </c>
    </row>
    <row r="610" spans="1:9" x14ac:dyDescent="0.3">
      <c r="A610" t="str">
        <f>""</f>
        <v/>
      </c>
      <c r="F610" t="str">
        <f>"145-11164-02"</f>
        <v>145-11164-02</v>
      </c>
      <c r="G610" t="str">
        <f>"CUST#0888336/CLOCK TOWER"</f>
        <v>CUST#0888336/CLOCK TOWER</v>
      </c>
      <c r="H610" s="2">
        <v>38.32</v>
      </c>
      <c r="I610" t="str">
        <f>"CUST#0888336/CLOCK TOWER"</f>
        <v>CUST#0888336/CLOCK TOWER</v>
      </c>
    </row>
    <row r="611" spans="1:9" x14ac:dyDescent="0.3">
      <c r="A611" t="str">
        <f>""</f>
        <v/>
      </c>
      <c r="F611" t="str">
        <f>"145-11181-01"</f>
        <v>145-11181-01</v>
      </c>
      <c r="G611" t="str">
        <f>"CUST#0888336"</f>
        <v>CUST#0888336</v>
      </c>
      <c r="H611" s="2">
        <v>183.19</v>
      </c>
      <c r="I611" t="str">
        <f>"CUST#0888336"</f>
        <v>CUST#0888336</v>
      </c>
    </row>
    <row r="612" spans="1:9" x14ac:dyDescent="0.3">
      <c r="A612" t="str">
        <f>""</f>
        <v/>
      </c>
      <c r="F612" t="str">
        <f>"145-11217-01"</f>
        <v>145-11217-01</v>
      </c>
      <c r="G612" t="str">
        <f>"CUST#0888336/CLOCK TOWER"</f>
        <v>CUST#0888336/CLOCK TOWER</v>
      </c>
      <c r="H612" s="2">
        <v>1767.43</v>
      </c>
      <c r="I612" t="str">
        <f>"CUST#0888336/CLOCK TOWER"</f>
        <v>CUST#0888336/CLOCK TOWER</v>
      </c>
    </row>
    <row r="613" spans="1:9" x14ac:dyDescent="0.3">
      <c r="A613" t="str">
        <f>"T10729"</f>
        <v>T10729</v>
      </c>
      <c r="B613" t="s">
        <v>148</v>
      </c>
      <c r="C613">
        <v>72978</v>
      </c>
      <c r="D613" s="2">
        <v>7424.27</v>
      </c>
      <c r="E613" s="1">
        <v>43018</v>
      </c>
      <c r="F613" t="str">
        <f>"93353232"</f>
        <v>93353232</v>
      </c>
      <c r="G613" t="str">
        <f>"Desktop License"</f>
        <v>Desktop License</v>
      </c>
      <c r="H613" s="2">
        <v>7424.27</v>
      </c>
      <c r="I613" t="str">
        <f>"Desktop License"</f>
        <v>Desktop License</v>
      </c>
    </row>
    <row r="614" spans="1:9" x14ac:dyDescent="0.3">
      <c r="A614" t="str">
        <f>"T10729"</f>
        <v>T10729</v>
      </c>
      <c r="B614" t="s">
        <v>148</v>
      </c>
      <c r="C614">
        <v>73231</v>
      </c>
      <c r="D614" s="2">
        <v>1007.5</v>
      </c>
      <c r="E614" s="1">
        <v>43031</v>
      </c>
      <c r="F614" t="str">
        <f>"93354864"</f>
        <v>93354864</v>
      </c>
      <c r="G614" t="str">
        <f>"ORD#3280306/CUST#375721"</f>
        <v>ORD#3280306/CUST#375721</v>
      </c>
      <c r="H614" s="2">
        <v>1007.5</v>
      </c>
      <c r="I614" t="str">
        <f>"ORD#3280306/CUST#375721"</f>
        <v>ORD#3280306/CUST#375721</v>
      </c>
    </row>
    <row r="615" spans="1:9" x14ac:dyDescent="0.3">
      <c r="A615" t="str">
        <f>"000589"</f>
        <v>000589</v>
      </c>
      <c r="B615" t="s">
        <v>149</v>
      </c>
      <c r="C615">
        <v>72979</v>
      </c>
      <c r="D615" s="2">
        <v>151501.56</v>
      </c>
      <c r="E615" s="1">
        <v>43018</v>
      </c>
      <c r="F615" t="str">
        <f>"9401711040"</f>
        <v>9401711040</v>
      </c>
      <c r="G615" t="str">
        <f>"ACCT#912904/BOL#20917/PCT#2"</f>
        <v>ACCT#912904/BOL#20917/PCT#2</v>
      </c>
      <c r="H615" s="2">
        <v>5157.09</v>
      </c>
      <c r="I615" t="str">
        <f>"ACCT#912904/BOL#20917/PCT#2"</f>
        <v>ACCT#912904/BOL#20917/PCT#2</v>
      </c>
    </row>
    <row r="616" spans="1:9" x14ac:dyDescent="0.3">
      <c r="A616" t="str">
        <f>""</f>
        <v/>
      </c>
      <c r="F616" t="str">
        <f>"9401713848"</f>
        <v>9401713848</v>
      </c>
      <c r="G616" t="str">
        <f>"ACCT#912923/BOL#20979/PCT#4"</f>
        <v>ACCT#912923/BOL#20979/PCT#4</v>
      </c>
      <c r="H616" s="2">
        <v>11191.72</v>
      </c>
      <c r="I616" t="str">
        <f>"ACCT#912923/BOL#20979/PCT#4"</f>
        <v>ACCT#912923/BOL#20979/PCT#4</v>
      </c>
    </row>
    <row r="617" spans="1:9" x14ac:dyDescent="0.3">
      <c r="A617" t="str">
        <f>""</f>
        <v/>
      </c>
      <c r="F617" t="str">
        <f>"9401715084"</f>
        <v>9401715084</v>
      </c>
      <c r="G617" t="str">
        <f>"ACCT#912923/BOL#20996/PCT#4"</f>
        <v>ACCT#912923/BOL#20996/PCT#4</v>
      </c>
      <c r="H617" s="2">
        <v>10697.59</v>
      </c>
      <c r="I617" t="str">
        <f>"ACCT#912923/BOL#20996/PCT#4"</f>
        <v>ACCT#912923/BOL#20996/PCT#4</v>
      </c>
    </row>
    <row r="618" spans="1:9" x14ac:dyDescent="0.3">
      <c r="A618" t="str">
        <f>""</f>
        <v/>
      </c>
      <c r="F618" t="str">
        <f>"9401718511"</f>
        <v>9401718511</v>
      </c>
      <c r="G618" t="str">
        <f>"ACCT#912897/HFRS-2P/PCT#3"</f>
        <v>ACCT#912897/HFRS-2P/PCT#3</v>
      </c>
      <c r="H618" s="2">
        <v>12175.95</v>
      </c>
      <c r="I618" t="str">
        <f>"ACCT#912897/HFRS-2P/PCT#3"</f>
        <v>ACCT#912897/HFRS-2P/PCT#3</v>
      </c>
    </row>
    <row r="619" spans="1:9" x14ac:dyDescent="0.3">
      <c r="A619" t="str">
        <f>""</f>
        <v/>
      </c>
      <c r="F619" t="str">
        <f>"9401719121"</f>
        <v>9401719121</v>
      </c>
      <c r="G619" t="str">
        <f>"ACCT#912897/BOL#21042/PCT#3"</f>
        <v>ACCT#912897/BOL#21042/PCT#3</v>
      </c>
      <c r="H619" s="2">
        <v>11850.59</v>
      </c>
      <c r="I619" t="str">
        <f>"ACCT#912897/BOL#21042/PCT#3"</f>
        <v>ACCT#912897/BOL#21042/PCT#3</v>
      </c>
    </row>
    <row r="620" spans="1:9" x14ac:dyDescent="0.3">
      <c r="A620" t="str">
        <f>""</f>
        <v/>
      </c>
      <c r="F620" t="str">
        <f>"9401719122"</f>
        <v>9401719122</v>
      </c>
      <c r="G620" t="str">
        <f>"ACCT#912897/HFRS-2P/PCT#3"</f>
        <v>ACCT#912897/HFRS-2P/PCT#3</v>
      </c>
      <c r="H620" s="2">
        <v>12106.94</v>
      </c>
      <c r="I620" t="str">
        <f>"ACCT#912897/HFRS-2P/PCT#3"</f>
        <v>ACCT#912897/HFRS-2P/PCT#3</v>
      </c>
    </row>
    <row r="621" spans="1:9" x14ac:dyDescent="0.3">
      <c r="A621" t="str">
        <f>""</f>
        <v/>
      </c>
      <c r="F621" t="str">
        <f>"9401719588"</f>
        <v>9401719588</v>
      </c>
      <c r="G621" t="str">
        <f>"ACCT#912897/HFRS-SP/PCT#3"</f>
        <v>ACCT#912897/HFRS-SP/PCT#3</v>
      </c>
      <c r="H621" s="2">
        <v>11875.25</v>
      </c>
      <c r="I621" t="str">
        <f>"ACCT#912897/HFRS-SP/PCT#3"</f>
        <v>ACCT#912897/HFRS-SP/PCT#3</v>
      </c>
    </row>
    <row r="622" spans="1:9" x14ac:dyDescent="0.3">
      <c r="A622" t="str">
        <f>""</f>
        <v/>
      </c>
      <c r="F622" t="str">
        <f>"9401719590"</f>
        <v>9401719590</v>
      </c>
      <c r="G622" t="str">
        <f>"ACCT#912922/BOL#21054/PCT#1"</f>
        <v>ACCT#912922/BOL#21054/PCT#1</v>
      </c>
      <c r="H622" s="2">
        <v>12452.01</v>
      </c>
      <c r="I622" t="str">
        <f>"ACCT#912922/BOL#21054/PCT#1"</f>
        <v>ACCT#912922/BOL#21054/PCT#1</v>
      </c>
    </row>
    <row r="623" spans="1:9" x14ac:dyDescent="0.3">
      <c r="A623" t="str">
        <f>""</f>
        <v/>
      </c>
      <c r="F623" t="str">
        <f>"9401720115"</f>
        <v>9401720115</v>
      </c>
      <c r="G623" t="str">
        <f>"ACCT#912897/BOL#21061/PCT#3"</f>
        <v>ACCT#912897/BOL#21061/PCT#3</v>
      </c>
      <c r="H623" s="2">
        <v>12338.62</v>
      </c>
      <c r="I623" t="str">
        <f>"ACCT#912897/BOL#21061/PCT#3"</f>
        <v>ACCT#912897/BOL#21061/PCT#3</v>
      </c>
    </row>
    <row r="624" spans="1:9" x14ac:dyDescent="0.3">
      <c r="A624" t="str">
        <f>""</f>
        <v/>
      </c>
      <c r="F624" t="str">
        <f>"9401720116"</f>
        <v>9401720116</v>
      </c>
      <c r="G624" t="str">
        <f>"ACCT#912897/BOL#21067/PCT#3"</f>
        <v>ACCT#912897/BOL#21067/PCT#3</v>
      </c>
      <c r="H624" s="2">
        <v>11648.49</v>
      </c>
      <c r="I624" t="str">
        <f>"ACCT#912897/BOL#21067/PCT#3"</f>
        <v>ACCT#912897/BOL#21067/PCT#3</v>
      </c>
    </row>
    <row r="625" spans="1:9" x14ac:dyDescent="0.3">
      <c r="A625" t="str">
        <f>""</f>
        <v/>
      </c>
      <c r="F625" t="str">
        <f>"9401720308"</f>
        <v>9401720308</v>
      </c>
      <c r="G625" t="str">
        <f>"ACCT#912922/BOL#21064/PCT#1"</f>
        <v>ACCT#912922/BOL#21064/PCT#1</v>
      </c>
      <c r="H625" s="2">
        <v>12654.12</v>
      </c>
      <c r="I625" t="str">
        <f>"ACCT#912922/BOL#21064/PCT#1"</f>
        <v>ACCT#912922/BOL#21064/PCT#1</v>
      </c>
    </row>
    <row r="626" spans="1:9" x14ac:dyDescent="0.3">
      <c r="A626" t="str">
        <f>""</f>
        <v/>
      </c>
      <c r="F626" t="str">
        <f>"9401721121"</f>
        <v>9401721121</v>
      </c>
      <c r="G626" t="str">
        <f>"ACCT#912922/BOL#21074/PCT#1"</f>
        <v>ACCT#912922/BOL#21074/PCT#1</v>
      </c>
      <c r="H626" s="2">
        <v>12052.72</v>
      </c>
      <c r="I626" t="str">
        <f>"ACCT#912922/BOL#21074/PCT#1"</f>
        <v>ACCT#912922/BOL#21074/PCT#1</v>
      </c>
    </row>
    <row r="627" spans="1:9" x14ac:dyDescent="0.3">
      <c r="A627" t="str">
        <f>""</f>
        <v/>
      </c>
      <c r="F627" t="str">
        <f>"9401721122"</f>
        <v>9401721122</v>
      </c>
      <c r="G627" t="str">
        <f>"ACCT#912922/BOL#21075/PCT#1"</f>
        <v>ACCT#912922/BOL#21075/PCT#1</v>
      </c>
      <c r="H627" s="2">
        <v>11993.56</v>
      </c>
      <c r="I627" t="str">
        <f>"ACCT#912922/BOL#21075/PCT#1"</f>
        <v>ACCT#912922/BOL#21075/PCT#1</v>
      </c>
    </row>
    <row r="628" spans="1:9" x14ac:dyDescent="0.3">
      <c r="A628" t="str">
        <f>""</f>
        <v/>
      </c>
      <c r="F628" t="str">
        <f>"9401722209"</f>
        <v>9401722209</v>
      </c>
      <c r="G628" t="str">
        <f>"ACCT#912922/BOL#21081/PCT#1"</f>
        <v>ACCT#912922/BOL#21081/PCT#1</v>
      </c>
      <c r="H628" s="2">
        <v>3306.91</v>
      </c>
      <c r="I628" t="str">
        <f>"ACCT#912922/BOL#21081/PCT#1"</f>
        <v>ACCT#912922/BOL#21081/PCT#1</v>
      </c>
    </row>
    <row r="629" spans="1:9" x14ac:dyDescent="0.3">
      <c r="A629" t="str">
        <f>"000589"</f>
        <v>000589</v>
      </c>
      <c r="B629" t="s">
        <v>149</v>
      </c>
      <c r="C629">
        <v>73232</v>
      </c>
      <c r="D629" s="2">
        <v>12497.37</v>
      </c>
      <c r="E629" s="1">
        <v>43031</v>
      </c>
      <c r="F629" t="str">
        <f>"9401722962"</f>
        <v>9401722962</v>
      </c>
      <c r="G629" t="str">
        <f>"ACCT#912923/BOL#21001/PCT#4"</f>
        <v>ACCT#912923/BOL#21001/PCT#4</v>
      </c>
      <c r="H629" s="2">
        <v>40</v>
      </c>
      <c r="I629" t="str">
        <f>"ACCT#912923/BOL#21001/PCT#4"</f>
        <v>ACCT#912923/BOL#21001/PCT#4</v>
      </c>
    </row>
    <row r="630" spans="1:9" x14ac:dyDescent="0.3">
      <c r="A630" t="str">
        <f>""</f>
        <v/>
      </c>
      <c r="F630" t="str">
        <f>"9401722963"</f>
        <v>9401722963</v>
      </c>
      <c r="G630" t="str">
        <f>"ACCT#912923/BOL#21008/PCT#4"</f>
        <v>ACCT#912923/BOL#21008/PCT#4</v>
      </c>
      <c r="H630" s="2">
        <v>60</v>
      </c>
      <c r="I630" t="str">
        <f>"ACCT#912923/BOL#21008/PCT#4"</f>
        <v>ACCT#912923/BOL#21008/PCT#4</v>
      </c>
    </row>
    <row r="631" spans="1:9" x14ac:dyDescent="0.3">
      <c r="A631" t="str">
        <f>""</f>
        <v/>
      </c>
      <c r="F631" t="str">
        <f>"9401724213"</f>
        <v>9401724213</v>
      </c>
      <c r="G631" t="str">
        <f>"ACCT#912923/BOL#20979/PCT#4"</f>
        <v>ACCT#912923/BOL#20979/PCT#4</v>
      </c>
      <c r="H631" s="2">
        <v>160</v>
      </c>
      <c r="I631" t="str">
        <f>"ACCT#912923/BOL#20979/PCT#4"</f>
        <v>ACCT#912923/BOL#20979/PCT#4</v>
      </c>
    </row>
    <row r="632" spans="1:9" x14ac:dyDescent="0.3">
      <c r="A632" t="str">
        <f>""</f>
        <v/>
      </c>
      <c r="F632" t="str">
        <f>"9401724214"</f>
        <v>9401724214</v>
      </c>
      <c r="G632" t="str">
        <f>"ACCT#912923/BOL#20996/PCT#4"</f>
        <v>ACCT#912923/BOL#20996/PCT#4</v>
      </c>
      <c r="H632" s="2">
        <v>80</v>
      </c>
      <c r="I632" t="str">
        <f>"ACCT#912923/BOL#20996/PCT#4"</f>
        <v>ACCT#912923/BOL#20996/PCT#4</v>
      </c>
    </row>
    <row r="633" spans="1:9" x14ac:dyDescent="0.3">
      <c r="A633" t="str">
        <f>""</f>
        <v/>
      </c>
      <c r="F633" t="str">
        <f>"9401724324"</f>
        <v>9401724324</v>
      </c>
      <c r="G633" t="str">
        <f>"ACCT#912922/BOL#20978/PCT#1"</f>
        <v>ACCT#912922/BOL#20978/PCT#1</v>
      </c>
      <c r="H633" s="2">
        <v>120</v>
      </c>
      <c r="I633" t="str">
        <f>"ACCT#912922/BOL#20978/PCT#1"</f>
        <v>ACCT#912922/BOL#20978/PCT#1</v>
      </c>
    </row>
    <row r="634" spans="1:9" x14ac:dyDescent="0.3">
      <c r="A634" t="str">
        <f>""</f>
        <v/>
      </c>
      <c r="F634" t="str">
        <f>"9401726075"</f>
        <v>9401726075</v>
      </c>
      <c r="G634" t="str">
        <f>"ACCT#912922/BOL#21075/PCT#1"</f>
        <v>ACCT#912922/BOL#21075/PCT#1</v>
      </c>
      <c r="H634" s="2">
        <v>193.6</v>
      </c>
      <c r="I634" t="str">
        <f>"ACCT#912922/BOL#21075/PCT#1"</f>
        <v>ACCT#912922/BOL#21075/PCT#1</v>
      </c>
    </row>
    <row r="635" spans="1:9" x14ac:dyDescent="0.3">
      <c r="A635" t="str">
        <f>""</f>
        <v/>
      </c>
      <c r="F635" t="str">
        <f>"9401726076"</f>
        <v>9401726076</v>
      </c>
      <c r="G635" t="str">
        <f>"ACCT#912922/BOL#21064/PCT#1"</f>
        <v>ACCT#912922/BOL#21064/PCT#1</v>
      </c>
      <c r="H635" s="2">
        <v>100</v>
      </c>
      <c r="I635" t="str">
        <f>"ACCT#912922/BOL#21064/PCT#1"</f>
        <v>ACCT#912922/BOL#21064/PCT#1</v>
      </c>
    </row>
    <row r="636" spans="1:9" x14ac:dyDescent="0.3">
      <c r="A636" t="str">
        <f>""</f>
        <v/>
      </c>
      <c r="F636" t="str">
        <f>"9401726077"</f>
        <v>9401726077</v>
      </c>
      <c r="G636" t="str">
        <f>"ACCT#912922/BOL#21054/PCT#1"</f>
        <v>ACCT#912922/BOL#21054/PCT#1</v>
      </c>
      <c r="H636" s="2">
        <v>93.6</v>
      </c>
      <c r="I636" t="str">
        <f>"ACCT#912922/BOL#21054/PCT#1"</f>
        <v>ACCT#912922/BOL#21054/PCT#1</v>
      </c>
    </row>
    <row r="637" spans="1:9" x14ac:dyDescent="0.3">
      <c r="A637" t="str">
        <f>""</f>
        <v/>
      </c>
      <c r="F637" t="str">
        <f>"9401726099"</f>
        <v>9401726099</v>
      </c>
      <c r="G637" t="str">
        <f>"ACCT#912897/DEMURRAGE/PCT#3"</f>
        <v>ACCT#912897/DEMURRAGE/PCT#3</v>
      </c>
      <c r="H637" s="2">
        <v>160</v>
      </c>
      <c r="I637" t="str">
        <f>"ACCT#912897/DEMURRAGE/PCT#3"</f>
        <v>ACCT#912897/DEMURRAGE/PCT#3</v>
      </c>
    </row>
    <row r="638" spans="1:9" x14ac:dyDescent="0.3">
      <c r="A638" t="str">
        <f>""</f>
        <v/>
      </c>
      <c r="F638" t="str">
        <f>"9401726987"</f>
        <v>9401726987</v>
      </c>
      <c r="G638" t="str">
        <f>"ACCT#912897/DEMURRAGE/PCT#3"</f>
        <v>ACCT#912897/DEMURRAGE/PCT#3</v>
      </c>
      <c r="H638" s="2">
        <v>120</v>
      </c>
      <c r="I638" t="str">
        <f>"ACCT#912897/DEMURRAGE/PCT#3"</f>
        <v>ACCT#912897/DEMURRAGE/PCT#3</v>
      </c>
    </row>
    <row r="639" spans="1:9" x14ac:dyDescent="0.3">
      <c r="A639" t="str">
        <f>""</f>
        <v/>
      </c>
      <c r="F639" t="str">
        <f>"9401726988"</f>
        <v>9401726988</v>
      </c>
      <c r="G639" t="str">
        <f>"ACCT#912897/DEMURRAGE/PCT#3"</f>
        <v>ACCT#912897/DEMURRAGE/PCT#3</v>
      </c>
      <c r="H639" s="2">
        <v>193.6</v>
      </c>
      <c r="I639" t="str">
        <f>"ACCT#912897/DEMURRAGE/PCT#3"</f>
        <v>ACCT#912897/DEMURRAGE/PCT#3</v>
      </c>
    </row>
    <row r="640" spans="1:9" x14ac:dyDescent="0.3">
      <c r="A640" t="str">
        <f>""</f>
        <v/>
      </c>
      <c r="F640" t="str">
        <f>"9401726989"</f>
        <v>9401726989</v>
      </c>
      <c r="G640" t="str">
        <f>"ACCT#912897/DEMURRAGE/PCT#3"</f>
        <v>ACCT#912897/DEMURRAGE/PCT#3</v>
      </c>
      <c r="H640" s="2">
        <v>120</v>
      </c>
      <c r="I640" t="str">
        <f>"ACCT#912897/DEMURRAGE/PCT#3"</f>
        <v>ACCT#912897/DEMURRAGE/PCT#3</v>
      </c>
    </row>
    <row r="641" spans="1:9" x14ac:dyDescent="0.3">
      <c r="A641" t="str">
        <f>""</f>
        <v/>
      </c>
      <c r="F641" t="str">
        <f>"9401726990"</f>
        <v>9401726990</v>
      </c>
      <c r="G641" t="str">
        <f>"ACCT#912897/DEMURRAGE/PCT#3"</f>
        <v>ACCT#912897/DEMURRAGE/PCT#3</v>
      </c>
      <c r="H641" s="2">
        <v>360</v>
      </c>
      <c r="I641" t="str">
        <f>"ACCT#912897/DEMURRAGE/PCT#3"</f>
        <v>ACCT#912897/DEMURRAGE/PCT#3</v>
      </c>
    </row>
    <row r="642" spans="1:9" x14ac:dyDescent="0.3">
      <c r="A642" t="str">
        <f>""</f>
        <v/>
      </c>
      <c r="F642" t="str">
        <f>"9401729422"</f>
        <v>9401729422</v>
      </c>
      <c r="G642" t="str">
        <f>"ACCT#912897/BOL#21162/PCT#3"</f>
        <v>ACCT#912897/BOL#21162/PCT#3</v>
      </c>
      <c r="H642" s="2">
        <v>10656.57</v>
      </c>
      <c r="I642" t="str">
        <f>"ACCT#912897/BOL#21162/PCT#3"</f>
        <v>ACCT#912897/BOL#21162/PCT#3</v>
      </c>
    </row>
    <row r="643" spans="1:9" x14ac:dyDescent="0.3">
      <c r="A643" t="str">
        <f>""</f>
        <v/>
      </c>
      <c r="F643" t="str">
        <f>"9401731174"</f>
        <v>9401731174</v>
      </c>
      <c r="G643" t="str">
        <f>"ACCT#912897/BOL#21055/PCT#3"</f>
        <v>ACCT#912897/BOL#21055/PCT#3</v>
      </c>
      <c r="H643" s="2">
        <v>40</v>
      </c>
      <c r="I643" t="str">
        <f>"ACCT#912897/BOL#21055/PCT#3"</f>
        <v>ACCT#912897/BOL#21055/PCT#3</v>
      </c>
    </row>
    <row r="644" spans="1:9" x14ac:dyDescent="0.3">
      <c r="A644" t="str">
        <f>"005198"</f>
        <v>005198</v>
      </c>
      <c r="B644" t="s">
        <v>150</v>
      </c>
      <c r="C644">
        <v>73233</v>
      </c>
      <c r="D644" s="2">
        <v>19.98</v>
      </c>
      <c r="E644" s="1">
        <v>43031</v>
      </c>
      <c r="F644" t="str">
        <f>"201710185846"</f>
        <v>201710185846</v>
      </c>
      <c r="G644" t="str">
        <f>"MILEAGE REIMBURSEMENT"</f>
        <v>MILEAGE REIMBURSEMENT</v>
      </c>
      <c r="H644" s="2">
        <v>19.98</v>
      </c>
      <c r="I644" t="str">
        <f>"MILEAGE REIMBURSEMENT"</f>
        <v>MILEAGE REIMBURSEMENT</v>
      </c>
    </row>
    <row r="645" spans="1:9" x14ac:dyDescent="0.3">
      <c r="A645" t="str">
        <f>"FCC"</f>
        <v>FCC</v>
      </c>
      <c r="B645" t="s">
        <v>151</v>
      </c>
      <c r="C645">
        <v>73234</v>
      </c>
      <c r="D645" s="2">
        <v>11000</v>
      </c>
      <c r="E645" s="1">
        <v>43031</v>
      </c>
      <c r="F645" t="str">
        <f>"201710185820"</f>
        <v>201710185820</v>
      </c>
      <c r="G645" t="str">
        <f>"PER FY2018 BUDGET"</f>
        <v>PER FY2018 BUDGET</v>
      </c>
      <c r="H645" s="2">
        <v>11000</v>
      </c>
      <c r="I645" t="str">
        <f>"PER FY2018 BUDGET"</f>
        <v>PER FY2018 BUDGET</v>
      </c>
    </row>
    <row r="646" spans="1:9" x14ac:dyDescent="0.3">
      <c r="A646" t="str">
        <f>"003106"</f>
        <v>003106</v>
      </c>
      <c r="B646" t="s">
        <v>152</v>
      </c>
      <c r="C646">
        <v>73235</v>
      </c>
      <c r="D646" s="2">
        <v>15</v>
      </c>
      <c r="E646" s="1">
        <v>43031</v>
      </c>
      <c r="F646" t="str">
        <f>"INUS0173830"</f>
        <v>INUS0173830</v>
      </c>
      <c r="G646" t="str">
        <f>"Deep Freeze Renewal"</f>
        <v>Deep Freeze Renewal</v>
      </c>
      <c r="H646" s="2">
        <v>15</v>
      </c>
      <c r="I646" t="str">
        <f>"Deep Free Renewal"</f>
        <v>Deep Free Renewal</v>
      </c>
    </row>
    <row r="647" spans="1:9" x14ac:dyDescent="0.3">
      <c r="A647" t="str">
        <f>"T526"</f>
        <v>T526</v>
      </c>
      <c r="B647" t="s">
        <v>153</v>
      </c>
      <c r="C647">
        <v>72980</v>
      </c>
      <c r="D647" s="2">
        <v>27.11</v>
      </c>
      <c r="E647" s="1">
        <v>43018</v>
      </c>
      <c r="F647" t="str">
        <f>"5-936-00932"</f>
        <v>5-936-00932</v>
      </c>
      <c r="G647" t="str">
        <f>"ACCT#1230-5243-9/TAX OFFICE"</f>
        <v>ACCT#1230-5243-9/TAX OFFICE</v>
      </c>
      <c r="H647" s="2">
        <v>27.11</v>
      </c>
      <c r="I647" t="str">
        <f>"ACCT#1230-5243-9/TAX OFFICE"</f>
        <v>ACCT#1230-5243-9/TAX OFFICE</v>
      </c>
    </row>
    <row r="648" spans="1:9" x14ac:dyDescent="0.3">
      <c r="A648" t="str">
        <f>"T526"</f>
        <v>T526</v>
      </c>
      <c r="B648" t="s">
        <v>153</v>
      </c>
      <c r="C648">
        <v>73236</v>
      </c>
      <c r="D648" s="2">
        <v>32.020000000000003</v>
      </c>
      <c r="E648" s="1">
        <v>43031</v>
      </c>
      <c r="F648" t="str">
        <f>"5-944-70997"</f>
        <v>5-944-70997</v>
      </c>
      <c r="G648" t="str">
        <f>"MAILING SVCS"</f>
        <v>MAILING SVCS</v>
      </c>
      <c r="H648" s="2">
        <v>32.020000000000003</v>
      </c>
      <c r="I648" t="str">
        <f>"MAILING SVCS"</f>
        <v>MAILING SVCS</v>
      </c>
    </row>
    <row r="649" spans="1:9" x14ac:dyDescent="0.3">
      <c r="A649" t="str">
        <f>"004691"</f>
        <v>004691</v>
      </c>
      <c r="B649" t="s">
        <v>154</v>
      </c>
      <c r="C649">
        <v>72981</v>
      </c>
      <c r="D649" s="2">
        <v>12752.09</v>
      </c>
      <c r="E649" s="1">
        <v>43018</v>
      </c>
      <c r="F649" t="str">
        <f>"NP51385687"</f>
        <v>NP51385687</v>
      </c>
      <c r="G649" t="str">
        <f>"INV NP51385687"</f>
        <v>INV NP51385687</v>
      </c>
      <c r="H649" s="2">
        <v>11145.61</v>
      </c>
      <c r="I649" t="str">
        <f>"INV NP51385687"</f>
        <v>INV NP51385687</v>
      </c>
    </row>
    <row r="650" spans="1:9" x14ac:dyDescent="0.3">
      <c r="A650" t="str">
        <f>""</f>
        <v/>
      </c>
      <c r="F650" t="str">
        <f>"NP51538771"</f>
        <v>NP51538771</v>
      </c>
      <c r="G650" t="str">
        <f>"STMT#NP51538771"</f>
        <v>STMT#NP51538771</v>
      </c>
      <c r="H650" s="2">
        <v>1007.23</v>
      </c>
      <c r="I650" t="str">
        <f>"GENERAL SERVICES"</f>
        <v>GENERAL SERVICES</v>
      </c>
    </row>
    <row r="651" spans="1:9" x14ac:dyDescent="0.3">
      <c r="A651" t="str">
        <f>""</f>
        <v/>
      </c>
      <c r="F651" t="str">
        <f>""</f>
        <v/>
      </c>
      <c r="G651" t="str">
        <f>""</f>
        <v/>
      </c>
      <c r="I651" t="str">
        <f>"SIGN SHOP"</f>
        <v>SIGN SHOP</v>
      </c>
    </row>
    <row r="652" spans="1:9" x14ac:dyDescent="0.3">
      <c r="A652" t="str">
        <f>""</f>
        <v/>
      </c>
      <c r="F652" t="str">
        <f>""</f>
        <v/>
      </c>
      <c r="G652" t="str">
        <f>""</f>
        <v/>
      </c>
      <c r="I652" t="str">
        <f>"AG EXTENSION"</f>
        <v>AG EXTENSION</v>
      </c>
    </row>
    <row r="653" spans="1:9" x14ac:dyDescent="0.3">
      <c r="A653" t="str">
        <f>""</f>
        <v/>
      </c>
      <c r="F653" t="str">
        <f>""</f>
        <v/>
      </c>
      <c r="G653" t="str">
        <f>""</f>
        <v/>
      </c>
      <c r="I653" t="str">
        <f>"PCT 1"</f>
        <v>PCT 1</v>
      </c>
    </row>
    <row r="654" spans="1:9" x14ac:dyDescent="0.3">
      <c r="A654" t="str">
        <f>""</f>
        <v/>
      </c>
      <c r="F654" t="str">
        <f>"NP51538993"</f>
        <v>NP51538993</v>
      </c>
      <c r="G654" t="str">
        <f>"STMT# NP51538993"</f>
        <v>STMT# NP51538993</v>
      </c>
      <c r="H654" s="2">
        <v>599.25</v>
      </c>
      <c r="I654" t="str">
        <f>"PAYMENT"</f>
        <v>PAYMENT</v>
      </c>
    </row>
    <row r="655" spans="1:9" x14ac:dyDescent="0.3">
      <c r="A655" t="str">
        <f>"004691"</f>
        <v>004691</v>
      </c>
      <c r="B655" t="s">
        <v>154</v>
      </c>
      <c r="C655">
        <v>73237</v>
      </c>
      <c r="D655" s="2">
        <v>12509.01</v>
      </c>
      <c r="E655" s="1">
        <v>43031</v>
      </c>
      <c r="F655" t="str">
        <f>"NP 51538962"</f>
        <v>NP 51538962</v>
      </c>
      <c r="G655" t="str">
        <f>"INV NP 51538962"</f>
        <v>INV NP 51538962</v>
      </c>
      <c r="H655" s="2">
        <v>11013.16</v>
      </c>
      <c r="I655" t="str">
        <f>"INV NP 51538962"</f>
        <v>INV NP 51538962</v>
      </c>
    </row>
    <row r="656" spans="1:9" x14ac:dyDescent="0.3">
      <c r="A656" t="str">
        <f>""</f>
        <v/>
      </c>
      <c r="F656" t="str">
        <f>"NP51538962"</f>
        <v>NP51538962</v>
      </c>
      <c r="G656" t="str">
        <f>"INV NP51538962"</f>
        <v>INV NP51538962</v>
      </c>
      <c r="H656" s="2">
        <v>462.07</v>
      </c>
      <c r="I656" t="str">
        <f>"INV NP51538962"</f>
        <v>INV NP51538962</v>
      </c>
    </row>
    <row r="657" spans="1:9" x14ac:dyDescent="0.3">
      <c r="A657" t="str">
        <f>""</f>
        <v/>
      </c>
      <c r="F657" t="str">
        <f>"NP51617376"</f>
        <v>NP51617376</v>
      </c>
      <c r="G657" t="str">
        <f>"Statement# NP51617376"</f>
        <v>Statement# NP51617376</v>
      </c>
      <c r="H657" s="2">
        <v>520.13</v>
      </c>
      <c r="I657" t="str">
        <f>"General Services"</f>
        <v>General Services</v>
      </c>
    </row>
    <row r="658" spans="1:9" x14ac:dyDescent="0.3">
      <c r="A658" t="str">
        <f>""</f>
        <v/>
      </c>
      <c r="F658" t="str">
        <f>""</f>
        <v/>
      </c>
      <c r="G658" t="str">
        <f>""</f>
        <v/>
      </c>
      <c r="I658" t="str">
        <f>"Sign SHop"</f>
        <v>Sign SHop</v>
      </c>
    </row>
    <row r="659" spans="1:9" x14ac:dyDescent="0.3">
      <c r="A659" t="str">
        <f>""</f>
        <v/>
      </c>
      <c r="F659" t="str">
        <f>""</f>
        <v/>
      </c>
      <c r="G659" t="str">
        <f>""</f>
        <v/>
      </c>
      <c r="I659" t="str">
        <f>"Pct 1"</f>
        <v>Pct 1</v>
      </c>
    </row>
    <row r="660" spans="1:9" x14ac:dyDescent="0.3">
      <c r="A660" t="str">
        <f>""</f>
        <v/>
      </c>
      <c r="F660" t="str">
        <f>""</f>
        <v/>
      </c>
      <c r="G660" t="str">
        <f>""</f>
        <v/>
      </c>
      <c r="I660" t="str">
        <f>"Pct 2"</f>
        <v>Pct 2</v>
      </c>
    </row>
    <row r="661" spans="1:9" x14ac:dyDescent="0.3">
      <c r="A661" t="str">
        <f>""</f>
        <v/>
      </c>
      <c r="F661" t="str">
        <f>"NP51617592"</f>
        <v>NP51617592</v>
      </c>
      <c r="G661" t="str">
        <f>"Statement# NP51617592"</f>
        <v>Statement# NP51617592</v>
      </c>
      <c r="H661" s="2">
        <v>513.65</v>
      </c>
      <c r="I661" t="str">
        <f>"Payment"</f>
        <v>Payment</v>
      </c>
    </row>
    <row r="662" spans="1:9" x14ac:dyDescent="0.3">
      <c r="A662" t="str">
        <f>"T5062"</f>
        <v>T5062</v>
      </c>
      <c r="B662" t="s">
        <v>155</v>
      </c>
      <c r="C662">
        <v>72982</v>
      </c>
      <c r="D662" s="2">
        <v>371.31</v>
      </c>
      <c r="E662" s="1">
        <v>43018</v>
      </c>
      <c r="F662" t="str">
        <f>"87665121"</f>
        <v>87665121</v>
      </c>
      <c r="G662" t="str">
        <f>"ACCT#80975-001/PCT#3"</f>
        <v>ACCT#80975-001/PCT#3</v>
      </c>
      <c r="H662" s="2">
        <v>44.79</v>
      </c>
      <c r="I662" t="str">
        <f>"ACCT#80975-001/PCT#3"</f>
        <v>ACCT#80975-001/PCT#3</v>
      </c>
    </row>
    <row r="663" spans="1:9" x14ac:dyDescent="0.3">
      <c r="A663" t="str">
        <f>""</f>
        <v/>
      </c>
      <c r="F663" t="str">
        <f>"87686544"</f>
        <v>87686544</v>
      </c>
      <c r="G663" t="str">
        <f>"ACCT#80975-001/PCT#2"</f>
        <v>ACCT#80975-001/PCT#2</v>
      </c>
      <c r="H663" s="2">
        <v>326.52</v>
      </c>
      <c r="I663" t="str">
        <f>"ACCT#80975-001/PCT#2"</f>
        <v>ACCT#80975-001/PCT#2</v>
      </c>
    </row>
    <row r="664" spans="1:9" x14ac:dyDescent="0.3">
      <c r="A664" t="str">
        <f>"FLS"</f>
        <v>FLS</v>
      </c>
      <c r="B664" t="s">
        <v>156</v>
      </c>
      <c r="C664">
        <v>999999</v>
      </c>
      <c r="D664" s="2">
        <v>1300</v>
      </c>
      <c r="E664" s="1">
        <v>43019</v>
      </c>
      <c r="F664" t="str">
        <f>"201709275139"</f>
        <v>201709275139</v>
      </c>
      <c r="G664" t="str">
        <f>"16 026"</f>
        <v>16 026</v>
      </c>
      <c r="H664" s="2">
        <v>400</v>
      </c>
      <c r="I664" t="str">
        <f>"16 026"</f>
        <v>16 026</v>
      </c>
    </row>
    <row r="665" spans="1:9" x14ac:dyDescent="0.3">
      <c r="A665" t="str">
        <f>""</f>
        <v/>
      </c>
      <c r="F665" t="str">
        <f>"201709275140"</f>
        <v>201709275140</v>
      </c>
      <c r="G665" t="str">
        <f>"N/A-GUZMAN 9/21/2017"</f>
        <v>N/A-GUZMAN 9/21/2017</v>
      </c>
      <c r="H665" s="2">
        <v>400</v>
      </c>
      <c r="I665" t="str">
        <f>"N/A-GUZMAN 9/21/2017"</f>
        <v>N/A-GUZMAN 9/21/2017</v>
      </c>
    </row>
    <row r="666" spans="1:9" x14ac:dyDescent="0.3">
      <c r="A666" t="str">
        <f>""</f>
        <v/>
      </c>
      <c r="F666" t="str">
        <f>"201710045325"</f>
        <v>201710045325</v>
      </c>
      <c r="G666" t="str">
        <f>"55 117"</f>
        <v>55 117</v>
      </c>
      <c r="H666" s="2">
        <v>250</v>
      </c>
      <c r="I666" t="str">
        <f>"55 117"</f>
        <v>55 117</v>
      </c>
    </row>
    <row r="667" spans="1:9" x14ac:dyDescent="0.3">
      <c r="A667" t="str">
        <f>""</f>
        <v/>
      </c>
      <c r="F667" t="str">
        <f>"201710045326"</f>
        <v>201710045326</v>
      </c>
      <c r="G667" t="str">
        <f>"J-3095"</f>
        <v>J-3095</v>
      </c>
      <c r="H667" s="2">
        <v>250</v>
      </c>
      <c r="I667" t="str">
        <f>"J-3095"</f>
        <v>J-3095</v>
      </c>
    </row>
    <row r="668" spans="1:9" x14ac:dyDescent="0.3">
      <c r="A668" t="str">
        <f>"FLS"</f>
        <v>FLS</v>
      </c>
      <c r="B668" t="s">
        <v>156</v>
      </c>
      <c r="C668">
        <v>999999</v>
      </c>
      <c r="D668" s="2">
        <v>1900</v>
      </c>
      <c r="E668" s="1">
        <v>43032</v>
      </c>
      <c r="F668" t="str">
        <f>"201710135695"</f>
        <v>201710135695</v>
      </c>
      <c r="G668" t="str">
        <f>"EASTERLING"</f>
        <v>EASTERLING</v>
      </c>
      <c r="H668" s="2">
        <v>400</v>
      </c>
      <c r="I668" t="str">
        <f>"EASTERLING"</f>
        <v>EASTERLING</v>
      </c>
    </row>
    <row r="669" spans="1:9" x14ac:dyDescent="0.3">
      <c r="A669" t="str">
        <f>""</f>
        <v/>
      </c>
      <c r="F669" t="str">
        <f>"201710135697"</f>
        <v>201710135697</v>
      </c>
      <c r="G669" t="str">
        <f>"DUDLEY"</f>
        <v>DUDLEY</v>
      </c>
      <c r="H669" s="2">
        <v>500</v>
      </c>
      <c r="I669" t="str">
        <f>"DUDLEY"</f>
        <v>DUDLEY</v>
      </c>
    </row>
    <row r="670" spans="1:9" x14ac:dyDescent="0.3">
      <c r="A670" t="str">
        <f>""</f>
        <v/>
      </c>
      <c r="F670" t="str">
        <f>"201710185773"</f>
        <v>201710185773</v>
      </c>
      <c r="G670" t="str">
        <f>"45 955"</f>
        <v>45 955</v>
      </c>
      <c r="H670" s="2">
        <v>250</v>
      </c>
      <c r="I670" t="str">
        <f>"45 955"</f>
        <v>45 955</v>
      </c>
    </row>
    <row r="671" spans="1:9" x14ac:dyDescent="0.3">
      <c r="A671" t="str">
        <f>""</f>
        <v/>
      </c>
      <c r="F671" t="str">
        <f>"201710185774"</f>
        <v>201710185774</v>
      </c>
      <c r="G671" t="str">
        <f>"55 159  55 158  54 465"</f>
        <v>55 159  55 158  54 465</v>
      </c>
      <c r="H671" s="2">
        <v>500</v>
      </c>
      <c r="I671" t="str">
        <f>"55 159  55 158  54 465"</f>
        <v>55 159  55 158  54 465</v>
      </c>
    </row>
    <row r="672" spans="1:9" x14ac:dyDescent="0.3">
      <c r="A672" t="str">
        <f>""</f>
        <v/>
      </c>
      <c r="F672" t="str">
        <f>"201710185775"</f>
        <v>201710185775</v>
      </c>
      <c r="G672" t="str">
        <f>"55 364"</f>
        <v>55 364</v>
      </c>
      <c r="H672" s="2">
        <v>250</v>
      </c>
      <c r="I672" t="str">
        <f>"55 364"</f>
        <v>55 364</v>
      </c>
    </row>
    <row r="673" spans="1:9" x14ac:dyDescent="0.3">
      <c r="A673" t="str">
        <f>"PPLAN"</f>
        <v>PPLAN</v>
      </c>
      <c r="B673" t="s">
        <v>157</v>
      </c>
      <c r="C673">
        <v>73238</v>
      </c>
      <c r="D673" s="2">
        <v>3468.5</v>
      </c>
      <c r="E673" s="1">
        <v>43031</v>
      </c>
      <c r="F673" t="str">
        <f>"201710135611"</f>
        <v>201710135611</v>
      </c>
      <c r="G673" t="str">
        <f>"ACCT#8850283308/PCT#1"</f>
        <v>ACCT#8850283308/PCT#1</v>
      </c>
      <c r="H673" s="2">
        <v>900.92</v>
      </c>
      <c r="I673" t="str">
        <f>"ACCT#8850283308/PCT#1"</f>
        <v>ACCT#8850283308/PCT#1</v>
      </c>
    </row>
    <row r="674" spans="1:9" x14ac:dyDescent="0.3">
      <c r="A674" t="str">
        <f>""</f>
        <v/>
      </c>
      <c r="F674" t="str">
        <f>"201710135615"</f>
        <v>201710135615</v>
      </c>
      <c r="G674" t="str">
        <f>"PARTS/EQUIPMENT/PCT#2"</f>
        <v>PARTS/EQUIPMENT/PCT#2</v>
      </c>
      <c r="H674" s="2">
        <v>1704.82</v>
      </c>
      <c r="I674" t="str">
        <f>"PARTS/EQUIPMENT/PCT#2"</f>
        <v>PARTS/EQUIPMENT/PCT#2</v>
      </c>
    </row>
    <row r="675" spans="1:9" x14ac:dyDescent="0.3">
      <c r="A675" t="str">
        <f>""</f>
        <v/>
      </c>
      <c r="F675" t="str">
        <f>"201710135617"</f>
        <v>201710135617</v>
      </c>
      <c r="G675" t="str">
        <f>"PARTS/PCT#3"</f>
        <v>PARTS/PCT#3</v>
      </c>
      <c r="H675" s="2">
        <v>609.78</v>
      </c>
      <c r="I675" t="str">
        <f>"PARTS/PCT#3"</f>
        <v>PARTS/PCT#3</v>
      </c>
    </row>
    <row r="676" spans="1:9" x14ac:dyDescent="0.3">
      <c r="A676" t="str">
        <f>""</f>
        <v/>
      </c>
      <c r="F676" t="str">
        <f>"201710135622"</f>
        <v>201710135622</v>
      </c>
      <c r="G676" t="str">
        <f>"PARTS/PCT#4"</f>
        <v>PARTS/PCT#4</v>
      </c>
      <c r="H676" s="2">
        <v>252.98</v>
      </c>
      <c r="I676" t="str">
        <f>"PARTS/PCT#4"</f>
        <v>PARTS/PCT#4</v>
      </c>
    </row>
    <row r="677" spans="1:9" x14ac:dyDescent="0.3">
      <c r="A677" t="str">
        <f>"AT&amp;EI"</f>
        <v>AT&amp;EI</v>
      </c>
      <c r="B677" t="s">
        <v>158</v>
      </c>
      <c r="C677">
        <v>72983</v>
      </c>
      <c r="D677" s="2">
        <v>164.16</v>
      </c>
      <c r="E677" s="1">
        <v>43018</v>
      </c>
      <c r="F677" t="str">
        <f>"AP350747"</f>
        <v>AP350747</v>
      </c>
      <c r="G677" t="str">
        <f>"CUST#3325/PCT#2"</f>
        <v>CUST#3325/PCT#2</v>
      </c>
      <c r="H677" s="2">
        <v>149.4</v>
      </c>
      <c r="I677" t="str">
        <f>"CUST#3325/PCT#2"</f>
        <v>CUST#3325/PCT#2</v>
      </c>
    </row>
    <row r="678" spans="1:9" x14ac:dyDescent="0.3">
      <c r="A678" t="str">
        <f>""</f>
        <v/>
      </c>
      <c r="F678" t="str">
        <f>"AP351344"</f>
        <v>AP351344</v>
      </c>
      <c r="G678" t="str">
        <f>"BLK NYL 1/2 - PCT #3"</f>
        <v>BLK NYL 1/2 - PCT #3</v>
      </c>
      <c r="H678" s="2">
        <v>14.76</v>
      </c>
      <c r="I678" t="str">
        <f>"BLK NYL 1/2 - PCT #3"</f>
        <v>BLK NYL 1/2 - PCT #3</v>
      </c>
    </row>
    <row r="679" spans="1:9" x14ac:dyDescent="0.3">
      <c r="A679" t="str">
        <f>"G&amp;C"</f>
        <v>G&amp;C</v>
      </c>
      <c r="B679" t="s">
        <v>159</v>
      </c>
      <c r="C679">
        <v>999999</v>
      </c>
      <c r="D679" s="2">
        <v>2297.0300000000002</v>
      </c>
      <c r="E679" s="1">
        <v>43019</v>
      </c>
      <c r="F679" t="str">
        <f>"103008"</f>
        <v>103008</v>
      </c>
      <c r="G679" t="str">
        <f>"MAGNET CALENDAR/ELECTIONS"</f>
        <v>MAGNET CALENDAR/ELECTIONS</v>
      </c>
      <c r="H679" s="2">
        <v>709.88</v>
      </c>
      <c r="I679" t="str">
        <f>"MAGNET CALENDAR/ELECTIONS"</f>
        <v>MAGNET CALENDAR/ELECTIONS</v>
      </c>
    </row>
    <row r="680" spans="1:9" x14ac:dyDescent="0.3">
      <c r="A680" t="str">
        <f>""</f>
        <v/>
      </c>
      <c r="F680" t="str">
        <f>"103094"</f>
        <v>103094</v>
      </c>
      <c r="G680" t="str">
        <f>"RESET/SCHEDULING ORD CRIMINAL"</f>
        <v>RESET/SCHEDULING ORD CRIMINAL</v>
      </c>
      <c r="H680" s="2">
        <v>197.7</v>
      </c>
      <c r="I680" t="str">
        <f>"RESET/SCHEDULING ORD CRIMINAL"</f>
        <v>RESET/SCHEDULING ORD CRIMINAL</v>
      </c>
    </row>
    <row r="681" spans="1:9" x14ac:dyDescent="0.3">
      <c r="A681" t="str">
        <f>""</f>
        <v/>
      </c>
      <c r="F681" t="str">
        <f>"103118"</f>
        <v>103118</v>
      </c>
      <c r="G681" t="s">
        <v>160</v>
      </c>
      <c r="H681" s="2">
        <v>1389.45</v>
      </c>
      <c r="I681" t="s">
        <v>160</v>
      </c>
    </row>
    <row r="682" spans="1:9" x14ac:dyDescent="0.3">
      <c r="A682" t="str">
        <f>"G&amp;C"</f>
        <v>G&amp;C</v>
      </c>
      <c r="B682" t="s">
        <v>159</v>
      </c>
      <c r="C682">
        <v>999999</v>
      </c>
      <c r="D682" s="2">
        <v>180.86</v>
      </c>
      <c r="E682" s="1">
        <v>43032</v>
      </c>
      <c r="F682" t="str">
        <f>"102759"</f>
        <v>102759</v>
      </c>
      <c r="G682" t="str">
        <f>"FORMS/EXT OFFICE"</f>
        <v>FORMS/EXT OFFICE</v>
      </c>
      <c r="H682" s="2">
        <v>51.26</v>
      </c>
      <c r="I682" t="str">
        <f>"FORMS/EXT OFFICE"</f>
        <v>FORMS/EXT OFFICE</v>
      </c>
    </row>
    <row r="683" spans="1:9" x14ac:dyDescent="0.3">
      <c r="A683" t="str">
        <f>""</f>
        <v/>
      </c>
      <c r="F683" t="str">
        <f>"103191"</f>
        <v>103191</v>
      </c>
      <c r="G683" t="str">
        <f>"INV 103191"</f>
        <v>INV 103191</v>
      </c>
      <c r="H683" s="2">
        <v>58.1</v>
      </c>
      <c r="I683" t="str">
        <f>"INV 103191"</f>
        <v>INV 103191</v>
      </c>
    </row>
    <row r="684" spans="1:9" x14ac:dyDescent="0.3">
      <c r="A684" t="str">
        <f>""</f>
        <v/>
      </c>
      <c r="F684" t="str">
        <f>"103204"</f>
        <v>103204</v>
      </c>
      <c r="G684" t="str">
        <f>"BUSINESS CARDS-A. DOBOS"</f>
        <v>BUSINESS CARDS-A. DOBOS</v>
      </c>
      <c r="H684" s="2">
        <v>71.5</v>
      </c>
      <c r="I684" t="str">
        <f>"BUSINESS CARDS-A. DOBOS"</f>
        <v>BUSINESS CARDS-A. DOBOS</v>
      </c>
    </row>
    <row r="685" spans="1:9" x14ac:dyDescent="0.3">
      <c r="A685" t="str">
        <f>"002605"</f>
        <v>002605</v>
      </c>
      <c r="B685" t="s">
        <v>161</v>
      </c>
      <c r="C685">
        <v>73239</v>
      </c>
      <c r="D685" s="2">
        <v>425.1</v>
      </c>
      <c r="E685" s="1">
        <v>43031</v>
      </c>
      <c r="F685" t="str">
        <f>"201710135619"</f>
        <v>201710135619</v>
      </c>
      <c r="G685" t="str">
        <f>"CUST#2179855/PCT#3"</f>
        <v>CUST#2179855/PCT#3</v>
      </c>
      <c r="H685" s="2">
        <v>425.1</v>
      </c>
      <c r="I685" t="str">
        <f>"CUST#2179855/PCT#3"</f>
        <v>CUST#2179855/PCT#3</v>
      </c>
    </row>
    <row r="686" spans="1:9" x14ac:dyDescent="0.3">
      <c r="A686" t="str">
        <f>"T3839"</f>
        <v>T3839</v>
      </c>
      <c r="B686" t="s">
        <v>162</v>
      </c>
      <c r="C686">
        <v>72984</v>
      </c>
      <c r="D686" s="2">
        <v>175.99</v>
      </c>
      <c r="E686" s="1">
        <v>43018</v>
      </c>
      <c r="F686" t="str">
        <f>"007872486"</f>
        <v>007872486</v>
      </c>
      <c r="G686" t="str">
        <f>"INV 007872486"</f>
        <v>INV 007872486</v>
      </c>
      <c r="H686" s="2">
        <v>175.99</v>
      </c>
      <c r="I686" t="str">
        <f>"INV 007872486"</f>
        <v>INV 007872486</v>
      </c>
    </row>
    <row r="687" spans="1:9" x14ac:dyDescent="0.3">
      <c r="A687" t="str">
        <f>"000147"</f>
        <v>000147</v>
      </c>
      <c r="B687" t="s">
        <v>163</v>
      </c>
      <c r="C687">
        <v>73240</v>
      </c>
      <c r="D687" s="2">
        <v>1024.6500000000001</v>
      </c>
      <c r="E687" s="1">
        <v>43031</v>
      </c>
      <c r="F687" t="str">
        <f>"LODGING"</f>
        <v>LODGING</v>
      </c>
      <c r="G687" t="str">
        <f>"LODGING"</f>
        <v>LODGING</v>
      </c>
      <c r="H687" s="2">
        <v>341.55</v>
      </c>
    </row>
    <row r="688" spans="1:9" x14ac:dyDescent="0.3">
      <c r="A688" t="str">
        <f>""</f>
        <v/>
      </c>
      <c r="F688" t="str">
        <f>"LODGING-S/O"</f>
        <v>LODGING-S/O</v>
      </c>
      <c r="G688" t="str">
        <f>"LODGING"</f>
        <v>LODGING</v>
      </c>
      <c r="H688" s="2">
        <v>683.1</v>
      </c>
    </row>
    <row r="689" spans="1:10" x14ac:dyDescent="0.3">
      <c r="A689" t="str">
        <f>"000147"</f>
        <v>000147</v>
      </c>
      <c r="B689" t="s">
        <v>163</v>
      </c>
      <c r="C689">
        <v>73240</v>
      </c>
      <c r="D689" s="2">
        <v>1024.6500000000001</v>
      </c>
      <c r="E689" s="1">
        <v>43031</v>
      </c>
      <c r="F689" t="str">
        <f>"CHECK"</f>
        <v>CHECK</v>
      </c>
      <c r="G689" t="str">
        <f>""</f>
        <v/>
      </c>
      <c r="H689" s="2">
        <v>1024.6500000000001</v>
      </c>
    </row>
    <row r="690" spans="1:10" x14ac:dyDescent="0.3">
      <c r="A690" t="str">
        <f>"000147"</f>
        <v>000147</v>
      </c>
      <c r="B690" t="s">
        <v>163</v>
      </c>
      <c r="C690">
        <v>73373</v>
      </c>
      <c r="D690" s="2">
        <v>683.1</v>
      </c>
      <c r="E690" s="1">
        <v>43031</v>
      </c>
      <c r="F690" t="str">
        <f>"201710245938"</f>
        <v>201710245938</v>
      </c>
      <c r="G690" t="str">
        <f>"LODGING - GALVESTON"</f>
        <v>LODGING - GALVESTON</v>
      </c>
      <c r="H690" s="2">
        <v>683.1</v>
      </c>
      <c r="I690" t="str">
        <f>"LODGING - GALVESTON"</f>
        <v>LODGING - GALVESTON</v>
      </c>
    </row>
    <row r="691" spans="1:10" x14ac:dyDescent="0.3">
      <c r="A691" t="str">
        <f>"004055"</f>
        <v>004055</v>
      </c>
      <c r="B691" t="s">
        <v>164</v>
      </c>
      <c r="C691">
        <v>72985</v>
      </c>
      <c r="D691" s="2">
        <v>2028.14</v>
      </c>
      <c r="E691" s="1">
        <v>43018</v>
      </c>
      <c r="F691" t="str">
        <f>"1135/1136/1139"</f>
        <v>1135/1136/1139</v>
      </c>
      <c r="G691" t="str">
        <f>"SEPTEMBER"</f>
        <v>SEPTEMBER</v>
      </c>
      <c r="H691" s="2">
        <v>720.78</v>
      </c>
      <c r="I691" t="str">
        <f>"INV 1135"</f>
        <v>INV 1135</v>
      </c>
    </row>
    <row r="692" spans="1:10" x14ac:dyDescent="0.3">
      <c r="A692" t="str">
        <f>""</f>
        <v/>
      </c>
      <c r="F692" t="str">
        <f>""</f>
        <v/>
      </c>
      <c r="G692" t="str">
        <f>""</f>
        <v/>
      </c>
      <c r="I692" t="str">
        <f>"INV 1136"</f>
        <v>INV 1136</v>
      </c>
    </row>
    <row r="693" spans="1:10" x14ac:dyDescent="0.3">
      <c r="A693" t="str">
        <f>""</f>
        <v/>
      </c>
      <c r="F693" t="str">
        <f>""</f>
        <v/>
      </c>
      <c r="G693" t="str">
        <f>""</f>
        <v/>
      </c>
      <c r="I693" t="str">
        <f>"INV 1139"</f>
        <v>INV 1139</v>
      </c>
    </row>
    <row r="694" spans="1:10" x14ac:dyDescent="0.3">
      <c r="A694" t="str">
        <f>""</f>
        <v/>
      </c>
      <c r="F694" t="str">
        <f>"1140/1142/1143"</f>
        <v>1140/1142/1143</v>
      </c>
      <c r="G694" t="str">
        <f>"OCTOBER"</f>
        <v>OCTOBER</v>
      </c>
      <c r="H694" s="2">
        <v>1307.3599999999999</v>
      </c>
      <c r="I694" t="str">
        <f>"INV 1140"</f>
        <v>INV 1140</v>
      </c>
    </row>
    <row r="695" spans="1:10" x14ac:dyDescent="0.3">
      <c r="A695" t="str">
        <f>""</f>
        <v/>
      </c>
      <c r="F695" t="str">
        <f>""</f>
        <v/>
      </c>
      <c r="G695" t="str">
        <f>""</f>
        <v/>
      </c>
      <c r="I695" t="str">
        <f>"INV 1142"</f>
        <v>INV 1142</v>
      </c>
    </row>
    <row r="696" spans="1:10" x14ac:dyDescent="0.3">
      <c r="A696" t="str">
        <f>""</f>
        <v/>
      </c>
      <c r="F696" t="str">
        <f>""</f>
        <v/>
      </c>
      <c r="G696" t="str">
        <f>""</f>
        <v/>
      </c>
      <c r="I696" t="str">
        <f>"INV 1143"</f>
        <v>INV 1143</v>
      </c>
    </row>
    <row r="697" spans="1:10" x14ac:dyDescent="0.3">
      <c r="A697" t="str">
        <f>"T5794"</f>
        <v>T5794</v>
      </c>
      <c r="B697" t="s">
        <v>165</v>
      </c>
      <c r="C697">
        <v>999999</v>
      </c>
      <c r="D697" s="2">
        <v>413.7</v>
      </c>
      <c r="E697" s="1">
        <v>43032</v>
      </c>
      <c r="F697" t="str">
        <f>"N49426"</f>
        <v>N49426</v>
      </c>
      <c r="G697" t="str">
        <f>"CUST#02260/ORD#S41428"</f>
        <v>CUST#02260/ORD#S41428</v>
      </c>
      <c r="H697" s="2">
        <v>413.7</v>
      </c>
      <c r="I697" t="str">
        <f>"CUST#02260/ORD#S41428"</f>
        <v>CUST#02260/ORD#S41428</v>
      </c>
    </row>
    <row r="698" spans="1:10" x14ac:dyDescent="0.3">
      <c r="A698" t="str">
        <f>"T12037"</f>
        <v>T12037</v>
      </c>
      <c r="B698" t="s">
        <v>166</v>
      </c>
      <c r="C698">
        <v>72986</v>
      </c>
      <c r="D698" s="2">
        <v>413.58</v>
      </c>
      <c r="E698" s="1">
        <v>43018</v>
      </c>
      <c r="F698" t="str">
        <f>"201710035241"</f>
        <v>201710035241</v>
      </c>
      <c r="G698" t="str">
        <f>"CONFERENCE-HOTEL"</f>
        <v>CONFERENCE-HOTEL</v>
      </c>
      <c r="H698" s="2">
        <v>413.58</v>
      </c>
      <c r="I698" t="str">
        <f>"CONFERENCE-HOTEL"</f>
        <v>CONFERENCE-HOTEL</v>
      </c>
    </row>
    <row r="699" spans="1:10" x14ac:dyDescent="0.3">
      <c r="A699" t="str">
        <f>"004048"</f>
        <v>004048</v>
      </c>
      <c r="B699" t="s">
        <v>167</v>
      </c>
      <c r="C699">
        <v>72987</v>
      </c>
      <c r="D699" s="2">
        <v>100</v>
      </c>
      <c r="E699" s="1">
        <v>43018</v>
      </c>
      <c r="F699" t="str">
        <f>"2018-3"</f>
        <v>2018-3</v>
      </c>
      <c r="G699" t="str">
        <f>"MEMBERSHIP #510"</f>
        <v>MEMBERSHIP #510</v>
      </c>
      <c r="H699" s="2">
        <v>50</v>
      </c>
      <c r="I699" t="str">
        <f>"MEMBERSHIP #510"</f>
        <v>MEMBERSHIP #510</v>
      </c>
    </row>
    <row r="700" spans="1:10" x14ac:dyDescent="0.3">
      <c r="A700" t="str">
        <f>""</f>
        <v/>
      </c>
      <c r="F700" t="str">
        <f>"2018-4"</f>
        <v>2018-4</v>
      </c>
      <c r="G700" t="str">
        <f>"MEMBERSHIP #533"</f>
        <v>MEMBERSHIP #533</v>
      </c>
      <c r="H700" s="2">
        <v>50</v>
      </c>
      <c r="I700" t="str">
        <f>"MEMBERSHIP #533"</f>
        <v>MEMBERSHIP #533</v>
      </c>
    </row>
    <row r="701" spans="1:10" x14ac:dyDescent="0.3">
      <c r="A701" t="str">
        <f>"GCR"</f>
        <v>GCR</v>
      </c>
      <c r="B701" t="s">
        <v>168</v>
      </c>
      <c r="C701">
        <v>73241</v>
      </c>
      <c r="D701" s="2">
        <v>697.2</v>
      </c>
      <c r="E701" s="1">
        <v>43031</v>
      </c>
      <c r="F701" t="str">
        <f>"95287"</f>
        <v>95287</v>
      </c>
      <c r="G701" t="str">
        <f>"BRIDGESTONE AMERICAS INC"</f>
        <v>BRIDGESTONE AMERICAS INC</v>
      </c>
      <c r="H701" s="2">
        <v>697.2</v>
      </c>
      <c r="I701" t="str">
        <f>"POLLYFILL FOAM TIRES"</f>
        <v>POLLYFILL FOAM TIRES</v>
      </c>
    </row>
    <row r="702" spans="1:10" x14ac:dyDescent="0.3">
      <c r="A702" t="str">
        <f>"004605"</f>
        <v>004605</v>
      </c>
      <c r="B702" t="s">
        <v>169</v>
      </c>
      <c r="C702">
        <v>72988</v>
      </c>
      <c r="D702" s="2">
        <v>50</v>
      </c>
      <c r="E702" s="1">
        <v>43018</v>
      </c>
      <c r="F702" t="s">
        <v>51</v>
      </c>
      <c r="G702" t="s">
        <v>170</v>
      </c>
      <c r="H702" s="2" t="str">
        <f>"RESTITUTION-E. ACOSTA"</f>
        <v>RESTITUTION-E. ACOSTA</v>
      </c>
      <c r="I702" t="str">
        <f>"210-0000"</f>
        <v>210-0000</v>
      </c>
      <c r="J702">
        <v>50</v>
      </c>
    </row>
    <row r="703" spans="1:10" x14ac:dyDescent="0.3">
      <c r="A703" t="str">
        <f>"T12872"</f>
        <v>T12872</v>
      </c>
      <c r="B703" t="s">
        <v>171</v>
      </c>
      <c r="C703">
        <v>72989</v>
      </c>
      <c r="D703" s="2">
        <v>5869.88</v>
      </c>
      <c r="E703" s="1">
        <v>43018</v>
      </c>
      <c r="F703" t="str">
        <f>"55184582"</f>
        <v>55184582</v>
      </c>
      <c r="G703" t="str">
        <f>"Quote# 24424090.01-W1"</f>
        <v>Quote# 24424090.01-W1</v>
      </c>
      <c r="H703" s="2">
        <v>5869.88</v>
      </c>
      <c r="I703" t="str">
        <f>"Expansion"</f>
        <v>Expansion</v>
      </c>
    </row>
    <row r="704" spans="1:10" x14ac:dyDescent="0.3">
      <c r="A704" t="str">
        <f>""</f>
        <v/>
      </c>
      <c r="F704" t="str">
        <f>""</f>
        <v/>
      </c>
      <c r="G704" t="str">
        <f>""</f>
        <v/>
      </c>
      <c r="I704" t="str">
        <f>"Expansion"</f>
        <v>Expansion</v>
      </c>
    </row>
    <row r="705" spans="1:9" x14ac:dyDescent="0.3">
      <c r="A705" t="str">
        <f>"WWGI"</f>
        <v>WWGI</v>
      </c>
      <c r="B705" t="s">
        <v>172</v>
      </c>
      <c r="C705">
        <v>72990</v>
      </c>
      <c r="D705" s="2">
        <v>108.42</v>
      </c>
      <c r="E705" s="1">
        <v>43018</v>
      </c>
      <c r="F705" t="str">
        <f>"95676353457"</f>
        <v>95676353457</v>
      </c>
      <c r="G705" t="str">
        <f>"INV 9567653457"</f>
        <v>INV 9567653457</v>
      </c>
      <c r="H705" s="2">
        <v>108.42</v>
      </c>
      <c r="I705" t="str">
        <f>"INV 9567653457"</f>
        <v>INV 9567653457</v>
      </c>
    </row>
    <row r="706" spans="1:9" x14ac:dyDescent="0.3">
      <c r="A706" t="str">
        <f>"005234"</f>
        <v>005234</v>
      </c>
      <c r="B706" t="s">
        <v>173</v>
      </c>
      <c r="C706">
        <v>999999</v>
      </c>
      <c r="D706" s="2">
        <v>4094.99</v>
      </c>
      <c r="E706" s="1">
        <v>43032</v>
      </c>
      <c r="F706" t="str">
        <f>"510165"</f>
        <v>510165</v>
      </c>
      <c r="G706" t="str">
        <f>"GRANITE ENVIRONMENTAL  INC."</f>
        <v>GRANITE ENVIRONMENTAL  INC.</v>
      </c>
      <c r="H706" s="2">
        <v>4094.99</v>
      </c>
      <c r="I706" t="str">
        <f>"Helios Barrel Burner"</f>
        <v>Helios Barrel Burner</v>
      </c>
    </row>
    <row r="707" spans="1:9" x14ac:dyDescent="0.3">
      <c r="A707" t="str">
        <f>""</f>
        <v/>
      </c>
      <c r="F707" t="str">
        <f>""</f>
        <v/>
      </c>
      <c r="G707" t="str">
        <f>""</f>
        <v/>
      </c>
      <c r="I707" t="str">
        <f>"Freight"</f>
        <v>Freight</v>
      </c>
    </row>
    <row r="708" spans="1:9" x14ac:dyDescent="0.3">
      <c r="A708" t="str">
        <f>"005233"</f>
        <v>005233</v>
      </c>
      <c r="B708" t="s">
        <v>174</v>
      </c>
      <c r="C708">
        <v>72991</v>
      </c>
      <c r="D708" s="2">
        <v>25</v>
      </c>
      <c r="E708" s="1">
        <v>43018</v>
      </c>
      <c r="F708" t="str">
        <f>"201709285175"</f>
        <v>201709285175</v>
      </c>
      <c r="G708" t="str">
        <f>"REFUND DUE TO EXCESS COLLECT."</f>
        <v>REFUND DUE TO EXCESS COLLECT.</v>
      </c>
      <c r="H708" s="2">
        <v>25</v>
      </c>
      <c r="I708" t="str">
        <f>"REFUND DUE TO EXCESS COLLECT."</f>
        <v>REFUND DUE TO EXCESS COLLECT.</v>
      </c>
    </row>
    <row r="709" spans="1:9" x14ac:dyDescent="0.3">
      <c r="A709" t="str">
        <f>"GTDI"</f>
        <v>GTDI</v>
      </c>
      <c r="B709" t="s">
        <v>175</v>
      </c>
      <c r="C709">
        <v>72992</v>
      </c>
      <c r="D709" s="2">
        <v>646.02</v>
      </c>
      <c r="E709" s="1">
        <v>43018</v>
      </c>
      <c r="F709" t="str">
        <f>"0630725"</f>
        <v>0630725</v>
      </c>
      <c r="G709" t="str">
        <f>"INV 0630725/SRT0032795"</f>
        <v>INV 0630725/SRT0032795</v>
      </c>
      <c r="H709" s="2">
        <v>212.5</v>
      </c>
      <c r="I709" t="str">
        <f>"INV 0630725"</f>
        <v>INV 0630725</v>
      </c>
    </row>
    <row r="710" spans="1:9" x14ac:dyDescent="0.3">
      <c r="A710" t="str">
        <f>""</f>
        <v/>
      </c>
      <c r="F710" t="str">
        <f>""</f>
        <v/>
      </c>
      <c r="G710" t="str">
        <f>""</f>
        <v/>
      </c>
      <c r="I710" t="str">
        <f>"SRT0032795"</f>
        <v>SRT0032795</v>
      </c>
    </row>
    <row r="711" spans="1:9" x14ac:dyDescent="0.3">
      <c r="A711" t="str">
        <f>""</f>
        <v/>
      </c>
      <c r="F711" t="str">
        <f>"QTE0068815/FREIGHT"</f>
        <v>QTE0068815/FREIGHT</v>
      </c>
      <c r="G711" t="str">
        <f>"QTE0068815"</f>
        <v>QTE0068815</v>
      </c>
      <c r="H711" s="2">
        <v>433.52</v>
      </c>
      <c r="I711" t="str">
        <f>"QTE0068815"</f>
        <v>QTE0068815</v>
      </c>
    </row>
    <row r="712" spans="1:9" x14ac:dyDescent="0.3">
      <c r="A712" t="str">
        <f>""</f>
        <v/>
      </c>
      <c r="F712" t="str">
        <f>""</f>
        <v/>
      </c>
      <c r="G712" t="str">
        <f>""</f>
        <v/>
      </c>
      <c r="I712" t="str">
        <f>"FREIGHT"</f>
        <v>FREIGHT</v>
      </c>
    </row>
    <row r="713" spans="1:9" x14ac:dyDescent="0.3">
      <c r="A713" t="str">
        <f>"GTDI"</f>
        <v>GTDI</v>
      </c>
      <c r="B713" t="s">
        <v>175</v>
      </c>
      <c r="C713">
        <v>73242</v>
      </c>
      <c r="D713" s="2">
        <v>1623.8</v>
      </c>
      <c r="E713" s="1">
        <v>43031</v>
      </c>
      <c r="F713" t="str">
        <f>"17-18444"</f>
        <v>17-18444</v>
      </c>
      <c r="G713" t="str">
        <f>"INV 0632584"</f>
        <v>INV 0632584</v>
      </c>
      <c r="H713" s="2">
        <v>1623.8</v>
      </c>
      <c r="I713" t="str">
        <f>"INV 0632584"</f>
        <v>INV 0632584</v>
      </c>
    </row>
    <row r="714" spans="1:9" x14ac:dyDescent="0.3">
      <c r="A714" t="str">
        <f>"T3667"</f>
        <v>T3667</v>
      </c>
      <c r="B714" t="s">
        <v>176</v>
      </c>
      <c r="C714">
        <v>72993</v>
      </c>
      <c r="D714" s="2">
        <v>2527.31</v>
      </c>
      <c r="E714" s="1">
        <v>43018</v>
      </c>
      <c r="F714" t="str">
        <f>"1364518"</f>
        <v>1364518</v>
      </c>
      <c r="G714" t="str">
        <f>"INV 1364518"</f>
        <v>INV 1364518</v>
      </c>
      <c r="H714" s="2">
        <v>2127.2800000000002</v>
      </c>
      <c r="I714" t="str">
        <f>"INV 1364518"</f>
        <v>INV 1364518</v>
      </c>
    </row>
    <row r="715" spans="1:9" x14ac:dyDescent="0.3">
      <c r="A715" t="str">
        <f>""</f>
        <v/>
      </c>
      <c r="F715" t="str">
        <f>"1382245"</f>
        <v>1382245</v>
      </c>
      <c r="G715" t="str">
        <f>"PAPER PRODUCTS/CUST#0007014928"</f>
        <v>PAPER PRODUCTS/CUST#0007014928</v>
      </c>
      <c r="H715" s="2">
        <v>306.52999999999997</v>
      </c>
      <c r="I715" t="str">
        <f>"PAPER PRODUCTS/CUST#0007014928"</f>
        <v>PAPER PRODUCTS/CUST#0007014928</v>
      </c>
    </row>
    <row r="716" spans="1:9" x14ac:dyDescent="0.3">
      <c r="A716" t="str">
        <f>""</f>
        <v/>
      </c>
      <c r="F716" t="str">
        <f>"1382255"</f>
        <v>1382255</v>
      </c>
      <c r="G716" t="str">
        <f>"CUST#0008007267/ORD#K9607"</f>
        <v>CUST#0008007267/ORD#K9607</v>
      </c>
      <c r="H716" s="2">
        <v>93.5</v>
      </c>
      <c r="I716" t="str">
        <f>"CUST#0008007267/ORD#K9607"</f>
        <v>CUST#0008007267/ORD#K9607</v>
      </c>
    </row>
    <row r="717" spans="1:9" x14ac:dyDescent="0.3">
      <c r="A717" t="str">
        <f>"T3667"</f>
        <v>T3667</v>
      </c>
      <c r="B717" t="s">
        <v>176</v>
      </c>
      <c r="C717">
        <v>73243</v>
      </c>
      <c r="D717" s="2">
        <v>2918.52</v>
      </c>
      <c r="E717" s="1">
        <v>43031</v>
      </c>
      <c r="F717" t="str">
        <f>"1390141"</f>
        <v>1390141</v>
      </c>
      <c r="G717" t="str">
        <f>"CUST#0007014928/PAPER SUPPLIES"</f>
        <v>CUST#0007014928/PAPER SUPPLIES</v>
      </c>
      <c r="H717" s="2">
        <v>441.12</v>
      </c>
      <c r="I717" t="str">
        <f>"CUST#0007014928/PAPER SUPPLIES"</f>
        <v>CUST#0007014928/PAPER SUPPLIES</v>
      </c>
    </row>
    <row r="718" spans="1:9" x14ac:dyDescent="0.3">
      <c r="A718" t="str">
        <f>""</f>
        <v/>
      </c>
      <c r="F718" t="str">
        <f>"1390143"</f>
        <v>1390143</v>
      </c>
      <c r="G718" t="str">
        <f>"INV 1390143"</f>
        <v>INV 1390143</v>
      </c>
      <c r="H718" s="2">
        <v>2383.9</v>
      </c>
      <c r="I718" t="str">
        <f>"INV 1390143"</f>
        <v>INV 1390143</v>
      </c>
    </row>
    <row r="719" spans="1:9" x14ac:dyDescent="0.3">
      <c r="A719" t="str">
        <f>""</f>
        <v/>
      </c>
      <c r="F719" t="str">
        <f>"K9607"</f>
        <v>K9607</v>
      </c>
      <c r="G719" t="str">
        <f>"PAPER PRODUCTS"</f>
        <v>PAPER PRODUCTS</v>
      </c>
      <c r="H719" s="2">
        <v>93.5</v>
      </c>
      <c r="I719" t="str">
        <f>"PAPER PRODUCTS"</f>
        <v>PAPER PRODUCTS</v>
      </c>
    </row>
    <row r="720" spans="1:9" x14ac:dyDescent="0.3">
      <c r="A720" t="str">
        <f>"T13876"</f>
        <v>T13876</v>
      </c>
      <c r="B720" t="s">
        <v>177</v>
      </c>
      <c r="C720">
        <v>72994</v>
      </c>
      <c r="D720" s="2">
        <v>28200</v>
      </c>
      <c r="E720" s="1">
        <v>43018</v>
      </c>
      <c r="F720" t="str">
        <f>"00001677"</f>
        <v>00001677</v>
      </c>
      <c r="G720" t="str">
        <f>"Inv# 1677"</f>
        <v>Inv# 1677</v>
      </c>
      <c r="H720" s="2">
        <v>2700</v>
      </c>
      <c r="I720" t="str">
        <f>"Inv# 1677"</f>
        <v>Inv# 1677</v>
      </c>
    </row>
    <row r="721" spans="1:10" x14ac:dyDescent="0.3">
      <c r="A721" t="str">
        <f>""</f>
        <v/>
      </c>
      <c r="F721" t="str">
        <f>"00004799"</f>
        <v>00004799</v>
      </c>
      <c r="G721" t="str">
        <f>"PROJ#032285.001/W001 STONY PT"</f>
        <v>PROJ#032285.001/W001 STONY PT</v>
      </c>
      <c r="H721" s="2">
        <v>9000</v>
      </c>
      <c r="I721" t="str">
        <f>"PROJ#032285.001/W001 STONY PT"</f>
        <v>PROJ#032285.001/W001 STONY PT</v>
      </c>
    </row>
    <row r="722" spans="1:10" x14ac:dyDescent="0.3">
      <c r="A722" t="str">
        <f>""</f>
        <v/>
      </c>
      <c r="F722" t="str">
        <f>"00004802"</f>
        <v>00004802</v>
      </c>
      <c r="G722" t="str">
        <f>"PROJ#032285.003/MEM DAY FLOOD"</f>
        <v>PROJ#032285.003/MEM DAY FLOOD</v>
      </c>
      <c r="H722" s="2">
        <v>7500</v>
      </c>
      <c r="I722" t="str">
        <f>"PROJ#032285.003/MEM DAY FLOOD"</f>
        <v>PROJ#032285.003/MEM DAY FLOOD</v>
      </c>
    </row>
    <row r="723" spans="1:10" x14ac:dyDescent="0.3">
      <c r="A723" t="str">
        <f>""</f>
        <v/>
      </c>
      <c r="F723" t="str">
        <f>"201709275154"</f>
        <v>201709275154</v>
      </c>
      <c r="G723" t="str">
        <f>"PROJ#032285.002/TAHITIAN VILLA"</f>
        <v>PROJ#032285.002/TAHITIAN VILLA</v>
      </c>
      <c r="H723" s="2">
        <v>9000</v>
      </c>
      <c r="I723" t="str">
        <f>"PROJ#032285.002/TAHITIAN VILLA"</f>
        <v>PROJ#032285.002/TAHITIAN VILLA</v>
      </c>
    </row>
    <row r="724" spans="1:10" x14ac:dyDescent="0.3">
      <c r="A724" t="str">
        <f>"T13876"</f>
        <v>T13876</v>
      </c>
      <c r="B724" t="s">
        <v>177</v>
      </c>
      <c r="C724">
        <v>73244</v>
      </c>
      <c r="D724" s="2">
        <v>5000</v>
      </c>
      <c r="E724" s="1">
        <v>43031</v>
      </c>
      <c r="F724" t="str">
        <f>"00005289"</f>
        <v>00005289</v>
      </c>
      <c r="G724" t="str">
        <f>"PROJ#032318.002/PCT#2"</f>
        <v>PROJ#032318.002/PCT#2</v>
      </c>
      <c r="H724" s="2">
        <v>5000</v>
      </c>
      <c r="I724" t="str">
        <f>"PROJ#032318.002/PCT#2"</f>
        <v>PROJ#032318.002/PCT#2</v>
      </c>
    </row>
    <row r="725" spans="1:10" x14ac:dyDescent="0.3">
      <c r="A725" t="str">
        <f>"005207"</f>
        <v>005207</v>
      </c>
      <c r="B725" t="s">
        <v>178</v>
      </c>
      <c r="C725">
        <v>73245</v>
      </c>
      <c r="D725" s="2">
        <v>383.65</v>
      </c>
      <c r="E725" s="1">
        <v>43031</v>
      </c>
      <c r="F725" t="str">
        <f>"201710175736"</f>
        <v>201710175736</v>
      </c>
      <c r="G725" t="str">
        <f>"MILEAGE REIMBURSEMENT-SEP '17"</f>
        <v>MILEAGE REIMBURSEMENT-SEP '17</v>
      </c>
      <c r="H725" s="2">
        <v>177.89</v>
      </c>
      <c r="I725" t="str">
        <f>"MILEAGE REIMBURSEMENT-SEP '17"</f>
        <v>MILEAGE REIMBURSEMENT-SEP '17</v>
      </c>
    </row>
    <row r="726" spans="1:10" x14ac:dyDescent="0.3">
      <c r="A726" t="str">
        <f>""</f>
        <v/>
      </c>
      <c r="F726" t="str">
        <f>"201710175737"</f>
        <v>201710175737</v>
      </c>
      <c r="G726" t="str">
        <f>"MILEAGE REIMBURSEMENT-OCT 17"</f>
        <v>MILEAGE REIMBURSEMENT-OCT 17</v>
      </c>
      <c r="H726" s="2">
        <v>205.76</v>
      </c>
      <c r="I726" t="str">
        <f>"MILEAGE REIMBURSEMENT-OCT 17"</f>
        <v>MILEAGE REIMBURSEMENT-OCT 17</v>
      </c>
    </row>
    <row r="727" spans="1:10" x14ac:dyDescent="0.3">
      <c r="A727" t="str">
        <f>"003170"</f>
        <v>003170</v>
      </c>
      <c r="B727" t="s">
        <v>179</v>
      </c>
      <c r="C727">
        <v>72995</v>
      </c>
      <c r="D727" s="2">
        <v>225</v>
      </c>
      <c r="E727" s="1">
        <v>43018</v>
      </c>
      <c r="F727" t="str">
        <f>"8718"</f>
        <v>8718</v>
      </c>
      <c r="G727" t="str">
        <f>"SERVICE  08/07/17"</f>
        <v>SERVICE  08/07/17</v>
      </c>
      <c r="H727" s="2">
        <v>225</v>
      </c>
      <c r="I727" t="str">
        <f>"SERVICE  08/07/17"</f>
        <v>SERVICE  08/07/17</v>
      </c>
    </row>
    <row r="728" spans="1:10" x14ac:dyDescent="0.3">
      <c r="A728" t="str">
        <f>"002748"</f>
        <v>002748</v>
      </c>
      <c r="B728" t="s">
        <v>180</v>
      </c>
      <c r="C728">
        <v>72996</v>
      </c>
      <c r="D728" s="2">
        <v>65</v>
      </c>
      <c r="E728" s="1">
        <v>43018</v>
      </c>
      <c r="F728" t="str">
        <f>"8718"</f>
        <v>8718</v>
      </c>
      <c r="G728" t="str">
        <f>"SERVICE  08/07/17"</f>
        <v>SERVICE  08/07/17</v>
      </c>
      <c r="H728" s="2">
        <v>65</v>
      </c>
      <c r="I728" t="str">
        <f>"SERVICE  08/07/17"</f>
        <v>SERVICE  08/07/17</v>
      </c>
    </row>
    <row r="729" spans="1:10" x14ac:dyDescent="0.3">
      <c r="A729" t="str">
        <f>"005141"</f>
        <v>005141</v>
      </c>
      <c r="B729" t="s">
        <v>181</v>
      </c>
      <c r="C729">
        <v>72997</v>
      </c>
      <c r="D729" s="2">
        <v>114.67</v>
      </c>
      <c r="E729" s="1">
        <v>43018</v>
      </c>
      <c r="F729" t="str">
        <f>"201710045374"</f>
        <v>201710045374</v>
      </c>
      <c r="G729" t="str">
        <f>"INDIGENT HEALTH"</f>
        <v>INDIGENT HEALTH</v>
      </c>
      <c r="H729" s="2">
        <v>114.67</v>
      </c>
      <c r="I729" t="str">
        <f>"INDIGENT HEALTH"</f>
        <v>INDIGENT HEALTH</v>
      </c>
    </row>
    <row r="730" spans="1:10" x14ac:dyDescent="0.3">
      <c r="A730" t="str">
        <f>"T11423"</f>
        <v>T11423</v>
      </c>
      <c r="B730" t="s">
        <v>182</v>
      </c>
      <c r="C730">
        <v>72998</v>
      </c>
      <c r="D730" s="2">
        <v>15000</v>
      </c>
      <c r="E730" s="1">
        <v>43018</v>
      </c>
      <c r="F730" t="str">
        <f>"201709295187"</f>
        <v>201709295187</v>
      </c>
      <c r="G730" t="str">
        <f>"2017-2018 FISCAL YEAR"</f>
        <v>2017-2018 FISCAL YEAR</v>
      </c>
      <c r="H730" s="2">
        <v>15000</v>
      </c>
      <c r="I730" t="str">
        <f>"2017-2018 FISCAL YEAR"</f>
        <v>2017-2018 FISCAL YEAR</v>
      </c>
    </row>
    <row r="731" spans="1:10" x14ac:dyDescent="0.3">
      <c r="A731" t="str">
        <f>"005221"</f>
        <v>005221</v>
      </c>
      <c r="B731" t="s">
        <v>183</v>
      </c>
      <c r="C731">
        <v>72999</v>
      </c>
      <c r="D731" s="2">
        <v>2855</v>
      </c>
      <c r="E731" s="1">
        <v>43018</v>
      </c>
      <c r="F731" t="str">
        <f>"21602"</f>
        <v>21602</v>
      </c>
      <c r="G731" t="str">
        <f>"ACCT#937/RIP RAP/PCT#3"</f>
        <v>ACCT#937/RIP RAP/PCT#3</v>
      </c>
      <c r="H731" s="2">
        <v>2036.4</v>
      </c>
      <c r="I731" t="str">
        <f>"ACCT#937/RIP RAP/PCT#3"</f>
        <v>ACCT#937/RIP RAP/PCT#3</v>
      </c>
    </row>
    <row r="732" spans="1:10" x14ac:dyDescent="0.3">
      <c r="A732" t="str">
        <f>""</f>
        <v/>
      </c>
      <c r="F732" t="str">
        <f>"21650"</f>
        <v>21650</v>
      </c>
      <c r="G732" t="str">
        <f>"ACCT#937/RIP RAP/PCT#3"</f>
        <v>ACCT#937/RIP RAP/PCT#3</v>
      </c>
      <c r="H732" s="2">
        <v>818.6</v>
      </c>
      <c r="I732" t="str">
        <f>"ACCT#937/RIP RAP/PCT#3"</f>
        <v>ACCT#937/RIP RAP/PCT#3</v>
      </c>
    </row>
    <row r="733" spans="1:10" x14ac:dyDescent="0.3">
      <c r="A733" t="str">
        <f>"003537"</f>
        <v>003537</v>
      </c>
      <c r="B733" t="s">
        <v>184</v>
      </c>
      <c r="C733">
        <v>73105</v>
      </c>
      <c r="D733" s="2">
        <v>135</v>
      </c>
      <c r="E733" s="1">
        <v>43021</v>
      </c>
      <c r="F733" t="str">
        <f>"201710135610"</f>
        <v>201710135610</v>
      </c>
      <c r="G733" t="str">
        <f>"TCOLE CONF TRAVEL ADVANCE"</f>
        <v>TCOLE CONF TRAVEL ADVANCE</v>
      </c>
      <c r="H733" s="2">
        <v>135</v>
      </c>
      <c r="I733" t="str">
        <f>"TCOLE CONF TRAVEL ADVANCE"</f>
        <v>TCOLE CONF TRAVEL ADVANCE</v>
      </c>
    </row>
    <row r="734" spans="1:10" x14ac:dyDescent="0.3">
      <c r="A734" t="str">
        <f>"004624"</f>
        <v>004624</v>
      </c>
      <c r="B734" t="s">
        <v>185</v>
      </c>
      <c r="C734">
        <v>73000</v>
      </c>
      <c r="D734" s="2">
        <v>100</v>
      </c>
      <c r="E734" s="1">
        <v>43018</v>
      </c>
      <c r="F734" t="s">
        <v>186</v>
      </c>
      <c r="G734" t="s">
        <v>187</v>
      </c>
      <c r="H734" s="2" t="str">
        <f>"RESTITUTION-M. FELTS"</f>
        <v>RESTITUTION-M. FELTS</v>
      </c>
      <c r="I734" t="str">
        <f>"210-0000"</f>
        <v>210-0000</v>
      </c>
      <c r="J734">
        <v>100</v>
      </c>
    </row>
    <row r="735" spans="1:10" x14ac:dyDescent="0.3">
      <c r="A735" t="str">
        <f>"004351"</f>
        <v>004351</v>
      </c>
      <c r="B735" t="s">
        <v>188</v>
      </c>
      <c r="C735">
        <v>73246</v>
      </c>
      <c r="D735" s="2">
        <v>691.17</v>
      </c>
      <c r="E735" s="1">
        <v>43031</v>
      </c>
      <c r="F735" t="str">
        <f>"201710125590"</f>
        <v>201710125590</v>
      </c>
      <c r="G735" t="str">
        <f>"REIMBURSE-HOTEL EXPENSES"</f>
        <v>REIMBURSE-HOTEL EXPENSES</v>
      </c>
      <c r="H735" s="2">
        <v>123.17</v>
      </c>
    </row>
    <row r="736" spans="1:10" x14ac:dyDescent="0.3">
      <c r="A736" t="str">
        <f>""</f>
        <v/>
      </c>
      <c r="F736" t="str">
        <f>"201710125591"</f>
        <v>201710125591</v>
      </c>
      <c r="G736" t="str">
        <f>"REIMBURSE-MILEAGE"</f>
        <v>REIMBURSE-MILEAGE</v>
      </c>
      <c r="H736" s="2">
        <v>568</v>
      </c>
    </row>
    <row r="737" spans="1:9" x14ac:dyDescent="0.3">
      <c r="A737" t="str">
        <f>"004351"</f>
        <v>004351</v>
      </c>
      <c r="B737" t="s">
        <v>188</v>
      </c>
      <c r="C737">
        <v>73246</v>
      </c>
      <c r="D737" s="2">
        <v>691.17</v>
      </c>
      <c r="E737" s="1">
        <v>43031</v>
      </c>
      <c r="F737" t="str">
        <f>"CHECK"</f>
        <v>CHECK</v>
      </c>
      <c r="G737" t="str">
        <f>""</f>
        <v/>
      </c>
      <c r="H737" s="2">
        <v>691.17</v>
      </c>
    </row>
    <row r="738" spans="1:9" x14ac:dyDescent="0.3">
      <c r="A738" t="str">
        <f>"004351"</f>
        <v>004351</v>
      </c>
      <c r="B738" t="s">
        <v>188</v>
      </c>
      <c r="C738">
        <v>73374</v>
      </c>
      <c r="D738" s="2">
        <v>424.21</v>
      </c>
      <c r="E738" s="1">
        <v>43034</v>
      </c>
      <c r="F738" t="str">
        <f>"201710266001"</f>
        <v>201710266001</v>
      </c>
      <c r="G738" t="str">
        <f>"REIMBURSEMENT - HOTEL EXPENSE"</f>
        <v>REIMBURSEMENT - HOTEL EXPENSE</v>
      </c>
      <c r="H738" s="2">
        <v>123.17</v>
      </c>
      <c r="I738" t="str">
        <f>"REIMBURSEMENT - HOTEL EXPENSE"</f>
        <v>REIMBURSEMENT - HOTEL EXPENSE</v>
      </c>
    </row>
    <row r="739" spans="1:9" x14ac:dyDescent="0.3">
      <c r="A739" t="str">
        <f>""</f>
        <v/>
      </c>
      <c r="F739" t="str">
        <f>"201710266002"</f>
        <v>201710266002</v>
      </c>
      <c r="G739" t="str">
        <f>"REIMBURSEMENT - MILEAGE"</f>
        <v>REIMBURSEMENT - MILEAGE</v>
      </c>
      <c r="H739" s="2">
        <v>301.04000000000002</v>
      </c>
      <c r="I739" t="str">
        <f>"REIMBURSEMENT - MILEAGE"</f>
        <v>REIMBURSEMENT - MILEAGE</v>
      </c>
    </row>
    <row r="740" spans="1:9" x14ac:dyDescent="0.3">
      <c r="A740" t="str">
        <f>"005255"</f>
        <v>005255</v>
      </c>
      <c r="B740" t="s">
        <v>189</v>
      </c>
      <c r="C740">
        <v>73171</v>
      </c>
      <c r="D740" s="2">
        <v>606.80999999999995</v>
      </c>
      <c r="E740" s="1">
        <v>43026</v>
      </c>
      <c r="F740" t="str">
        <f>"3347831052"</f>
        <v>3347831052</v>
      </c>
      <c r="G740" t="str">
        <f>"HOTEL - JEFF KREIDER"</f>
        <v>HOTEL - JEFF KREIDER</v>
      </c>
      <c r="H740" s="2">
        <v>606.80999999999995</v>
      </c>
      <c r="I740" t="str">
        <f>"DFW LAKES OWNER  LLC"</f>
        <v>DFW LAKES OWNER  LLC</v>
      </c>
    </row>
    <row r="741" spans="1:9" x14ac:dyDescent="0.3">
      <c r="A741" t="str">
        <f>"HPC"</f>
        <v>HPC</v>
      </c>
      <c r="B741" t="s">
        <v>190</v>
      </c>
      <c r="C741">
        <v>999999</v>
      </c>
      <c r="D741" s="2">
        <v>650</v>
      </c>
      <c r="E741" s="1">
        <v>43019</v>
      </c>
      <c r="F741" t="str">
        <f>"OCTOBER SERVICE"</f>
        <v>OCTOBER SERVICE</v>
      </c>
      <c r="G741" t="str">
        <f>"OCTOBER SERVICE"</f>
        <v>OCTOBER SERVICE</v>
      </c>
      <c r="H741" s="2">
        <v>650</v>
      </c>
      <c r="I741" t="str">
        <f>"OCTOBER SERVICE"</f>
        <v>OCTOBER SERVICE</v>
      </c>
    </row>
    <row r="742" spans="1:9" x14ac:dyDescent="0.3">
      <c r="A742" t="str">
        <f>"ECKEL"</f>
        <v>ECKEL</v>
      </c>
      <c r="B742" t="s">
        <v>191</v>
      </c>
      <c r="C742">
        <v>73001</v>
      </c>
      <c r="D742" s="2">
        <v>2015</v>
      </c>
      <c r="E742" s="1">
        <v>43018</v>
      </c>
      <c r="F742" t="str">
        <f>"201709275137"</f>
        <v>201709275137</v>
      </c>
      <c r="G742" t="str">
        <f>"423-1497"</f>
        <v>423-1497</v>
      </c>
      <c r="H742" s="2">
        <v>100</v>
      </c>
      <c r="I742" t="str">
        <f>"423-1497"</f>
        <v>423-1497</v>
      </c>
    </row>
    <row r="743" spans="1:9" x14ac:dyDescent="0.3">
      <c r="A743" t="str">
        <f>""</f>
        <v/>
      </c>
      <c r="F743" t="str">
        <f>"201710045327"</f>
        <v>201710045327</v>
      </c>
      <c r="G743" t="str">
        <f>"54 104"</f>
        <v>54 104</v>
      </c>
      <c r="H743" s="2">
        <v>250</v>
      </c>
      <c r="I743" t="str">
        <f>"54 104"</f>
        <v>54 104</v>
      </c>
    </row>
    <row r="744" spans="1:9" x14ac:dyDescent="0.3">
      <c r="A744" t="str">
        <f>""</f>
        <v/>
      </c>
      <c r="F744" t="str">
        <f>"201710045328"</f>
        <v>201710045328</v>
      </c>
      <c r="G744" t="str">
        <f>"54 849"</f>
        <v>54 849</v>
      </c>
      <c r="H744" s="2">
        <v>250</v>
      </c>
      <c r="I744" t="str">
        <f>"54 849"</f>
        <v>54 849</v>
      </c>
    </row>
    <row r="745" spans="1:9" x14ac:dyDescent="0.3">
      <c r="A745" t="str">
        <f>""</f>
        <v/>
      </c>
      <c r="F745" t="str">
        <f>"201710045329"</f>
        <v>201710045329</v>
      </c>
      <c r="G745" t="str">
        <f>"02-7522"</f>
        <v>02-7522</v>
      </c>
      <c r="H745" s="2">
        <v>100</v>
      </c>
      <c r="I745" t="str">
        <f>"02-7522"</f>
        <v>02-7522</v>
      </c>
    </row>
    <row r="746" spans="1:9" x14ac:dyDescent="0.3">
      <c r="A746" t="str">
        <f>""</f>
        <v/>
      </c>
      <c r="F746" t="str">
        <f>"201710045330"</f>
        <v>201710045330</v>
      </c>
      <c r="G746" t="str">
        <f>"17-18277"</f>
        <v>17-18277</v>
      </c>
      <c r="H746" s="2">
        <v>227.5</v>
      </c>
      <c r="I746" t="str">
        <f>"17-18277"</f>
        <v>17-18277</v>
      </c>
    </row>
    <row r="747" spans="1:9" x14ac:dyDescent="0.3">
      <c r="A747" t="str">
        <f>""</f>
        <v/>
      </c>
      <c r="F747" t="str">
        <f>"201710045331"</f>
        <v>201710045331</v>
      </c>
      <c r="G747" t="str">
        <f>"17-18J79"</f>
        <v>17-18J79</v>
      </c>
      <c r="H747" s="2">
        <v>300</v>
      </c>
      <c r="I747" t="str">
        <f>"17-18J79"</f>
        <v>17-18J79</v>
      </c>
    </row>
    <row r="748" spans="1:9" x14ac:dyDescent="0.3">
      <c r="A748" t="str">
        <f>""</f>
        <v/>
      </c>
      <c r="F748" t="str">
        <f>"201710045332"</f>
        <v>201710045332</v>
      </c>
      <c r="G748" t="str">
        <f>"17-18535"</f>
        <v>17-18535</v>
      </c>
      <c r="H748" s="2">
        <v>100</v>
      </c>
      <c r="I748" t="str">
        <f>"17-18535"</f>
        <v>17-18535</v>
      </c>
    </row>
    <row r="749" spans="1:9" x14ac:dyDescent="0.3">
      <c r="A749" t="str">
        <f>""</f>
        <v/>
      </c>
      <c r="F749" t="str">
        <f>"201710045333"</f>
        <v>201710045333</v>
      </c>
      <c r="G749" t="str">
        <f>"16-17760"</f>
        <v>16-17760</v>
      </c>
      <c r="H749" s="2">
        <v>250</v>
      </c>
      <c r="I749" t="str">
        <f>"16-17760"</f>
        <v>16-17760</v>
      </c>
    </row>
    <row r="750" spans="1:9" x14ac:dyDescent="0.3">
      <c r="A750" t="str">
        <f>""</f>
        <v/>
      </c>
      <c r="F750" t="str">
        <f>"201710045334"</f>
        <v>201710045334</v>
      </c>
      <c r="G750" t="str">
        <f>"04-8963"</f>
        <v>04-8963</v>
      </c>
      <c r="H750" s="2">
        <v>100</v>
      </c>
      <c r="I750" t="str">
        <f>"04-8963"</f>
        <v>04-8963</v>
      </c>
    </row>
    <row r="751" spans="1:9" x14ac:dyDescent="0.3">
      <c r="A751" t="str">
        <f>""</f>
        <v/>
      </c>
      <c r="F751" t="str">
        <f>"201710045335"</f>
        <v>201710045335</v>
      </c>
      <c r="G751" t="str">
        <f>"06-11142"</f>
        <v>06-11142</v>
      </c>
      <c r="H751" s="2">
        <v>100</v>
      </c>
      <c r="I751" t="str">
        <f>"06-11142"</f>
        <v>06-11142</v>
      </c>
    </row>
    <row r="752" spans="1:9" x14ac:dyDescent="0.3">
      <c r="A752" t="str">
        <f>""</f>
        <v/>
      </c>
      <c r="F752" t="str">
        <f>"201710045336"</f>
        <v>201710045336</v>
      </c>
      <c r="G752" t="str">
        <f>"04-9415"</f>
        <v>04-9415</v>
      </c>
      <c r="H752" s="2">
        <v>137.5</v>
      </c>
      <c r="I752" t="str">
        <f>"04-9415"</f>
        <v>04-9415</v>
      </c>
    </row>
    <row r="753" spans="1:9" x14ac:dyDescent="0.3">
      <c r="A753" t="str">
        <f>""</f>
        <v/>
      </c>
      <c r="F753" t="str">
        <f>"201710045337"</f>
        <v>201710045337</v>
      </c>
      <c r="G753" t="str">
        <f>"05-10025"</f>
        <v>05-10025</v>
      </c>
      <c r="H753" s="2">
        <v>100</v>
      </c>
      <c r="I753" t="str">
        <f>"05-10025"</f>
        <v>05-10025</v>
      </c>
    </row>
    <row r="754" spans="1:9" x14ac:dyDescent="0.3">
      <c r="A754" t="str">
        <f>"ECKEL"</f>
        <v>ECKEL</v>
      </c>
      <c r="B754" t="s">
        <v>191</v>
      </c>
      <c r="C754">
        <v>73247</v>
      </c>
      <c r="D754" s="2">
        <v>250</v>
      </c>
      <c r="E754" s="1">
        <v>43031</v>
      </c>
      <c r="F754" t="str">
        <f>"201710185776"</f>
        <v>201710185776</v>
      </c>
      <c r="G754" t="str">
        <f>"06-11142"</f>
        <v>06-11142</v>
      </c>
      <c r="H754" s="2">
        <v>100</v>
      </c>
      <c r="I754" t="str">
        <f>"06-11142"</f>
        <v>06-11142</v>
      </c>
    </row>
    <row r="755" spans="1:9" x14ac:dyDescent="0.3">
      <c r="A755" t="str">
        <f>""</f>
        <v/>
      </c>
      <c r="F755" t="str">
        <f>"201710185777"</f>
        <v>201710185777</v>
      </c>
      <c r="G755" t="str">
        <f>"17-18574"</f>
        <v>17-18574</v>
      </c>
      <c r="H755" s="2">
        <v>150</v>
      </c>
      <c r="I755" t="str">
        <f>"17-18574"</f>
        <v>17-18574</v>
      </c>
    </row>
    <row r="756" spans="1:9" x14ac:dyDescent="0.3">
      <c r="A756" t="str">
        <f>"HM"</f>
        <v>HM</v>
      </c>
      <c r="B756" t="s">
        <v>192</v>
      </c>
      <c r="C756">
        <v>73002</v>
      </c>
      <c r="D756" s="2">
        <v>283.63</v>
      </c>
      <c r="E756" s="1">
        <v>43018</v>
      </c>
      <c r="F756" t="str">
        <f>"201710035238"</f>
        <v>201710035238</v>
      </c>
      <c r="G756" t="str">
        <f>"CUST#0129200/PCT#4"</f>
        <v>CUST#0129200/PCT#4</v>
      </c>
      <c r="H756" s="2">
        <v>283.63</v>
      </c>
      <c r="I756" t="str">
        <f>"BD HOLT CO"</f>
        <v>BD HOLT CO</v>
      </c>
    </row>
    <row r="757" spans="1:9" x14ac:dyDescent="0.3">
      <c r="A757" t="str">
        <f>"HM"</f>
        <v>HM</v>
      </c>
      <c r="B757" t="s">
        <v>192</v>
      </c>
      <c r="C757">
        <v>73248</v>
      </c>
      <c r="D757" s="2">
        <v>5571.34</v>
      </c>
      <c r="E757" s="1">
        <v>43031</v>
      </c>
      <c r="F757" t="str">
        <f>"PIMA0272500"</f>
        <v>PIMA0272500</v>
      </c>
      <c r="G757" t="str">
        <f>"CUST#0129150/PCT#3"</f>
        <v>CUST#0129150/PCT#3</v>
      </c>
      <c r="H757" s="2">
        <v>706.56</v>
      </c>
      <c r="I757" t="str">
        <f>"CUST#0129150/PCT#3"</f>
        <v>CUST#0129150/PCT#3</v>
      </c>
    </row>
    <row r="758" spans="1:9" x14ac:dyDescent="0.3">
      <c r="A758" t="str">
        <f>""</f>
        <v/>
      </c>
      <c r="F758" t="str">
        <f>"PIMA0273010"</f>
        <v>PIMA0273010</v>
      </c>
      <c r="G758" t="str">
        <f>"CUST#0129150/PCT#3"</f>
        <v>CUST#0129150/PCT#3</v>
      </c>
      <c r="H758" s="2">
        <v>562.84</v>
      </c>
      <c r="I758" t="str">
        <f>"CUST#0129150/PCT#3"</f>
        <v>CUST#0129150/PCT#3</v>
      </c>
    </row>
    <row r="759" spans="1:9" x14ac:dyDescent="0.3">
      <c r="A759" t="str">
        <f>""</f>
        <v/>
      </c>
      <c r="F759" t="str">
        <f>"SIMP20135010"</f>
        <v>SIMP20135010</v>
      </c>
      <c r="G759" t="str">
        <f>"Ditch Cleaning Bucket"</f>
        <v>Ditch Cleaning Bucket</v>
      </c>
      <c r="H759" s="2">
        <v>2846.94</v>
      </c>
      <c r="I759" t="str">
        <f>"Ditch Cleaning Bucket"</f>
        <v>Ditch Cleaning Bucket</v>
      </c>
    </row>
    <row r="760" spans="1:9" x14ac:dyDescent="0.3">
      <c r="A760" t="str">
        <f>""</f>
        <v/>
      </c>
      <c r="F760" t="str">
        <f>"WIMA0097491"</f>
        <v>WIMA0097491</v>
      </c>
      <c r="G760" t="str">
        <f>"CUST#0129200/REPAIR A/C/PCT#4"</f>
        <v>CUST#0129200/REPAIR A/C/PCT#4</v>
      </c>
      <c r="H760" s="2">
        <v>1455</v>
      </c>
      <c r="I760" t="str">
        <f>"CUST#0129200/REPAIR A/C/PCT#4"</f>
        <v>CUST#0129200/REPAIR A/C/PCT#4</v>
      </c>
    </row>
    <row r="761" spans="1:9" x14ac:dyDescent="0.3">
      <c r="A761" t="str">
        <f>"T8869"</f>
        <v>T8869</v>
      </c>
      <c r="B761" t="s">
        <v>193</v>
      </c>
      <c r="C761">
        <v>73003</v>
      </c>
      <c r="D761" s="2">
        <v>2045.21</v>
      </c>
      <c r="E761" s="1">
        <v>43018</v>
      </c>
      <c r="F761" t="str">
        <f>"#7656"</f>
        <v>#7656</v>
      </c>
      <c r="G761" t="str">
        <f>"Acct# 7656"</f>
        <v>Acct# 7656</v>
      </c>
      <c r="H761" s="2">
        <v>2045.21</v>
      </c>
      <c r="I761" t="str">
        <f>"Inv# 5011125"</f>
        <v>Inv# 5011125</v>
      </c>
    </row>
    <row r="762" spans="1:9" x14ac:dyDescent="0.3">
      <c r="A762" t="str">
        <f>""</f>
        <v/>
      </c>
      <c r="F762" t="str">
        <f>""</f>
        <v/>
      </c>
      <c r="G762" t="str">
        <f>""</f>
        <v/>
      </c>
      <c r="I762" t="str">
        <f>"Inv# 1012560"</f>
        <v>Inv# 1012560</v>
      </c>
    </row>
    <row r="763" spans="1:9" x14ac:dyDescent="0.3">
      <c r="A763" t="str">
        <f>""</f>
        <v/>
      </c>
      <c r="F763" t="str">
        <f>""</f>
        <v/>
      </c>
      <c r="G763" t="str">
        <f>""</f>
        <v/>
      </c>
      <c r="I763" t="str">
        <f>"Inv# 3011363"</f>
        <v>Inv# 3011363</v>
      </c>
    </row>
    <row r="764" spans="1:9" x14ac:dyDescent="0.3">
      <c r="A764" t="str">
        <f>""</f>
        <v/>
      </c>
      <c r="F764" t="str">
        <f>""</f>
        <v/>
      </c>
      <c r="G764" t="str">
        <f>""</f>
        <v/>
      </c>
      <c r="I764" t="str">
        <f>"Inv# 3023195"</f>
        <v>Inv# 3023195</v>
      </c>
    </row>
    <row r="765" spans="1:9" x14ac:dyDescent="0.3">
      <c r="A765" t="str">
        <f>""</f>
        <v/>
      </c>
      <c r="F765" t="str">
        <f>""</f>
        <v/>
      </c>
      <c r="G765" t="str">
        <f>""</f>
        <v/>
      </c>
      <c r="I765" t="str">
        <f>"Inv# 9024393"</f>
        <v>Inv# 9024393</v>
      </c>
    </row>
    <row r="766" spans="1:9" x14ac:dyDescent="0.3">
      <c r="A766" t="str">
        <f>""</f>
        <v/>
      </c>
      <c r="F766" t="str">
        <f>""</f>
        <v/>
      </c>
      <c r="G766" t="str">
        <f>""</f>
        <v/>
      </c>
      <c r="I766" t="str">
        <f>"Inv# 9580057"</f>
        <v>Inv# 9580057</v>
      </c>
    </row>
    <row r="767" spans="1:9" x14ac:dyDescent="0.3">
      <c r="A767" t="str">
        <f>""</f>
        <v/>
      </c>
      <c r="F767" t="str">
        <f>""</f>
        <v/>
      </c>
      <c r="G767" t="str">
        <f>""</f>
        <v/>
      </c>
      <c r="I767" t="str">
        <f>"Inv# 1011583"</f>
        <v>Inv# 1011583</v>
      </c>
    </row>
    <row r="768" spans="1:9" x14ac:dyDescent="0.3">
      <c r="A768" t="str">
        <f>""</f>
        <v/>
      </c>
      <c r="F768" t="str">
        <f>""</f>
        <v/>
      </c>
      <c r="G768" t="str">
        <f>""</f>
        <v/>
      </c>
      <c r="I768" t="str">
        <f>"Inv# 9011734"</f>
        <v>Inv# 9011734</v>
      </c>
    </row>
    <row r="769" spans="1:9" x14ac:dyDescent="0.3">
      <c r="A769" t="str">
        <f>""</f>
        <v/>
      </c>
      <c r="F769" t="str">
        <f>""</f>
        <v/>
      </c>
      <c r="G769" t="str">
        <f>""</f>
        <v/>
      </c>
      <c r="I769" t="str">
        <f>"Inv# 8592906"</f>
        <v>Inv# 8592906</v>
      </c>
    </row>
    <row r="770" spans="1:9" x14ac:dyDescent="0.3">
      <c r="A770" t="str">
        <f>""</f>
        <v/>
      </c>
      <c r="F770" t="str">
        <f>""</f>
        <v/>
      </c>
      <c r="G770" t="str">
        <f>""</f>
        <v/>
      </c>
      <c r="I770" t="str">
        <f>"Inv# 6012125"</f>
        <v>Inv# 6012125</v>
      </c>
    </row>
    <row r="771" spans="1:9" x14ac:dyDescent="0.3">
      <c r="A771" t="str">
        <f>""</f>
        <v/>
      </c>
      <c r="F771" t="str">
        <f>""</f>
        <v/>
      </c>
      <c r="G771" t="str">
        <f>""</f>
        <v/>
      </c>
      <c r="I771" t="str">
        <f>"Inv# 4024860"</f>
        <v>Inv# 4024860</v>
      </c>
    </row>
    <row r="772" spans="1:9" x14ac:dyDescent="0.3">
      <c r="A772" t="str">
        <f>""</f>
        <v/>
      </c>
      <c r="F772" t="str">
        <f>""</f>
        <v/>
      </c>
      <c r="G772" t="str">
        <f>""</f>
        <v/>
      </c>
      <c r="I772" t="str">
        <f>"Inv# 3024943"</f>
        <v>Inv# 3024943</v>
      </c>
    </row>
    <row r="773" spans="1:9" x14ac:dyDescent="0.3">
      <c r="A773" t="str">
        <f>""</f>
        <v/>
      </c>
      <c r="F773" t="str">
        <f>""</f>
        <v/>
      </c>
      <c r="G773" t="str">
        <f>""</f>
        <v/>
      </c>
      <c r="I773" t="str">
        <f>"Inv# 3094418"</f>
        <v>Inv# 3094418</v>
      </c>
    </row>
    <row r="774" spans="1:9" x14ac:dyDescent="0.3">
      <c r="A774" t="str">
        <f>""</f>
        <v/>
      </c>
      <c r="F774" t="str">
        <f>""</f>
        <v/>
      </c>
      <c r="G774" t="str">
        <f>""</f>
        <v/>
      </c>
      <c r="I774" t="str">
        <f>"Inv# 3592699"</f>
        <v>Inv# 3592699</v>
      </c>
    </row>
    <row r="775" spans="1:9" x14ac:dyDescent="0.3">
      <c r="A775" t="str">
        <f>""</f>
        <v/>
      </c>
      <c r="F775" t="str">
        <f>""</f>
        <v/>
      </c>
      <c r="G775" t="str">
        <f>""</f>
        <v/>
      </c>
      <c r="I775" t="str">
        <f>"Inv# 8735109"</f>
        <v>Inv# 8735109</v>
      </c>
    </row>
    <row r="776" spans="1:9" x14ac:dyDescent="0.3">
      <c r="A776" t="str">
        <f>""</f>
        <v/>
      </c>
      <c r="F776" t="str">
        <f>""</f>
        <v/>
      </c>
      <c r="G776" t="str">
        <f>""</f>
        <v/>
      </c>
      <c r="I776" t="str">
        <f>"Inv# 1560146"</f>
        <v>Inv# 1560146</v>
      </c>
    </row>
    <row r="777" spans="1:9" x14ac:dyDescent="0.3">
      <c r="A777" t="str">
        <f>""</f>
        <v/>
      </c>
      <c r="F777" t="str">
        <f>""</f>
        <v/>
      </c>
      <c r="G777" t="str">
        <f>""</f>
        <v/>
      </c>
      <c r="I777" t="str">
        <f>"Inv# 3571509"</f>
        <v>Inv# 3571509</v>
      </c>
    </row>
    <row r="778" spans="1:9" x14ac:dyDescent="0.3">
      <c r="A778" t="str">
        <f>""</f>
        <v/>
      </c>
      <c r="F778" t="str">
        <f>""</f>
        <v/>
      </c>
      <c r="G778" t="str">
        <f>""</f>
        <v/>
      </c>
      <c r="I778" t="str">
        <f>"Inv# 8560991"</f>
        <v>Inv# 8560991</v>
      </c>
    </row>
    <row r="779" spans="1:9" x14ac:dyDescent="0.3">
      <c r="A779" t="str">
        <f>""</f>
        <v/>
      </c>
      <c r="F779" t="str">
        <f>""</f>
        <v/>
      </c>
      <c r="G779" t="str">
        <f>""</f>
        <v/>
      </c>
      <c r="I779" t="str">
        <f>"Inv# 7592948"</f>
        <v>Inv# 7592948</v>
      </c>
    </row>
    <row r="780" spans="1:9" x14ac:dyDescent="0.3">
      <c r="A780" t="str">
        <f>""</f>
        <v/>
      </c>
      <c r="F780" t="str">
        <f>""</f>
        <v/>
      </c>
      <c r="G780" t="str">
        <f>""</f>
        <v/>
      </c>
      <c r="I780" t="str">
        <f>"Inv# 6593001"</f>
        <v>Inv# 6593001</v>
      </c>
    </row>
    <row r="781" spans="1:9" x14ac:dyDescent="0.3">
      <c r="A781" t="str">
        <f>""</f>
        <v/>
      </c>
      <c r="F781" t="str">
        <f>""</f>
        <v/>
      </c>
      <c r="G781" t="str">
        <f>""</f>
        <v/>
      </c>
      <c r="I781" t="str">
        <f>"Inv# 6161634"</f>
        <v>Inv# 6161634</v>
      </c>
    </row>
    <row r="782" spans="1:9" x14ac:dyDescent="0.3">
      <c r="A782" t="str">
        <f>""</f>
        <v/>
      </c>
      <c r="F782" t="str">
        <f>""</f>
        <v/>
      </c>
      <c r="G782" t="str">
        <f>""</f>
        <v/>
      </c>
      <c r="I782" t="str">
        <f>"Inv# 753051"</f>
        <v>Inv# 753051</v>
      </c>
    </row>
    <row r="783" spans="1:9" x14ac:dyDescent="0.3">
      <c r="A783" t="str">
        <f>""</f>
        <v/>
      </c>
      <c r="F783" t="str">
        <f>""</f>
        <v/>
      </c>
      <c r="G783" t="str">
        <f>""</f>
        <v/>
      </c>
      <c r="I783" t="str">
        <f>"Inv# 1560146"</f>
        <v>Inv# 1560146</v>
      </c>
    </row>
    <row r="784" spans="1:9" x14ac:dyDescent="0.3">
      <c r="A784" t="str">
        <f>""</f>
        <v/>
      </c>
      <c r="F784" t="str">
        <f>""</f>
        <v/>
      </c>
      <c r="G784" t="str">
        <f>""</f>
        <v/>
      </c>
      <c r="I784" t="str">
        <f>"Inv# 3571509"</f>
        <v>Inv# 3571509</v>
      </c>
    </row>
    <row r="785" spans="1:9" x14ac:dyDescent="0.3">
      <c r="A785" t="str">
        <f>""</f>
        <v/>
      </c>
      <c r="F785" t="str">
        <f>""</f>
        <v/>
      </c>
      <c r="G785" t="str">
        <f>""</f>
        <v/>
      </c>
      <c r="I785" t="str">
        <f>"Inv# 4570243"</f>
        <v>Inv# 4570243</v>
      </c>
    </row>
    <row r="786" spans="1:9" x14ac:dyDescent="0.3">
      <c r="A786" t="str">
        <f>""</f>
        <v/>
      </c>
      <c r="F786" t="str">
        <f>""</f>
        <v/>
      </c>
      <c r="G786" t="str">
        <f>""</f>
        <v/>
      </c>
      <c r="I786" t="str">
        <f>"Inv# 4161062"</f>
        <v>Inv# 4161062</v>
      </c>
    </row>
    <row r="787" spans="1:9" x14ac:dyDescent="0.3">
      <c r="A787" t="str">
        <f>""</f>
        <v/>
      </c>
      <c r="F787" t="str">
        <f>""</f>
        <v/>
      </c>
      <c r="G787" t="str">
        <f>""</f>
        <v/>
      </c>
      <c r="I787" t="str">
        <f>"Inv# 8023640"</f>
        <v>Inv# 8023640</v>
      </c>
    </row>
    <row r="788" spans="1:9" x14ac:dyDescent="0.3">
      <c r="A788" t="str">
        <f>""</f>
        <v/>
      </c>
      <c r="F788" t="str">
        <f>""</f>
        <v/>
      </c>
      <c r="G788" t="str">
        <f>""</f>
        <v/>
      </c>
      <c r="I788" t="str">
        <f>"Inv# 1012587"</f>
        <v>Inv# 1012587</v>
      </c>
    </row>
    <row r="789" spans="1:9" x14ac:dyDescent="0.3">
      <c r="A789" t="str">
        <f>""</f>
        <v/>
      </c>
      <c r="F789" t="str">
        <f>""</f>
        <v/>
      </c>
      <c r="G789" t="str">
        <f>""</f>
        <v/>
      </c>
      <c r="I789" t="str">
        <f>"Inv# 9024409"</f>
        <v>Inv# 9024409</v>
      </c>
    </row>
    <row r="790" spans="1:9" x14ac:dyDescent="0.3">
      <c r="A790" t="str">
        <f>""</f>
        <v/>
      </c>
      <c r="F790" t="str">
        <f>""</f>
        <v/>
      </c>
      <c r="G790" t="str">
        <f>""</f>
        <v/>
      </c>
      <c r="I790" t="str">
        <f>"Inv# 9151695"</f>
        <v>Inv# 9151695</v>
      </c>
    </row>
    <row r="791" spans="1:9" x14ac:dyDescent="0.3">
      <c r="A791" t="str">
        <f>""</f>
        <v/>
      </c>
      <c r="F791" t="str">
        <f>""</f>
        <v/>
      </c>
      <c r="G791" t="str">
        <f>""</f>
        <v/>
      </c>
      <c r="I791" t="str">
        <f>"Inv# 1022256"</f>
        <v>Inv# 1022256</v>
      </c>
    </row>
    <row r="792" spans="1:9" x14ac:dyDescent="0.3">
      <c r="A792" t="str">
        <f>""</f>
        <v/>
      </c>
      <c r="F792" t="str">
        <f>""</f>
        <v/>
      </c>
      <c r="G792" t="str">
        <f>""</f>
        <v/>
      </c>
      <c r="I792" t="str">
        <f>"Inv# 171474"</f>
        <v>Inv# 171474</v>
      </c>
    </row>
    <row r="793" spans="1:9" x14ac:dyDescent="0.3">
      <c r="A793" t="str">
        <f>""</f>
        <v/>
      </c>
      <c r="F793" t="str">
        <f>""</f>
        <v/>
      </c>
      <c r="G793" t="str">
        <f>""</f>
        <v/>
      </c>
      <c r="I793" t="str">
        <f>"Inv# 4181785"</f>
        <v>Inv# 4181785</v>
      </c>
    </row>
    <row r="794" spans="1:9" x14ac:dyDescent="0.3">
      <c r="A794" t="str">
        <f>""</f>
        <v/>
      </c>
      <c r="F794" t="str">
        <f>""</f>
        <v/>
      </c>
      <c r="G794" t="str">
        <f>""</f>
        <v/>
      </c>
      <c r="I794" t="str">
        <f>"Inv# 161919"</f>
        <v>Inv# 161919</v>
      </c>
    </row>
    <row r="795" spans="1:9" x14ac:dyDescent="0.3">
      <c r="A795" t="str">
        <f>""</f>
        <v/>
      </c>
      <c r="F795" t="str">
        <f>""</f>
        <v/>
      </c>
      <c r="G795" t="str">
        <f>""</f>
        <v/>
      </c>
      <c r="I795" t="str">
        <f>"Inv# 161920"</f>
        <v>Inv# 161920</v>
      </c>
    </row>
    <row r="796" spans="1:9" x14ac:dyDescent="0.3">
      <c r="A796" t="str">
        <f>""</f>
        <v/>
      </c>
      <c r="F796" t="str">
        <f>""</f>
        <v/>
      </c>
      <c r="G796" t="str">
        <f>""</f>
        <v/>
      </c>
      <c r="I796" t="str">
        <f>"Inv# 24299"</f>
        <v>Inv# 24299</v>
      </c>
    </row>
    <row r="797" spans="1:9" x14ac:dyDescent="0.3">
      <c r="A797" t="str">
        <f>""</f>
        <v/>
      </c>
      <c r="F797" t="str">
        <f>""</f>
        <v/>
      </c>
      <c r="G797" t="str">
        <f>""</f>
        <v/>
      </c>
      <c r="I797" t="str">
        <f>"Inv# 161964"</f>
        <v>Inv# 161964</v>
      </c>
    </row>
    <row r="798" spans="1:9" x14ac:dyDescent="0.3">
      <c r="A798" t="str">
        <f>"004553"</f>
        <v>004553</v>
      </c>
      <c r="B798" t="s">
        <v>194</v>
      </c>
      <c r="C798">
        <v>73004</v>
      </c>
      <c r="D798" s="2">
        <v>2500</v>
      </c>
      <c r="E798" s="1">
        <v>43018</v>
      </c>
      <c r="F798" t="str">
        <f>"201710045281"</f>
        <v>201710045281</v>
      </c>
      <c r="G798" t="str">
        <f>"SCHOOL RESTORATION PROJECT"</f>
        <v>SCHOOL RESTORATION PROJECT</v>
      </c>
      <c r="H798" s="2">
        <v>2500</v>
      </c>
      <c r="I798" t="str">
        <f>"SCHOOL RESTORATION PROJECT"</f>
        <v>SCHOOL RESTORATION PROJECT</v>
      </c>
    </row>
    <row r="799" spans="1:9" x14ac:dyDescent="0.3">
      <c r="A799" t="str">
        <f>"T8205"</f>
        <v>T8205</v>
      </c>
      <c r="B799" t="s">
        <v>195</v>
      </c>
      <c r="C799">
        <v>999999</v>
      </c>
      <c r="D799" s="2">
        <v>425.59</v>
      </c>
      <c r="E799" s="1">
        <v>43032</v>
      </c>
      <c r="F799" t="str">
        <f>"84714"</f>
        <v>84714</v>
      </c>
      <c r="G799" t="str">
        <f>"CUST#BASTROP1/PCT#1"</f>
        <v>CUST#BASTROP1/PCT#1</v>
      </c>
      <c r="H799" s="2">
        <v>425.59</v>
      </c>
      <c r="I799" t="str">
        <f>"CUST#BASTROP1/PCT#1"</f>
        <v>CUST#BASTROP1/PCT#1</v>
      </c>
    </row>
    <row r="800" spans="1:9" x14ac:dyDescent="0.3">
      <c r="A800" t="str">
        <f>"003653"</f>
        <v>003653</v>
      </c>
      <c r="B800" t="s">
        <v>196</v>
      </c>
      <c r="C800">
        <v>73249</v>
      </c>
      <c r="D800" s="2">
        <v>2192.2600000000002</v>
      </c>
      <c r="E800" s="1">
        <v>43031</v>
      </c>
      <c r="F800" t="str">
        <f>"S1710020002-00041"</f>
        <v>S1710020002-00041</v>
      </c>
      <c r="G800" t="str">
        <f>"ACCT#100402264"</f>
        <v>ACCT#100402264</v>
      </c>
      <c r="H800" s="2">
        <v>2192.2600000000002</v>
      </c>
      <c r="I800" t="str">
        <f>"ACCT#100402264"</f>
        <v>ACCT#100402264</v>
      </c>
    </row>
    <row r="801" spans="1:10" x14ac:dyDescent="0.3">
      <c r="A801" t="str">
        <f>""</f>
        <v/>
      </c>
      <c r="F801" t="str">
        <f>""</f>
        <v/>
      </c>
      <c r="G801" t="str">
        <f>""</f>
        <v/>
      </c>
      <c r="I801" t="str">
        <f>"ACCT#100402264"</f>
        <v>ACCT#100402264</v>
      </c>
    </row>
    <row r="802" spans="1:10" x14ac:dyDescent="0.3">
      <c r="A802" t="str">
        <f>""</f>
        <v/>
      </c>
      <c r="F802" t="str">
        <f>""</f>
        <v/>
      </c>
      <c r="G802" t="str">
        <f>""</f>
        <v/>
      </c>
      <c r="I802" t="str">
        <f>"ACCT#100402264"</f>
        <v>ACCT#100402264</v>
      </c>
    </row>
    <row r="803" spans="1:10" x14ac:dyDescent="0.3">
      <c r="A803" t="str">
        <f>"003545"</f>
        <v>003545</v>
      </c>
      <c r="B803" t="s">
        <v>197</v>
      </c>
      <c r="C803">
        <v>999999</v>
      </c>
      <c r="D803" s="2">
        <v>521.22</v>
      </c>
      <c r="E803" s="1">
        <v>43032</v>
      </c>
      <c r="F803" t="str">
        <f>"100764"</f>
        <v>100764</v>
      </c>
      <c r="G803" t="str">
        <f>"PARTS/PCT#1"</f>
        <v>PARTS/PCT#1</v>
      </c>
      <c r="H803" s="2">
        <v>168.88</v>
      </c>
      <c r="I803" t="str">
        <f>"PARTS/PCT#1"</f>
        <v>PARTS/PCT#1</v>
      </c>
    </row>
    <row r="804" spans="1:10" x14ac:dyDescent="0.3">
      <c r="A804" t="str">
        <f>""</f>
        <v/>
      </c>
      <c r="F804" t="str">
        <f>"100864"</f>
        <v>100864</v>
      </c>
      <c r="G804" t="str">
        <f>"PARTS/PCT#1"</f>
        <v>PARTS/PCT#1</v>
      </c>
      <c r="H804" s="2">
        <v>352.34</v>
      </c>
      <c r="I804" t="str">
        <f>"PARTS/PCT#1"</f>
        <v>PARTS/PCT#1</v>
      </c>
    </row>
    <row r="805" spans="1:10" x14ac:dyDescent="0.3">
      <c r="A805" t="str">
        <f>"T11576"</f>
        <v>T11576</v>
      </c>
      <c r="B805" t="s">
        <v>198</v>
      </c>
      <c r="C805">
        <v>999999</v>
      </c>
      <c r="D805" s="2">
        <v>2430</v>
      </c>
      <c r="E805" s="1">
        <v>43019</v>
      </c>
      <c r="F805" t="str">
        <f>"64779"</f>
        <v>64779</v>
      </c>
      <c r="G805" t="str">
        <f>"PROFESSIONAL SVCS-NOVEMBER '17"</f>
        <v>PROFESSIONAL SVCS-NOVEMBER '17</v>
      </c>
      <c r="H805" s="2">
        <v>2430</v>
      </c>
      <c r="I805" t="str">
        <f>"PROFESSIONAL SVCS-NOVEMBER '17"</f>
        <v>PROFESSIONAL SVCS-NOVEMBER '17</v>
      </c>
    </row>
    <row r="806" spans="1:10" x14ac:dyDescent="0.3">
      <c r="A806" t="str">
        <f>""</f>
        <v/>
      </c>
      <c r="F806" t="str">
        <f>""</f>
        <v/>
      </c>
      <c r="G806" t="str">
        <f>""</f>
        <v/>
      </c>
      <c r="I806" t="str">
        <f>"PROFESSIONAL SVCS-NOVEMBER '17"</f>
        <v>PROFESSIONAL SVCS-NOVEMBER '17</v>
      </c>
    </row>
    <row r="807" spans="1:10" x14ac:dyDescent="0.3">
      <c r="A807" t="str">
        <f>"001421"</f>
        <v>001421</v>
      </c>
      <c r="B807" t="s">
        <v>199</v>
      </c>
      <c r="C807">
        <v>73250</v>
      </c>
      <c r="D807" s="2">
        <v>109</v>
      </c>
      <c r="E807" s="1">
        <v>43031</v>
      </c>
      <c r="F807" t="str">
        <f>"30864-K6D0F9"</f>
        <v>30864-K6D0F9</v>
      </c>
      <c r="G807" t="str">
        <f>"MEMBERSHIP-M.WALTY"</f>
        <v>MEMBERSHIP-M.WALTY</v>
      </c>
      <c r="H807" s="2">
        <v>109</v>
      </c>
      <c r="I807" t="str">
        <f>"MEMBERSHIP-M.WALTY"</f>
        <v>MEMBERSHIP-M.WALTY</v>
      </c>
    </row>
    <row r="808" spans="1:10" x14ac:dyDescent="0.3">
      <c r="A808" t="str">
        <f>"T13452"</f>
        <v>T13452</v>
      </c>
      <c r="B808" t="s">
        <v>200</v>
      </c>
      <c r="C808">
        <v>73251</v>
      </c>
      <c r="D808" s="2">
        <v>42.8</v>
      </c>
      <c r="E808" s="1">
        <v>43031</v>
      </c>
      <c r="F808" t="str">
        <f>"201710175701"</f>
        <v>201710175701</v>
      </c>
      <c r="G808" t="str">
        <f>"REIMBURSE-MEAL/MILEAGE"</f>
        <v>REIMBURSE-MEAL/MILEAGE</v>
      </c>
      <c r="H808" s="2">
        <v>42.8</v>
      </c>
      <c r="I808" t="str">
        <f>"REIMBURSE-MEAL/MILEAGE"</f>
        <v>REIMBURSE-MEAL/MILEAGE</v>
      </c>
    </row>
    <row r="809" spans="1:10" x14ac:dyDescent="0.3">
      <c r="A809" t="str">
        <f>"IRON"</f>
        <v>IRON</v>
      </c>
      <c r="B809" t="s">
        <v>201</v>
      </c>
      <c r="C809">
        <v>73252</v>
      </c>
      <c r="D809" s="2">
        <v>66.12</v>
      </c>
      <c r="E809" s="1">
        <v>43031</v>
      </c>
      <c r="F809" t="str">
        <f>"PFX2656"</f>
        <v>PFX2656</v>
      </c>
      <c r="G809" t="str">
        <f>"AX773/COUNTY CLERK"</f>
        <v>AX773/COUNTY CLERK</v>
      </c>
      <c r="H809" s="2">
        <v>66.12</v>
      </c>
      <c r="I809" t="str">
        <f>"AX773/COUNTY CLERK"</f>
        <v>AX773/COUNTY CLERK</v>
      </c>
    </row>
    <row r="810" spans="1:10" x14ac:dyDescent="0.3">
      <c r="A810" t="str">
        <f>"T7585"</f>
        <v>T7585</v>
      </c>
      <c r="B810" t="s">
        <v>202</v>
      </c>
      <c r="C810">
        <v>73253</v>
      </c>
      <c r="D810" s="2">
        <v>260</v>
      </c>
      <c r="E810" s="1">
        <v>43031</v>
      </c>
      <c r="F810" t="str">
        <f>"143619"</f>
        <v>143619</v>
      </c>
      <c r="G810" t="str">
        <f>"CONSTRUCTION/UNIT RENTAL"</f>
        <v>CONSTRUCTION/UNIT RENTAL</v>
      </c>
      <c r="H810" s="2">
        <v>260</v>
      </c>
      <c r="I810" t="str">
        <f>"CONSTRUCTION/UNIT RENTAL"</f>
        <v>CONSTRUCTION/UNIT RENTAL</v>
      </c>
    </row>
    <row r="811" spans="1:10" x14ac:dyDescent="0.3">
      <c r="A811" t="str">
        <f>"T13801"</f>
        <v>T13801</v>
      </c>
      <c r="B811" t="s">
        <v>203</v>
      </c>
      <c r="C811">
        <v>999999</v>
      </c>
      <c r="D811" s="2">
        <v>71.37</v>
      </c>
      <c r="E811" s="1">
        <v>43019</v>
      </c>
      <c r="F811" t="str">
        <f>"201710045375"</f>
        <v>201710045375</v>
      </c>
      <c r="G811" t="str">
        <f>"INDIGENT HEALTH"</f>
        <v>INDIGENT HEALTH</v>
      </c>
      <c r="H811" s="2">
        <v>71.37</v>
      </c>
      <c r="I811" t="str">
        <f>"INDIGENT HEALTH"</f>
        <v>INDIGENT HEALTH</v>
      </c>
    </row>
    <row r="812" spans="1:10" x14ac:dyDescent="0.3">
      <c r="A812" t="str">
        <f>""</f>
        <v/>
      </c>
      <c r="F812" t="str">
        <f>""</f>
        <v/>
      </c>
      <c r="G812" t="str">
        <f>""</f>
        <v/>
      </c>
      <c r="I812" t="str">
        <f>"INDIGENT HEALTH"</f>
        <v>INDIGENT HEALTH</v>
      </c>
    </row>
    <row r="813" spans="1:10" x14ac:dyDescent="0.3">
      <c r="A813" t="str">
        <f>"T7860"</f>
        <v>T7860</v>
      </c>
      <c r="B813" t="s">
        <v>204</v>
      </c>
      <c r="C813">
        <v>999999</v>
      </c>
      <c r="D813" s="2">
        <v>850</v>
      </c>
      <c r="E813" s="1">
        <v>43019</v>
      </c>
      <c r="F813" t="s">
        <v>51</v>
      </c>
      <c r="G813" t="s">
        <v>52</v>
      </c>
      <c r="H813" s="2" t="str">
        <f>"AD LITEM FEE  08/22/17"</f>
        <v>AD LITEM FEE  08/22/17</v>
      </c>
      <c r="I813" t="str">
        <f>"995-4110"</f>
        <v>995-4110</v>
      </c>
      <c r="J813">
        <v>150</v>
      </c>
    </row>
    <row r="814" spans="1:10" x14ac:dyDescent="0.3">
      <c r="A814" t="str">
        <f>""</f>
        <v/>
      </c>
      <c r="F814" t="str">
        <f>"201710045343"</f>
        <v>201710045343</v>
      </c>
      <c r="G814" t="str">
        <f>"17-18277"</f>
        <v>17-18277</v>
      </c>
      <c r="H814" s="2">
        <v>100</v>
      </c>
      <c r="I814" t="str">
        <f>"17-18277"</f>
        <v>17-18277</v>
      </c>
    </row>
    <row r="815" spans="1:10" x14ac:dyDescent="0.3">
      <c r="A815" t="str">
        <f>""</f>
        <v/>
      </c>
      <c r="F815" t="str">
        <f>"201710045344"</f>
        <v>201710045344</v>
      </c>
      <c r="G815" t="str">
        <f>"N/A"</f>
        <v>N/A</v>
      </c>
      <c r="H815" s="2">
        <v>100</v>
      </c>
      <c r="I815" t="str">
        <f>"N/A"</f>
        <v>N/A</v>
      </c>
    </row>
    <row r="816" spans="1:10" x14ac:dyDescent="0.3">
      <c r="A816" t="str">
        <f>""</f>
        <v/>
      </c>
      <c r="F816" t="str">
        <f>"201710045345"</f>
        <v>201710045345</v>
      </c>
      <c r="G816" t="str">
        <f>"55 237"</f>
        <v>55 237</v>
      </c>
      <c r="H816" s="2">
        <v>250</v>
      </c>
      <c r="I816" t="str">
        <f>"55 237"</f>
        <v>55 237</v>
      </c>
    </row>
    <row r="817" spans="1:10" x14ac:dyDescent="0.3">
      <c r="A817" t="str">
        <f>""</f>
        <v/>
      </c>
      <c r="F817" t="str">
        <f>"201710045346"</f>
        <v>201710045346</v>
      </c>
      <c r="G817" t="str">
        <f>"55 277"</f>
        <v>55 277</v>
      </c>
      <c r="H817" s="2">
        <v>250</v>
      </c>
      <c r="I817" t="str">
        <f>"55 277"</f>
        <v>55 277</v>
      </c>
    </row>
    <row r="818" spans="1:10" x14ac:dyDescent="0.3">
      <c r="A818" t="str">
        <f>"T7860"</f>
        <v>T7860</v>
      </c>
      <c r="B818" t="s">
        <v>204</v>
      </c>
      <c r="C818">
        <v>999999</v>
      </c>
      <c r="D818" s="2">
        <v>1432.5</v>
      </c>
      <c r="E818" s="1">
        <v>43032</v>
      </c>
      <c r="F818" t="str">
        <f>"201710135694"</f>
        <v>201710135694</v>
      </c>
      <c r="G818" t="str">
        <f>"423-5113"</f>
        <v>423-5113</v>
      </c>
      <c r="H818" s="2">
        <v>412.5</v>
      </c>
      <c r="I818" t="str">
        <f>"423-5113"</f>
        <v>423-5113</v>
      </c>
    </row>
    <row r="819" spans="1:10" x14ac:dyDescent="0.3">
      <c r="A819" t="str">
        <f>""</f>
        <v/>
      </c>
      <c r="F819" t="str">
        <f>"201710185778"</f>
        <v>201710185778</v>
      </c>
      <c r="G819" t="str">
        <f>"16-18023"</f>
        <v>16-18023</v>
      </c>
      <c r="H819" s="2">
        <v>100</v>
      </c>
      <c r="I819" t="str">
        <f>"16-18023"</f>
        <v>16-18023</v>
      </c>
    </row>
    <row r="820" spans="1:10" x14ac:dyDescent="0.3">
      <c r="A820" t="str">
        <f>""</f>
        <v/>
      </c>
      <c r="F820" t="str">
        <f>"201710185779"</f>
        <v>201710185779</v>
      </c>
      <c r="G820" t="str">
        <f>"J-3099"</f>
        <v>J-3099</v>
      </c>
      <c r="H820" s="2">
        <v>250</v>
      </c>
      <c r="I820" t="str">
        <f>"J-3099"</f>
        <v>J-3099</v>
      </c>
    </row>
    <row r="821" spans="1:10" x14ac:dyDescent="0.3">
      <c r="A821" t="str">
        <f>""</f>
        <v/>
      </c>
      <c r="F821" t="str">
        <f>"201710185780"</f>
        <v>201710185780</v>
      </c>
      <c r="G821" t="str">
        <f>"54 799"</f>
        <v>54 799</v>
      </c>
      <c r="H821" s="2">
        <v>250</v>
      </c>
      <c r="I821" t="str">
        <f>"54 799"</f>
        <v>54 799</v>
      </c>
    </row>
    <row r="822" spans="1:10" x14ac:dyDescent="0.3">
      <c r="A822" t="str">
        <f>""</f>
        <v/>
      </c>
      <c r="F822" t="str">
        <f>"201710185781"</f>
        <v>201710185781</v>
      </c>
      <c r="G822" t="str">
        <f>"17-18584"</f>
        <v>17-18584</v>
      </c>
      <c r="H822" s="2">
        <v>420</v>
      </c>
      <c r="I822" t="str">
        <f>"17-18584"</f>
        <v>17-18584</v>
      </c>
    </row>
    <row r="823" spans="1:10" x14ac:dyDescent="0.3">
      <c r="A823" t="str">
        <f>"005243"</f>
        <v>005243</v>
      </c>
      <c r="B823" t="s">
        <v>205</v>
      </c>
      <c r="C823">
        <v>73005</v>
      </c>
      <c r="D823" s="2">
        <v>160</v>
      </c>
      <c r="E823" s="1">
        <v>43018</v>
      </c>
      <c r="F823" t="str">
        <f>"17-01"</f>
        <v>17-01</v>
      </c>
      <c r="G823" t="str">
        <f>"PRESS CONFERENCE @ER RATE"</f>
        <v>PRESS CONFERENCE @ER RATE</v>
      </c>
      <c r="H823" s="2">
        <v>160</v>
      </c>
      <c r="I823" t="str">
        <f>"PRESS CONFERENCE @ER RATE"</f>
        <v>PRESS CONFERENCE @ER RATE</v>
      </c>
    </row>
    <row r="824" spans="1:10" x14ac:dyDescent="0.3">
      <c r="A824" t="str">
        <f>"004891"</f>
        <v>004891</v>
      </c>
      <c r="B824" t="s">
        <v>206</v>
      </c>
      <c r="C824">
        <v>73006</v>
      </c>
      <c r="D824" s="2">
        <v>50</v>
      </c>
      <c r="E824" s="1">
        <v>43018</v>
      </c>
      <c r="F824" t="s">
        <v>207</v>
      </c>
      <c r="G824" t="s">
        <v>208</v>
      </c>
      <c r="H824" s="2" t="str">
        <f>"RESTITUTION-M. ALMS"</f>
        <v>RESTITUTION-M. ALMS</v>
      </c>
      <c r="I824" t="str">
        <f>"210-0000"</f>
        <v>210-0000</v>
      </c>
      <c r="J824">
        <v>50</v>
      </c>
    </row>
    <row r="825" spans="1:10" x14ac:dyDescent="0.3">
      <c r="A825" t="str">
        <f>"PP"</f>
        <v>PP</v>
      </c>
      <c r="B825" t="s">
        <v>209</v>
      </c>
      <c r="C825">
        <v>73007</v>
      </c>
      <c r="D825" s="2">
        <v>825</v>
      </c>
      <c r="E825" s="1">
        <v>43018</v>
      </c>
      <c r="F825" t="str">
        <f>"25322"</f>
        <v>25322</v>
      </c>
      <c r="G825" t="str">
        <f>"INV 25322"</f>
        <v>INV 25322</v>
      </c>
      <c r="H825" s="2">
        <v>825</v>
      </c>
      <c r="I825" t="str">
        <f>"INV 25322"</f>
        <v>INV 25322</v>
      </c>
    </row>
    <row r="826" spans="1:10" x14ac:dyDescent="0.3">
      <c r="A826" t="str">
        <f>"005254"</f>
        <v>005254</v>
      </c>
      <c r="B826" t="s">
        <v>210</v>
      </c>
      <c r="C826">
        <v>73254</v>
      </c>
      <c r="D826" s="2">
        <v>150</v>
      </c>
      <c r="E826" s="1">
        <v>43031</v>
      </c>
      <c r="F826" t="str">
        <f>"PER DIEM-J.HAMBY"</f>
        <v>PER DIEM-J.HAMBY</v>
      </c>
      <c r="G826" t="str">
        <f>"PER DIEM"</f>
        <v>PER DIEM</v>
      </c>
      <c r="H826" s="2">
        <v>150</v>
      </c>
      <c r="I826" t="str">
        <f>"PER DIEM"</f>
        <v>PER DIEM</v>
      </c>
    </row>
    <row r="827" spans="1:10" x14ac:dyDescent="0.3">
      <c r="A827" t="str">
        <f>"004606"</f>
        <v>004606</v>
      </c>
      <c r="B827" t="s">
        <v>211</v>
      </c>
      <c r="C827">
        <v>73008</v>
      </c>
      <c r="D827" s="2">
        <v>573.58000000000004</v>
      </c>
      <c r="E827" s="1">
        <v>43018</v>
      </c>
      <c r="F827" t="str">
        <f>"201709295190"</f>
        <v>201709295190</v>
      </c>
      <c r="G827" t="str">
        <f>"TRAVEL REIMBURSEMENT"</f>
        <v>TRAVEL REIMBURSEMENT</v>
      </c>
      <c r="H827" s="2">
        <v>470.75</v>
      </c>
      <c r="I827" t="str">
        <f>"TRAVEL REIMBURSEMENT"</f>
        <v>TRAVEL REIMBURSEMENT</v>
      </c>
    </row>
    <row r="828" spans="1:10" x14ac:dyDescent="0.3">
      <c r="A828" t="str">
        <f>""</f>
        <v/>
      </c>
      <c r="F828" t="str">
        <f>"201709295191"</f>
        <v>201709295191</v>
      </c>
      <c r="G828" t="str">
        <f>"MILEAGE REIMBURSEMENT"</f>
        <v>MILEAGE REIMBURSEMENT</v>
      </c>
      <c r="H828" s="2">
        <v>102.83</v>
      </c>
      <c r="I828" t="str">
        <f>"MILEAGE REIMBURSEMENT"</f>
        <v>MILEAGE REIMBURSEMENT</v>
      </c>
    </row>
    <row r="829" spans="1:10" x14ac:dyDescent="0.3">
      <c r="A829" t="str">
        <f>"JULIE"</f>
        <v>JULIE</v>
      </c>
      <c r="B829" t="s">
        <v>212</v>
      </c>
      <c r="C829">
        <v>73009</v>
      </c>
      <c r="D829" s="2">
        <v>205.04</v>
      </c>
      <c r="E829" s="1">
        <v>43018</v>
      </c>
      <c r="F829" t="str">
        <f>"201710045267"</f>
        <v>201710045267</v>
      </c>
      <c r="G829" t="str">
        <f>"DROP BOX UPGRADE-ANNUAL SUBS."</f>
        <v>DROP BOX UPGRADE-ANNUAL SUBS.</v>
      </c>
      <c r="H829" s="2">
        <v>99</v>
      </c>
      <c r="I829" t="str">
        <f>"DROP BOX UPGRADE-ANNUAL SUBS."</f>
        <v>DROP BOX UPGRADE-ANNUAL SUBS.</v>
      </c>
    </row>
    <row r="830" spans="1:10" x14ac:dyDescent="0.3">
      <c r="A830" t="str">
        <f>""</f>
        <v/>
      </c>
      <c r="F830" t="str">
        <f>"201710045282"</f>
        <v>201710045282</v>
      </c>
      <c r="G830" t="str">
        <f>"MILEAGE REIMBURSEMENT"</f>
        <v>MILEAGE REIMBURSEMENT</v>
      </c>
      <c r="H830" s="2">
        <v>106.04</v>
      </c>
      <c r="I830" t="str">
        <f>"MILEAGE REIMBURSEMENT"</f>
        <v>MILEAGE REIMBURSEMENT</v>
      </c>
    </row>
    <row r="831" spans="1:10" x14ac:dyDescent="0.3">
      <c r="A831" t="str">
        <f>"T14548"</f>
        <v>T14548</v>
      </c>
      <c r="B831" t="s">
        <v>213</v>
      </c>
      <c r="C831">
        <v>999999</v>
      </c>
      <c r="D831" s="2">
        <v>3125</v>
      </c>
      <c r="E831" s="1">
        <v>43019</v>
      </c>
      <c r="F831" t="str">
        <f>"201709285164"</f>
        <v>201709285164</v>
      </c>
      <c r="G831" t="str">
        <f>"16245"</f>
        <v>16245</v>
      </c>
      <c r="H831" s="2">
        <v>400</v>
      </c>
      <c r="I831" t="str">
        <f>"16245"</f>
        <v>16245</v>
      </c>
    </row>
    <row r="832" spans="1:10" x14ac:dyDescent="0.3">
      <c r="A832" t="str">
        <f>""</f>
        <v/>
      </c>
      <c r="F832" t="str">
        <f>"201709285165"</f>
        <v>201709285165</v>
      </c>
      <c r="G832" t="str">
        <f>"14351"</f>
        <v>14351</v>
      </c>
      <c r="H832" s="2">
        <v>400</v>
      </c>
      <c r="I832" t="str">
        <f>"14351"</f>
        <v>14351</v>
      </c>
    </row>
    <row r="833" spans="1:10" x14ac:dyDescent="0.3">
      <c r="A833" t="str">
        <f>""</f>
        <v/>
      </c>
      <c r="F833" t="str">
        <f>"201709295193"</f>
        <v>201709295193</v>
      </c>
      <c r="G833" t="str">
        <f>"02-0730-2"</f>
        <v>02-0730-2</v>
      </c>
      <c r="H833" s="2">
        <v>400</v>
      </c>
      <c r="I833" t="str">
        <f>"02-0730-2"</f>
        <v>02-0730-2</v>
      </c>
    </row>
    <row r="834" spans="1:10" x14ac:dyDescent="0.3">
      <c r="A834" t="str">
        <f>""</f>
        <v/>
      </c>
      <c r="F834" t="str">
        <f>"201709295194"</f>
        <v>201709295194</v>
      </c>
      <c r="G834" t="str">
        <f>"1JP62317A  DCPC-17-061"</f>
        <v>1JP62317A  DCPC-17-061</v>
      </c>
      <c r="H834" s="2">
        <v>225</v>
      </c>
      <c r="I834" t="str">
        <f>"1JP62317A  DCPC-17-061"</f>
        <v>1JP62317A  DCPC-17-061</v>
      </c>
    </row>
    <row r="835" spans="1:10" x14ac:dyDescent="0.3">
      <c r="A835" t="str">
        <f>""</f>
        <v/>
      </c>
      <c r="F835" t="str">
        <f>"201709295195"</f>
        <v>201709295195</v>
      </c>
      <c r="G835" t="str">
        <f>"406187-1"</f>
        <v>406187-1</v>
      </c>
      <c r="H835" s="2">
        <v>150</v>
      </c>
      <c r="I835" t="str">
        <f>"406187-1"</f>
        <v>406187-1</v>
      </c>
    </row>
    <row r="836" spans="1:10" x14ac:dyDescent="0.3">
      <c r="A836" t="str">
        <f>""</f>
        <v/>
      </c>
      <c r="F836" t="str">
        <f>"201710025216"</f>
        <v>201710025216</v>
      </c>
      <c r="G836" t="str">
        <f>"15-17088"</f>
        <v>15-17088</v>
      </c>
      <c r="H836" s="2">
        <v>175</v>
      </c>
      <c r="I836" t="str">
        <f>"15-17088"</f>
        <v>15-17088</v>
      </c>
    </row>
    <row r="837" spans="1:10" x14ac:dyDescent="0.3">
      <c r="A837" t="str">
        <f>""</f>
        <v/>
      </c>
      <c r="F837" t="str">
        <f>"201710045339"</f>
        <v>201710045339</v>
      </c>
      <c r="G837" t="str">
        <f>"55463  406187-2"</f>
        <v>55463  406187-2</v>
      </c>
      <c r="H837" s="2">
        <v>375</v>
      </c>
      <c r="I837" t="str">
        <f>"55463  406187-2"</f>
        <v>55463  406187-2</v>
      </c>
    </row>
    <row r="838" spans="1:10" x14ac:dyDescent="0.3">
      <c r="A838" t="str">
        <f>""</f>
        <v/>
      </c>
      <c r="F838" t="str">
        <f>"201710045340"</f>
        <v>201710045340</v>
      </c>
      <c r="G838" t="str">
        <f>"55464  55465  55466"</f>
        <v>55464  55465  55466</v>
      </c>
      <c r="H838" s="2">
        <v>500</v>
      </c>
      <c r="I838" t="str">
        <f>"55464  55465  55466"</f>
        <v>55464  55465  55466</v>
      </c>
    </row>
    <row r="839" spans="1:10" x14ac:dyDescent="0.3">
      <c r="A839" t="str">
        <f>""</f>
        <v/>
      </c>
      <c r="F839" t="str">
        <f>"201710045341"</f>
        <v>201710045341</v>
      </c>
      <c r="G839" t="str">
        <f>"54844"</f>
        <v>54844</v>
      </c>
      <c r="H839" s="2">
        <v>250</v>
      </c>
      <c r="I839" t="str">
        <f>"54844"</f>
        <v>54844</v>
      </c>
    </row>
    <row r="840" spans="1:10" x14ac:dyDescent="0.3">
      <c r="A840" t="str">
        <f>""</f>
        <v/>
      </c>
      <c r="F840" t="str">
        <f>"201710045342"</f>
        <v>201710045342</v>
      </c>
      <c r="G840" t="str">
        <f>"406265-5"</f>
        <v>406265-5</v>
      </c>
      <c r="H840" s="2">
        <v>250</v>
      </c>
      <c r="I840" t="str">
        <f>"406265-5"</f>
        <v>406265-5</v>
      </c>
    </row>
    <row r="841" spans="1:10" x14ac:dyDescent="0.3">
      <c r="A841" t="str">
        <f>"T14548"</f>
        <v>T14548</v>
      </c>
      <c r="B841" t="s">
        <v>213</v>
      </c>
      <c r="C841">
        <v>999999</v>
      </c>
      <c r="D841" s="2">
        <v>16250</v>
      </c>
      <c r="E841" s="1">
        <v>43032</v>
      </c>
      <c r="F841" t="str">
        <f>"201710135693"</f>
        <v>201710135693</v>
      </c>
      <c r="G841" t="str">
        <f>"423-5273"</f>
        <v>423-5273</v>
      </c>
      <c r="H841" s="2">
        <v>100</v>
      </c>
      <c r="I841" t="str">
        <f>"423-5273"</f>
        <v>423-5273</v>
      </c>
    </row>
    <row r="842" spans="1:10" x14ac:dyDescent="0.3">
      <c r="A842" t="str">
        <f>""</f>
        <v/>
      </c>
      <c r="F842" t="str">
        <f>"201710175723"</f>
        <v>201710175723</v>
      </c>
      <c r="G842" t="str">
        <f>"16001"</f>
        <v>16001</v>
      </c>
      <c r="H842" s="2">
        <v>16050</v>
      </c>
      <c r="I842" t="str">
        <f>"16001"</f>
        <v>16001</v>
      </c>
    </row>
    <row r="843" spans="1:10" x14ac:dyDescent="0.3">
      <c r="A843" t="str">
        <f>""</f>
        <v/>
      </c>
      <c r="F843" t="str">
        <f>"201710185782"</f>
        <v>201710185782</v>
      </c>
      <c r="G843" t="str">
        <f>"NO CAUSE # - JUVENILE DET."</f>
        <v>NO CAUSE # - JUVENILE DET.</v>
      </c>
      <c r="H843" s="2">
        <v>100</v>
      </c>
      <c r="I843" t="str">
        <f>"NO CAUSE # - JUVENILE DET."</f>
        <v>NO CAUSE # - JUVENILE DET.</v>
      </c>
    </row>
    <row r="844" spans="1:10" x14ac:dyDescent="0.3">
      <c r="A844" t="str">
        <f>"003677"</f>
        <v>003677</v>
      </c>
      <c r="B844" t="s">
        <v>214</v>
      </c>
      <c r="C844">
        <v>73010</v>
      </c>
      <c r="D844" s="2">
        <v>25</v>
      </c>
      <c r="E844" s="1">
        <v>43018</v>
      </c>
      <c r="F844" t="s">
        <v>186</v>
      </c>
      <c r="G844" t="s">
        <v>215</v>
      </c>
      <c r="H844" s="2" t="str">
        <f>"RESTITUTION-D. SPURK"</f>
        <v>RESTITUTION-D. SPURK</v>
      </c>
      <c r="I844" t="str">
        <f>"210-0000"</f>
        <v>210-0000</v>
      </c>
      <c r="J844">
        <v>25</v>
      </c>
    </row>
    <row r="845" spans="1:10" x14ac:dyDescent="0.3">
      <c r="A845" t="str">
        <f>"KMPC"</f>
        <v>KMPC</v>
      </c>
      <c r="B845" t="s">
        <v>216</v>
      </c>
      <c r="C845">
        <v>73011</v>
      </c>
      <c r="D845" s="2">
        <v>295.49</v>
      </c>
      <c r="E845" s="1">
        <v>43018</v>
      </c>
      <c r="F845" t="str">
        <f>"1520-00000131687"</f>
        <v>1520-00000131687</v>
      </c>
      <c r="G845" t="str">
        <f>"INV 1520-00000131687"</f>
        <v>INV 1520-00000131687</v>
      </c>
      <c r="H845" s="2">
        <v>295.49</v>
      </c>
      <c r="I845" t="str">
        <f>"INV 1520-00000131687"</f>
        <v>INV 1520-00000131687</v>
      </c>
    </row>
    <row r="846" spans="1:10" x14ac:dyDescent="0.3">
      <c r="A846" t="str">
        <f>"KMPC"</f>
        <v>KMPC</v>
      </c>
      <c r="B846" t="s">
        <v>216</v>
      </c>
      <c r="C846">
        <v>73255</v>
      </c>
      <c r="D846" s="2">
        <v>64.13</v>
      </c>
      <c r="E846" s="1">
        <v>43031</v>
      </c>
      <c r="F846" t="str">
        <f>"31680/31684"</f>
        <v>31680/31684</v>
      </c>
      <c r="G846" t="str">
        <f>"ACCT#1520-BA2437"</f>
        <v>ACCT#1520-BA2437</v>
      </c>
      <c r="H846" s="2">
        <v>64.13</v>
      </c>
      <c r="I846" t="str">
        <f>"ACCT#1520-BA2437"</f>
        <v>ACCT#1520-BA2437</v>
      </c>
    </row>
    <row r="847" spans="1:10" x14ac:dyDescent="0.3">
      <c r="A847" t="str">
        <f>"T12139"</f>
        <v>T12139</v>
      </c>
      <c r="B847" t="s">
        <v>217</v>
      </c>
      <c r="C847">
        <v>73012</v>
      </c>
      <c r="D847" s="2">
        <v>385</v>
      </c>
      <c r="E847" s="1">
        <v>43018</v>
      </c>
      <c r="F847" t="str">
        <f>"336517"</f>
        <v>336517</v>
      </c>
      <c r="G847" t="str">
        <f>"TRASH/MOWING SVCS/PCT#1"</f>
        <v>TRASH/MOWING SVCS/PCT#1</v>
      </c>
      <c r="H847" s="2">
        <v>385</v>
      </c>
      <c r="I847" t="str">
        <f>"TRASH/MOWING SVCS/PCT#1"</f>
        <v>TRASH/MOWING SVCS/PCT#1</v>
      </c>
    </row>
    <row r="848" spans="1:10" x14ac:dyDescent="0.3">
      <c r="A848" t="str">
        <f>"KBTRI"</f>
        <v>KBTRI</v>
      </c>
      <c r="B848" t="s">
        <v>218</v>
      </c>
      <c r="C848">
        <v>73013</v>
      </c>
      <c r="D848" s="2">
        <v>2617</v>
      </c>
      <c r="E848" s="1">
        <v>43018</v>
      </c>
      <c r="F848" t="str">
        <f>"93"</f>
        <v>93</v>
      </c>
      <c r="G848" t="str">
        <f>"TOWER RENT"</f>
        <v>TOWER RENT</v>
      </c>
      <c r="H848" s="2">
        <v>2617</v>
      </c>
      <c r="I848" t="str">
        <f>"TOWER RENT"</f>
        <v>TOWER RENT</v>
      </c>
    </row>
    <row r="849" spans="1:9" x14ac:dyDescent="0.3">
      <c r="A849" t="str">
        <f>"005248"</f>
        <v>005248</v>
      </c>
      <c r="B849" t="s">
        <v>219</v>
      </c>
      <c r="C849">
        <v>73256</v>
      </c>
      <c r="D849" s="2">
        <v>1000</v>
      </c>
      <c r="E849" s="1">
        <v>43031</v>
      </c>
      <c r="F849" t="str">
        <f>"105"</f>
        <v>105</v>
      </c>
      <c r="G849" t="str">
        <f>"ANALYSIS AND REPORT WRITING"</f>
        <v>ANALYSIS AND REPORT WRITING</v>
      </c>
      <c r="H849" s="2">
        <v>1000</v>
      </c>
      <c r="I849" t="str">
        <f>"ANALYSIS AND REPORT WRITING"</f>
        <v>ANALYSIS AND REPORT WRITING</v>
      </c>
    </row>
    <row r="850" spans="1:9" x14ac:dyDescent="0.3">
      <c r="A850" t="str">
        <f>"003916"</f>
        <v>003916</v>
      </c>
      <c r="B850" t="s">
        <v>220</v>
      </c>
      <c r="C850">
        <v>73257</v>
      </c>
      <c r="D850" s="2">
        <v>99</v>
      </c>
      <c r="E850" s="1">
        <v>43031</v>
      </c>
      <c r="F850" t="str">
        <f>"261846"</f>
        <v>261846</v>
      </c>
      <c r="G850" t="str">
        <f>"ORD#MON-9884/QTRLY FIRE PROT"</f>
        <v>ORD#MON-9884/QTRLY FIRE PROT</v>
      </c>
      <c r="H850" s="2">
        <v>99</v>
      </c>
      <c r="I850" t="str">
        <f>"ORD#MON-9884/QTRLY FIRE PROT"</f>
        <v>ORD#MON-9884/QTRLY FIRE PROT</v>
      </c>
    </row>
    <row r="851" spans="1:9" x14ac:dyDescent="0.3">
      <c r="A851" t="str">
        <f>"005157"</f>
        <v>005157</v>
      </c>
      <c r="B851" t="s">
        <v>221</v>
      </c>
      <c r="C851">
        <v>73014</v>
      </c>
      <c r="D851" s="2">
        <v>422.03</v>
      </c>
      <c r="E851" s="1">
        <v>43018</v>
      </c>
      <c r="F851" t="str">
        <f>"201710025205"</f>
        <v>201710025205</v>
      </c>
      <c r="G851" t="str">
        <f>"REIMBURSE-PER DIEM/LODGING"</f>
        <v>REIMBURSE-PER DIEM/LODGING</v>
      </c>
      <c r="H851" s="2">
        <v>422.03</v>
      </c>
      <c r="I851" t="str">
        <f>"REIMBURSE-PER DIEM/LODGING"</f>
        <v>REIMBURSE-PER DIEM/LODGING</v>
      </c>
    </row>
    <row r="852" spans="1:9" x14ac:dyDescent="0.3">
      <c r="A852" t="str">
        <f>"001722"</f>
        <v>001722</v>
      </c>
      <c r="B852" t="s">
        <v>222</v>
      </c>
      <c r="C852">
        <v>73015</v>
      </c>
      <c r="D852" s="2">
        <v>2765.51</v>
      </c>
      <c r="E852" s="1">
        <v>43018</v>
      </c>
      <c r="F852" t="str">
        <f>"09274657/09206222"</f>
        <v>09274657/09206222</v>
      </c>
      <c r="G852" t="str">
        <f>"INV 09274657"</f>
        <v>INV 09274657</v>
      </c>
      <c r="H852" s="2">
        <v>2765.51</v>
      </c>
      <c r="I852" t="str">
        <f>"INV 09274657"</f>
        <v>INV 09274657</v>
      </c>
    </row>
    <row r="853" spans="1:9" x14ac:dyDescent="0.3">
      <c r="A853" t="str">
        <f>""</f>
        <v/>
      </c>
      <c r="F853" t="str">
        <f>""</f>
        <v/>
      </c>
      <c r="G853" t="str">
        <f>""</f>
        <v/>
      </c>
      <c r="I853" t="str">
        <f>"INV 09206222"</f>
        <v>INV 09206222</v>
      </c>
    </row>
    <row r="854" spans="1:9" x14ac:dyDescent="0.3">
      <c r="A854" t="str">
        <f>"001722"</f>
        <v>001722</v>
      </c>
      <c r="B854" t="s">
        <v>222</v>
      </c>
      <c r="C854">
        <v>73258</v>
      </c>
      <c r="D854" s="2">
        <v>2228.23</v>
      </c>
      <c r="E854" s="1">
        <v>43031</v>
      </c>
      <c r="F854" t="str">
        <f>"10111723"</f>
        <v>10111723</v>
      </c>
      <c r="G854" t="str">
        <f>"LABATT INSTITUTIONAL SUPPLY CO"</f>
        <v>LABATT INSTITUTIONAL SUPPLY CO</v>
      </c>
      <c r="H854" s="2">
        <v>2228.23</v>
      </c>
      <c r="I854" t="str">
        <f>"INV 10111723"</f>
        <v>INV 10111723</v>
      </c>
    </row>
    <row r="855" spans="1:9" x14ac:dyDescent="0.3">
      <c r="A855" t="str">
        <f>""</f>
        <v/>
      </c>
      <c r="F855" t="str">
        <f>""</f>
        <v/>
      </c>
      <c r="G855" t="str">
        <f>""</f>
        <v/>
      </c>
      <c r="I855" t="str">
        <f>"CREDIT ON ACCT535311"</f>
        <v>CREDIT ON ACCT535311</v>
      </c>
    </row>
    <row r="856" spans="1:9" x14ac:dyDescent="0.3">
      <c r="A856" t="str">
        <f>""</f>
        <v/>
      </c>
      <c r="F856" t="str">
        <f>""</f>
        <v/>
      </c>
      <c r="G856" t="str">
        <f>""</f>
        <v/>
      </c>
      <c r="I856" t="str">
        <f>"INV 10043511"</f>
        <v>INV 10043511</v>
      </c>
    </row>
    <row r="857" spans="1:9" x14ac:dyDescent="0.3">
      <c r="A857" t="str">
        <f>"T13475"</f>
        <v>T13475</v>
      </c>
      <c r="B857" t="s">
        <v>223</v>
      </c>
      <c r="C857">
        <v>73016</v>
      </c>
      <c r="D857" s="2">
        <v>3000</v>
      </c>
      <c r="E857" s="1">
        <v>43018</v>
      </c>
      <c r="F857" t="str">
        <f>"3383"</f>
        <v>3383</v>
      </c>
      <c r="G857" t="str">
        <f>"FILING ALL CLOSE-OUT DOCS"</f>
        <v>FILING ALL CLOSE-OUT DOCS</v>
      </c>
      <c r="H857" s="2">
        <v>3000</v>
      </c>
      <c r="I857" t="str">
        <f>"FILING ALL CLOSE-OUT DOCS"</f>
        <v>FILING ALL CLOSE-OUT DOCS</v>
      </c>
    </row>
    <row r="858" spans="1:9" x14ac:dyDescent="0.3">
      <c r="A858" t="str">
        <f>"T8712"</f>
        <v>T8712</v>
      </c>
      <c r="B858" t="s">
        <v>224</v>
      </c>
      <c r="C858">
        <v>73259</v>
      </c>
      <c r="D858" s="2">
        <v>102.75</v>
      </c>
      <c r="E858" s="1">
        <v>43031</v>
      </c>
      <c r="F858" t="str">
        <f>"00080642"</f>
        <v>00080642</v>
      </c>
      <c r="G858" t="str">
        <f>"REIMBURSE-NOT. BOND/BOOK/STAMP"</f>
        <v>REIMBURSE-NOT. BOND/BOOK/STAMP</v>
      </c>
      <c r="H858" s="2">
        <v>102.75</v>
      </c>
      <c r="I858" t="str">
        <f>"REIMBURSE-NOT. BOND/BOOK/STAMP"</f>
        <v>REIMBURSE-NOT. BOND/BOOK/STAMP</v>
      </c>
    </row>
    <row r="859" spans="1:9" x14ac:dyDescent="0.3">
      <c r="A859" t="str">
        <f>"T7089"</f>
        <v>T7089</v>
      </c>
      <c r="B859" t="s">
        <v>225</v>
      </c>
      <c r="C859">
        <v>73260</v>
      </c>
      <c r="D859" s="2">
        <v>21.95</v>
      </c>
      <c r="E859" s="1">
        <v>43031</v>
      </c>
      <c r="F859" t="str">
        <f>"201710125604"</f>
        <v>201710125604</v>
      </c>
      <c r="G859" t="str">
        <f>"REIMBURSE-LUMBAR ROLLER"</f>
        <v>REIMBURSE-LUMBAR ROLLER</v>
      </c>
      <c r="H859" s="2">
        <v>21.95</v>
      </c>
      <c r="I859" t="str">
        <f>"REIMBURSE-LUMBAR ROLLER"</f>
        <v>REIMBURSE-LUMBAR ROLLER</v>
      </c>
    </row>
    <row r="860" spans="1:9" x14ac:dyDescent="0.3">
      <c r="A860" t="str">
        <f>"002420"</f>
        <v>002420</v>
      </c>
      <c r="B860" t="s">
        <v>226</v>
      </c>
      <c r="C860">
        <v>999999</v>
      </c>
      <c r="D860" s="2">
        <v>1755</v>
      </c>
      <c r="E860" s="1">
        <v>43019</v>
      </c>
      <c r="F860" t="str">
        <f>"201709275143"</f>
        <v>201709275143</v>
      </c>
      <c r="G860" t="str">
        <f>"423-1015"</f>
        <v>423-1015</v>
      </c>
      <c r="H860" s="2">
        <v>535</v>
      </c>
      <c r="I860" t="str">
        <f>"423-1015"</f>
        <v>423-1015</v>
      </c>
    </row>
    <row r="861" spans="1:9" x14ac:dyDescent="0.3">
      <c r="A861" t="str">
        <f>""</f>
        <v/>
      </c>
      <c r="F861" t="str">
        <f>"201709275144"</f>
        <v>201709275144</v>
      </c>
      <c r="G861" t="str">
        <f>"423-3430"</f>
        <v>423-3430</v>
      </c>
      <c r="H861" s="2">
        <v>375</v>
      </c>
      <c r="I861" t="str">
        <f>"423-3430"</f>
        <v>423-3430</v>
      </c>
    </row>
    <row r="862" spans="1:9" x14ac:dyDescent="0.3">
      <c r="A862" t="str">
        <f>""</f>
        <v/>
      </c>
      <c r="F862" t="str">
        <f>"201709275145"</f>
        <v>201709275145</v>
      </c>
      <c r="G862" t="str">
        <f>"423-2288"</f>
        <v>423-2288</v>
      </c>
      <c r="H862" s="2">
        <v>385</v>
      </c>
      <c r="I862" t="str">
        <f>"423-2288"</f>
        <v>423-2288</v>
      </c>
    </row>
    <row r="863" spans="1:9" x14ac:dyDescent="0.3">
      <c r="A863" t="str">
        <f>""</f>
        <v/>
      </c>
      <c r="F863" t="str">
        <f>"201709275146"</f>
        <v>201709275146</v>
      </c>
      <c r="G863" t="str">
        <f>"423-2783"</f>
        <v>423-2783</v>
      </c>
      <c r="H863" s="2">
        <v>460</v>
      </c>
      <c r="I863" t="str">
        <f>"423-2783"</f>
        <v>423-2783</v>
      </c>
    </row>
    <row r="864" spans="1:9" x14ac:dyDescent="0.3">
      <c r="A864" t="str">
        <f>"T11826"</f>
        <v>T11826</v>
      </c>
      <c r="B864" t="s">
        <v>227</v>
      </c>
      <c r="C864">
        <v>73261</v>
      </c>
      <c r="D864" s="2">
        <v>249.07</v>
      </c>
      <c r="E864" s="1">
        <v>43031</v>
      </c>
      <c r="F864" t="str">
        <f>"201710175721"</f>
        <v>201710175721</v>
      </c>
      <c r="G864" t="str">
        <f>"39012 39126 39143 39240 39400"</f>
        <v>39012 39126 39143 39240 39400</v>
      </c>
      <c r="H864" s="2">
        <v>249.07</v>
      </c>
      <c r="I864" t="str">
        <f>"39012 39126 39143 39240 39400"</f>
        <v>39012 39126 39143 39240 39400</v>
      </c>
    </row>
    <row r="865" spans="1:9" x14ac:dyDescent="0.3">
      <c r="A865" t="str">
        <f>"T9279"</f>
        <v>T9279</v>
      </c>
      <c r="B865" t="s">
        <v>228</v>
      </c>
      <c r="C865">
        <v>72895</v>
      </c>
      <c r="D865" s="2">
        <v>142.16999999999999</v>
      </c>
      <c r="E865" s="1">
        <v>43014</v>
      </c>
      <c r="F865" t="str">
        <f>"201710065554"</f>
        <v>201710065554</v>
      </c>
      <c r="G865" t="str">
        <f>"ACCT#3-09-00175-03 / 09222017"</f>
        <v>ACCT#3-09-00175-03 / 09222017</v>
      </c>
      <c r="H865" s="2">
        <v>50.25</v>
      </c>
      <c r="I865" t="str">
        <f>"LEE COUNTY WATER SUPPLY CORP"</f>
        <v>LEE COUNTY WATER SUPPLY CORP</v>
      </c>
    </row>
    <row r="866" spans="1:9" x14ac:dyDescent="0.3">
      <c r="A866" t="str">
        <f>""</f>
        <v/>
      </c>
      <c r="F866" t="str">
        <f>"201710065555"</f>
        <v>201710065555</v>
      </c>
      <c r="G866" t="str">
        <f>"ACCT#1-09-00072-02 / 09222017"</f>
        <v>ACCT#1-09-00072-02 / 09222017</v>
      </c>
      <c r="H866" s="2">
        <v>91.92</v>
      </c>
      <c r="I866" t="str">
        <f>"ACCT#1-09-00072-02 / 09222017"</f>
        <v>ACCT#1-09-00072-02 / 09222017</v>
      </c>
    </row>
    <row r="867" spans="1:9" x14ac:dyDescent="0.3">
      <c r="A867" t="str">
        <f>"001530"</f>
        <v>001530</v>
      </c>
      <c r="B867" t="s">
        <v>229</v>
      </c>
      <c r="C867">
        <v>73262</v>
      </c>
      <c r="D867" s="2">
        <v>559.4</v>
      </c>
      <c r="E867" s="1">
        <v>43031</v>
      </c>
      <c r="F867" t="str">
        <f>"1361725-20170930"</f>
        <v>1361725-20170930</v>
      </c>
      <c r="G867" t="str">
        <f>"BILL ID#1361725"</f>
        <v>BILL ID#1361725</v>
      </c>
      <c r="H867" s="2">
        <v>152.4</v>
      </c>
      <c r="I867" t="str">
        <f>"BILL ID#1361725"</f>
        <v>BILL ID#1361725</v>
      </c>
    </row>
    <row r="868" spans="1:9" x14ac:dyDescent="0.3">
      <c r="A868" t="str">
        <f>""</f>
        <v/>
      </c>
      <c r="F868" t="str">
        <f>"1394645-20170930"</f>
        <v>1394645-20170930</v>
      </c>
      <c r="G868" t="str">
        <f>"SEPTEMBER 2017 COMMITMENT"</f>
        <v>SEPTEMBER 2017 COMMITMENT</v>
      </c>
      <c r="H868" s="2">
        <v>57.5</v>
      </c>
      <c r="I868" t="str">
        <f>"SEPTEMBER 2017 COMMITMENT"</f>
        <v>SEPTEMBER 2017 COMMITMENT</v>
      </c>
    </row>
    <row r="869" spans="1:9" x14ac:dyDescent="0.3">
      <c r="A869" t="str">
        <f>""</f>
        <v/>
      </c>
      <c r="F869" t="str">
        <f>"1420944-20170930"</f>
        <v>1420944-20170930</v>
      </c>
      <c r="G869" t="str">
        <f>"BILLING ID:1420944/PHONE SEARC"</f>
        <v>BILLING ID:1420944/PHONE SEARC</v>
      </c>
      <c r="H869" s="2">
        <v>299.5</v>
      </c>
      <c r="I869" t="str">
        <f>"BILLING ID:1420944/PHONE SEARC"</f>
        <v>BILLING ID:1420944/PHONE SEARC</v>
      </c>
    </row>
    <row r="870" spans="1:9" x14ac:dyDescent="0.3">
      <c r="A870" t="str">
        <f>""</f>
        <v/>
      </c>
      <c r="F870" t="str">
        <f>"1489870-20170930"</f>
        <v>1489870-20170930</v>
      </c>
      <c r="G870" t="str">
        <f>"BILL#1489870/SEPT '17"</f>
        <v>BILL#1489870/SEPT '17</v>
      </c>
      <c r="H870" s="2">
        <v>50</v>
      </c>
      <c r="I870" t="str">
        <f>"BILL#1489870/SEPT '17"</f>
        <v>BILL#1489870/SEPT '17</v>
      </c>
    </row>
    <row r="871" spans="1:9" x14ac:dyDescent="0.3">
      <c r="A871" t="str">
        <f>"T11113"</f>
        <v>T11113</v>
      </c>
      <c r="B871" t="s">
        <v>230</v>
      </c>
      <c r="C871">
        <v>73390</v>
      </c>
      <c r="D871" s="2">
        <v>208.8</v>
      </c>
      <c r="E871" s="1">
        <v>43038</v>
      </c>
      <c r="F871" t="str">
        <f>"201710306078"</f>
        <v>201710306078</v>
      </c>
      <c r="G871" t="str">
        <f>"FNB CHARGE FOR CHECKS"</f>
        <v>FNB CHARGE FOR CHECKS</v>
      </c>
      <c r="H871" s="2">
        <v>208.8</v>
      </c>
      <c r="I871" t="str">
        <f>"FNB CHARGE FOR CHECKS"</f>
        <v>FNB CHARGE FOR CHECKS</v>
      </c>
    </row>
    <row r="872" spans="1:9" x14ac:dyDescent="0.3">
      <c r="A872" t="str">
        <f>"T11113"</f>
        <v>T11113</v>
      </c>
      <c r="B872" t="s">
        <v>230</v>
      </c>
      <c r="C872">
        <v>999999</v>
      </c>
      <c r="D872" s="2">
        <v>15</v>
      </c>
      <c r="E872" s="1">
        <v>43019</v>
      </c>
      <c r="F872" t="str">
        <f>"201710025220"</f>
        <v>201710025220</v>
      </c>
      <c r="G872" t="str">
        <f>"REG.-2001 FD PK/HEALTH &amp; SANIT"</f>
        <v>REG.-2001 FD PK/HEALTH &amp; SANIT</v>
      </c>
      <c r="H872" s="2">
        <v>7.5</v>
      </c>
      <c r="I872" t="str">
        <f>"REG.-2001 FD PK/HEALTH &amp; SANIT"</f>
        <v>REG.-2001 FD PK/HEALTH &amp; SANIT</v>
      </c>
    </row>
    <row r="873" spans="1:9" x14ac:dyDescent="0.3">
      <c r="A873" t="str">
        <f>""</f>
        <v/>
      </c>
      <c r="F873" t="str">
        <f>"201710025221"</f>
        <v>201710025221</v>
      </c>
      <c r="G873" t="str">
        <f>"REGIST. '09 FORD 4D/HEALTH &amp; S"</f>
        <v>REGIST. '09 FORD 4D/HEALTH &amp; S</v>
      </c>
      <c r="H873" s="2">
        <v>7.5</v>
      </c>
      <c r="I873" t="str">
        <f>"REGIST. '09 FORD 4D/HEALTH &amp; S"</f>
        <v>REGIST. '09 FORD 4D/HEALTH &amp; S</v>
      </c>
    </row>
    <row r="874" spans="1:9" x14ac:dyDescent="0.3">
      <c r="A874" t="str">
        <f>"T11113"</f>
        <v>T11113</v>
      </c>
      <c r="B874" t="s">
        <v>230</v>
      </c>
      <c r="C874">
        <v>999999</v>
      </c>
      <c r="D874" s="2">
        <v>104.5</v>
      </c>
      <c r="E874" s="1">
        <v>43032</v>
      </c>
      <c r="F874" t="str">
        <f>"201710185744"</f>
        <v>201710185744</v>
      </c>
      <c r="G874" t="str">
        <f>"8 REGISTRATIONS"</f>
        <v>8 REGISTRATIONS</v>
      </c>
      <c r="H874" s="2">
        <v>74.5</v>
      </c>
      <c r="I874" t="str">
        <f>"8 REGISTRATIONS"</f>
        <v>8 REGISTRATIONS</v>
      </c>
    </row>
    <row r="875" spans="1:9" x14ac:dyDescent="0.3">
      <c r="A875" t="str">
        <f>""</f>
        <v/>
      </c>
      <c r="F875" t="str">
        <f>"201710185824"</f>
        <v>201710185824</v>
      </c>
      <c r="G875" t="str">
        <f>"2017 FORD REGISTRATION"</f>
        <v>2017 FORD REGISTRATION</v>
      </c>
      <c r="H875" s="2">
        <v>7.5</v>
      </c>
      <c r="I875" t="str">
        <f>"2017 FORD REGISTRATION"</f>
        <v>2017 FORD REGISTRATION</v>
      </c>
    </row>
    <row r="876" spans="1:9" x14ac:dyDescent="0.3">
      <c r="A876" t="str">
        <f>""</f>
        <v/>
      </c>
      <c r="F876" t="str">
        <f>"201710185844"</f>
        <v>201710185844</v>
      </c>
      <c r="G876" t="str">
        <f>"VEHICLE REGISTRATIONS"</f>
        <v>VEHICLE REGISTRATIONS</v>
      </c>
      <c r="H876" s="2">
        <v>22.5</v>
      </c>
      <c r="I876" t="str">
        <f>"VEHICLE REGISTRATIONS"</f>
        <v>VEHICLE REGISTRATIONS</v>
      </c>
    </row>
    <row r="877" spans="1:9" x14ac:dyDescent="0.3">
      <c r="A877" t="str">
        <f>"004622"</f>
        <v>004622</v>
      </c>
      <c r="B877" t="s">
        <v>231</v>
      </c>
      <c r="C877">
        <v>73017</v>
      </c>
      <c r="D877" s="2">
        <v>573.58000000000004</v>
      </c>
      <c r="E877" s="1">
        <v>43018</v>
      </c>
      <c r="F877" t="str">
        <f>"201709295192"</f>
        <v>201709295192</v>
      </c>
      <c r="G877" t="str">
        <f>"MILEAGE REIMBURSEMENT"</f>
        <v>MILEAGE REIMBURSEMENT</v>
      </c>
      <c r="H877" s="2">
        <v>102.83</v>
      </c>
      <c r="I877" t="str">
        <f>"MILEAGE REIMBURSEMENT"</f>
        <v>MILEAGE REIMBURSEMENT</v>
      </c>
    </row>
    <row r="878" spans="1:9" x14ac:dyDescent="0.3">
      <c r="A878" t="str">
        <f>""</f>
        <v/>
      </c>
      <c r="F878" t="str">
        <f>"201710025213"</f>
        <v>201710025213</v>
      </c>
      <c r="G878" t="str">
        <f>"REIMBURSE-PER DIEM/LODGING"</f>
        <v>REIMBURSE-PER DIEM/LODGING</v>
      </c>
      <c r="H878" s="2">
        <v>470.75</v>
      </c>
      <c r="I878" t="str">
        <f>"REIMBURSE-PER DIEM/LODGING"</f>
        <v>REIMBURSE-PER DIEM/LODGING</v>
      </c>
    </row>
    <row r="879" spans="1:9" x14ac:dyDescent="0.3">
      <c r="A879" t="str">
        <f>"T6551"</f>
        <v>T6551</v>
      </c>
      <c r="B879" t="s">
        <v>232</v>
      </c>
      <c r="C879">
        <v>73018</v>
      </c>
      <c r="D879" s="2">
        <v>1592.51</v>
      </c>
      <c r="E879" s="1">
        <v>43018</v>
      </c>
      <c r="F879" t="str">
        <f>"INV00799037"</f>
        <v>INV00799037</v>
      </c>
      <c r="G879" t="str">
        <f>"INV00799037"</f>
        <v>INV00799037</v>
      </c>
      <c r="H879" s="2">
        <v>1592.51</v>
      </c>
      <c r="I879" t="str">
        <f>"INV00799037"</f>
        <v>INV00799037</v>
      </c>
    </row>
    <row r="880" spans="1:9" x14ac:dyDescent="0.3">
      <c r="A880" t="str">
        <f>"T12652"</f>
        <v>T12652</v>
      </c>
      <c r="B880" t="s">
        <v>233</v>
      </c>
      <c r="C880">
        <v>73263</v>
      </c>
      <c r="D880" s="2">
        <v>500</v>
      </c>
      <c r="E880" s="1">
        <v>43031</v>
      </c>
      <c r="F880" t="str">
        <f>"201710185783"</f>
        <v>201710185783</v>
      </c>
      <c r="G880" t="str">
        <f>"55 152"</f>
        <v>55 152</v>
      </c>
      <c r="H880" s="2">
        <v>250</v>
      </c>
      <c r="I880" t="str">
        <f>"55 152"</f>
        <v>55 152</v>
      </c>
    </row>
    <row r="881" spans="1:9" x14ac:dyDescent="0.3">
      <c r="A881" t="str">
        <f>""</f>
        <v/>
      </c>
      <c r="F881" t="str">
        <f>"201710185784"</f>
        <v>201710185784</v>
      </c>
      <c r="G881" t="str">
        <f>"54 377"</f>
        <v>54 377</v>
      </c>
      <c r="H881" s="2">
        <v>250</v>
      </c>
      <c r="I881" t="str">
        <f>"54 377"</f>
        <v>54 377</v>
      </c>
    </row>
    <row r="882" spans="1:9" x14ac:dyDescent="0.3">
      <c r="A882" t="str">
        <f>"005253"</f>
        <v>005253</v>
      </c>
      <c r="B882" t="s">
        <v>234</v>
      </c>
      <c r="C882">
        <v>73264</v>
      </c>
      <c r="D882" s="2">
        <v>150</v>
      </c>
      <c r="E882" s="1">
        <v>43031</v>
      </c>
      <c r="F882" t="str">
        <f>"PER DIEM-L.PARKER"</f>
        <v>PER DIEM-L.PARKER</v>
      </c>
      <c r="G882" t="str">
        <f>"PER DIEM"</f>
        <v>PER DIEM</v>
      </c>
      <c r="H882" s="2">
        <v>150</v>
      </c>
      <c r="I882" t="str">
        <f>"PER DIEM"</f>
        <v>PER DIEM</v>
      </c>
    </row>
    <row r="883" spans="1:9" x14ac:dyDescent="0.3">
      <c r="A883" t="str">
        <f>"004851"</f>
        <v>004851</v>
      </c>
      <c r="B883" t="s">
        <v>235</v>
      </c>
      <c r="C883">
        <v>73019</v>
      </c>
      <c r="D883" s="2">
        <v>670.91</v>
      </c>
      <c r="E883" s="1">
        <v>43018</v>
      </c>
      <c r="F883" t="str">
        <f>"201710045376"</f>
        <v>201710045376</v>
      </c>
      <c r="G883" t="str">
        <f>"INDIGENT HEALTH"</f>
        <v>INDIGENT HEALTH</v>
      </c>
      <c r="H883" s="2">
        <v>670.91</v>
      </c>
      <c r="I883" t="str">
        <f>"INDIGENT HEALTH"</f>
        <v>INDIGENT HEALTH</v>
      </c>
    </row>
    <row r="884" spans="1:9" x14ac:dyDescent="0.3">
      <c r="A884" t="str">
        <f>""</f>
        <v/>
      </c>
      <c r="F884" t="str">
        <f>""</f>
        <v/>
      </c>
      <c r="G884" t="str">
        <f>""</f>
        <v/>
      </c>
      <c r="I884" t="str">
        <f>"INDIGENT HEALTH"</f>
        <v>INDIGENT HEALTH</v>
      </c>
    </row>
    <row r="885" spans="1:9" x14ac:dyDescent="0.3">
      <c r="A885" t="str">
        <f>"004557"</f>
        <v>004557</v>
      </c>
      <c r="B885" t="s">
        <v>236</v>
      </c>
      <c r="C885">
        <v>999999</v>
      </c>
      <c r="D885" s="2">
        <v>405</v>
      </c>
      <c r="E885" s="1">
        <v>43032</v>
      </c>
      <c r="F885" t="str">
        <f>"LS-16TRANSIT-BCSO"</f>
        <v>LS-16TRANSIT-BCSO</v>
      </c>
      <c r="G885" t="str">
        <f>"INV LS-16TRANSIT-BCSO"</f>
        <v>INV LS-16TRANSIT-BCSO</v>
      </c>
      <c r="H885" s="2">
        <v>405</v>
      </c>
      <c r="I885" t="str">
        <f>"INV LS-16TRANSIT-BCSO"</f>
        <v>INV LS-16TRANSIT-BCSO</v>
      </c>
    </row>
    <row r="886" spans="1:9" x14ac:dyDescent="0.3">
      <c r="A886" t="str">
        <f>"004109"</f>
        <v>004109</v>
      </c>
      <c r="B886" t="s">
        <v>237</v>
      </c>
      <c r="C886">
        <v>73265</v>
      </c>
      <c r="D886" s="2">
        <v>402.24</v>
      </c>
      <c r="E886" s="1">
        <v>43031</v>
      </c>
      <c r="F886" t="str">
        <f>"201710185833"</f>
        <v>201710185833</v>
      </c>
      <c r="G886" t="str">
        <f>"INDIGENT HEALTH"</f>
        <v>INDIGENT HEALTH</v>
      </c>
      <c r="H886" s="2">
        <v>402.24</v>
      </c>
      <c r="I886" t="str">
        <f>"INDIGENT HEALTH"</f>
        <v>INDIGENT HEALTH</v>
      </c>
    </row>
    <row r="887" spans="1:9" x14ac:dyDescent="0.3">
      <c r="A887" t="str">
        <f>"LIE"</f>
        <v>LIE</v>
      </c>
      <c r="B887" t="s">
        <v>238</v>
      </c>
      <c r="C887">
        <v>73020</v>
      </c>
      <c r="D887" s="2">
        <v>953.09</v>
      </c>
      <c r="E887" s="1">
        <v>43018</v>
      </c>
      <c r="F887" t="str">
        <f>"1022873"</f>
        <v>1022873</v>
      </c>
      <c r="G887" t="str">
        <f>"ACCT#4360/PART#1822679C4/PCT#2"</f>
        <v>ACCT#4360/PART#1822679C4/PCT#2</v>
      </c>
      <c r="H887" s="2">
        <v>195.78</v>
      </c>
      <c r="I887" t="str">
        <f>"ACCT#4360/PART#1822679C4/PCT#2"</f>
        <v>ACCT#4360/PART#1822679C4/PCT#2</v>
      </c>
    </row>
    <row r="888" spans="1:9" x14ac:dyDescent="0.3">
      <c r="A888" t="str">
        <f>""</f>
        <v/>
      </c>
      <c r="F888" t="str">
        <f>"314128"</f>
        <v>314128</v>
      </c>
      <c r="G888" t="str">
        <f>"CUST#4358/PCT#1"</f>
        <v>CUST#4358/PCT#1</v>
      </c>
      <c r="H888" s="2">
        <v>757.31</v>
      </c>
      <c r="I888" t="str">
        <f>"CUST#4358/PCT#1"</f>
        <v>CUST#4358/PCT#1</v>
      </c>
    </row>
    <row r="889" spans="1:9" x14ac:dyDescent="0.3">
      <c r="A889" t="str">
        <f>"LIE"</f>
        <v>LIE</v>
      </c>
      <c r="B889" t="s">
        <v>238</v>
      </c>
      <c r="C889">
        <v>73266</v>
      </c>
      <c r="D889" s="2">
        <v>221.98</v>
      </c>
      <c r="E889" s="1">
        <v>43031</v>
      </c>
      <c r="F889" t="str">
        <f>"1024369"</f>
        <v>1024369</v>
      </c>
      <c r="G889" t="str">
        <f>"ACCT#4358/PCT#1"</f>
        <v>ACCT#4358/PCT#1</v>
      </c>
      <c r="H889" s="2">
        <v>221.98</v>
      </c>
      <c r="I889" t="str">
        <f>"ACCT#4358/PCT#1"</f>
        <v>ACCT#4358/PCT#1</v>
      </c>
    </row>
    <row r="890" spans="1:9" x14ac:dyDescent="0.3">
      <c r="A890" t="str">
        <f>"T13085"</f>
        <v>T13085</v>
      </c>
      <c r="B890" t="s">
        <v>239</v>
      </c>
      <c r="C890">
        <v>999999</v>
      </c>
      <c r="D890" s="2">
        <v>304</v>
      </c>
      <c r="E890" s="1">
        <v>43019</v>
      </c>
      <c r="F890" t="str">
        <f>"10-000064"</f>
        <v>10-000064</v>
      </c>
      <c r="G890" t="str">
        <f>"VEHICLE WASHES"</f>
        <v>VEHICLE WASHES</v>
      </c>
      <c r="H890" s="2">
        <v>304</v>
      </c>
      <c r="I890" t="str">
        <f>"INV 10-000064"</f>
        <v>INV 10-000064</v>
      </c>
    </row>
    <row r="891" spans="1:9" x14ac:dyDescent="0.3">
      <c r="A891" t="str">
        <f>"T5843"</f>
        <v>T5843</v>
      </c>
      <c r="B891" t="s">
        <v>240</v>
      </c>
      <c r="C891">
        <v>73021</v>
      </c>
      <c r="D891" s="2">
        <v>2500</v>
      </c>
      <c r="E891" s="1">
        <v>43018</v>
      </c>
      <c r="F891" t="str">
        <f>"63466FA6"</f>
        <v>63466FA6</v>
      </c>
      <c r="G891" t="str">
        <f>"INV     /UNIT 1668"</f>
        <v>INV     /UNIT 1668</v>
      </c>
      <c r="H891" s="2">
        <v>2500</v>
      </c>
      <c r="I891" t="str">
        <f>"INV     /UNIT 1668"</f>
        <v>INV     /UNIT 1668</v>
      </c>
    </row>
    <row r="892" spans="1:9" x14ac:dyDescent="0.3">
      <c r="A892" t="str">
        <f>"T5843"</f>
        <v>T5843</v>
      </c>
      <c r="B892" t="s">
        <v>240</v>
      </c>
      <c r="C892">
        <v>73267</v>
      </c>
      <c r="D892" s="2">
        <v>100.6</v>
      </c>
      <c r="E892" s="1">
        <v>43031</v>
      </c>
      <c r="F892" t="str">
        <f>"15211"</f>
        <v>15211</v>
      </c>
      <c r="G892" t="str">
        <f>"RO #15211"</f>
        <v>RO #15211</v>
      </c>
      <c r="H892" s="2">
        <v>100.6</v>
      </c>
      <c r="I892" t="str">
        <f>"RO #15211"</f>
        <v>RO #15211</v>
      </c>
    </row>
    <row r="893" spans="1:9" x14ac:dyDescent="0.3">
      <c r="A893" t="str">
        <f>"005041"</f>
        <v>005041</v>
      </c>
      <c r="B893" t="s">
        <v>241</v>
      </c>
      <c r="C893">
        <v>73022</v>
      </c>
      <c r="D893" s="2">
        <v>5096.38</v>
      </c>
      <c r="E893" s="1">
        <v>43018</v>
      </c>
      <c r="F893" t="str">
        <f>"BC-7HY99400-1"</f>
        <v>BC-7HY99400-1</v>
      </c>
      <c r="G893" t="str">
        <f>"2007 FREIGHT/PCT#3"</f>
        <v>2007 FREIGHT/PCT#3</v>
      </c>
      <c r="H893" s="2">
        <v>1145.31</v>
      </c>
      <c r="I893" t="str">
        <f>"2007 FREIGHT/PCT#3"</f>
        <v>2007 FREIGHT/PCT#3</v>
      </c>
    </row>
    <row r="894" spans="1:9" x14ac:dyDescent="0.3">
      <c r="A894" t="str">
        <f>""</f>
        <v/>
      </c>
      <c r="F894" t="str">
        <f>"BC-PCT3-1"</f>
        <v>BC-PCT3-1</v>
      </c>
      <c r="G894" t="str">
        <f>"FORGED PINT-HOOK/FREIGHT/PCT#3"</f>
        <v>FORGED PINT-HOOK/FREIGHT/PCT#3</v>
      </c>
      <c r="H894" s="2">
        <v>262.64999999999998</v>
      </c>
      <c r="I894" t="str">
        <f>"FORGED PINT-HOOK/FREIGHT/PCT#3"</f>
        <v>FORGED PINT-HOOK/FREIGHT/PCT#3</v>
      </c>
    </row>
    <row r="895" spans="1:9" x14ac:dyDescent="0.3">
      <c r="A895" t="str">
        <f>""</f>
        <v/>
      </c>
      <c r="F895" t="str">
        <f>"BC-YPG26836-1"</f>
        <v>BC-YPG26836-1</v>
      </c>
      <c r="G895" t="str">
        <f>"1999 FREIGHT/PCT#2"</f>
        <v>1999 FREIGHT/PCT#2</v>
      </c>
      <c r="H895" s="2">
        <v>3688.42</v>
      </c>
      <c r="I895" t="str">
        <f>"1999 FREIGHT/PCT#2"</f>
        <v>1999 FREIGHT/PCT#2</v>
      </c>
    </row>
    <row r="896" spans="1:9" x14ac:dyDescent="0.3">
      <c r="A896" t="str">
        <f>"000888"</f>
        <v>000888</v>
      </c>
      <c r="B896" t="s">
        <v>242</v>
      </c>
      <c r="C896">
        <v>73268</v>
      </c>
      <c r="D896" s="2">
        <v>2361.62</v>
      </c>
      <c r="E896" s="1">
        <v>43031</v>
      </c>
      <c r="F896" t="str">
        <f>"ACCT#9006938692"</f>
        <v>ACCT#9006938692</v>
      </c>
      <c r="G896" t="str">
        <f>"Acct# 9006938692"</f>
        <v>Acct# 9006938692</v>
      </c>
      <c r="H896" s="2">
        <v>2361.62</v>
      </c>
      <c r="I896" t="str">
        <f>"Inv# 909769"</f>
        <v>Inv# 909769</v>
      </c>
    </row>
    <row r="897" spans="1:9" x14ac:dyDescent="0.3">
      <c r="A897" t="str">
        <f>""</f>
        <v/>
      </c>
      <c r="F897" t="str">
        <f>""</f>
        <v/>
      </c>
      <c r="G897" t="str">
        <f>""</f>
        <v/>
      </c>
      <c r="I897" t="str">
        <f>"Inv# 915122"</f>
        <v>Inv# 915122</v>
      </c>
    </row>
    <row r="898" spans="1:9" x14ac:dyDescent="0.3">
      <c r="A898" t="str">
        <f>""</f>
        <v/>
      </c>
      <c r="F898" t="str">
        <f>""</f>
        <v/>
      </c>
      <c r="G898" t="str">
        <f>""</f>
        <v/>
      </c>
      <c r="I898" t="str">
        <f>"Inv# 910693"</f>
        <v>Inv# 910693</v>
      </c>
    </row>
    <row r="899" spans="1:9" x14ac:dyDescent="0.3">
      <c r="A899" t="str">
        <f>""</f>
        <v/>
      </c>
      <c r="F899" t="str">
        <f>""</f>
        <v/>
      </c>
      <c r="G899" t="str">
        <f>""</f>
        <v/>
      </c>
      <c r="I899" t="str">
        <f>"Inv# 914337"</f>
        <v>Inv# 914337</v>
      </c>
    </row>
    <row r="900" spans="1:9" x14ac:dyDescent="0.3">
      <c r="A900" t="str">
        <f>""</f>
        <v/>
      </c>
      <c r="F900" t="str">
        <f>""</f>
        <v/>
      </c>
      <c r="G900" t="str">
        <f>""</f>
        <v/>
      </c>
      <c r="I900" t="str">
        <f>"Inv# 901456"</f>
        <v>Inv# 901456</v>
      </c>
    </row>
    <row r="901" spans="1:9" x14ac:dyDescent="0.3">
      <c r="A901" t="str">
        <f>""</f>
        <v/>
      </c>
      <c r="F901" t="str">
        <f>""</f>
        <v/>
      </c>
      <c r="G901" t="str">
        <f>""</f>
        <v/>
      </c>
      <c r="I901" t="str">
        <f>"Inv# 911036"</f>
        <v>Inv# 911036</v>
      </c>
    </row>
    <row r="902" spans="1:9" x14ac:dyDescent="0.3">
      <c r="A902" t="str">
        <f>""</f>
        <v/>
      </c>
      <c r="F902" t="str">
        <f>""</f>
        <v/>
      </c>
      <c r="G902" t="str">
        <f>""</f>
        <v/>
      </c>
      <c r="I902" t="str">
        <f>"Inv# 914240"</f>
        <v>Inv# 914240</v>
      </c>
    </row>
    <row r="903" spans="1:9" x14ac:dyDescent="0.3">
      <c r="A903" t="str">
        <f>""</f>
        <v/>
      </c>
      <c r="F903" t="str">
        <f>""</f>
        <v/>
      </c>
      <c r="G903" t="str">
        <f>""</f>
        <v/>
      </c>
      <c r="I903" t="str">
        <f>"Inv# 911154"</f>
        <v>Inv# 911154</v>
      </c>
    </row>
    <row r="904" spans="1:9" x14ac:dyDescent="0.3">
      <c r="A904" t="str">
        <f>""</f>
        <v/>
      </c>
      <c r="F904" t="str">
        <f>""</f>
        <v/>
      </c>
      <c r="G904" t="str">
        <f>""</f>
        <v/>
      </c>
      <c r="I904" t="str">
        <f>"Inv# 997680"</f>
        <v>Inv# 997680</v>
      </c>
    </row>
    <row r="905" spans="1:9" x14ac:dyDescent="0.3">
      <c r="A905" t="str">
        <f>""</f>
        <v/>
      </c>
      <c r="F905" t="str">
        <f>""</f>
        <v/>
      </c>
      <c r="G905" t="str">
        <f>""</f>
        <v/>
      </c>
      <c r="I905" t="str">
        <f>"Inv# 901093"</f>
        <v>Inv# 901093</v>
      </c>
    </row>
    <row r="906" spans="1:9" x14ac:dyDescent="0.3">
      <c r="A906" t="str">
        <f>""</f>
        <v/>
      </c>
      <c r="F906" t="str">
        <f>""</f>
        <v/>
      </c>
      <c r="G906" t="str">
        <f>""</f>
        <v/>
      </c>
      <c r="I906" t="str">
        <f>"Inv# 920476"</f>
        <v>Inv# 920476</v>
      </c>
    </row>
    <row r="907" spans="1:9" x14ac:dyDescent="0.3">
      <c r="A907" t="str">
        <f>""</f>
        <v/>
      </c>
      <c r="F907" t="str">
        <f>""</f>
        <v/>
      </c>
      <c r="G907" t="str">
        <f>""</f>
        <v/>
      </c>
      <c r="I907" t="str">
        <f>"Inv# 914150"</f>
        <v>Inv# 914150</v>
      </c>
    </row>
    <row r="908" spans="1:9" x14ac:dyDescent="0.3">
      <c r="A908" t="str">
        <f>"MARIA"</f>
        <v>MARIA</v>
      </c>
      <c r="B908" t="s">
        <v>243</v>
      </c>
      <c r="C908">
        <v>999999</v>
      </c>
      <c r="D908" s="2">
        <v>1070.8499999999999</v>
      </c>
      <c r="E908" s="1">
        <v>43019</v>
      </c>
      <c r="F908" t="str">
        <f>"201709275142"</f>
        <v>201709275142</v>
      </c>
      <c r="G908" t="str">
        <f>"423-5214"</f>
        <v>423-5214</v>
      </c>
      <c r="H908" s="2">
        <v>228.17</v>
      </c>
      <c r="I908" t="str">
        <f>"423-5214"</f>
        <v>423-5214</v>
      </c>
    </row>
    <row r="909" spans="1:9" x14ac:dyDescent="0.3">
      <c r="A909" t="str">
        <f>""</f>
        <v/>
      </c>
      <c r="F909" t="str">
        <f>"201709285156"</f>
        <v>201709285156</v>
      </c>
      <c r="G909" t="str">
        <f>"CRIMINAL DC 09/27/17"</f>
        <v>CRIMINAL DC 09/27/17</v>
      </c>
      <c r="H909" s="2">
        <v>183.17</v>
      </c>
      <c r="I909" t="str">
        <f>"CRIMINAL DC 09/27/17"</f>
        <v>CRIMINAL DC 09/27/17</v>
      </c>
    </row>
    <row r="910" spans="1:9" x14ac:dyDescent="0.3">
      <c r="A910" t="str">
        <f>""</f>
        <v/>
      </c>
      <c r="F910" t="str">
        <f>"201710045347"</f>
        <v>201710045347</v>
      </c>
      <c r="G910" t="str">
        <f>"17-18525"</f>
        <v>17-18525</v>
      </c>
      <c r="H910" s="2">
        <v>50</v>
      </c>
      <c r="I910" t="str">
        <f>"17-18525"</f>
        <v>17-18525</v>
      </c>
    </row>
    <row r="911" spans="1:9" x14ac:dyDescent="0.3">
      <c r="A911" t="str">
        <f>""</f>
        <v/>
      </c>
      <c r="F911" t="str">
        <f>"201710045348"</f>
        <v>201710045348</v>
      </c>
      <c r="G911" t="str">
        <f>"16-17909"</f>
        <v>16-17909</v>
      </c>
      <c r="H911" s="2">
        <v>83.17</v>
      </c>
      <c r="I911" t="str">
        <f>"16-17909"</f>
        <v>16-17909</v>
      </c>
    </row>
    <row r="912" spans="1:9" x14ac:dyDescent="0.3">
      <c r="A912" t="str">
        <f>""</f>
        <v/>
      </c>
      <c r="F912" t="str">
        <f>"201710045349"</f>
        <v>201710045349</v>
      </c>
      <c r="G912" t="str">
        <f>"CRIMINAL 9/28/17"</f>
        <v>CRIMINAL 9/28/17</v>
      </c>
      <c r="H912" s="2">
        <v>183.17</v>
      </c>
      <c r="I912" t="str">
        <f>"CRIMINAL 9/28/17"</f>
        <v>CRIMINAL 9/28/17</v>
      </c>
    </row>
    <row r="913" spans="1:9" x14ac:dyDescent="0.3">
      <c r="A913" t="str">
        <f>""</f>
        <v/>
      </c>
      <c r="F913" t="str">
        <f>"201710045350"</f>
        <v>201710045350</v>
      </c>
      <c r="G913" t="str">
        <f>"J-3095"</f>
        <v>J-3095</v>
      </c>
      <c r="H913" s="2">
        <v>50</v>
      </c>
      <c r="I913" t="str">
        <f>"J-3095"</f>
        <v>J-3095</v>
      </c>
    </row>
    <row r="914" spans="1:9" x14ac:dyDescent="0.3">
      <c r="A914" t="str">
        <f>""</f>
        <v/>
      </c>
      <c r="F914" t="str">
        <f>"201710045351"</f>
        <v>201710045351</v>
      </c>
      <c r="G914" t="str">
        <f>"423-4927"</f>
        <v>423-4927</v>
      </c>
      <c r="H914" s="2">
        <v>293.17</v>
      </c>
      <c r="I914" t="str">
        <f>"423-4927"</f>
        <v>423-4927</v>
      </c>
    </row>
    <row r="915" spans="1:9" x14ac:dyDescent="0.3">
      <c r="A915" t="str">
        <f>"MARIA"</f>
        <v>MARIA</v>
      </c>
      <c r="B915" t="s">
        <v>243</v>
      </c>
      <c r="C915">
        <v>999999</v>
      </c>
      <c r="D915" s="2">
        <v>777.68</v>
      </c>
      <c r="E915" s="1">
        <v>43032</v>
      </c>
      <c r="F915" t="str">
        <f>"201710135690"</f>
        <v>201710135690</v>
      </c>
      <c r="G915" t="str">
        <f>"CRIMINAL DC  10/4/17"</f>
        <v>CRIMINAL DC  10/4/17</v>
      </c>
      <c r="H915" s="2">
        <v>228.17</v>
      </c>
      <c r="I915" t="str">
        <f>"CRIMINAL DC  10/4/17"</f>
        <v>CRIMINAL DC  10/4/17</v>
      </c>
    </row>
    <row r="916" spans="1:9" x14ac:dyDescent="0.3">
      <c r="A916" t="str">
        <f>""</f>
        <v/>
      </c>
      <c r="F916" t="str">
        <f>"201710185785"</f>
        <v>201710185785</v>
      </c>
      <c r="G916" t="str">
        <f>"J-MANUEL HERNANDEZ"</f>
        <v>J-MANUEL HERNANDEZ</v>
      </c>
      <c r="H916" s="2">
        <v>108.17</v>
      </c>
      <c r="I916" t="str">
        <f>"J-MANUEL HERNANDEZ"</f>
        <v>J-MANUEL HERNANDEZ</v>
      </c>
    </row>
    <row r="917" spans="1:9" x14ac:dyDescent="0.3">
      <c r="A917" t="str">
        <f>""</f>
        <v/>
      </c>
      <c r="F917" t="str">
        <f>"201710185786"</f>
        <v>201710185786</v>
      </c>
      <c r="G917" t="str">
        <f>"CRIMINAL CCL 10/12/17"</f>
        <v>CRIMINAL CCL 10/12/17</v>
      </c>
      <c r="H917" s="2">
        <v>183.17</v>
      </c>
      <c r="I917" t="str">
        <f>"CRIMINAL CCL 10/12/17"</f>
        <v>CRIMINAL CCL 10/12/17</v>
      </c>
    </row>
    <row r="918" spans="1:9" x14ac:dyDescent="0.3">
      <c r="A918" t="str">
        <f>""</f>
        <v/>
      </c>
      <c r="F918" t="str">
        <f>"201710185787"</f>
        <v>201710185787</v>
      </c>
      <c r="G918" t="str">
        <f>"CRIMINAL CCL 10-5-17"</f>
        <v>CRIMINAL CCL 10-5-17</v>
      </c>
      <c r="H918" s="2">
        <v>183.17</v>
      </c>
      <c r="I918" t="str">
        <f>"CRIMINAL CCL 10-5-17"</f>
        <v>CRIMINAL CCL 10-5-17</v>
      </c>
    </row>
    <row r="919" spans="1:9" x14ac:dyDescent="0.3">
      <c r="A919" t="str">
        <f>""</f>
        <v/>
      </c>
      <c r="F919" t="str">
        <f>"201710185788"</f>
        <v>201710185788</v>
      </c>
      <c r="G919" t="str">
        <f>"NO CAUSE # - 10/05/17"</f>
        <v>NO CAUSE # - 10/05/17</v>
      </c>
      <c r="H919" s="2">
        <v>75</v>
      </c>
      <c r="I919" t="str">
        <f>"NO CAUSE # - 10/05/17"</f>
        <v>NO CAUSE # - 10/05/17</v>
      </c>
    </row>
    <row r="920" spans="1:9" x14ac:dyDescent="0.3">
      <c r="A920" t="str">
        <f>"001017"</f>
        <v>001017</v>
      </c>
      <c r="B920" t="s">
        <v>244</v>
      </c>
      <c r="C920">
        <v>73023</v>
      </c>
      <c r="D920" s="2">
        <v>422.03</v>
      </c>
      <c r="E920" s="1">
        <v>43018</v>
      </c>
      <c r="F920" t="str">
        <f>"201709295189"</f>
        <v>201709295189</v>
      </c>
      <c r="G920" t="str">
        <f>"TRAVEL EXPENSE REIMBURSEMENT"</f>
        <v>TRAVEL EXPENSE REIMBURSEMENT</v>
      </c>
      <c r="H920" s="2">
        <v>422.03</v>
      </c>
      <c r="I920" t="str">
        <f>"TRAVEL EXPENSE REIMBURSEMENT"</f>
        <v>TRAVEL EXPENSE REIMBURSEMENT</v>
      </c>
    </row>
    <row r="921" spans="1:9" x14ac:dyDescent="0.3">
      <c r="A921" t="str">
        <f>"002282"</f>
        <v>002282</v>
      </c>
      <c r="B921" t="s">
        <v>245</v>
      </c>
      <c r="C921">
        <v>73024</v>
      </c>
      <c r="D921" s="2">
        <v>3600</v>
      </c>
      <c r="E921" s="1">
        <v>43018</v>
      </c>
      <c r="F921" t="str">
        <f>"201710045552"</f>
        <v>201710045552</v>
      </c>
      <c r="G921" t="str">
        <f>"VETERINARY SVCS-08/03-08/31/17"</f>
        <v>VETERINARY SVCS-08/03-08/31/17</v>
      </c>
      <c r="H921" s="2">
        <v>3600</v>
      </c>
      <c r="I921" t="str">
        <f>"VETERINARY SVCS-08/03-08/31/17"</f>
        <v>VETERINARY SVCS-08/03-08/31/17</v>
      </c>
    </row>
    <row r="922" spans="1:9" x14ac:dyDescent="0.3">
      <c r="A922" t="str">
        <f>"002282"</f>
        <v>002282</v>
      </c>
      <c r="B922" t="s">
        <v>245</v>
      </c>
      <c r="C922">
        <v>73269</v>
      </c>
      <c r="D922" s="2">
        <v>2700</v>
      </c>
      <c r="E922" s="1">
        <v>43031</v>
      </c>
      <c r="F922" t="str">
        <f>"201710185848"</f>
        <v>201710185848</v>
      </c>
      <c r="G922" t="str">
        <f>"VETERINARY SVCS-09/05-09/28"</f>
        <v>VETERINARY SVCS-09/05-09/28</v>
      </c>
      <c r="H922" s="2">
        <v>2700</v>
      </c>
      <c r="I922" t="str">
        <f>"VETERINARY SVCS-09/05-09/28"</f>
        <v>VETERINARY SVCS-09/05-09/28</v>
      </c>
    </row>
    <row r="923" spans="1:9" x14ac:dyDescent="0.3">
      <c r="A923" t="str">
        <f>"005242"</f>
        <v>005242</v>
      </c>
      <c r="B923" t="s">
        <v>246</v>
      </c>
      <c r="C923">
        <v>73025</v>
      </c>
      <c r="D923" s="2">
        <v>260</v>
      </c>
      <c r="E923" s="1">
        <v>43018</v>
      </c>
      <c r="F923" t="str">
        <f>"201710045371"</f>
        <v>201710045371</v>
      </c>
      <c r="G923" t="str">
        <f>"INDIGENT HEALTH"</f>
        <v>INDIGENT HEALTH</v>
      </c>
      <c r="H923" s="2">
        <v>260</v>
      </c>
      <c r="I923" t="str">
        <f>"INDIGENT HEALTH"</f>
        <v>INDIGENT HEALTH</v>
      </c>
    </row>
    <row r="924" spans="1:9" x14ac:dyDescent="0.3">
      <c r="A924" t="str">
        <f>"004909"</f>
        <v>004909</v>
      </c>
      <c r="B924" t="s">
        <v>247</v>
      </c>
      <c r="C924">
        <v>999999</v>
      </c>
      <c r="D924" s="2">
        <v>350.09</v>
      </c>
      <c r="E924" s="1">
        <v>43019</v>
      </c>
      <c r="F924" t="str">
        <f>"201709285179"</f>
        <v>201709285179</v>
      </c>
      <c r="G924" t="str">
        <f>"REIMBURSE-FOOD FOR PAVING CREW"</f>
        <v>REIMBURSE-FOOD FOR PAVING CREW</v>
      </c>
      <c r="H924" s="2">
        <v>350.09</v>
      </c>
      <c r="I924" t="str">
        <f>"REIMBURSE-FOOD FOR PAVING CREW"</f>
        <v>REIMBURSE-FOOD FOR PAVING CREW</v>
      </c>
    </row>
    <row r="925" spans="1:9" x14ac:dyDescent="0.3">
      <c r="A925" t="str">
        <f>"004909"</f>
        <v>004909</v>
      </c>
      <c r="B925" t="s">
        <v>247</v>
      </c>
      <c r="C925">
        <v>999999</v>
      </c>
      <c r="D925" s="2">
        <v>119.26</v>
      </c>
      <c r="E925" s="1">
        <v>43032</v>
      </c>
      <c r="F925" t="str">
        <f>"201710135618"</f>
        <v>201710135618</v>
      </c>
      <c r="G925" t="str">
        <f>"REIMBURSE-FOOD FOR PAVING CREW"</f>
        <v>REIMBURSE-FOOD FOR PAVING CREW</v>
      </c>
      <c r="H925" s="2">
        <v>119.26</v>
      </c>
      <c r="I925" t="str">
        <f>"REIMBURSE-FOOD FOR PAVING CREW"</f>
        <v>REIMBURSE-FOOD FOR PAVING CREW</v>
      </c>
    </row>
    <row r="926" spans="1:9" x14ac:dyDescent="0.3">
      <c r="A926" t="str">
        <f>"T13936"</f>
        <v>T13936</v>
      </c>
      <c r="B926" t="s">
        <v>248</v>
      </c>
      <c r="C926">
        <v>73026</v>
      </c>
      <c r="D926" s="2">
        <v>1348.71</v>
      </c>
      <c r="E926" s="1">
        <v>43018</v>
      </c>
      <c r="F926" t="str">
        <f>"201710045377"</f>
        <v>201710045377</v>
      </c>
      <c r="G926" t="str">
        <f>"INDIGENT HEALTH"</f>
        <v>INDIGENT HEALTH</v>
      </c>
      <c r="H926" s="2">
        <v>1348.71</v>
      </c>
      <c r="I926" t="str">
        <f>"INDIGENT HEALTH"</f>
        <v>INDIGENT HEALTH</v>
      </c>
    </row>
    <row r="927" spans="1:9" x14ac:dyDescent="0.3">
      <c r="A927" t="str">
        <f>""</f>
        <v/>
      </c>
      <c r="F927" t="str">
        <f>""</f>
        <v/>
      </c>
      <c r="G927" t="str">
        <f>""</f>
        <v/>
      </c>
      <c r="I927" t="str">
        <f>"INDIGENT HEALTH"</f>
        <v>INDIGENT HEALTH</v>
      </c>
    </row>
    <row r="928" spans="1:9" x14ac:dyDescent="0.3">
      <c r="A928" t="str">
        <f>"T13936"</f>
        <v>T13936</v>
      </c>
      <c r="B928" t="s">
        <v>248</v>
      </c>
      <c r="C928">
        <v>73270</v>
      </c>
      <c r="D928" s="2">
        <v>702.48</v>
      </c>
      <c r="E928" s="1">
        <v>43031</v>
      </c>
      <c r="F928" t="str">
        <f>"201710185834"</f>
        <v>201710185834</v>
      </c>
      <c r="G928" t="str">
        <f>"INDIGENT HEALTH"</f>
        <v>INDIGENT HEALTH</v>
      </c>
      <c r="H928" s="2">
        <v>702.48</v>
      </c>
      <c r="I928" t="str">
        <f>"INDIGENT HEALTH"</f>
        <v>INDIGENT HEALTH</v>
      </c>
    </row>
    <row r="929" spans="1:9" x14ac:dyDescent="0.3">
      <c r="A929" t="str">
        <f>""</f>
        <v/>
      </c>
      <c r="F929" t="str">
        <f>""</f>
        <v/>
      </c>
      <c r="G929" t="str">
        <f>""</f>
        <v/>
      </c>
      <c r="I929" t="str">
        <f>"INDIGENT HEALTH"</f>
        <v>INDIGENT HEALTH</v>
      </c>
    </row>
    <row r="930" spans="1:9" x14ac:dyDescent="0.3">
      <c r="A930" t="str">
        <f>"003786"</f>
        <v>003786</v>
      </c>
      <c r="B930" t="s">
        <v>249</v>
      </c>
      <c r="C930">
        <v>73271</v>
      </c>
      <c r="D930" s="2">
        <v>150</v>
      </c>
      <c r="E930" s="1">
        <v>43031</v>
      </c>
      <c r="F930" t="str">
        <f>"PER DIEM-M.WHITE"</f>
        <v>PER DIEM-M.WHITE</v>
      </c>
      <c r="G930" t="str">
        <f>"PER DIEM"</f>
        <v>PER DIEM</v>
      </c>
      <c r="H930" s="2">
        <v>150</v>
      </c>
      <c r="I930" t="str">
        <f>"PER DIEM"</f>
        <v>PER DIEM</v>
      </c>
    </row>
    <row r="931" spans="1:9" x14ac:dyDescent="0.3">
      <c r="A931" t="str">
        <f>"005246"</f>
        <v>005246</v>
      </c>
      <c r="B931" t="s">
        <v>250</v>
      </c>
      <c r="C931">
        <v>73272</v>
      </c>
      <c r="D931" s="2">
        <v>113.4</v>
      </c>
      <c r="E931" s="1">
        <v>43031</v>
      </c>
      <c r="F931" t="str">
        <f>"201710125593"</f>
        <v>201710125593</v>
      </c>
      <c r="G931" t="str">
        <f>"1CO-1778-14 REFUND FOR OVERPAY"</f>
        <v>1CO-1778-14 REFUND FOR OVERPAY</v>
      </c>
      <c r="H931" s="2">
        <v>113.4</v>
      </c>
      <c r="I931" t="str">
        <f>"1CO-1778-14 REFUND FOR OVERPAY"</f>
        <v>1CO-1778-14 REFUND FOR OVERPAY</v>
      </c>
    </row>
    <row r="932" spans="1:9" x14ac:dyDescent="0.3">
      <c r="A932" t="str">
        <f>"004144"</f>
        <v>004144</v>
      </c>
      <c r="B932" t="s">
        <v>251</v>
      </c>
      <c r="C932">
        <v>999999</v>
      </c>
      <c r="D932" s="2">
        <v>300</v>
      </c>
      <c r="E932" s="1">
        <v>43019</v>
      </c>
      <c r="F932" t="str">
        <f>"201710045352"</f>
        <v>201710045352</v>
      </c>
      <c r="G932" t="str">
        <f>"DETENTION HEARING-A.WALDON"</f>
        <v>DETENTION HEARING-A.WALDON</v>
      </c>
      <c r="H932" s="2">
        <v>100</v>
      </c>
      <c r="I932" t="str">
        <f>"DETENTION HEARING"</f>
        <v>DETENTION HEARING</v>
      </c>
    </row>
    <row r="933" spans="1:9" x14ac:dyDescent="0.3">
      <c r="A933" t="str">
        <f>""</f>
        <v/>
      </c>
      <c r="F933" t="str">
        <f>"201710045353"</f>
        <v>201710045353</v>
      </c>
      <c r="G933" t="str">
        <f>"DETENTION HEARING-E.HAROS"</f>
        <v>DETENTION HEARING-E.HAROS</v>
      </c>
      <c r="H933" s="2">
        <v>100</v>
      </c>
      <c r="I933" t="str">
        <f>"DETENTION HEARING-E.HAROS"</f>
        <v>DETENTION HEARING-E.HAROS</v>
      </c>
    </row>
    <row r="934" spans="1:9" x14ac:dyDescent="0.3">
      <c r="A934" t="str">
        <f>""</f>
        <v/>
      </c>
      <c r="F934" t="str">
        <f>"201710045354"</f>
        <v>201710045354</v>
      </c>
      <c r="G934" t="str">
        <f>"17-18525"</f>
        <v>17-18525</v>
      </c>
      <c r="H934" s="2">
        <v>100</v>
      </c>
      <c r="I934" t="str">
        <f>"004144"</f>
        <v>004144</v>
      </c>
    </row>
    <row r="935" spans="1:9" x14ac:dyDescent="0.3">
      <c r="A935" t="str">
        <f>"004144"</f>
        <v>004144</v>
      </c>
      <c r="B935" t="s">
        <v>251</v>
      </c>
      <c r="C935">
        <v>999999</v>
      </c>
      <c r="D935" s="2">
        <v>1569</v>
      </c>
      <c r="E935" s="1">
        <v>43032</v>
      </c>
      <c r="F935" t="str">
        <f>"201710185789"</f>
        <v>201710185789</v>
      </c>
      <c r="G935" t="str">
        <f>"17-18571"</f>
        <v>17-18571</v>
      </c>
      <c r="H935" s="2">
        <v>100</v>
      </c>
      <c r="I935" t="str">
        <f>"17-18571"</f>
        <v>17-18571</v>
      </c>
    </row>
    <row r="936" spans="1:9" x14ac:dyDescent="0.3">
      <c r="A936" t="str">
        <f>""</f>
        <v/>
      </c>
      <c r="F936" t="str">
        <f>"201710185790"</f>
        <v>201710185790</v>
      </c>
      <c r="G936" t="str">
        <f>"17-18625"</f>
        <v>17-18625</v>
      </c>
      <c r="H936" s="2">
        <v>100</v>
      </c>
      <c r="I936" t="str">
        <f>"17-18625"</f>
        <v>17-18625</v>
      </c>
    </row>
    <row r="937" spans="1:9" x14ac:dyDescent="0.3">
      <c r="A937" t="str">
        <f>""</f>
        <v/>
      </c>
      <c r="F937" t="str">
        <f>"201710185791"</f>
        <v>201710185791</v>
      </c>
      <c r="G937" t="str">
        <f>"JUVENILE DETENTION"</f>
        <v>JUVENILE DETENTION</v>
      </c>
      <c r="H937" s="2">
        <v>100</v>
      </c>
      <c r="I937" t="str">
        <f>"JUVENILE DETENTION"</f>
        <v>JUVENILE DETENTION</v>
      </c>
    </row>
    <row r="938" spans="1:9" x14ac:dyDescent="0.3">
      <c r="A938" t="str">
        <f>""</f>
        <v/>
      </c>
      <c r="F938" t="str">
        <f>"201710185792"</f>
        <v>201710185792</v>
      </c>
      <c r="G938" t="str">
        <f>"J-3100"</f>
        <v>J-3100</v>
      </c>
      <c r="H938" s="2">
        <v>250</v>
      </c>
      <c r="I938" t="str">
        <f>"J-3100"</f>
        <v>J-3100</v>
      </c>
    </row>
    <row r="939" spans="1:9" x14ac:dyDescent="0.3">
      <c r="A939" t="str">
        <f>""</f>
        <v/>
      </c>
      <c r="F939" t="str">
        <f>"201710185793"</f>
        <v>201710185793</v>
      </c>
      <c r="G939" t="str">
        <f>"54 896"</f>
        <v>54 896</v>
      </c>
      <c r="H939" s="2">
        <v>125</v>
      </c>
      <c r="I939" t="str">
        <f>"54 896"</f>
        <v>54 896</v>
      </c>
    </row>
    <row r="940" spans="1:9" x14ac:dyDescent="0.3">
      <c r="A940" t="str">
        <f>""</f>
        <v/>
      </c>
      <c r="F940" t="str">
        <f>"201710185794"</f>
        <v>201710185794</v>
      </c>
      <c r="G940" t="str">
        <f>"54 897"</f>
        <v>54 897</v>
      </c>
      <c r="H940" s="2">
        <v>125</v>
      </c>
      <c r="I940" t="str">
        <f>"54 897"</f>
        <v>54 897</v>
      </c>
    </row>
    <row r="941" spans="1:9" x14ac:dyDescent="0.3">
      <c r="A941" t="str">
        <f>""</f>
        <v/>
      </c>
      <c r="F941" t="str">
        <f>"201710185795"</f>
        <v>201710185795</v>
      </c>
      <c r="G941" t="str">
        <f>"55 565"</f>
        <v>55 565</v>
      </c>
      <c r="H941" s="2">
        <v>250</v>
      </c>
      <c r="I941" t="str">
        <f>"55 565"</f>
        <v>55 565</v>
      </c>
    </row>
    <row r="942" spans="1:9" x14ac:dyDescent="0.3">
      <c r="A942" t="str">
        <f>""</f>
        <v/>
      </c>
      <c r="F942" t="str">
        <f>"201710185796"</f>
        <v>201710185796</v>
      </c>
      <c r="G942" t="str">
        <f>"16-17690"</f>
        <v>16-17690</v>
      </c>
      <c r="H942" s="2">
        <v>519</v>
      </c>
      <c r="I942" t="str">
        <f>"16-17690"</f>
        <v>16-17690</v>
      </c>
    </row>
    <row r="943" spans="1:9" x14ac:dyDescent="0.3">
      <c r="A943" t="str">
        <f>"TRIGA"</f>
        <v>TRIGA</v>
      </c>
      <c r="B943" t="s">
        <v>252</v>
      </c>
      <c r="C943">
        <v>73273</v>
      </c>
      <c r="D943" s="2">
        <v>199.6</v>
      </c>
      <c r="E943" s="1">
        <v>43031</v>
      </c>
      <c r="F943" t="str">
        <f>"16238256"</f>
        <v>16238256</v>
      </c>
      <c r="G943" t="str">
        <f>"CYLINDER RENTAL/PCT#1"</f>
        <v>CYLINDER RENTAL/PCT#1</v>
      </c>
      <c r="H943" s="2">
        <v>22.23</v>
      </c>
      <c r="I943" t="str">
        <f>"CYLINDER RENTAL/PCT#1"</f>
        <v>CYLINDER RENTAL/PCT#1</v>
      </c>
    </row>
    <row r="944" spans="1:9" x14ac:dyDescent="0.3">
      <c r="A944" t="str">
        <f>""</f>
        <v/>
      </c>
      <c r="F944" t="str">
        <f>"16238364"</f>
        <v>16238364</v>
      </c>
      <c r="G944" t="str">
        <f>"CUST#45057CYLINDER RENT/PCT#4"</f>
        <v>CUST#45057CYLINDER RENT/PCT#4</v>
      </c>
      <c r="H944" s="2">
        <v>39.729999999999997</v>
      </c>
      <c r="I944" t="str">
        <f>"CUST#45057CYLINDER RENT/PCT#4"</f>
        <v>CUST#45057CYLINDER RENT/PCT#4</v>
      </c>
    </row>
    <row r="945" spans="1:10" x14ac:dyDescent="0.3">
      <c r="A945" t="str">
        <f>""</f>
        <v/>
      </c>
      <c r="F945" t="str">
        <f>"16238430"</f>
        <v>16238430</v>
      </c>
      <c r="G945" t="str">
        <f>"INV 16238430"</f>
        <v>INV 16238430</v>
      </c>
      <c r="H945" s="2">
        <v>47.64</v>
      </c>
      <c r="I945" t="str">
        <f>"INV 16238430"</f>
        <v>INV 16238430</v>
      </c>
    </row>
    <row r="946" spans="1:10" x14ac:dyDescent="0.3">
      <c r="A946" t="str">
        <f>""</f>
        <v/>
      </c>
      <c r="F946" t="str">
        <f>"16246655"</f>
        <v>16246655</v>
      </c>
      <c r="G946" t="str">
        <f>"CYLINDER RENTAL/PCT#1"</f>
        <v>CYLINDER RENTAL/PCT#1</v>
      </c>
      <c r="H946" s="2">
        <v>90</v>
      </c>
      <c r="I946" t="str">
        <f>"CYLINDER RENTAL/PCT#1"</f>
        <v>CYLINDER RENTAL/PCT#1</v>
      </c>
    </row>
    <row r="947" spans="1:10" x14ac:dyDescent="0.3">
      <c r="A947" t="str">
        <f>"T14501"</f>
        <v>T14501</v>
      </c>
      <c r="B947" t="s">
        <v>253</v>
      </c>
      <c r="C947">
        <v>73027</v>
      </c>
      <c r="D947" s="2">
        <v>1440</v>
      </c>
      <c r="E947" s="1">
        <v>43018</v>
      </c>
      <c r="F947" t="str">
        <f>"201709275147"</f>
        <v>201709275147</v>
      </c>
      <c r="G947" t="str">
        <f>"606-21/PSYC EVAL-REVIEW &amp; TRAV"</f>
        <v>606-21/PSYC EVAL-REVIEW &amp; TRAV</v>
      </c>
      <c r="H947" s="2">
        <v>1440</v>
      </c>
      <c r="I947" t="str">
        <f>"606-21/PSYC EVAL-REVIEW &amp; TRAV"</f>
        <v>606-21/PSYC EVAL-REVIEW &amp; TRAV</v>
      </c>
    </row>
    <row r="948" spans="1:10" x14ac:dyDescent="0.3">
      <c r="A948" t="str">
        <f>"005177"</f>
        <v>005177</v>
      </c>
      <c r="B948" t="s">
        <v>254</v>
      </c>
      <c r="C948">
        <v>73274</v>
      </c>
      <c r="D948" s="2">
        <v>136.41</v>
      </c>
      <c r="E948" s="1">
        <v>43031</v>
      </c>
      <c r="F948" t="str">
        <f>"REIMBURSEMENT"</f>
        <v>REIMBURSEMENT</v>
      </c>
      <c r="G948" t="str">
        <f>"REIMBURSEMENT - PARKING"</f>
        <v>REIMBURSEMENT - PARKING</v>
      </c>
      <c r="H948" s="2">
        <v>136.41</v>
      </c>
      <c r="I948" t="str">
        <f>"REIMBURSEMENT - PARKING"</f>
        <v>REIMBURSEMENT - PARKING</v>
      </c>
    </row>
    <row r="949" spans="1:10" x14ac:dyDescent="0.3">
      <c r="A949" t="str">
        <f>"MC COY"</f>
        <v>MC COY</v>
      </c>
      <c r="B949" t="s">
        <v>255</v>
      </c>
      <c r="C949">
        <v>999999</v>
      </c>
      <c r="D949" s="2">
        <v>25.54</v>
      </c>
      <c r="E949" s="1">
        <v>43019</v>
      </c>
      <c r="F949" t="str">
        <f>"644613"</f>
        <v>644613</v>
      </c>
      <c r="G949" t="str">
        <f>"ACCT#0900-98011130-001"</f>
        <v>ACCT#0900-98011130-001</v>
      </c>
      <c r="H949" s="2">
        <v>25.54</v>
      </c>
      <c r="I949" t="str">
        <f>"ACCT#0900-98011130-001"</f>
        <v>ACCT#0900-98011130-001</v>
      </c>
    </row>
    <row r="950" spans="1:10" x14ac:dyDescent="0.3">
      <c r="A950" t="str">
        <f>"MC CRE"</f>
        <v>MC CRE</v>
      </c>
      <c r="B950" t="s">
        <v>256</v>
      </c>
      <c r="C950">
        <v>73028</v>
      </c>
      <c r="D950" s="2">
        <v>27997.94</v>
      </c>
      <c r="E950" s="1">
        <v>43018</v>
      </c>
      <c r="F950" t="s">
        <v>49</v>
      </c>
      <c r="G950" t="s">
        <v>50</v>
      </c>
      <c r="H950" s="2" t="str">
        <f>"ABST FEE-$175/SERVICE-$110 8/4"</f>
        <v>ABST FEE-$175/SERVICE-$110 8/4</v>
      </c>
      <c r="I950" t="str">
        <f>"995-4110"</f>
        <v>995-4110</v>
      </c>
      <c r="J950">
        <v>285</v>
      </c>
    </row>
    <row r="951" spans="1:10" x14ac:dyDescent="0.3">
      <c r="A951" t="str">
        <f>""</f>
        <v/>
      </c>
      <c r="F951" t="s">
        <v>51</v>
      </c>
      <c r="G951" t="s">
        <v>53</v>
      </c>
      <c r="H951" s="2" t="str">
        <f>"SERVICE  08/09/17"</f>
        <v>SERVICE  08/09/17</v>
      </c>
      <c r="I951" t="str">
        <f>"995-4110"</f>
        <v>995-4110</v>
      </c>
      <c r="J951">
        <v>225</v>
      </c>
    </row>
    <row r="952" spans="1:10" x14ac:dyDescent="0.3">
      <c r="A952" t="str">
        <f>""</f>
        <v/>
      </c>
      <c r="F952" t="s">
        <v>51</v>
      </c>
      <c r="G952" t="s">
        <v>54</v>
      </c>
      <c r="H952" s="2" t="str">
        <f>"ABST FEE  08/09/17"</f>
        <v>ABST FEE  08/09/17</v>
      </c>
      <c r="I952" t="str">
        <f>"995-4110"</f>
        <v>995-4110</v>
      </c>
      <c r="J952">
        <v>225</v>
      </c>
    </row>
    <row r="953" spans="1:10" x14ac:dyDescent="0.3">
      <c r="A953" t="str">
        <f>""</f>
        <v/>
      </c>
      <c r="F953" t="str">
        <f>"12010  08/07/2017"</f>
        <v>12010  08/07/2017</v>
      </c>
      <c r="G953" t="str">
        <f>"PRINTER FEE  08/07/17"</f>
        <v>PRINTER FEE  08/07/17</v>
      </c>
      <c r="H953" s="2">
        <v>75</v>
      </c>
      <c r="I953" t="str">
        <f>"PRINTER FEE  08/07/17"</f>
        <v>PRINTER FEE  08/07/17</v>
      </c>
    </row>
    <row r="954" spans="1:10" x14ac:dyDescent="0.3">
      <c r="A954" t="str">
        <f>""</f>
        <v/>
      </c>
      <c r="F954" t="str">
        <f>"12233"</f>
        <v>12233</v>
      </c>
      <c r="G954" t="str">
        <f>"ABST FEE  08/22"</f>
        <v>ABST FEE  08/22</v>
      </c>
      <c r="H954" s="2">
        <v>175</v>
      </c>
      <c r="I954" t="str">
        <f>"ABST FEE  08/22"</f>
        <v>ABST FEE  08/22</v>
      </c>
    </row>
    <row r="955" spans="1:10" x14ac:dyDescent="0.3">
      <c r="A955" t="str">
        <f>""</f>
        <v/>
      </c>
      <c r="F955" t="str">
        <f>"12512"</f>
        <v>12512</v>
      </c>
      <c r="G955" t="str">
        <f>"ABST FEE  08/10/17"</f>
        <v>ABST FEE  08/10/17</v>
      </c>
      <c r="H955" s="2">
        <v>175</v>
      </c>
      <c r="I955" t="str">
        <f>"ABST FEE  08/10/17"</f>
        <v>ABST FEE  08/10/17</v>
      </c>
    </row>
    <row r="956" spans="1:10" x14ac:dyDescent="0.3">
      <c r="A956" t="str">
        <f>""</f>
        <v/>
      </c>
      <c r="F956" t="str">
        <f>"12751"</f>
        <v>12751</v>
      </c>
      <c r="G956" t="str">
        <f>"ABST FEE  08/23/17"</f>
        <v>ABST FEE  08/23/17</v>
      </c>
      <c r="H956" s="2">
        <v>225</v>
      </c>
      <c r="I956" t="str">
        <f>"ABST FEE  08/23/17"</f>
        <v>ABST FEE  08/23/17</v>
      </c>
    </row>
    <row r="957" spans="1:10" x14ac:dyDescent="0.3">
      <c r="A957" t="str">
        <f>""</f>
        <v/>
      </c>
      <c r="F957" t="str">
        <f>"201710045266"</f>
        <v>201710045266</v>
      </c>
      <c r="G957" t="str">
        <f>"DELINQUENT TAX COLL-SEPT. 2017"</f>
        <v>DELINQUENT TAX COLL-SEPT. 2017</v>
      </c>
      <c r="H957" s="2">
        <v>26137.94</v>
      </c>
      <c r="I957" t="str">
        <f>"DELINQUENT TAX COLL-SEPT. 2017"</f>
        <v>DELINQUENT TAX COLL-SEPT. 2017</v>
      </c>
    </row>
    <row r="958" spans="1:10" x14ac:dyDescent="0.3">
      <c r="A958" t="str">
        <f>""</f>
        <v/>
      </c>
      <c r="F958" t="str">
        <f>"8718"</f>
        <v>8718</v>
      </c>
      <c r="G958" t="str">
        <f>"ABST FEE-$150+SERVICE-$325 8/7"</f>
        <v>ABST FEE-$150+SERVICE-$325 8/7</v>
      </c>
      <c r="H958" s="2">
        <v>475</v>
      </c>
      <c r="I958" t="str">
        <f>"ABST FEE-$150+SERVICE-$325 8/7"</f>
        <v>ABST FEE-$150+SERVICE-$325 8/7</v>
      </c>
    </row>
    <row r="959" spans="1:10" x14ac:dyDescent="0.3">
      <c r="A959" t="str">
        <f>"T13723"</f>
        <v>T13723</v>
      </c>
      <c r="B959" t="s">
        <v>257</v>
      </c>
      <c r="C959">
        <v>73029</v>
      </c>
      <c r="D959" s="2">
        <v>2500</v>
      </c>
      <c r="E959" s="1">
        <v>43018</v>
      </c>
      <c r="F959" t="str">
        <f>"201710025223"</f>
        <v>201710025223</v>
      </c>
      <c r="G959" t="str">
        <f>"AWARD FOR FY 17-18"</f>
        <v>AWARD FOR FY 17-18</v>
      </c>
      <c r="H959" s="2">
        <v>2500</v>
      </c>
    </row>
    <row r="960" spans="1:10" x14ac:dyDescent="0.3">
      <c r="A960" t="str">
        <f>"T13723"</f>
        <v>T13723</v>
      </c>
      <c r="B960" t="s">
        <v>257</v>
      </c>
      <c r="C960">
        <v>73029</v>
      </c>
      <c r="D960" s="2">
        <v>2500</v>
      </c>
      <c r="E960" s="1">
        <v>43018</v>
      </c>
      <c r="F960" t="str">
        <f>"CHECK"</f>
        <v>CHECK</v>
      </c>
      <c r="G960" t="str">
        <f>""</f>
        <v/>
      </c>
      <c r="H960" s="2">
        <v>2500</v>
      </c>
    </row>
    <row r="961" spans="1:10" x14ac:dyDescent="0.3">
      <c r="A961" t="str">
        <f>"T13723"</f>
        <v>T13723</v>
      </c>
      <c r="B961" t="s">
        <v>257</v>
      </c>
      <c r="C961">
        <v>73104</v>
      </c>
      <c r="D961" s="2">
        <v>2500</v>
      </c>
      <c r="E961" s="1">
        <v>43020</v>
      </c>
      <c r="F961" t="str">
        <f>"201710125586"</f>
        <v>201710125586</v>
      </c>
      <c r="G961" t="str">
        <f>"AWARD FOR FY 17-18"</f>
        <v>AWARD FOR FY 17-18</v>
      </c>
      <c r="H961" s="2">
        <v>2500</v>
      </c>
      <c r="I961" t="str">
        <f>"AWARD FOR FY 17-18"</f>
        <v>AWARD FOR FY 17-18</v>
      </c>
    </row>
    <row r="962" spans="1:10" x14ac:dyDescent="0.3">
      <c r="A962" t="str">
        <f>"002271"</f>
        <v>002271</v>
      </c>
      <c r="B962" t="s">
        <v>258</v>
      </c>
      <c r="C962">
        <v>73030</v>
      </c>
      <c r="D962" s="2">
        <v>1378.95</v>
      </c>
      <c r="E962" s="1">
        <v>43018</v>
      </c>
      <c r="F962" t="str">
        <f>"201710045378"</f>
        <v>201710045378</v>
      </c>
      <c r="G962" t="str">
        <f>"INDIGENT HEALTH"</f>
        <v>INDIGENT HEALTH</v>
      </c>
      <c r="H962" s="2">
        <v>1378.95</v>
      </c>
      <c r="I962" t="str">
        <f>"INDIGENT HEALTH"</f>
        <v>INDIGENT HEALTH</v>
      </c>
    </row>
    <row r="963" spans="1:10" x14ac:dyDescent="0.3">
      <c r="A963" t="str">
        <f>"002271"</f>
        <v>002271</v>
      </c>
      <c r="B963" t="s">
        <v>258</v>
      </c>
      <c r="C963">
        <v>73275</v>
      </c>
      <c r="D963" s="2">
        <v>1089.6500000000001</v>
      </c>
      <c r="E963" s="1">
        <v>43031</v>
      </c>
      <c r="F963" t="str">
        <f>"201710185835"</f>
        <v>201710185835</v>
      </c>
      <c r="G963" t="str">
        <f>"INDIGENT HEALTH"</f>
        <v>INDIGENT HEALTH</v>
      </c>
      <c r="H963" s="2">
        <v>553.71</v>
      </c>
      <c r="I963" t="str">
        <f>"INDIGENT HEALTH"</f>
        <v>INDIGENT HEALTH</v>
      </c>
    </row>
    <row r="964" spans="1:10" x14ac:dyDescent="0.3">
      <c r="A964" t="str">
        <f>""</f>
        <v/>
      </c>
      <c r="F964" t="str">
        <f>"201710185836"</f>
        <v>201710185836</v>
      </c>
      <c r="G964" t="str">
        <f>"INDIGENT HEALTH"</f>
        <v>INDIGENT HEALTH</v>
      </c>
      <c r="H964" s="2">
        <v>505.95</v>
      </c>
      <c r="I964" t="str">
        <f>"INDIGENT HEALTH"</f>
        <v>INDIGENT HEALTH</v>
      </c>
    </row>
    <row r="965" spans="1:10" x14ac:dyDescent="0.3">
      <c r="A965" t="str">
        <f>""</f>
        <v/>
      </c>
      <c r="F965" t="str">
        <f>"201710185837"</f>
        <v>201710185837</v>
      </c>
      <c r="G965" t="str">
        <f>"INDIGENT HEALTH"</f>
        <v>INDIGENT HEALTH</v>
      </c>
      <c r="H965" s="2">
        <v>29.99</v>
      </c>
      <c r="I965" t="str">
        <f>"INDIGENT HEALTH"</f>
        <v>INDIGENT HEALTH</v>
      </c>
    </row>
    <row r="966" spans="1:10" x14ac:dyDescent="0.3">
      <c r="A966" t="str">
        <f>"003745"</f>
        <v>003745</v>
      </c>
      <c r="B966" t="s">
        <v>259</v>
      </c>
      <c r="C966">
        <v>73031</v>
      </c>
      <c r="D966" s="2">
        <v>25</v>
      </c>
      <c r="E966" s="1">
        <v>43018</v>
      </c>
      <c r="F966" t="s">
        <v>186</v>
      </c>
      <c r="G966" t="s">
        <v>215</v>
      </c>
      <c r="H966" s="2" t="str">
        <f>"RESTITUTION  9/13/17"</f>
        <v>RESTITUTION  9/13/17</v>
      </c>
      <c r="I966" t="str">
        <f>"210-0000"</f>
        <v>210-0000</v>
      </c>
      <c r="J966">
        <v>25</v>
      </c>
    </row>
    <row r="967" spans="1:10" x14ac:dyDescent="0.3">
      <c r="A967" t="str">
        <f>"004587"</f>
        <v>004587</v>
      </c>
      <c r="B967" t="s">
        <v>260</v>
      </c>
      <c r="C967">
        <v>73032</v>
      </c>
      <c r="D967" s="2">
        <v>1050</v>
      </c>
      <c r="E967" s="1">
        <v>43018</v>
      </c>
      <c r="F967" t="str">
        <f>"201710045286"</f>
        <v>201710045286</v>
      </c>
      <c r="G967" t="str">
        <f>"CAUSE# 16-17601/MEDIATION SVCS"</f>
        <v>CAUSE# 16-17601/MEDIATION SVCS</v>
      </c>
      <c r="H967" s="2">
        <v>1050</v>
      </c>
      <c r="I967" t="str">
        <f>"CAUSE# 16-17601/MEDIATION SVCS"</f>
        <v>CAUSE# 16-17601/MEDIATION SVCS</v>
      </c>
    </row>
    <row r="968" spans="1:10" x14ac:dyDescent="0.3">
      <c r="A968" t="str">
        <f>"003533"</f>
        <v>003533</v>
      </c>
      <c r="B968" t="s">
        <v>261</v>
      </c>
      <c r="C968">
        <v>73276</v>
      </c>
      <c r="D968" s="2">
        <v>20</v>
      </c>
      <c r="E968" s="1">
        <v>43031</v>
      </c>
      <c r="F968" t="str">
        <f>"201710175706"</f>
        <v>201710175706</v>
      </c>
      <c r="G968" t="str">
        <f>"REIMBURSE-EVENING MEAL"</f>
        <v>REIMBURSE-EVENING MEAL</v>
      </c>
      <c r="H968" s="2">
        <v>20</v>
      </c>
      <c r="I968" t="str">
        <f>"REIMBURSE-EVENING MEAL"</f>
        <v>REIMBURSE-EVENING MEAL</v>
      </c>
    </row>
    <row r="969" spans="1:10" x14ac:dyDescent="0.3">
      <c r="A969" t="str">
        <f>"002312"</f>
        <v>002312</v>
      </c>
      <c r="B969" t="s">
        <v>262</v>
      </c>
      <c r="C969">
        <v>73033</v>
      </c>
      <c r="D969" s="2">
        <v>39812.43</v>
      </c>
      <c r="E969" s="1">
        <v>43018</v>
      </c>
      <c r="F969" t="str">
        <f>"15189"</f>
        <v>15189</v>
      </c>
      <c r="G969" t="str">
        <f t="shared" ref="G969:G978" si="10">"FREIGHT SALES/PCT#2"</f>
        <v>FREIGHT SALES/PCT#2</v>
      </c>
      <c r="H969" s="2">
        <v>2900.1</v>
      </c>
      <c r="I969" t="str">
        <f t="shared" ref="I969:I978" si="11">"FREIGHT SALES/PCT#2"</f>
        <v>FREIGHT SALES/PCT#2</v>
      </c>
    </row>
    <row r="970" spans="1:10" x14ac:dyDescent="0.3">
      <c r="A970" t="str">
        <f>""</f>
        <v/>
      </c>
      <c r="F970" t="str">
        <f>"15190"</f>
        <v>15190</v>
      </c>
      <c r="G970" t="str">
        <f t="shared" si="10"/>
        <v>FREIGHT SALES/PCT#2</v>
      </c>
      <c r="H970" s="2">
        <v>5477.6</v>
      </c>
      <c r="I970" t="str">
        <f t="shared" si="11"/>
        <v>FREIGHT SALES/PCT#2</v>
      </c>
    </row>
    <row r="971" spans="1:10" x14ac:dyDescent="0.3">
      <c r="A971" t="str">
        <f>""</f>
        <v/>
      </c>
      <c r="F971" t="str">
        <f>"15217"</f>
        <v>15217</v>
      </c>
      <c r="G971" t="str">
        <f t="shared" si="10"/>
        <v>FREIGHT SALES/PCT#2</v>
      </c>
      <c r="H971" s="2">
        <v>12044.64</v>
      </c>
      <c r="I971" t="str">
        <f t="shared" si="11"/>
        <v>FREIGHT SALES/PCT#2</v>
      </c>
    </row>
    <row r="972" spans="1:10" x14ac:dyDescent="0.3">
      <c r="A972" t="str">
        <f>""</f>
        <v/>
      </c>
      <c r="F972" t="str">
        <f>"15224"</f>
        <v>15224</v>
      </c>
      <c r="G972" t="str">
        <f t="shared" si="10"/>
        <v>FREIGHT SALES/PCT#2</v>
      </c>
      <c r="H972" s="2">
        <v>1009</v>
      </c>
      <c r="I972" t="str">
        <f t="shared" si="11"/>
        <v>FREIGHT SALES/PCT#2</v>
      </c>
    </row>
    <row r="973" spans="1:10" x14ac:dyDescent="0.3">
      <c r="A973" t="str">
        <f>""</f>
        <v/>
      </c>
      <c r="F973" t="str">
        <f>"15226"</f>
        <v>15226</v>
      </c>
      <c r="G973" t="str">
        <f t="shared" si="10"/>
        <v>FREIGHT SALES/PCT#2</v>
      </c>
      <c r="H973" s="2">
        <v>2109.5500000000002</v>
      </c>
      <c r="I973" t="str">
        <f t="shared" si="11"/>
        <v>FREIGHT SALES/PCT#2</v>
      </c>
    </row>
    <row r="974" spans="1:10" x14ac:dyDescent="0.3">
      <c r="A974" t="str">
        <f>""</f>
        <v/>
      </c>
      <c r="F974" t="str">
        <f>"15249"</f>
        <v>15249</v>
      </c>
      <c r="G974" t="str">
        <f t="shared" si="10"/>
        <v>FREIGHT SALES/PCT#2</v>
      </c>
      <c r="H974" s="2">
        <v>10344.64</v>
      </c>
      <c r="I974" t="str">
        <f t="shared" si="11"/>
        <v>FREIGHT SALES/PCT#2</v>
      </c>
    </row>
    <row r="975" spans="1:10" x14ac:dyDescent="0.3">
      <c r="A975" t="str">
        <f>""</f>
        <v/>
      </c>
      <c r="F975" t="str">
        <f>"15259"</f>
        <v>15259</v>
      </c>
      <c r="G975" t="str">
        <f t="shared" si="10"/>
        <v>FREIGHT SALES/PCT#2</v>
      </c>
      <c r="H975" s="2">
        <v>4448.4799999999996</v>
      </c>
      <c r="I975" t="str">
        <f t="shared" si="11"/>
        <v>FREIGHT SALES/PCT#2</v>
      </c>
    </row>
    <row r="976" spans="1:10" x14ac:dyDescent="0.3">
      <c r="A976" t="str">
        <f>""</f>
        <v/>
      </c>
      <c r="F976" t="str">
        <f>"15271"</f>
        <v>15271</v>
      </c>
      <c r="G976" t="str">
        <f t="shared" si="10"/>
        <v>FREIGHT SALES/PCT#2</v>
      </c>
      <c r="H976" s="2">
        <v>1478.42</v>
      </c>
      <c r="I976" t="str">
        <f t="shared" si="11"/>
        <v>FREIGHT SALES/PCT#2</v>
      </c>
    </row>
    <row r="977" spans="1:9" x14ac:dyDescent="0.3">
      <c r="A977" t="str">
        <f>"002312"</f>
        <v>002312</v>
      </c>
      <c r="B977" t="s">
        <v>262</v>
      </c>
      <c r="C977">
        <v>73277</v>
      </c>
      <c r="D977" s="2">
        <v>20269.07</v>
      </c>
      <c r="E977" s="1">
        <v>43031</v>
      </c>
      <c r="F977" t="str">
        <f>"15289"</f>
        <v>15289</v>
      </c>
      <c r="G977" t="str">
        <f t="shared" si="10"/>
        <v>FREIGHT SALES/PCT#2</v>
      </c>
      <c r="H977" s="2">
        <v>2979.2</v>
      </c>
      <c r="I977" t="str">
        <f t="shared" si="11"/>
        <v>FREIGHT SALES/PCT#2</v>
      </c>
    </row>
    <row r="978" spans="1:9" x14ac:dyDescent="0.3">
      <c r="A978" t="str">
        <f>""</f>
        <v/>
      </c>
      <c r="F978" t="str">
        <f>"15305"</f>
        <v>15305</v>
      </c>
      <c r="G978" t="str">
        <f t="shared" si="10"/>
        <v>FREIGHT SALES/PCT#2</v>
      </c>
      <c r="H978" s="2">
        <v>8583.1200000000008</v>
      </c>
      <c r="I978" t="str">
        <f t="shared" si="11"/>
        <v>FREIGHT SALES/PCT#2</v>
      </c>
    </row>
    <row r="979" spans="1:9" x14ac:dyDescent="0.3">
      <c r="A979" t="str">
        <f>""</f>
        <v/>
      </c>
      <c r="F979" t="str">
        <f>"15361"</f>
        <v>15361</v>
      </c>
      <c r="G979" t="str">
        <f>"FREIGHT SALES"</f>
        <v>FREIGHT SALES</v>
      </c>
      <c r="H979" s="2">
        <v>5006</v>
      </c>
      <c r="I979" t="str">
        <f>"FREIGHT SALES"</f>
        <v>FREIGHT SALES</v>
      </c>
    </row>
    <row r="980" spans="1:9" x14ac:dyDescent="0.3">
      <c r="A980" t="str">
        <f>""</f>
        <v/>
      </c>
      <c r="F980" t="str">
        <f>"15362"</f>
        <v>15362</v>
      </c>
      <c r="G980" t="str">
        <f>"FREIGHT SALES/PCT#2"</f>
        <v>FREIGHT SALES/PCT#2</v>
      </c>
      <c r="H980" s="2">
        <v>3700.75</v>
      </c>
      <c r="I980" t="str">
        <f>"FREIGHT SALES/PCT#2"</f>
        <v>FREIGHT SALES/PCT#2</v>
      </c>
    </row>
    <row r="981" spans="1:9" x14ac:dyDescent="0.3">
      <c r="A981" t="str">
        <f>"MU&amp;E"</f>
        <v>MU&amp;E</v>
      </c>
      <c r="B981" t="s">
        <v>263</v>
      </c>
      <c r="C981">
        <v>73034</v>
      </c>
      <c r="D981" s="2">
        <v>1462.21</v>
      </c>
      <c r="E981" s="1">
        <v>43018</v>
      </c>
      <c r="F981" t="str">
        <f>"75892"</f>
        <v>75892</v>
      </c>
      <c r="G981" t="str">
        <f>"INV 75892 BALANCE"</f>
        <v>INV 75892 BALANCE</v>
      </c>
      <c r="H981" s="2">
        <v>2</v>
      </c>
      <c r="I981" t="str">
        <f>"INV 75892 BALANCE"</f>
        <v>INV 75892 BALANCE</v>
      </c>
    </row>
    <row r="982" spans="1:9" x14ac:dyDescent="0.3">
      <c r="A982" t="str">
        <f>""</f>
        <v/>
      </c>
      <c r="F982" t="str">
        <f>"79063"</f>
        <v>79063</v>
      </c>
      <c r="G982" t="str">
        <f>"A. RAMIREZ CHEVRONS"</f>
        <v>A. RAMIREZ CHEVRONS</v>
      </c>
      <c r="H982" s="2">
        <v>21.25</v>
      </c>
      <c r="I982" t="str">
        <f>"A. RAMIREZ CHEVRONS"</f>
        <v>A. RAMIREZ CHEVRONS</v>
      </c>
    </row>
    <row r="983" spans="1:9" x14ac:dyDescent="0.3">
      <c r="A983" t="str">
        <f>""</f>
        <v/>
      </c>
      <c r="F983" t="str">
        <f>"79798"</f>
        <v>79798</v>
      </c>
      <c r="G983" t="str">
        <f>"INV 79798"</f>
        <v>INV 79798</v>
      </c>
      <c r="H983" s="2">
        <v>147.5</v>
      </c>
      <c r="I983" t="str">
        <f>"INV 79798"</f>
        <v>INV 79798</v>
      </c>
    </row>
    <row r="984" spans="1:9" x14ac:dyDescent="0.3">
      <c r="A984" t="str">
        <f>""</f>
        <v/>
      </c>
      <c r="F984" t="str">
        <f>"80252"</f>
        <v>80252</v>
      </c>
      <c r="G984" t="str">
        <f>"INV 80252"</f>
        <v>INV 80252</v>
      </c>
      <c r="H984" s="2">
        <v>235.5</v>
      </c>
      <c r="I984" t="str">
        <f>"INV 80252"</f>
        <v>INV 80252</v>
      </c>
    </row>
    <row r="985" spans="1:9" x14ac:dyDescent="0.3">
      <c r="A985" t="str">
        <f>""</f>
        <v/>
      </c>
      <c r="F985" t="str">
        <f>"82029"</f>
        <v>82029</v>
      </c>
      <c r="G985" t="str">
        <f>"INV 82029"</f>
        <v>INV 82029</v>
      </c>
      <c r="H985" s="2">
        <v>177.46</v>
      </c>
      <c r="I985" t="str">
        <f>"INV 82029"</f>
        <v>INV 82029</v>
      </c>
    </row>
    <row r="986" spans="1:9" x14ac:dyDescent="0.3">
      <c r="A986" t="str">
        <f>""</f>
        <v/>
      </c>
      <c r="F986" t="str">
        <f>"82964"</f>
        <v>82964</v>
      </c>
      <c r="G986" t="str">
        <f>"INV 82964"</f>
        <v>INV 82964</v>
      </c>
      <c r="H986" s="2">
        <v>208.5</v>
      </c>
      <c r="I986" t="str">
        <f>"INV 82964"</f>
        <v>INV 82964</v>
      </c>
    </row>
    <row r="987" spans="1:9" x14ac:dyDescent="0.3">
      <c r="A987" t="str">
        <f>""</f>
        <v/>
      </c>
      <c r="F987" t="str">
        <f>"85238"</f>
        <v>85238</v>
      </c>
      <c r="G987" t="str">
        <f>"INV 85238"</f>
        <v>INV 85238</v>
      </c>
      <c r="H987" s="2">
        <v>477</v>
      </c>
      <c r="I987" t="str">
        <f>"INV 85238"</f>
        <v>INV 85238</v>
      </c>
    </row>
    <row r="988" spans="1:9" x14ac:dyDescent="0.3">
      <c r="A988" t="str">
        <f>""</f>
        <v/>
      </c>
      <c r="F988" t="str">
        <f>"87155"</f>
        <v>87155</v>
      </c>
      <c r="G988" t="str">
        <f>"INV 87155"</f>
        <v>INV 87155</v>
      </c>
      <c r="H988" s="2">
        <v>193</v>
      </c>
      <c r="I988" t="str">
        <f>"INV 87155"</f>
        <v>INV 87155</v>
      </c>
    </row>
    <row r="989" spans="1:9" x14ac:dyDescent="0.3">
      <c r="A989" t="str">
        <f>"MU&amp;E"</f>
        <v>MU&amp;E</v>
      </c>
      <c r="B989" t="s">
        <v>263</v>
      </c>
      <c r="C989">
        <v>999999</v>
      </c>
      <c r="D989" s="2">
        <v>2355.65</v>
      </c>
      <c r="E989" s="1">
        <v>43032</v>
      </c>
      <c r="F989" t="str">
        <f>"82488"</f>
        <v>82488</v>
      </c>
      <c r="G989" t="str">
        <f>"INV 82488"</f>
        <v>INV 82488</v>
      </c>
      <c r="H989" s="2">
        <v>170.62</v>
      </c>
      <c r="I989" t="str">
        <f>"INV 82488"</f>
        <v>INV 82488</v>
      </c>
    </row>
    <row r="990" spans="1:9" x14ac:dyDescent="0.3">
      <c r="A990" t="str">
        <f>""</f>
        <v/>
      </c>
      <c r="F990" t="str">
        <f>"84696/86243"</f>
        <v>84696/86243</v>
      </c>
      <c r="G990" t="str">
        <f>"INV 84696"</f>
        <v>INV 84696</v>
      </c>
      <c r="H990" s="2">
        <v>208.5</v>
      </c>
      <c r="I990" t="str">
        <f>"INV 84696"</f>
        <v>INV 84696</v>
      </c>
    </row>
    <row r="991" spans="1:9" x14ac:dyDescent="0.3">
      <c r="A991" t="str">
        <f>""</f>
        <v/>
      </c>
      <c r="F991" t="str">
        <f>""</f>
        <v/>
      </c>
      <c r="G991" t="str">
        <f>""</f>
        <v/>
      </c>
      <c r="I991" t="str">
        <f>"INV 86243"</f>
        <v>INV 86243</v>
      </c>
    </row>
    <row r="992" spans="1:9" x14ac:dyDescent="0.3">
      <c r="A992" t="str">
        <f>""</f>
        <v/>
      </c>
      <c r="F992" t="str">
        <f>"85204"</f>
        <v>85204</v>
      </c>
      <c r="G992" t="str">
        <f>"INV 85204"</f>
        <v>INV 85204</v>
      </c>
      <c r="H992" s="2">
        <v>208.5</v>
      </c>
      <c r="I992" t="str">
        <f>"INV 85204"</f>
        <v>INV 85204</v>
      </c>
    </row>
    <row r="993" spans="1:9" x14ac:dyDescent="0.3">
      <c r="A993" t="str">
        <f>""</f>
        <v/>
      </c>
      <c r="F993" t="str">
        <f>"88161/82416"</f>
        <v>88161/82416</v>
      </c>
      <c r="G993" t="str">
        <f>"INV 88161 / 82416"</f>
        <v>INV 88161 / 82416</v>
      </c>
      <c r="H993" s="2">
        <v>788.4</v>
      </c>
      <c r="I993" t="str">
        <f>"INV 88161"</f>
        <v>INV 88161</v>
      </c>
    </row>
    <row r="994" spans="1:9" x14ac:dyDescent="0.3">
      <c r="A994" t="str">
        <f>""</f>
        <v/>
      </c>
      <c r="F994" t="str">
        <f>""</f>
        <v/>
      </c>
      <c r="G994" t="str">
        <f>""</f>
        <v/>
      </c>
      <c r="I994" t="str">
        <f>"INV  82416"</f>
        <v>INV  82416</v>
      </c>
    </row>
    <row r="995" spans="1:9" x14ac:dyDescent="0.3">
      <c r="A995" t="str">
        <f>""</f>
        <v/>
      </c>
      <c r="F995" t="str">
        <f>"89381"</f>
        <v>89381</v>
      </c>
      <c r="G995" t="str">
        <f>"INV 89381"</f>
        <v>INV 89381</v>
      </c>
      <c r="H995" s="2">
        <v>979.63</v>
      </c>
      <c r="I995" t="str">
        <f>"INV 89381"</f>
        <v>INV 89381</v>
      </c>
    </row>
    <row r="996" spans="1:9" x14ac:dyDescent="0.3">
      <c r="A996" t="str">
        <f t="shared" ref="A996:A1027" si="12">"1"</f>
        <v>1</v>
      </c>
      <c r="B996" t="s">
        <v>264</v>
      </c>
      <c r="C996">
        <v>73108</v>
      </c>
      <c r="D996" s="2">
        <v>192</v>
      </c>
      <c r="E996" s="1">
        <v>43021</v>
      </c>
      <c r="F996" t="str">
        <f>"201710135625"</f>
        <v>201710135625</v>
      </c>
      <c r="G996" t="str">
        <f>"Mi"</f>
        <v>Mi</v>
      </c>
      <c r="H996" s="2">
        <v>192</v>
      </c>
      <c r="I996" t="str">
        <f>"Child Protective Services"</f>
        <v>Child Protective Services</v>
      </c>
    </row>
    <row r="997" spans="1:9" x14ac:dyDescent="0.3">
      <c r="A997" t="str">
        <f t="shared" si="12"/>
        <v>1</v>
      </c>
      <c r="B997" t="s">
        <v>265</v>
      </c>
      <c r="C997">
        <v>73109</v>
      </c>
      <c r="D997" s="2">
        <v>78</v>
      </c>
      <c r="E997" s="1">
        <v>43021</v>
      </c>
      <c r="F997" t="str">
        <f>"201710135626"</f>
        <v>201710135626</v>
      </c>
      <c r="G997" t="str">
        <f>"M"</f>
        <v>M</v>
      </c>
      <c r="H997" s="2">
        <v>78</v>
      </c>
      <c r="I997" t="str">
        <f>"Children's Advocacy Center"</f>
        <v>Children's Advocacy Center</v>
      </c>
    </row>
    <row r="998" spans="1:9" x14ac:dyDescent="0.3">
      <c r="A998" t="str">
        <f t="shared" si="12"/>
        <v>1</v>
      </c>
      <c r="B998" t="s">
        <v>266</v>
      </c>
      <c r="C998">
        <v>73110</v>
      </c>
      <c r="D998" s="2">
        <v>174</v>
      </c>
      <c r="E998" s="1">
        <v>43021</v>
      </c>
      <c r="F998" t="str">
        <f>"201710135627"</f>
        <v>201710135627</v>
      </c>
      <c r="G998" t="str">
        <f>""</f>
        <v/>
      </c>
      <c r="H998" s="2">
        <v>174</v>
      </c>
      <c r="I998" t="str">
        <f>"COURT APPOINTED SPECIAL ADVOCA"</f>
        <v>COURT APPOINTED SPECIAL ADVOCA</v>
      </c>
    </row>
    <row r="999" spans="1:9" x14ac:dyDescent="0.3">
      <c r="A999" t="str">
        <f t="shared" si="12"/>
        <v>1</v>
      </c>
      <c r="B999" t="s">
        <v>267</v>
      </c>
      <c r="C999">
        <v>73111</v>
      </c>
      <c r="D999" s="2">
        <v>48</v>
      </c>
      <c r="E999" s="1">
        <v>43021</v>
      </c>
      <c r="F999" t="str">
        <f>"201710135628"</f>
        <v>201710135628</v>
      </c>
      <c r="G999" t="str">
        <f>"Miscell"</f>
        <v>Miscell</v>
      </c>
      <c r="H999" s="2">
        <v>48</v>
      </c>
      <c r="I999" t="str">
        <f>"Family Crisis Center"</f>
        <v>Family Crisis Center</v>
      </c>
    </row>
    <row r="1000" spans="1:9" x14ac:dyDescent="0.3">
      <c r="A1000" t="str">
        <f t="shared" si="12"/>
        <v>1</v>
      </c>
      <c r="B1000" t="s">
        <v>268</v>
      </c>
      <c r="C1000">
        <v>73112</v>
      </c>
      <c r="D1000" s="2">
        <v>126</v>
      </c>
      <c r="E1000" s="1">
        <v>43021</v>
      </c>
      <c r="F1000" t="str">
        <f>"201710135629"</f>
        <v>201710135629</v>
      </c>
      <c r="G1000" t="str">
        <f>"Miscellaneo"</f>
        <v>Miscellaneo</v>
      </c>
      <c r="H1000" s="2">
        <v>126</v>
      </c>
      <c r="I1000" t="str">
        <f>"KACI LEIGH OLSON"</f>
        <v>KACI LEIGH OLSON</v>
      </c>
    </row>
    <row r="1001" spans="1:9" x14ac:dyDescent="0.3">
      <c r="A1001" t="str">
        <f t="shared" si="12"/>
        <v>1</v>
      </c>
      <c r="B1001" t="s">
        <v>269</v>
      </c>
      <c r="C1001">
        <v>73113</v>
      </c>
      <c r="D1001" s="2">
        <v>6</v>
      </c>
      <c r="E1001" s="1">
        <v>43021</v>
      </c>
      <c r="F1001" t="str">
        <f>"201710135630"</f>
        <v>201710135630</v>
      </c>
      <c r="G1001" t="str">
        <f>"Miscellane"</f>
        <v>Miscellane</v>
      </c>
      <c r="H1001" s="2">
        <v>6</v>
      </c>
      <c r="I1001" t="str">
        <f>"JEFFREY ALAN PAGE"</f>
        <v>JEFFREY ALAN PAGE</v>
      </c>
    </row>
    <row r="1002" spans="1:9" x14ac:dyDescent="0.3">
      <c r="A1002" t="str">
        <f t="shared" si="12"/>
        <v>1</v>
      </c>
      <c r="B1002" t="s">
        <v>270</v>
      </c>
      <c r="C1002">
        <v>73114</v>
      </c>
      <c r="D1002" s="2">
        <v>6</v>
      </c>
      <c r="E1002" s="1">
        <v>43021</v>
      </c>
      <c r="F1002" t="str">
        <f>"201710135631"</f>
        <v>201710135631</v>
      </c>
      <c r="G1002" t="str">
        <f>"Miscella"</f>
        <v>Miscella</v>
      </c>
      <c r="H1002" s="2">
        <v>6</v>
      </c>
      <c r="I1002" t="str">
        <f>"RICHARD LEE PARK JR"</f>
        <v>RICHARD LEE PARK JR</v>
      </c>
    </row>
    <row r="1003" spans="1:9" x14ac:dyDescent="0.3">
      <c r="A1003" t="str">
        <f t="shared" si="12"/>
        <v>1</v>
      </c>
      <c r="B1003" t="s">
        <v>271</v>
      </c>
      <c r="C1003">
        <v>73115</v>
      </c>
      <c r="D1003" s="2">
        <v>6</v>
      </c>
      <c r="E1003" s="1">
        <v>43021</v>
      </c>
      <c r="F1003" t="str">
        <f>"201710135632"</f>
        <v>201710135632</v>
      </c>
      <c r="G1003" t="str">
        <f>"Miscellaneou"</f>
        <v>Miscellaneou</v>
      </c>
      <c r="H1003" s="2">
        <v>6</v>
      </c>
      <c r="I1003" t="str">
        <f>"ARMANDO SALINAS"</f>
        <v>ARMANDO SALINAS</v>
      </c>
    </row>
    <row r="1004" spans="1:9" x14ac:dyDescent="0.3">
      <c r="A1004" t="str">
        <f t="shared" si="12"/>
        <v>1</v>
      </c>
      <c r="B1004" t="s">
        <v>272</v>
      </c>
      <c r="C1004">
        <v>73116</v>
      </c>
      <c r="D1004" s="2">
        <v>6</v>
      </c>
      <c r="E1004" s="1">
        <v>43021</v>
      </c>
      <c r="F1004" t="str">
        <f>"201710135633"</f>
        <v>201710135633</v>
      </c>
      <c r="G1004" t="str">
        <f>"Misc"</f>
        <v>Misc</v>
      </c>
      <c r="H1004" s="2">
        <v>6</v>
      </c>
      <c r="I1004" t="str">
        <f>"CHRISTIAN RENEE SANCHEZ"</f>
        <v>CHRISTIAN RENEE SANCHEZ</v>
      </c>
    </row>
    <row r="1005" spans="1:9" x14ac:dyDescent="0.3">
      <c r="A1005" t="str">
        <f t="shared" si="12"/>
        <v>1</v>
      </c>
      <c r="B1005" t="s">
        <v>273</v>
      </c>
      <c r="C1005">
        <v>73117</v>
      </c>
      <c r="D1005" s="2">
        <v>6</v>
      </c>
      <c r="E1005" s="1">
        <v>43021</v>
      </c>
      <c r="F1005" t="str">
        <f>"201710135634"</f>
        <v>201710135634</v>
      </c>
      <c r="G1005" t="str">
        <f>"Miscel"</f>
        <v>Miscel</v>
      </c>
      <c r="H1005" s="2">
        <v>6</v>
      </c>
      <c r="I1005" t="str">
        <f>"DAVID ALLEN PEARCY JR"</f>
        <v>DAVID ALLEN PEARCY JR</v>
      </c>
    </row>
    <row r="1006" spans="1:9" x14ac:dyDescent="0.3">
      <c r="A1006" t="str">
        <f t="shared" si="12"/>
        <v>1</v>
      </c>
      <c r="B1006" t="s">
        <v>274</v>
      </c>
      <c r="C1006">
        <v>73118</v>
      </c>
      <c r="D1006" s="2">
        <v>6</v>
      </c>
      <c r="E1006" s="1">
        <v>43021</v>
      </c>
      <c r="F1006" t="str">
        <f>"201710135635"</f>
        <v>201710135635</v>
      </c>
      <c r="G1006" t="str">
        <f>"Miscell"</f>
        <v>Miscell</v>
      </c>
      <c r="H1006" s="2">
        <v>6</v>
      </c>
      <c r="I1006" t="str">
        <f>"ZACHARY RYAN PRINGLE"</f>
        <v>ZACHARY RYAN PRINGLE</v>
      </c>
    </row>
    <row r="1007" spans="1:9" x14ac:dyDescent="0.3">
      <c r="A1007" t="str">
        <f t="shared" si="12"/>
        <v>1</v>
      </c>
      <c r="B1007" t="s">
        <v>275</v>
      </c>
      <c r="C1007">
        <v>73119</v>
      </c>
      <c r="D1007" s="2">
        <v>6</v>
      </c>
      <c r="E1007" s="1">
        <v>43021</v>
      </c>
      <c r="F1007" t="str">
        <f>"201710135636"</f>
        <v>201710135636</v>
      </c>
      <c r="G1007" t="str">
        <f>"Miscellane"</f>
        <v>Miscellane</v>
      </c>
      <c r="H1007" s="2">
        <v>6</v>
      </c>
      <c r="I1007" t="str">
        <f>"SHARON LEA MILLER"</f>
        <v>SHARON LEA MILLER</v>
      </c>
    </row>
    <row r="1008" spans="1:9" x14ac:dyDescent="0.3">
      <c r="A1008" t="str">
        <f t="shared" si="12"/>
        <v>1</v>
      </c>
      <c r="B1008" t="s">
        <v>276</v>
      </c>
      <c r="C1008">
        <v>73120</v>
      </c>
      <c r="D1008" s="2">
        <v>6</v>
      </c>
      <c r="E1008" s="1">
        <v>43021</v>
      </c>
      <c r="F1008" t="str">
        <f>"201710135637"</f>
        <v>201710135637</v>
      </c>
      <c r="G1008" t="str">
        <f>"Miscel"</f>
        <v>Miscel</v>
      </c>
      <c r="H1008" s="2">
        <v>6</v>
      </c>
      <c r="I1008" t="str">
        <f>"JIMMIE DWIGHT MADISON"</f>
        <v>JIMMIE DWIGHT MADISON</v>
      </c>
    </row>
    <row r="1009" spans="1:9" x14ac:dyDescent="0.3">
      <c r="A1009" t="str">
        <f t="shared" si="12"/>
        <v>1</v>
      </c>
      <c r="B1009" t="s">
        <v>277</v>
      </c>
      <c r="C1009">
        <v>73121</v>
      </c>
      <c r="D1009" s="2">
        <v>6</v>
      </c>
      <c r="E1009" s="1">
        <v>43021</v>
      </c>
      <c r="F1009" t="str">
        <f>"201710135638"</f>
        <v>201710135638</v>
      </c>
      <c r="G1009" t="str">
        <f>"Miscellaneous"</f>
        <v>Miscellaneous</v>
      </c>
      <c r="H1009" s="2">
        <v>6</v>
      </c>
      <c r="I1009" t="str">
        <f>"TINA RAE LYNCH"</f>
        <v>TINA RAE LYNCH</v>
      </c>
    </row>
    <row r="1010" spans="1:9" x14ac:dyDescent="0.3">
      <c r="A1010" t="str">
        <f t="shared" si="12"/>
        <v>1</v>
      </c>
      <c r="B1010" t="s">
        <v>278</v>
      </c>
      <c r="C1010">
        <v>73122</v>
      </c>
      <c r="D1010" s="2">
        <v>6</v>
      </c>
      <c r="E1010" s="1">
        <v>43021</v>
      </c>
      <c r="F1010" t="str">
        <f>"201710135639"</f>
        <v>201710135639</v>
      </c>
      <c r="G1010" t="str">
        <f>"Miscellane"</f>
        <v>Miscellane</v>
      </c>
      <c r="H1010" s="2">
        <v>6</v>
      </c>
      <c r="I1010" t="str">
        <f>"JOHN ROBERT MOORE"</f>
        <v>JOHN ROBERT MOORE</v>
      </c>
    </row>
    <row r="1011" spans="1:9" x14ac:dyDescent="0.3">
      <c r="A1011" t="str">
        <f t="shared" si="12"/>
        <v>1</v>
      </c>
      <c r="B1011" t="s">
        <v>279</v>
      </c>
      <c r="C1011">
        <v>73123</v>
      </c>
      <c r="D1011" s="2">
        <v>6</v>
      </c>
      <c r="E1011" s="1">
        <v>43021</v>
      </c>
      <c r="F1011" t="str">
        <f>"201710135640"</f>
        <v>201710135640</v>
      </c>
      <c r="G1011" t="str">
        <f>"Miscel"</f>
        <v>Miscel</v>
      </c>
      <c r="H1011" s="2">
        <v>6</v>
      </c>
      <c r="I1011" t="str">
        <f>"CHRISTION MAELIK NUNN"</f>
        <v>CHRISTION MAELIK NUNN</v>
      </c>
    </row>
    <row r="1012" spans="1:9" x14ac:dyDescent="0.3">
      <c r="A1012" t="str">
        <f t="shared" si="12"/>
        <v>1</v>
      </c>
      <c r="B1012" t="s">
        <v>280</v>
      </c>
      <c r="C1012">
        <v>73124</v>
      </c>
      <c r="D1012" s="2">
        <v>126</v>
      </c>
      <c r="E1012" s="1">
        <v>43021</v>
      </c>
      <c r="F1012" t="str">
        <f>"201710135641"</f>
        <v>201710135641</v>
      </c>
      <c r="G1012" t="str">
        <f>"Miscell"</f>
        <v>Miscell</v>
      </c>
      <c r="H1012" s="2">
        <v>126</v>
      </c>
      <c r="I1012" t="str">
        <f>"MEGAN LYNNEA MYLONAS"</f>
        <v>MEGAN LYNNEA MYLONAS</v>
      </c>
    </row>
    <row r="1013" spans="1:9" x14ac:dyDescent="0.3">
      <c r="A1013" t="str">
        <f t="shared" si="12"/>
        <v>1</v>
      </c>
      <c r="B1013" t="s">
        <v>281</v>
      </c>
      <c r="C1013">
        <v>73125</v>
      </c>
      <c r="D1013" s="2">
        <v>6</v>
      </c>
      <c r="E1013" s="1">
        <v>43021</v>
      </c>
      <c r="F1013" t="str">
        <f>"201710135642"</f>
        <v>201710135642</v>
      </c>
      <c r="G1013" t="str">
        <f>"Misce"</f>
        <v>Misce</v>
      </c>
      <c r="H1013" s="2">
        <v>6</v>
      </c>
      <c r="I1013" t="str">
        <f>"KENNETH STEPHEN MORGAN"</f>
        <v>KENNETH STEPHEN MORGAN</v>
      </c>
    </row>
    <row r="1014" spans="1:9" x14ac:dyDescent="0.3">
      <c r="A1014" t="str">
        <f t="shared" si="12"/>
        <v>1</v>
      </c>
      <c r="B1014" t="s">
        <v>282</v>
      </c>
      <c r="C1014">
        <v>73126</v>
      </c>
      <c r="D1014" s="2">
        <v>6</v>
      </c>
      <c r="E1014" s="1">
        <v>43021</v>
      </c>
      <c r="F1014" t="str">
        <f>"201710135643"</f>
        <v>201710135643</v>
      </c>
      <c r="G1014" t="str">
        <f>"Mi"</f>
        <v>Mi</v>
      </c>
      <c r="H1014" s="2">
        <v>6</v>
      </c>
      <c r="I1014" t="str">
        <f>"CHRISTOPHER MARK SANDFORD"</f>
        <v>CHRISTOPHER MARK SANDFORD</v>
      </c>
    </row>
    <row r="1015" spans="1:9" x14ac:dyDescent="0.3">
      <c r="A1015" t="str">
        <f t="shared" si="12"/>
        <v>1</v>
      </c>
      <c r="B1015" t="s">
        <v>283</v>
      </c>
      <c r="C1015">
        <v>73127</v>
      </c>
      <c r="D1015" s="2">
        <v>126</v>
      </c>
      <c r="E1015" s="1">
        <v>43021</v>
      </c>
      <c r="F1015" t="str">
        <f>"201710135644"</f>
        <v>201710135644</v>
      </c>
      <c r="G1015" t="str">
        <f>"Miscella"</f>
        <v>Miscella</v>
      </c>
      <c r="H1015" s="2">
        <v>126</v>
      </c>
      <c r="I1015" t="str">
        <f>"DOUGLAS KENT THOMAS"</f>
        <v>DOUGLAS KENT THOMAS</v>
      </c>
    </row>
    <row r="1016" spans="1:9" x14ac:dyDescent="0.3">
      <c r="A1016" t="str">
        <f t="shared" si="12"/>
        <v>1</v>
      </c>
      <c r="B1016" t="s">
        <v>284</v>
      </c>
      <c r="C1016">
        <v>73128</v>
      </c>
      <c r="D1016" s="2">
        <v>6</v>
      </c>
      <c r="E1016" s="1">
        <v>43021</v>
      </c>
      <c r="F1016" t="str">
        <f>"201710135645"</f>
        <v>201710135645</v>
      </c>
      <c r="G1016" t="str">
        <f>"Misc"</f>
        <v>Misc</v>
      </c>
      <c r="H1016" s="2">
        <v>6</v>
      </c>
      <c r="I1016" t="str">
        <f>"JESICA TEJEDA-ARREDONDO"</f>
        <v>JESICA TEJEDA-ARREDONDO</v>
      </c>
    </row>
    <row r="1017" spans="1:9" x14ac:dyDescent="0.3">
      <c r="A1017" t="str">
        <f t="shared" si="12"/>
        <v>1</v>
      </c>
      <c r="B1017" t="s">
        <v>285</v>
      </c>
      <c r="C1017">
        <v>73129</v>
      </c>
      <c r="D1017" s="2">
        <v>6</v>
      </c>
      <c r="E1017" s="1">
        <v>43021</v>
      </c>
      <c r="F1017" t="str">
        <f>"201710135646"</f>
        <v>201710135646</v>
      </c>
      <c r="G1017" t="str">
        <f>"Miscell"</f>
        <v>Miscell</v>
      </c>
      <c r="H1017" s="2">
        <v>6</v>
      </c>
      <c r="I1017" t="str">
        <f>"JIMMIE LEE TAYLOR JR"</f>
        <v>JIMMIE LEE TAYLOR JR</v>
      </c>
    </row>
    <row r="1018" spans="1:9" x14ac:dyDescent="0.3">
      <c r="A1018" t="str">
        <f t="shared" si="12"/>
        <v>1</v>
      </c>
      <c r="B1018" t="s">
        <v>286</v>
      </c>
      <c r="C1018">
        <v>73130</v>
      </c>
      <c r="D1018" s="2">
        <v>126</v>
      </c>
      <c r="E1018" s="1">
        <v>43021</v>
      </c>
      <c r="F1018" t="str">
        <f>"201710135647"</f>
        <v>201710135647</v>
      </c>
      <c r="G1018" t="str">
        <f>"Miscel"</f>
        <v>Miscel</v>
      </c>
      <c r="H1018" s="2">
        <v>126</v>
      </c>
      <c r="I1018" t="str">
        <f>"STERLING MONTY THOMAS"</f>
        <v>STERLING MONTY THOMAS</v>
      </c>
    </row>
    <row r="1019" spans="1:9" x14ac:dyDescent="0.3">
      <c r="A1019" t="str">
        <f t="shared" si="12"/>
        <v>1</v>
      </c>
      <c r="B1019" t="s">
        <v>287</v>
      </c>
      <c r="C1019">
        <v>73131</v>
      </c>
      <c r="D1019" s="2">
        <v>6</v>
      </c>
      <c r="E1019" s="1">
        <v>43021</v>
      </c>
      <c r="F1019" t="str">
        <f>"201710135648"</f>
        <v>201710135648</v>
      </c>
      <c r="G1019" t="str">
        <f>"Misce"</f>
        <v>Misce</v>
      </c>
      <c r="H1019" s="2">
        <v>6</v>
      </c>
      <c r="I1019" t="str">
        <f>"PHILIP TYRONE WILLIAMS"</f>
        <v>PHILIP TYRONE WILLIAMS</v>
      </c>
    </row>
    <row r="1020" spans="1:9" x14ac:dyDescent="0.3">
      <c r="A1020" t="str">
        <f t="shared" si="12"/>
        <v>1</v>
      </c>
      <c r="B1020" t="s">
        <v>288</v>
      </c>
      <c r="C1020">
        <v>73132</v>
      </c>
      <c r="D1020" s="2">
        <v>6</v>
      </c>
      <c r="E1020" s="1">
        <v>43021</v>
      </c>
      <c r="F1020" t="str">
        <f>"201710135649"</f>
        <v>201710135649</v>
      </c>
      <c r="G1020" t="str">
        <f>"Miscell"</f>
        <v>Miscell</v>
      </c>
      <c r="H1020" s="2">
        <v>6</v>
      </c>
      <c r="I1020" t="str">
        <f>"THELMA GOERTZ WARREN"</f>
        <v>THELMA GOERTZ WARREN</v>
      </c>
    </row>
    <row r="1021" spans="1:9" x14ac:dyDescent="0.3">
      <c r="A1021" t="str">
        <f t="shared" si="12"/>
        <v>1</v>
      </c>
      <c r="B1021" t="s">
        <v>289</v>
      </c>
      <c r="C1021">
        <v>73133</v>
      </c>
      <c r="D1021" s="2">
        <v>6</v>
      </c>
      <c r="E1021" s="1">
        <v>43021</v>
      </c>
      <c r="F1021" t="str">
        <f>"201710135650"</f>
        <v>201710135650</v>
      </c>
      <c r="G1021" t="str">
        <f>"Misc"</f>
        <v>Misc</v>
      </c>
      <c r="H1021" s="2">
        <v>6</v>
      </c>
      <c r="I1021" t="str">
        <f>"MARCOS ANTONIO VILLEGAS"</f>
        <v>MARCOS ANTONIO VILLEGAS</v>
      </c>
    </row>
    <row r="1022" spans="1:9" x14ac:dyDescent="0.3">
      <c r="A1022" t="str">
        <f t="shared" si="12"/>
        <v>1</v>
      </c>
      <c r="B1022" t="s">
        <v>290</v>
      </c>
      <c r="C1022">
        <v>73134</v>
      </c>
      <c r="D1022" s="2">
        <v>6</v>
      </c>
      <c r="E1022" s="1">
        <v>43021</v>
      </c>
      <c r="F1022" t="str">
        <f>"201710135651"</f>
        <v>201710135651</v>
      </c>
      <c r="G1022" t="str">
        <f>"Miscell"</f>
        <v>Miscell</v>
      </c>
      <c r="H1022" s="2">
        <v>6</v>
      </c>
      <c r="I1022" t="str">
        <f>"TANYA LEEANN SHELTON"</f>
        <v>TANYA LEEANN SHELTON</v>
      </c>
    </row>
    <row r="1023" spans="1:9" x14ac:dyDescent="0.3">
      <c r="A1023" t="str">
        <f t="shared" si="12"/>
        <v>1</v>
      </c>
      <c r="B1023" t="s">
        <v>291</v>
      </c>
      <c r="C1023">
        <v>73135</v>
      </c>
      <c r="D1023" s="2">
        <v>6</v>
      </c>
      <c r="E1023" s="1">
        <v>43021</v>
      </c>
      <c r="F1023" t="str">
        <f>"201710135652"</f>
        <v>201710135652</v>
      </c>
      <c r="G1023" t="str">
        <f>"Miscel"</f>
        <v>Miscel</v>
      </c>
      <c r="H1023" s="2">
        <v>6</v>
      </c>
      <c r="I1023" t="str">
        <f>"MARIA ANSELMA SERAFIN"</f>
        <v>MARIA ANSELMA SERAFIN</v>
      </c>
    </row>
    <row r="1024" spans="1:9" x14ac:dyDescent="0.3">
      <c r="A1024" t="str">
        <f t="shared" si="12"/>
        <v>1</v>
      </c>
      <c r="B1024" t="s">
        <v>292</v>
      </c>
      <c r="C1024">
        <v>73136</v>
      </c>
      <c r="D1024" s="2">
        <v>6</v>
      </c>
      <c r="E1024" s="1">
        <v>43021</v>
      </c>
      <c r="F1024" t="str">
        <f>"201710135653"</f>
        <v>201710135653</v>
      </c>
      <c r="G1024" t="str">
        <f>"Miscell"</f>
        <v>Miscell</v>
      </c>
      <c r="H1024" s="2">
        <v>6</v>
      </c>
      <c r="I1024" t="str">
        <f>"ADAM CHARLES SCHRAMM"</f>
        <v>ADAM CHARLES SCHRAMM</v>
      </c>
    </row>
    <row r="1025" spans="1:9" x14ac:dyDescent="0.3">
      <c r="A1025" t="str">
        <f t="shared" si="12"/>
        <v>1</v>
      </c>
      <c r="B1025" t="s">
        <v>293</v>
      </c>
      <c r="C1025">
        <v>73137</v>
      </c>
      <c r="D1025" s="2">
        <v>6</v>
      </c>
      <c r="E1025" s="1">
        <v>43021</v>
      </c>
      <c r="F1025" t="str">
        <f>"201710135654"</f>
        <v>201710135654</v>
      </c>
      <c r="G1025" t="str">
        <f>"Mis"</f>
        <v>Mis</v>
      </c>
      <c r="H1025" s="2">
        <v>6</v>
      </c>
      <c r="I1025" t="str">
        <f>"SHAE ANN SIMPSON-ROBBINS"</f>
        <v>SHAE ANN SIMPSON-ROBBINS</v>
      </c>
    </row>
    <row r="1026" spans="1:9" x14ac:dyDescent="0.3">
      <c r="A1026" t="str">
        <f t="shared" si="12"/>
        <v>1</v>
      </c>
      <c r="B1026" t="s">
        <v>294</v>
      </c>
      <c r="C1026">
        <v>73138</v>
      </c>
      <c r="D1026" s="2">
        <v>6</v>
      </c>
      <c r="E1026" s="1">
        <v>43021</v>
      </c>
      <c r="F1026" t="str">
        <f>"201710135655"</f>
        <v>201710135655</v>
      </c>
      <c r="G1026" t="str">
        <f>"Miscel"</f>
        <v>Miscel</v>
      </c>
      <c r="H1026" s="2">
        <v>6</v>
      </c>
      <c r="I1026" t="str">
        <f>"PHYLLIS DIANE TADLOCK"</f>
        <v>PHYLLIS DIANE TADLOCK</v>
      </c>
    </row>
    <row r="1027" spans="1:9" x14ac:dyDescent="0.3">
      <c r="A1027" t="str">
        <f t="shared" si="12"/>
        <v>1</v>
      </c>
      <c r="B1027" t="s">
        <v>295</v>
      </c>
      <c r="C1027">
        <v>73139</v>
      </c>
      <c r="D1027" s="2">
        <v>6</v>
      </c>
      <c r="E1027" s="1">
        <v>43021</v>
      </c>
      <c r="F1027" t="str">
        <f>"201710135656"</f>
        <v>201710135656</v>
      </c>
      <c r="G1027" t="str">
        <f>"Miscellaneo"</f>
        <v>Miscellaneo</v>
      </c>
      <c r="H1027" s="2">
        <v>6</v>
      </c>
      <c r="I1027" t="str">
        <f>"KAREN ANN STRONG"</f>
        <v>KAREN ANN STRONG</v>
      </c>
    </row>
    <row r="1028" spans="1:9" x14ac:dyDescent="0.3">
      <c r="A1028" t="str">
        <f t="shared" ref="A1028:A1059" si="13">"1"</f>
        <v>1</v>
      </c>
      <c r="B1028" t="s">
        <v>296</v>
      </c>
      <c r="C1028">
        <v>73140</v>
      </c>
      <c r="D1028" s="2">
        <v>6</v>
      </c>
      <c r="E1028" s="1">
        <v>43021</v>
      </c>
      <c r="F1028" t="str">
        <f>"201710135657"</f>
        <v>201710135657</v>
      </c>
      <c r="G1028" t="str">
        <f>"Miscel"</f>
        <v>Miscel</v>
      </c>
      <c r="H1028" s="2">
        <v>6</v>
      </c>
      <c r="I1028" t="str">
        <f>"KENNETH WAYNE STEVENS"</f>
        <v>KENNETH WAYNE STEVENS</v>
      </c>
    </row>
    <row r="1029" spans="1:9" x14ac:dyDescent="0.3">
      <c r="A1029" t="str">
        <f t="shared" si="13"/>
        <v>1</v>
      </c>
      <c r="B1029" t="s">
        <v>297</v>
      </c>
      <c r="C1029">
        <v>73141</v>
      </c>
      <c r="D1029" s="2">
        <v>6</v>
      </c>
      <c r="E1029" s="1">
        <v>43021</v>
      </c>
      <c r="F1029" t="str">
        <f>"201710135658"</f>
        <v>201710135658</v>
      </c>
      <c r="G1029" t="str">
        <f>"Miscell"</f>
        <v>Miscell</v>
      </c>
      <c r="H1029" s="2">
        <v>6</v>
      </c>
      <c r="I1029" t="str">
        <f>"CLAUDIA NAOMI KWEDER"</f>
        <v>CLAUDIA NAOMI KWEDER</v>
      </c>
    </row>
    <row r="1030" spans="1:9" x14ac:dyDescent="0.3">
      <c r="A1030" t="str">
        <f t="shared" si="13"/>
        <v>1</v>
      </c>
      <c r="B1030" t="s">
        <v>298</v>
      </c>
      <c r="C1030">
        <v>73142</v>
      </c>
      <c r="D1030" s="2">
        <v>6</v>
      </c>
      <c r="E1030" s="1">
        <v>43021</v>
      </c>
      <c r="F1030" t="str">
        <f>"201710135659"</f>
        <v>201710135659</v>
      </c>
      <c r="G1030" t="str">
        <f>"Miscellaneous"</f>
        <v>Miscellaneous</v>
      </c>
      <c r="H1030" s="2">
        <v>6</v>
      </c>
      <c r="I1030" t="str">
        <f>"HELEN DE LOACH"</f>
        <v>HELEN DE LOACH</v>
      </c>
    </row>
    <row r="1031" spans="1:9" x14ac:dyDescent="0.3">
      <c r="A1031" t="str">
        <f t="shared" si="13"/>
        <v>1</v>
      </c>
      <c r="B1031" t="s">
        <v>299</v>
      </c>
      <c r="C1031">
        <v>73143</v>
      </c>
      <c r="D1031" s="2">
        <v>6</v>
      </c>
      <c r="E1031" s="1">
        <v>43021</v>
      </c>
      <c r="F1031" t="str">
        <f>"201710135660"</f>
        <v>201710135660</v>
      </c>
      <c r="G1031" t="str">
        <f>"Miscellane"</f>
        <v>Miscellane</v>
      </c>
      <c r="H1031" s="2">
        <v>6</v>
      </c>
      <c r="I1031" t="str">
        <f>"CARA DANIELLE DAY"</f>
        <v>CARA DANIELLE DAY</v>
      </c>
    </row>
    <row r="1032" spans="1:9" x14ac:dyDescent="0.3">
      <c r="A1032" t="str">
        <f t="shared" si="13"/>
        <v>1</v>
      </c>
      <c r="B1032" t="s">
        <v>300</v>
      </c>
      <c r="C1032">
        <v>73144</v>
      </c>
      <c r="D1032" s="2">
        <v>126</v>
      </c>
      <c r="E1032" s="1">
        <v>43021</v>
      </c>
      <c r="F1032" t="str">
        <f>"201710135661"</f>
        <v>201710135661</v>
      </c>
      <c r="G1032" t="str">
        <f>"Miscel"</f>
        <v>Miscel</v>
      </c>
      <c r="H1032" s="2">
        <v>126</v>
      </c>
      <c r="I1032" t="str">
        <f>"JAMES HUGH CUNNINGHAM"</f>
        <v>JAMES HUGH CUNNINGHAM</v>
      </c>
    </row>
    <row r="1033" spans="1:9" x14ac:dyDescent="0.3">
      <c r="A1033" t="str">
        <f t="shared" si="13"/>
        <v>1</v>
      </c>
      <c r="B1033" t="s">
        <v>301</v>
      </c>
      <c r="C1033">
        <v>73145</v>
      </c>
      <c r="D1033" s="2">
        <v>6</v>
      </c>
      <c r="E1033" s="1">
        <v>43021</v>
      </c>
      <c r="F1033" t="str">
        <f>"201710135662"</f>
        <v>201710135662</v>
      </c>
      <c r="G1033" t="str">
        <f>"Miscella"</f>
        <v>Miscella</v>
      </c>
      <c r="H1033" s="2">
        <v>6</v>
      </c>
      <c r="I1033" t="str">
        <f>"MELISSA ANN DEUTSCH"</f>
        <v>MELISSA ANN DEUTSCH</v>
      </c>
    </row>
    <row r="1034" spans="1:9" x14ac:dyDescent="0.3">
      <c r="A1034" t="str">
        <f t="shared" si="13"/>
        <v>1</v>
      </c>
      <c r="B1034" t="s">
        <v>302</v>
      </c>
      <c r="C1034">
        <v>73146</v>
      </c>
      <c r="D1034" s="2">
        <v>6</v>
      </c>
      <c r="E1034" s="1">
        <v>43021</v>
      </c>
      <c r="F1034" t="str">
        <f>"201710135663"</f>
        <v>201710135663</v>
      </c>
      <c r="G1034" t="str">
        <f>"Miscella"</f>
        <v>Miscella</v>
      </c>
      <c r="H1034" s="2">
        <v>6</v>
      </c>
      <c r="I1034" t="str">
        <f>"MICHEAL ONEAL FORSE"</f>
        <v>MICHEAL ONEAL FORSE</v>
      </c>
    </row>
    <row r="1035" spans="1:9" x14ac:dyDescent="0.3">
      <c r="A1035" t="str">
        <f t="shared" si="13"/>
        <v>1</v>
      </c>
      <c r="B1035" t="s">
        <v>303</v>
      </c>
      <c r="C1035">
        <v>73147</v>
      </c>
      <c r="D1035" s="2">
        <v>126</v>
      </c>
      <c r="E1035" s="1">
        <v>43021</v>
      </c>
      <c r="F1035" t="str">
        <f>"201710135664"</f>
        <v>201710135664</v>
      </c>
      <c r="G1035" t="str">
        <f>"Misce"</f>
        <v>Misce</v>
      </c>
      <c r="H1035" s="2">
        <v>126</v>
      </c>
      <c r="I1035" t="str">
        <f>"DAVID RUDOLPH DURDA II"</f>
        <v>DAVID RUDOLPH DURDA II</v>
      </c>
    </row>
    <row r="1036" spans="1:9" x14ac:dyDescent="0.3">
      <c r="A1036" t="str">
        <f t="shared" si="13"/>
        <v>1</v>
      </c>
      <c r="B1036" t="s">
        <v>304</v>
      </c>
      <c r="C1036">
        <v>73148</v>
      </c>
      <c r="D1036" s="2">
        <v>126</v>
      </c>
      <c r="E1036" s="1">
        <v>43021</v>
      </c>
      <c r="F1036" t="str">
        <f>"201710135665"</f>
        <v>201710135665</v>
      </c>
      <c r="G1036" t="str">
        <f>"Miscell"</f>
        <v>Miscell</v>
      </c>
      <c r="H1036" s="2">
        <v>126</v>
      </c>
      <c r="I1036" t="str">
        <f>"KATHERINE MARIE DIAZ"</f>
        <v>KATHERINE MARIE DIAZ</v>
      </c>
    </row>
    <row r="1037" spans="1:9" x14ac:dyDescent="0.3">
      <c r="A1037" t="str">
        <f t="shared" si="13"/>
        <v>1</v>
      </c>
      <c r="B1037" t="s">
        <v>305</v>
      </c>
      <c r="C1037">
        <v>73149</v>
      </c>
      <c r="D1037" s="2">
        <v>6</v>
      </c>
      <c r="E1037" s="1">
        <v>43021</v>
      </c>
      <c r="F1037" t="str">
        <f>"201710135666"</f>
        <v>201710135666</v>
      </c>
      <c r="G1037" t="str">
        <f>"Misc"</f>
        <v>Misc</v>
      </c>
      <c r="H1037" s="2">
        <v>6</v>
      </c>
      <c r="I1037" t="str">
        <f>"BENJAMIN THOMAS BARRETT"</f>
        <v>BENJAMIN THOMAS BARRETT</v>
      </c>
    </row>
    <row r="1038" spans="1:9" x14ac:dyDescent="0.3">
      <c r="A1038" t="str">
        <f t="shared" si="13"/>
        <v>1</v>
      </c>
      <c r="B1038" t="s">
        <v>306</v>
      </c>
      <c r="C1038">
        <v>73150</v>
      </c>
      <c r="D1038" s="2">
        <v>6</v>
      </c>
      <c r="E1038" s="1">
        <v>43021</v>
      </c>
      <c r="F1038" t="str">
        <f>"201710135667"</f>
        <v>201710135667</v>
      </c>
      <c r="G1038" t="str">
        <f>"Misc"</f>
        <v>Misc</v>
      </c>
      <c r="H1038" s="2">
        <v>6</v>
      </c>
      <c r="I1038" t="str">
        <f>"JOHNATHAN MAXWELL BAIRD"</f>
        <v>JOHNATHAN MAXWELL BAIRD</v>
      </c>
    </row>
    <row r="1039" spans="1:9" x14ac:dyDescent="0.3">
      <c r="A1039" t="str">
        <f t="shared" si="13"/>
        <v>1</v>
      </c>
      <c r="B1039" t="s">
        <v>307</v>
      </c>
      <c r="C1039">
        <v>73151</v>
      </c>
      <c r="D1039" s="2">
        <v>6</v>
      </c>
      <c r="E1039" s="1">
        <v>43021</v>
      </c>
      <c r="F1039" t="str">
        <f>"201710135668"</f>
        <v>201710135668</v>
      </c>
      <c r="G1039" t="str">
        <f>"Miscell"</f>
        <v>Miscell</v>
      </c>
      <c r="H1039" s="2">
        <v>6</v>
      </c>
      <c r="I1039" t="str">
        <f>"FRANCISCO ANDRADA JR"</f>
        <v>FRANCISCO ANDRADA JR</v>
      </c>
    </row>
    <row r="1040" spans="1:9" x14ac:dyDescent="0.3">
      <c r="A1040" t="str">
        <f t="shared" si="13"/>
        <v>1</v>
      </c>
      <c r="B1040" t="s">
        <v>308</v>
      </c>
      <c r="C1040">
        <v>73152</v>
      </c>
      <c r="D1040" s="2">
        <v>6</v>
      </c>
      <c r="E1040" s="1">
        <v>43021</v>
      </c>
      <c r="F1040" t="str">
        <f>"201710135669"</f>
        <v>201710135669</v>
      </c>
      <c r="G1040" t="str">
        <f>"Miscella"</f>
        <v>Miscella</v>
      </c>
      <c r="H1040" s="2">
        <v>6</v>
      </c>
      <c r="I1040" t="str">
        <f>"DEWEY SAMUEL BARTON"</f>
        <v>DEWEY SAMUEL BARTON</v>
      </c>
    </row>
    <row r="1041" spans="1:9" x14ac:dyDescent="0.3">
      <c r="A1041" t="str">
        <f t="shared" si="13"/>
        <v>1</v>
      </c>
      <c r="B1041" t="s">
        <v>309</v>
      </c>
      <c r="C1041">
        <v>73153</v>
      </c>
      <c r="D1041" s="2">
        <v>6</v>
      </c>
      <c r="E1041" s="1">
        <v>43021</v>
      </c>
      <c r="F1041" t="str">
        <f>"201710135670"</f>
        <v>201710135670</v>
      </c>
      <c r="G1041" t="str">
        <f>"Miscell"</f>
        <v>Miscell</v>
      </c>
      <c r="H1041" s="2">
        <v>6</v>
      </c>
      <c r="I1041" t="str">
        <f>"CHRISTINE SUE COTTER"</f>
        <v>CHRISTINE SUE COTTER</v>
      </c>
    </row>
    <row r="1042" spans="1:9" x14ac:dyDescent="0.3">
      <c r="A1042" t="str">
        <f t="shared" si="13"/>
        <v>1</v>
      </c>
      <c r="B1042" t="s">
        <v>310</v>
      </c>
      <c r="C1042">
        <v>73154</v>
      </c>
      <c r="D1042" s="2">
        <v>6</v>
      </c>
      <c r="E1042" s="1">
        <v>43021</v>
      </c>
      <c r="F1042" t="str">
        <f>"201710135671"</f>
        <v>201710135671</v>
      </c>
      <c r="G1042" t="str">
        <f>"Miscellan"</f>
        <v>Miscellan</v>
      </c>
      <c r="H1042" s="2">
        <v>6</v>
      </c>
      <c r="I1042" t="str">
        <f>"KAI MARTIN COLLINS"</f>
        <v>KAI MARTIN COLLINS</v>
      </c>
    </row>
    <row r="1043" spans="1:9" x14ac:dyDescent="0.3">
      <c r="A1043" t="str">
        <f t="shared" si="13"/>
        <v>1</v>
      </c>
      <c r="B1043" t="s">
        <v>311</v>
      </c>
      <c r="C1043">
        <v>73155</v>
      </c>
      <c r="D1043" s="2">
        <v>6</v>
      </c>
      <c r="E1043" s="1">
        <v>43021</v>
      </c>
      <c r="F1043" t="str">
        <f>"201710135672"</f>
        <v>201710135672</v>
      </c>
      <c r="G1043" t="str">
        <f>""</f>
        <v/>
      </c>
      <c r="H1043" s="2">
        <v>6</v>
      </c>
      <c r="I1043" t="str">
        <f>"JANE RANDOLPH BROOKS-LINDER"</f>
        <v>JANE RANDOLPH BROOKS-LINDER</v>
      </c>
    </row>
    <row r="1044" spans="1:9" x14ac:dyDescent="0.3">
      <c r="A1044" t="str">
        <f t="shared" si="13"/>
        <v>1</v>
      </c>
      <c r="B1044" t="s">
        <v>312</v>
      </c>
      <c r="C1044">
        <v>73156</v>
      </c>
      <c r="D1044" s="2">
        <v>6</v>
      </c>
      <c r="E1044" s="1">
        <v>43021</v>
      </c>
      <c r="F1044" t="str">
        <f>"201710135673"</f>
        <v>201710135673</v>
      </c>
      <c r="G1044" t="str">
        <f>"Miscell"</f>
        <v>Miscell</v>
      </c>
      <c r="H1044" s="2">
        <v>6</v>
      </c>
      <c r="I1044" t="str">
        <f>"SHANNON LARUE FRANTZ"</f>
        <v>SHANNON LARUE FRANTZ</v>
      </c>
    </row>
    <row r="1045" spans="1:9" x14ac:dyDescent="0.3">
      <c r="A1045" t="str">
        <f t="shared" si="13"/>
        <v>1</v>
      </c>
      <c r="B1045" t="s">
        <v>313</v>
      </c>
      <c r="C1045">
        <v>73157</v>
      </c>
      <c r="D1045" s="2">
        <v>6</v>
      </c>
      <c r="E1045" s="1">
        <v>43021</v>
      </c>
      <c r="F1045" t="str">
        <f>"201710135674"</f>
        <v>201710135674</v>
      </c>
      <c r="G1045" t="str">
        <f>"Miscella"</f>
        <v>Miscella</v>
      </c>
      <c r="H1045" s="2">
        <v>6</v>
      </c>
      <c r="I1045" t="str">
        <f>"SANDRA JONES HOWELL"</f>
        <v>SANDRA JONES HOWELL</v>
      </c>
    </row>
    <row r="1046" spans="1:9" x14ac:dyDescent="0.3">
      <c r="A1046" t="str">
        <f t="shared" si="13"/>
        <v>1</v>
      </c>
      <c r="B1046" t="s">
        <v>314</v>
      </c>
      <c r="C1046">
        <v>73158</v>
      </c>
      <c r="D1046" s="2">
        <v>126</v>
      </c>
      <c r="E1046" s="1">
        <v>43021</v>
      </c>
      <c r="F1046" t="str">
        <f>"201710135675"</f>
        <v>201710135675</v>
      </c>
      <c r="G1046" t="str">
        <f>"Misc"</f>
        <v>Misc</v>
      </c>
      <c r="H1046" s="2">
        <v>126</v>
      </c>
      <c r="I1046" t="str">
        <f>"JESSICA LYNN HOLLENBECK"</f>
        <v>JESSICA LYNN HOLLENBECK</v>
      </c>
    </row>
    <row r="1047" spans="1:9" x14ac:dyDescent="0.3">
      <c r="A1047" t="str">
        <f t="shared" si="13"/>
        <v>1</v>
      </c>
      <c r="B1047" t="s">
        <v>315</v>
      </c>
      <c r="C1047">
        <v>73159</v>
      </c>
      <c r="D1047" s="2">
        <v>6</v>
      </c>
      <c r="E1047" s="1">
        <v>43021</v>
      </c>
      <c r="F1047" t="str">
        <f>"201710135676"</f>
        <v>201710135676</v>
      </c>
      <c r="G1047" t="str">
        <f>"Miscellaneo"</f>
        <v>Miscellaneo</v>
      </c>
      <c r="H1047" s="2">
        <v>6</v>
      </c>
      <c r="I1047" t="str">
        <f>"LEONOR HERNANDEZ"</f>
        <v>LEONOR HERNANDEZ</v>
      </c>
    </row>
    <row r="1048" spans="1:9" x14ac:dyDescent="0.3">
      <c r="A1048" t="str">
        <f t="shared" si="13"/>
        <v>1</v>
      </c>
      <c r="B1048" t="s">
        <v>316</v>
      </c>
      <c r="C1048">
        <v>73160</v>
      </c>
      <c r="D1048" s="2">
        <v>6</v>
      </c>
      <c r="E1048" s="1">
        <v>43021</v>
      </c>
      <c r="F1048" t="str">
        <f>"201710135677"</f>
        <v>201710135677</v>
      </c>
      <c r="G1048" t="str">
        <f>"Miscellaneou"</f>
        <v>Miscellaneou</v>
      </c>
      <c r="H1048" s="2">
        <v>6</v>
      </c>
      <c r="I1048" t="str">
        <f>"DAVID CARL HUSS"</f>
        <v>DAVID CARL HUSS</v>
      </c>
    </row>
    <row r="1049" spans="1:9" x14ac:dyDescent="0.3">
      <c r="A1049" t="str">
        <f t="shared" si="13"/>
        <v>1</v>
      </c>
      <c r="B1049" t="s">
        <v>317</v>
      </c>
      <c r="C1049">
        <v>73161</v>
      </c>
      <c r="D1049" s="2">
        <v>6</v>
      </c>
      <c r="E1049" s="1">
        <v>43021</v>
      </c>
      <c r="F1049" t="str">
        <f>"201710135678"</f>
        <v>201710135678</v>
      </c>
      <c r="G1049" t="str">
        <f>"Miscel"</f>
        <v>Miscel</v>
      </c>
      <c r="H1049" s="2">
        <v>6</v>
      </c>
      <c r="I1049" t="str">
        <f>"AMY MICHELL KRUMWEIDE"</f>
        <v>AMY MICHELL KRUMWEIDE</v>
      </c>
    </row>
    <row r="1050" spans="1:9" x14ac:dyDescent="0.3">
      <c r="A1050" t="str">
        <f t="shared" si="13"/>
        <v>1</v>
      </c>
      <c r="B1050" t="s">
        <v>318</v>
      </c>
      <c r="C1050">
        <v>73162</v>
      </c>
      <c r="D1050" s="2">
        <v>6</v>
      </c>
      <c r="E1050" s="1">
        <v>43021</v>
      </c>
      <c r="F1050" t="str">
        <f>"201710135679"</f>
        <v>201710135679</v>
      </c>
      <c r="G1050" t="str">
        <f>"Miscellane"</f>
        <v>Miscellane</v>
      </c>
      <c r="H1050" s="2">
        <v>6</v>
      </c>
      <c r="I1050" t="str">
        <f>"DAVID SCOTT JONES"</f>
        <v>DAVID SCOTT JONES</v>
      </c>
    </row>
    <row r="1051" spans="1:9" x14ac:dyDescent="0.3">
      <c r="A1051" t="str">
        <f t="shared" si="13"/>
        <v>1</v>
      </c>
      <c r="B1051" t="s">
        <v>319</v>
      </c>
      <c r="C1051">
        <v>73163</v>
      </c>
      <c r="D1051" s="2">
        <v>6</v>
      </c>
      <c r="E1051" s="1">
        <v>43021</v>
      </c>
      <c r="F1051" t="str">
        <f>"201710135680"</f>
        <v>201710135680</v>
      </c>
      <c r="G1051" t="str">
        <f>"Miscellan"</f>
        <v>Miscellan</v>
      </c>
      <c r="H1051" s="2">
        <v>6</v>
      </c>
      <c r="I1051" t="str">
        <f>"ROBERT DEAN IRVING"</f>
        <v>ROBERT DEAN IRVING</v>
      </c>
    </row>
    <row r="1052" spans="1:9" x14ac:dyDescent="0.3">
      <c r="A1052" t="str">
        <f t="shared" si="13"/>
        <v>1</v>
      </c>
      <c r="B1052" t="s">
        <v>320</v>
      </c>
      <c r="C1052">
        <v>73164</v>
      </c>
      <c r="D1052" s="2">
        <v>6</v>
      </c>
      <c r="E1052" s="1">
        <v>43021</v>
      </c>
      <c r="F1052" t="str">
        <f>"201710135681"</f>
        <v>201710135681</v>
      </c>
      <c r="G1052" t="str">
        <f>""</f>
        <v/>
      </c>
      <c r="H1052" s="2">
        <v>6</v>
      </c>
      <c r="I1052" t="str">
        <f>"RAYMOND LOUIS GOULDTHORPE JR"</f>
        <v>RAYMOND LOUIS GOULDTHORPE JR</v>
      </c>
    </row>
    <row r="1053" spans="1:9" x14ac:dyDescent="0.3">
      <c r="A1053" t="str">
        <f t="shared" si="13"/>
        <v>1</v>
      </c>
      <c r="B1053" t="s">
        <v>321</v>
      </c>
      <c r="C1053">
        <v>73165</v>
      </c>
      <c r="D1053" s="2">
        <v>6</v>
      </c>
      <c r="E1053" s="1">
        <v>43021</v>
      </c>
      <c r="F1053" t="str">
        <f>"201710135682"</f>
        <v>201710135682</v>
      </c>
      <c r="G1053" t="str">
        <f>"Miscella"</f>
        <v>Miscella</v>
      </c>
      <c r="H1053" s="2">
        <v>6</v>
      </c>
      <c r="I1053" t="str">
        <f>"HENRY MARTIN GIBSON"</f>
        <v>HENRY MARTIN GIBSON</v>
      </c>
    </row>
    <row r="1054" spans="1:9" x14ac:dyDescent="0.3">
      <c r="A1054" t="str">
        <f t="shared" si="13"/>
        <v>1</v>
      </c>
      <c r="B1054" t="s">
        <v>322</v>
      </c>
      <c r="C1054">
        <v>73166</v>
      </c>
      <c r="D1054" s="2">
        <v>126</v>
      </c>
      <c r="E1054" s="1">
        <v>43021</v>
      </c>
      <c r="F1054" t="str">
        <f>"201710135683"</f>
        <v>201710135683</v>
      </c>
      <c r="G1054" t="str">
        <f>"Miscell"</f>
        <v>Miscell</v>
      </c>
      <c r="H1054" s="2">
        <v>126</v>
      </c>
      <c r="I1054" t="str">
        <f>"PARRI DEALICE GARCIA"</f>
        <v>PARRI DEALICE GARCIA</v>
      </c>
    </row>
    <row r="1055" spans="1:9" x14ac:dyDescent="0.3">
      <c r="A1055" t="str">
        <f t="shared" si="13"/>
        <v>1</v>
      </c>
      <c r="B1055" t="s">
        <v>323</v>
      </c>
      <c r="C1055">
        <v>73167</v>
      </c>
      <c r="D1055" s="2">
        <v>6</v>
      </c>
      <c r="E1055" s="1">
        <v>43021</v>
      </c>
      <c r="F1055" t="str">
        <f>"201710135684"</f>
        <v>201710135684</v>
      </c>
      <c r="G1055" t="str">
        <f>"Misc"</f>
        <v>Misc</v>
      </c>
      <c r="H1055" s="2">
        <v>6</v>
      </c>
      <c r="I1055" t="str">
        <f>"CHRISTINE COLLINS GREER"</f>
        <v>CHRISTINE COLLINS GREER</v>
      </c>
    </row>
    <row r="1056" spans="1:9" x14ac:dyDescent="0.3">
      <c r="A1056" t="str">
        <f t="shared" si="13"/>
        <v>1</v>
      </c>
      <c r="B1056" t="s">
        <v>324</v>
      </c>
      <c r="C1056">
        <v>73168</v>
      </c>
      <c r="D1056" s="2">
        <v>6</v>
      </c>
      <c r="E1056" s="1">
        <v>43021</v>
      </c>
      <c r="F1056" t="str">
        <f>"201710135685"</f>
        <v>201710135685</v>
      </c>
      <c r="G1056" t="str">
        <f>"Miscellaneo"</f>
        <v>Miscellaneo</v>
      </c>
      <c r="H1056" s="2">
        <v>6</v>
      </c>
      <c r="I1056" t="str">
        <f>"MARY MEUTH HERMS"</f>
        <v>MARY MEUTH HERMS</v>
      </c>
    </row>
    <row r="1057" spans="1:9" x14ac:dyDescent="0.3">
      <c r="A1057" t="str">
        <f t="shared" si="13"/>
        <v>1</v>
      </c>
      <c r="B1057" t="s">
        <v>325</v>
      </c>
      <c r="C1057">
        <v>73169</v>
      </c>
      <c r="D1057" s="2">
        <v>6</v>
      </c>
      <c r="E1057" s="1">
        <v>43021</v>
      </c>
      <c r="F1057" t="str">
        <f>"201710135686"</f>
        <v>201710135686</v>
      </c>
      <c r="G1057" t="str">
        <f>"Miscellaneo"</f>
        <v>Miscellaneo</v>
      </c>
      <c r="H1057" s="2">
        <v>6</v>
      </c>
      <c r="I1057" t="str">
        <f>"JASON KENT HANNA"</f>
        <v>JASON KENT HANNA</v>
      </c>
    </row>
    <row r="1058" spans="1:9" x14ac:dyDescent="0.3">
      <c r="A1058" t="str">
        <f t="shared" si="13"/>
        <v>1</v>
      </c>
      <c r="B1058" t="s">
        <v>326</v>
      </c>
      <c r="C1058">
        <v>73170</v>
      </c>
      <c r="D1058" s="2">
        <v>126</v>
      </c>
      <c r="E1058" s="1">
        <v>43021</v>
      </c>
      <c r="F1058" t="str">
        <f>"201710135687"</f>
        <v>201710135687</v>
      </c>
      <c r="G1058" t="str">
        <f>"Miscellane"</f>
        <v>Miscellane</v>
      </c>
      <c r="H1058" s="2">
        <v>126</v>
      </c>
      <c r="I1058" t="str">
        <f>"MICHAEL W HAGERUD"</f>
        <v>MICHAEL W HAGERUD</v>
      </c>
    </row>
    <row r="1059" spans="1:9" x14ac:dyDescent="0.3">
      <c r="A1059" t="str">
        <f t="shared" si="13"/>
        <v>1</v>
      </c>
      <c r="B1059" t="s">
        <v>327</v>
      </c>
      <c r="C1059">
        <v>73375</v>
      </c>
      <c r="D1059" s="2">
        <v>40</v>
      </c>
      <c r="E1059" s="1">
        <v>43035</v>
      </c>
      <c r="F1059" t="str">
        <f>"201710276037"</f>
        <v>201710276037</v>
      </c>
      <c r="G1059" t="str">
        <f>"Miscellaneous"</f>
        <v>Miscellaneous</v>
      </c>
      <c r="H1059" s="2">
        <v>40</v>
      </c>
      <c r="I1059" t="str">
        <f>"SOLEDAD SIERRA"</f>
        <v>SOLEDAD SIERRA</v>
      </c>
    </row>
    <row r="1060" spans="1:9" x14ac:dyDescent="0.3">
      <c r="A1060" t="str">
        <f t="shared" ref="A1060:A1070" si="14">"1"</f>
        <v>1</v>
      </c>
      <c r="B1060" t="s">
        <v>328</v>
      </c>
      <c r="C1060">
        <v>73376</v>
      </c>
      <c r="D1060" s="2">
        <v>40</v>
      </c>
      <c r="E1060" s="1">
        <v>43035</v>
      </c>
      <c r="F1060" t="str">
        <f>"201710276038"</f>
        <v>201710276038</v>
      </c>
      <c r="G1060" t="str">
        <f>"Misce"</f>
        <v>Misce</v>
      </c>
      <c r="H1060" s="2">
        <v>40</v>
      </c>
      <c r="I1060" t="str">
        <f>"STEPHANIE REBER GOERTZ"</f>
        <v>STEPHANIE REBER GOERTZ</v>
      </c>
    </row>
    <row r="1061" spans="1:9" x14ac:dyDescent="0.3">
      <c r="A1061" t="str">
        <f t="shared" si="14"/>
        <v>1</v>
      </c>
      <c r="B1061" t="s">
        <v>329</v>
      </c>
      <c r="C1061">
        <v>73377</v>
      </c>
      <c r="D1061" s="2">
        <v>40</v>
      </c>
      <c r="E1061" s="1">
        <v>43035</v>
      </c>
      <c r="F1061" t="str">
        <f>"201710276039"</f>
        <v>201710276039</v>
      </c>
      <c r="G1061" t="str">
        <f>"Miscella"</f>
        <v>Miscella</v>
      </c>
      <c r="H1061" s="2">
        <v>40</v>
      </c>
      <c r="I1061" t="str">
        <f>"CHARLES WALTER FERS"</f>
        <v>CHARLES WALTER FERS</v>
      </c>
    </row>
    <row r="1062" spans="1:9" x14ac:dyDescent="0.3">
      <c r="A1062" t="str">
        <f t="shared" si="14"/>
        <v>1</v>
      </c>
      <c r="B1062" t="s">
        <v>330</v>
      </c>
      <c r="C1062">
        <v>73378</v>
      </c>
      <c r="D1062" s="2">
        <v>40</v>
      </c>
      <c r="E1062" s="1">
        <v>43035</v>
      </c>
      <c r="F1062" t="str">
        <f>"201710276040"</f>
        <v>201710276040</v>
      </c>
      <c r="G1062" t="str">
        <f>"Miscell"</f>
        <v>Miscell</v>
      </c>
      <c r="H1062" s="2">
        <v>40</v>
      </c>
      <c r="I1062" t="str">
        <f>"LORENE HELEN JOHNSON"</f>
        <v>LORENE HELEN JOHNSON</v>
      </c>
    </row>
    <row r="1063" spans="1:9" x14ac:dyDescent="0.3">
      <c r="A1063" t="str">
        <f t="shared" si="14"/>
        <v>1</v>
      </c>
      <c r="B1063" t="s">
        <v>331</v>
      </c>
      <c r="C1063">
        <v>73379</v>
      </c>
      <c r="D1063" s="2">
        <v>40</v>
      </c>
      <c r="E1063" s="1">
        <v>43035</v>
      </c>
      <c r="F1063" t="str">
        <f>"201710276041"</f>
        <v>201710276041</v>
      </c>
      <c r="G1063" t="str">
        <f>"Miscellane"</f>
        <v>Miscellane</v>
      </c>
      <c r="H1063" s="2">
        <v>40</v>
      </c>
      <c r="I1063" t="str">
        <f>"SHERRY ANN DUNBAR"</f>
        <v>SHERRY ANN DUNBAR</v>
      </c>
    </row>
    <row r="1064" spans="1:9" x14ac:dyDescent="0.3">
      <c r="A1064" t="str">
        <f t="shared" si="14"/>
        <v>1</v>
      </c>
      <c r="B1064" t="s">
        <v>332</v>
      </c>
      <c r="C1064">
        <v>73380</v>
      </c>
      <c r="D1064" s="2">
        <v>40</v>
      </c>
      <c r="E1064" s="1">
        <v>43035</v>
      </c>
      <c r="F1064" t="str">
        <f>"201710276042"</f>
        <v>201710276042</v>
      </c>
      <c r="G1064" t="str">
        <f>"Miscel"</f>
        <v>Miscel</v>
      </c>
      <c r="H1064" s="2">
        <v>40</v>
      </c>
      <c r="I1064" t="str">
        <f>"POLLYE ANITA HOFSTEDT"</f>
        <v>POLLYE ANITA HOFSTEDT</v>
      </c>
    </row>
    <row r="1065" spans="1:9" x14ac:dyDescent="0.3">
      <c r="A1065" t="str">
        <f t="shared" si="14"/>
        <v>1</v>
      </c>
      <c r="B1065" t="s">
        <v>333</v>
      </c>
      <c r="C1065">
        <v>73381</v>
      </c>
      <c r="D1065" s="2">
        <v>40</v>
      </c>
      <c r="E1065" s="1">
        <v>43035</v>
      </c>
      <c r="F1065" t="str">
        <f>"201710276043"</f>
        <v>201710276043</v>
      </c>
      <c r="G1065" t="str">
        <f>"Miscell"</f>
        <v>Miscell</v>
      </c>
      <c r="H1065" s="2">
        <v>40</v>
      </c>
      <c r="I1065" t="str">
        <f>"RANDY DALE GELTMEIER"</f>
        <v>RANDY DALE GELTMEIER</v>
      </c>
    </row>
    <row r="1066" spans="1:9" x14ac:dyDescent="0.3">
      <c r="A1066" t="str">
        <f t="shared" si="14"/>
        <v>1</v>
      </c>
      <c r="B1066" t="s">
        <v>334</v>
      </c>
      <c r="C1066">
        <v>73382</v>
      </c>
      <c r="D1066" s="2">
        <v>40</v>
      </c>
      <c r="E1066" s="1">
        <v>43035</v>
      </c>
      <c r="F1066" t="str">
        <f>"201710276044"</f>
        <v>201710276044</v>
      </c>
      <c r="G1066" t="str">
        <f>"Miscel"</f>
        <v>Miscel</v>
      </c>
      <c r="H1066" s="2">
        <v>40</v>
      </c>
      <c r="I1066" t="str">
        <f>"AMANDA LEANN CARLISLE"</f>
        <v>AMANDA LEANN CARLISLE</v>
      </c>
    </row>
    <row r="1067" spans="1:9" x14ac:dyDescent="0.3">
      <c r="A1067" t="str">
        <f t="shared" si="14"/>
        <v>1</v>
      </c>
      <c r="B1067" t="s">
        <v>335</v>
      </c>
      <c r="C1067">
        <v>73383</v>
      </c>
      <c r="D1067" s="2">
        <v>40</v>
      </c>
      <c r="E1067" s="1">
        <v>43035</v>
      </c>
      <c r="F1067" t="str">
        <f>"201710276045"</f>
        <v>201710276045</v>
      </c>
      <c r="G1067" t="str">
        <f>"Miscel"</f>
        <v>Miscel</v>
      </c>
      <c r="H1067" s="2">
        <v>40</v>
      </c>
      <c r="I1067" t="str">
        <f>"JEFFREY DONALD HARRIS"</f>
        <v>JEFFREY DONALD HARRIS</v>
      </c>
    </row>
    <row r="1068" spans="1:9" x14ac:dyDescent="0.3">
      <c r="A1068" t="str">
        <f t="shared" si="14"/>
        <v>1</v>
      </c>
      <c r="B1068" t="s">
        <v>336</v>
      </c>
      <c r="C1068">
        <v>73384</v>
      </c>
      <c r="D1068" s="2">
        <v>40</v>
      </c>
      <c r="E1068" s="1">
        <v>43035</v>
      </c>
      <c r="F1068" t="str">
        <f>"201710276046"</f>
        <v>201710276046</v>
      </c>
      <c r="G1068" t="str">
        <f>"Mi"</f>
        <v>Mi</v>
      </c>
      <c r="H1068" s="2">
        <v>40</v>
      </c>
      <c r="I1068" t="str">
        <f>"NORA EASTERWOOD SCHLUETER"</f>
        <v>NORA EASTERWOOD SCHLUETER</v>
      </c>
    </row>
    <row r="1069" spans="1:9" x14ac:dyDescent="0.3">
      <c r="A1069" t="str">
        <f t="shared" si="14"/>
        <v>1</v>
      </c>
      <c r="B1069" t="s">
        <v>337</v>
      </c>
      <c r="C1069">
        <v>73385</v>
      </c>
      <c r="D1069" s="2">
        <v>40</v>
      </c>
      <c r="E1069" s="1">
        <v>43035</v>
      </c>
      <c r="F1069" t="str">
        <f>"201710276047"</f>
        <v>201710276047</v>
      </c>
      <c r="G1069" t="str">
        <f>"Miscellan"</f>
        <v>Miscellan</v>
      </c>
      <c r="H1069" s="2">
        <v>40</v>
      </c>
      <c r="I1069" t="str">
        <f>"JOHN THOMAS ZINKER"</f>
        <v>JOHN THOMAS ZINKER</v>
      </c>
    </row>
    <row r="1070" spans="1:9" x14ac:dyDescent="0.3">
      <c r="A1070" t="str">
        <f t="shared" si="14"/>
        <v>1</v>
      </c>
      <c r="B1070" t="s">
        <v>338</v>
      </c>
      <c r="C1070">
        <v>73386</v>
      </c>
      <c r="D1070" s="2">
        <v>40</v>
      </c>
      <c r="E1070" s="1">
        <v>43035</v>
      </c>
      <c r="F1070" t="str">
        <f>"201710276048"</f>
        <v>201710276048</v>
      </c>
      <c r="G1070" t="str">
        <f>"Miscellaneo"</f>
        <v>Miscellaneo</v>
      </c>
      <c r="H1070" s="2">
        <v>40</v>
      </c>
      <c r="I1070" t="str">
        <f>"HAROLD DEE FLOYD"</f>
        <v>HAROLD DEE FLOYD</v>
      </c>
    </row>
    <row r="1071" spans="1:9" x14ac:dyDescent="0.3">
      <c r="A1071" t="str">
        <f>"MOORE"</f>
        <v>MOORE</v>
      </c>
      <c r="B1071" t="s">
        <v>339</v>
      </c>
      <c r="C1071">
        <v>73035</v>
      </c>
      <c r="D1071" s="2">
        <v>690.53</v>
      </c>
      <c r="E1071" s="1">
        <v>43018</v>
      </c>
      <c r="F1071" t="str">
        <f>"99622937/99631029"</f>
        <v>99622937/99631029</v>
      </c>
      <c r="G1071" t="str">
        <f>"INV 99622937"</f>
        <v>INV 99622937</v>
      </c>
      <c r="H1071" s="2">
        <v>690.53</v>
      </c>
      <c r="I1071" t="str">
        <f>"INV 99622937"</f>
        <v>INV 99622937</v>
      </c>
    </row>
    <row r="1072" spans="1:9" x14ac:dyDescent="0.3">
      <c r="A1072" t="str">
        <f>""</f>
        <v/>
      </c>
      <c r="F1072" t="str">
        <f>""</f>
        <v/>
      </c>
      <c r="G1072" t="str">
        <f>""</f>
        <v/>
      </c>
      <c r="I1072" t="str">
        <f>"INV 99631029"</f>
        <v>INV 99631029</v>
      </c>
    </row>
    <row r="1073" spans="1:9" x14ac:dyDescent="0.3">
      <c r="A1073" t="str">
        <f>"MOORE"</f>
        <v>MOORE</v>
      </c>
      <c r="B1073" t="s">
        <v>339</v>
      </c>
      <c r="C1073">
        <v>73278</v>
      </c>
      <c r="D1073" s="2">
        <v>253.78</v>
      </c>
      <c r="E1073" s="1">
        <v>43031</v>
      </c>
      <c r="F1073" t="str">
        <f>"99642402"</f>
        <v>99642402</v>
      </c>
      <c r="G1073" t="str">
        <f>"INV 99642402"</f>
        <v>INV 99642402</v>
      </c>
      <c r="H1073" s="2">
        <v>253.78</v>
      </c>
      <c r="I1073" t="str">
        <f>"INV 99642402"</f>
        <v>INV 99642402</v>
      </c>
    </row>
    <row r="1074" spans="1:9" x14ac:dyDescent="0.3">
      <c r="A1074" t="str">
        <f>"189"</f>
        <v>189</v>
      </c>
      <c r="B1074" t="s">
        <v>340</v>
      </c>
      <c r="C1074">
        <v>73279</v>
      </c>
      <c r="D1074" s="2">
        <v>40924.78</v>
      </c>
      <c r="E1074" s="1">
        <v>43031</v>
      </c>
      <c r="F1074" t="str">
        <f>"201710175705"</f>
        <v>201710175705</v>
      </c>
      <c r="G1074" t="str">
        <f>"RADIO SERVICE AGREEMENT"</f>
        <v>RADIO SERVICE AGREEMENT</v>
      </c>
      <c r="H1074" s="2">
        <v>40924.78</v>
      </c>
      <c r="I1074" t="str">
        <f>"RADIO SERVICE AGREEMENT"</f>
        <v>RADIO SERVICE AGREEMENT</v>
      </c>
    </row>
    <row r="1075" spans="1:9" x14ac:dyDescent="0.3">
      <c r="A1075" t="str">
        <f>"002776"</f>
        <v>002776</v>
      </c>
      <c r="B1075" t="s">
        <v>341</v>
      </c>
      <c r="C1075">
        <v>73036</v>
      </c>
      <c r="D1075" s="2">
        <v>24164.16</v>
      </c>
      <c r="E1075" s="1">
        <v>43018</v>
      </c>
      <c r="F1075" t="str">
        <f>"13179412"</f>
        <v>13179412</v>
      </c>
      <c r="G1075" t="str">
        <f>"RADIOS"</f>
        <v>RADIOS</v>
      </c>
      <c r="H1075" s="2">
        <v>24164.16</v>
      </c>
      <c r="I1075" t="str">
        <f>"RADIOS"</f>
        <v>RADIOS</v>
      </c>
    </row>
    <row r="1076" spans="1:9" x14ac:dyDescent="0.3">
      <c r="A1076" t="str">
        <f>""</f>
        <v/>
      </c>
      <c r="F1076" t="str">
        <f>""</f>
        <v/>
      </c>
      <c r="G1076" t="str">
        <f>""</f>
        <v/>
      </c>
      <c r="I1076" t="str">
        <f>"RADIOS"</f>
        <v>RADIOS</v>
      </c>
    </row>
    <row r="1077" spans="1:9" x14ac:dyDescent="0.3">
      <c r="A1077" t="str">
        <f>"004694"</f>
        <v>004694</v>
      </c>
      <c r="B1077" t="s">
        <v>342</v>
      </c>
      <c r="C1077">
        <v>73281</v>
      </c>
      <c r="D1077" s="2">
        <v>795</v>
      </c>
      <c r="E1077" s="1">
        <v>43031</v>
      </c>
      <c r="F1077" t="str">
        <f>"86374454"</f>
        <v>86374454</v>
      </c>
      <c r="G1077" t="str">
        <f>"WATER TREATMENT SVCS/OCT17"</f>
        <v>WATER TREATMENT SVCS/OCT17</v>
      </c>
      <c r="H1077" s="2">
        <v>795</v>
      </c>
      <c r="I1077" t="str">
        <f>"WATER TREATMENT SVCS/OCT17"</f>
        <v>WATER TREATMENT SVCS/OCT17</v>
      </c>
    </row>
    <row r="1078" spans="1:9" x14ac:dyDescent="0.3">
      <c r="A1078" t="str">
        <f>"000562"</f>
        <v>000562</v>
      </c>
      <c r="B1078" t="s">
        <v>343</v>
      </c>
      <c r="C1078">
        <v>999999</v>
      </c>
      <c r="D1078" s="2">
        <v>7738.55</v>
      </c>
      <c r="E1078" s="1">
        <v>43019</v>
      </c>
      <c r="F1078" t="str">
        <f>"IN0786036"</f>
        <v>IN0786036</v>
      </c>
      <c r="G1078" t="str">
        <f>"INV IN0786036"</f>
        <v>INV IN0786036</v>
      </c>
      <c r="H1078" s="2">
        <v>4728</v>
      </c>
      <c r="I1078" t="str">
        <f>"INV IN0786036"</f>
        <v>INV IN0786036</v>
      </c>
    </row>
    <row r="1079" spans="1:9" x14ac:dyDescent="0.3">
      <c r="A1079" t="str">
        <f>""</f>
        <v/>
      </c>
      <c r="F1079" t="str">
        <f>"IN0789124/0788951"</f>
        <v>IN0789124/0788951</v>
      </c>
      <c r="G1079" t="str">
        <f>"INV IN0789124"</f>
        <v>INV IN0789124</v>
      </c>
      <c r="H1079" s="2">
        <v>3010.55</v>
      </c>
      <c r="I1079" t="str">
        <f>"INV IN0789124"</f>
        <v>INV IN0789124</v>
      </c>
    </row>
    <row r="1080" spans="1:9" x14ac:dyDescent="0.3">
      <c r="A1080" t="str">
        <f>""</f>
        <v/>
      </c>
      <c r="F1080" t="str">
        <f>""</f>
        <v/>
      </c>
      <c r="G1080" t="str">
        <f>""</f>
        <v/>
      </c>
      <c r="I1080" t="str">
        <f>"INV IN0788951"</f>
        <v>INV IN0788951</v>
      </c>
    </row>
    <row r="1081" spans="1:9" x14ac:dyDescent="0.3">
      <c r="A1081" t="str">
        <f>"000562"</f>
        <v>000562</v>
      </c>
      <c r="B1081" t="s">
        <v>343</v>
      </c>
      <c r="C1081">
        <v>999999</v>
      </c>
      <c r="D1081" s="2">
        <v>2937.5</v>
      </c>
      <c r="E1081" s="1">
        <v>43032</v>
      </c>
      <c r="F1081" t="str">
        <f>"IN0789834"</f>
        <v>IN0789834</v>
      </c>
      <c r="G1081" t="str">
        <f>"INV IN0789834"</f>
        <v>INV IN0789834</v>
      </c>
      <c r="H1081" s="2">
        <v>2937.5</v>
      </c>
      <c r="I1081" t="str">
        <f>"INV IN0789834"</f>
        <v>INV IN0789834</v>
      </c>
    </row>
    <row r="1082" spans="1:9" x14ac:dyDescent="0.3">
      <c r="A1082" t="str">
        <f>"T5845"</f>
        <v>T5845</v>
      </c>
      <c r="B1082" t="s">
        <v>344</v>
      </c>
      <c r="C1082">
        <v>73282</v>
      </c>
      <c r="D1082" s="2">
        <v>4730.5200000000004</v>
      </c>
      <c r="E1082" s="1">
        <v>43031</v>
      </c>
      <c r="F1082" t="str">
        <f>"INV-416118-C6B5M4"</f>
        <v>INV-416118-C6B5M4</v>
      </c>
      <c r="G1082" t="str">
        <f>"Windows Server 2016 MCSA"</f>
        <v>Windows Server 2016 MCSA</v>
      </c>
      <c r="H1082" s="2">
        <v>4730.5200000000004</v>
      </c>
      <c r="I1082" t="str">
        <f>"Jason Parker"</f>
        <v>Jason Parker</v>
      </c>
    </row>
    <row r="1083" spans="1:9" x14ac:dyDescent="0.3">
      <c r="A1083" t="str">
        <f>""</f>
        <v/>
      </c>
      <c r="F1083" t="str">
        <f>""</f>
        <v/>
      </c>
      <c r="G1083" t="str">
        <f>""</f>
        <v/>
      </c>
      <c r="I1083" t="str">
        <f>"John Deason"</f>
        <v>John Deason</v>
      </c>
    </row>
    <row r="1084" spans="1:9" x14ac:dyDescent="0.3">
      <c r="A1084" t="str">
        <f>"002965"</f>
        <v>002965</v>
      </c>
      <c r="B1084" t="s">
        <v>345</v>
      </c>
      <c r="C1084">
        <v>73283</v>
      </c>
      <c r="D1084" s="2">
        <v>165</v>
      </c>
      <c r="E1084" s="1">
        <v>43031</v>
      </c>
      <c r="F1084" t="str">
        <f>"WALTY34689"</f>
        <v>WALTY34689</v>
      </c>
      <c r="G1084" t="str">
        <f>"2018 NPELRA MEMBERSHIP"</f>
        <v>2018 NPELRA MEMBERSHIP</v>
      </c>
      <c r="H1084" s="2">
        <v>165</v>
      </c>
      <c r="I1084" t="str">
        <f>"2018 NPELRA MEMBERSHIP"</f>
        <v>2018 NPELRA MEMBERSHIP</v>
      </c>
    </row>
    <row r="1085" spans="1:9" x14ac:dyDescent="0.3">
      <c r="A1085" t="str">
        <f>"004580"</f>
        <v>004580</v>
      </c>
      <c r="B1085" t="s">
        <v>346</v>
      </c>
      <c r="C1085">
        <v>73038</v>
      </c>
      <c r="D1085" s="2">
        <v>113</v>
      </c>
      <c r="E1085" s="1">
        <v>43018</v>
      </c>
      <c r="F1085" t="str">
        <f>"100499907"</f>
        <v>100499907</v>
      </c>
      <c r="G1085" t="str">
        <f>"CUST#37324/TX CPRC PLUS 2017"</f>
        <v>CUST#37324/TX CPRC PLUS 2017</v>
      </c>
      <c r="H1085" s="2">
        <v>113</v>
      </c>
      <c r="I1085" t="str">
        <f>"CUST#37324/TX CPRC PLUS 2017"</f>
        <v>CUST#37324/TX CPRC PLUS 2017</v>
      </c>
    </row>
    <row r="1086" spans="1:9" x14ac:dyDescent="0.3">
      <c r="A1086" t="str">
        <f>"T6614"</f>
        <v>T6614</v>
      </c>
      <c r="B1086" t="s">
        <v>347</v>
      </c>
      <c r="C1086">
        <v>999999</v>
      </c>
      <c r="D1086" s="2">
        <v>367.2</v>
      </c>
      <c r="E1086" s="1">
        <v>43019</v>
      </c>
      <c r="F1086" t="str">
        <f>"581-303196/953"</f>
        <v>581-303196/953</v>
      </c>
      <c r="G1086" t="str">
        <f>"INV 581-303196"</f>
        <v>INV 581-303196</v>
      </c>
      <c r="H1086" s="2">
        <v>323.52</v>
      </c>
      <c r="I1086" t="str">
        <f>"INV 581-303196"</f>
        <v>INV 581-303196</v>
      </c>
    </row>
    <row r="1087" spans="1:9" x14ac:dyDescent="0.3">
      <c r="A1087" t="str">
        <f>""</f>
        <v/>
      </c>
      <c r="F1087" t="str">
        <f>""</f>
        <v/>
      </c>
      <c r="G1087" t="str">
        <f>""</f>
        <v/>
      </c>
      <c r="I1087" t="str">
        <f>"INV 581-303953"</f>
        <v>INV 581-303953</v>
      </c>
    </row>
    <row r="1088" spans="1:9" x14ac:dyDescent="0.3">
      <c r="A1088" t="str">
        <f>""</f>
        <v/>
      </c>
      <c r="F1088" t="str">
        <f>"581-304544"</f>
        <v>581-304544</v>
      </c>
      <c r="G1088" t="str">
        <f>"INV 581-304544"</f>
        <v>INV 581-304544</v>
      </c>
      <c r="H1088" s="2">
        <v>43.68</v>
      </c>
      <c r="I1088" t="str">
        <f>"INV 581-304544"</f>
        <v>INV 581-304544</v>
      </c>
    </row>
    <row r="1089" spans="1:9" x14ac:dyDescent="0.3">
      <c r="A1089" t="str">
        <f>"T6614"</f>
        <v>T6614</v>
      </c>
      <c r="B1089" t="s">
        <v>347</v>
      </c>
      <c r="C1089">
        <v>999999</v>
      </c>
      <c r="D1089" s="2">
        <v>610.4</v>
      </c>
      <c r="E1089" s="1">
        <v>43032</v>
      </c>
      <c r="F1089" t="str">
        <f>"201710135621"</f>
        <v>201710135621</v>
      </c>
      <c r="G1089" t="str">
        <f>"CUST#99088/AUTO PARTS/PCT#4"</f>
        <v>CUST#99088/AUTO PARTS/PCT#4</v>
      </c>
      <c r="H1089" s="2">
        <v>610.4</v>
      </c>
      <c r="I1089" t="str">
        <f>"CUST#99088/AUTO PARTS/PCT#4"</f>
        <v>CUST#99088/AUTO PARTS/PCT#4</v>
      </c>
    </row>
    <row r="1090" spans="1:9" x14ac:dyDescent="0.3">
      <c r="A1090" t="str">
        <f>"001015"</f>
        <v>001015</v>
      </c>
      <c r="B1090" t="s">
        <v>348</v>
      </c>
      <c r="C1090">
        <v>73039</v>
      </c>
      <c r="D1090" s="2">
        <v>1386</v>
      </c>
      <c r="E1090" s="1">
        <v>43018</v>
      </c>
      <c r="F1090" t="str">
        <f>"122000552"</f>
        <v>122000552</v>
      </c>
      <c r="G1090" t="str">
        <f>"INV 122000552"</f>
        <v>INV 122000552</v>
      </c>
      <c r="H1090" s="2">
        <v>231</v>
      </c>
      <c r="I1090" t="str">
        <f>"INV 122000552"</f>
        <v>INV 122000552</v>
      </c>
    </row>
    <row r="1091" spans="1:9" x14ac:dyDescent="0.3">
      <c r="A1091" t="str">
        <f>""</f>
        <v/>
      </c>
      <c r="F1091" t="str">
        <f>"40131142"</f>
        <v>40131142</v>
      </c>
      <c r="G1091" t="str">
        <f>"INV 40131142"</f>
        <v>INV 40131142</v>
      </c>
      <c r="H1091" s="2">
        <v>231</v>
      </c>
      <c r="I1091" t="str">
        <f>"INV 40131142"</f>
        <v>INV 40131142</v>
      </c>
    </row>
    <row r="1092" spans="1:9" x14ac:dyDescent="0.3">
      <c r="A1092" t="str">
        <f>""</f>
        <v/>
      </c>
      <c r="F1092" t="str">
        <f>"MILK INVOICE #'S"</f>
        <v>MILK INVOICE #'S</v>
      </c>
      <c r="G1092" t="str">
        <f>"SOUTHERN FOODS GROUP LP"</f>
        <v>SOUTHERN FOODS GROUP LP</v>
      </c>
      <c r="H1092" s="2">
        <v>924</v>
      </c>
      <c r="I1092" t="str">
        <f>"INV 986251"</f>
        <v>INV 986251</v>
      </c>
    </row>
    <row r="1093" spans="1:9" x14ac:dyDescent="0.3">
      <c r="A1093" t="str">
        <f>""</f>
        <v/>
      </c>
      <c r="F1093" t="str">
        <f>""</f>
        <v/>
      </c>
      <c r="G1093" t="str">
        <f>""</f>
        <v/>
      </c>
      <c r="I1093" t="str">
        <f>"INV 981873"</f>
        <v>INV 981873</v>
      </c>
    </row>
    <row r="1094" spans="1:9" x14ac:dyDescent="0.3">
      <c r="A1094" t="str">
        <f>""</f>
        <v/>
      </c>
      <c r="F1094" t="str">
        <f>""</f>
        <v/>
      </c>
      <c r="G1094" t="str">
        <f>""</f>
        <v/>
      </c>
      <c r="I1094" t="str">
        <f>"INV 122000449"</f>
        <v>INV 122000449</v>
      </c>
    </row>
    <row r="1095" spans="1:9" x14ac:dyDescent="0.3">
      <c r="A1095" t="str">
        <f>""</f>
        <v/>
      </c>
      <c r="F1095" t="str">
        <f>""</f>
        <v/>
      </c>
      <c r="G1095" t="str">
        <f>""</f>
        <v/>
      </c>
      <c r="I1095" t="str">
        <f>"INV 993677"</f>
        <v>INV 993677</v>
      </c>
    </row>
    <row r="1096" spans="1:9" x14ac:dyDescent="0.3">
      <c r="A1096" t="str">
        <f>"001015"</f>
        <v>001015</v>
      </c>
      <c r="B1096" t="s">
        <v>348</v>
      </c>
      <c r="C1096">
        <v>73284</v>
      </c>
      <c r="D1096" s="2">
        <v>693</v>
      </c>
      <c r="E1096" s="1">
        <v>43031</v>
      </c>
      <c r="F1096" t="str">
        <f>"MILK INV#'S"</f>
        <v>MILK INV#'S</v>
      </c>
      <c r="G1096" t="str">
        <f>"INV 1003936"</f>
        <v>INV 1003936</v>
      </c>
      <c r="H1096" s="2">
        <v>693</v>
      </c>
      <c r="I1096" t="str">
        <f>"INV 1003936"</f>
        <v>INV 1003936</v>
      </c>
    </row>
    <row r="1097" spans="1:9" x14ac:dyDescent="0.3">
      <c r="A1097" t="str">
        <f>""</f>
        <v/>
      </c>
      <c r="F1097" t="str">
        <f>""</f>
        <v/>
      </c>
      <c r="G1097" t="str">
        <f>""</f>
        <v/>
      </c>
      <c r="I1097" t="str">
        <f>"INV 1008179"</f>
        <v>INV 1008179</v>
      </c>
    </row>
    <row r="1098" spans="1:9" x14ac:dyDescent="0.3">
      <c r="A1098" t="str">
        <f>""</f>
        <v/>
      </c>
      <c r="F1098" t="str">
        <f>""</f>
        <v/>
      </c>
      <c r="G1098" t="str">
        <f>""</f>
        <v/>
      </c>
      <c r="I1098" t="str">
        <f>"INV 1000954"</f>
        <v>INV 1000954</v>
      </c>
    </row>
    <row r="1099" spans="1:9" x14ac:dyDescent="0.3">
      <c r="A1099" t="str">
        <f>"T5769"</f>
        <v>T5769</v>
      </c>
      <c r="B1099" t="s">
        <v>349</v>
      </c>
      <c r="C1099">
        <v>73285</v>
      </c>
      <c r="D1099" s="2">
        <v>3027.89</v>
      </c>
      <c r="E1099" s="1">
        <v>43031</v>
      </c>
      <c r="F1099" t="str">
        <f>"8599494"</f>
        <v>8599494</v>
      </c>
      <c r="G1099" t="str">
        <f>"Bill# 8599494"</f>
        <v>Bill# 8599494</v>
      </c>
      <c r="H1099" s="2">
        <v>488.19</v>
      </c>
      <c r="I1099" t="str">
        <f>"Ord# 968634727001"</f>
        <v>Ord# 968634727001</v>
      </c>
    </row>
    <row r="1100" spans="1:9" x14ac:dyDescent="0.3">
      <c r="A1100" t="str">
        <f>""</f>
        <v/>
      </c>
      <c r="F1100" t="str">
        <f>""</f>
        <v/>
      </c>
      <c r="G1100" t="str">
        <f>""</f>
        <v/>
      </c>
      <c r="I1100" t="str">
        <f>"Ord# 968635532001"</f>
        <v>Ord# 968635532001</v>
      </c>
    </row>
    <row r="1101" spans="1:9" x14ac:dyDescent="0.3">
      <c r="A1101" t="str">
        <f>""</f>
        <v/>
      </c>
      <c r="F1101" t="str">
        <f>""</f>
        <v/>
      </c>
      <c r="G1101" t="str">
        <f>""</f>
        <v/>
      </c>
      <c r="I1101" t="str">
        <f>"Ord# 968797943001"</f>
        <v>Ord# 968797943001</v>
      </c>
    </row>
    <row r="1102" spans="1:9" x14ac:dyDescent="0.3">
      <c r="A1102" t="str">
        <f>""</f>
        <v/>
      </c>
      <c r="F1102" t="str">
        <f>""</f>
        <v/>
      </c>
      <c r="G1102" t="str">
        <f>""</f>
        <v/>
      </c>
      <c r="I1102" t="str">
        <f>"Ord# 968810707001"</f>
        <v>Ord# 968810707001</v>
      </c>
    </row>
    <row r="1103" spans="1:9" x14ac:dyDescent="0.3">
      <c r="A1103" t="str">
        <f>""</f>
        <v/>
      </c>
      <c r="F1103" t="str">
        <f>""</f>
        <v/>
      </c>
      <c r="G1103" t="str">
        <f>""</f>
        <v/>
      </c>
      <c r="I1103" t="str">
        <f>"Ord# 968832015001"</f>
        <v>Ord# 968832015001</v>
      </c>
    </row>
    <row r="1104" spans="1:9" x14ac:dyDescent="0.3">
      <c r="A1104" t="str">
        <f>""</f>
        <v/>
      </c>
      <c r="F1104" t="str">
        <f>""</f>
        <v/>
      </c>
      <c r="G1104" t="str">
        <f>""</f>
        <v/>
      </c>
      <c r="I1104" t="str">
        <f>"Ord# 968832811001"</f>
        <v>Ord# 968832811001</v>
      </c>
    </row>
    <row r="1105" spans="1:9" x14ac:dyDescent="0.3">
      <c r="A1105" t="str">
        <f>""</f>
        <v/>
      </c>
      <c r="F1105" t="str">
        <f>""</f>
        <v/>
      </c>
      <c r="G1105" t="str">
        <f>""</f>
        <v/>
      </c>
      <c r="I1105" t="str">
        <f>"Ord# 968763779001"</f>
        <v>Ord# 968763779001</v>
      </c>
    </row>
    <row r="1106" spans="1:9" x14ac:dyDescent="0.3">
      <c r="A1106" t="str">
        <f>""</f>
        <v/>
      </c>
      <c r="F1106" t="str">
        <f>""</f>
        <v/>
      </c>
      <c r="G1106" t="str">
        <f>""</f>
        <v/>
      </c>
      <c r="I1106" t="str">
        <f>"Ord# 968764274001"</f>
        <v>Ord# 968764274001</v>
      </c>
    </row>
    <row r="1107" spans="1:9" x14ac:dyDescent="0.3">
      <c r="A1107" t="str">
        <f>""</f>
        <v/>
      </c>
      <c r="F1107" t="str">
        <f>"ACCT#28941874"</f>
        <v>ACCT#28941874</v>
      </c>
      <c r="G1107" t="str">
        <f>"Bill# 8599494"</f>
        <v>Bill# 8599494</v>
      </c>
      <c r="H1107" s="2">
        <v>2539.6999999999998</v>
      </c>
      <c r="I1107" t="str">
        <f>"Ord# 964683609001"</f>
        <v>Ord# 964683609001</v>
      </c>
    </row>
    <row r="1108" spans="1:9" x14ac:dyDescent="0.3">
      <c r="A1108" t="str">
        <f>""</f>
        <v/>
      </c>
      <c r="F1108" t="str">
        <f>""</f>
        <v/>
      </c>
      <c r="G1108" t="str">
        <f>""</f>
        <v/>
      </c>
      <c r="I1108" t="str">
        <f>"Ord# 964684541001"</f>
        <v>Ord# 964684541001</v>
      </c>
    </row>
    <row r="1109" spans="1:9" x14ac:dyDescent="0.3">
      <c r="A1109" t="str">
        <f>""</f>
        <v/>
      </c>
      <c r="F1109" t="str">
        <f>""</f>
        <v/>
      </c>
      <c r="G1109" t="str">
        <f>""</f>
        <v/>
      </c>
      <c r="I1109" t="str">
        <f>"Ord# 967330497001"</f>
        <v>Ord# 967330497001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>"Ord# 967330625001"</f>
        <v>Ord# 967330625001</v>
      </c>
    </row>
    <row r="1111" spans="1:9" x14ac:dyDescent="0.3">
      <c r="A1111" t="str">
        <f>""</f>
        <v/>
      </c>
      <c r="F1111" t="str">
        <f>""</f>
        <v/>
      </c>
      <c r="G1111" t="str">
        <f>""</f>
        <v/>
      </c>
      <c r="I1111" t="str">
        <f>"Ord# 966533808001"</f>
        <v>Ord# 966533808001</v>
      </c>
    </row>
    <row r="1112" spans="1:9" x14ac:dyDescent="0.3">
      <c r="A1112" t="str">
        <f>""</f>
        <v/>
      </c>
      <c r="F1112" t="str">
        <f>""</f>
        <v/>
      </c>
      <c r="G1112" t="str">
        <f>""</f>
        <v/>
      </c>
      <c r="I1112" t="str">
        <f>"Ord# 964566429001"</f>
        <v>Ord# 964566429001</v>
      </c>
    </row>
    <row r="1113" spans="1:9" x14ac:dyDescent="0.3">
      <c r="A1113" t="str">
        <f>""</f>
        <v/>
      </c>
      <c r="F1113" t="str">
        <f>""</f>
        <v/>
      </c>
      <c r="G1113" t="str">
        <f>""</f>
        <v/>
      </c>
      <c r="I1113" t="str">
        <f>"Ord# 964566665001"</f>
        <v>Ord# 964566665001</v>
      </c>
    </row>
    <row r="1114" spans="1:9" x14ac:dyDescent="0.3">
      <c r="A1114" t="str">
        <f>""</f>
        <v/>
      </c>
      <c r="F1114" t="str">
        <f>""</f>
        <v/>
      </c>
      <c r="G1114" t="str">
        <f>""</f>
        <v/>
      </c>
      <c r="I1114" t="str">
        <f>"Ord# 966678356001"</f>
        <v>Ord# 966678356001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>"Ord# 964298092001"</f>
        <v>Ord# 964298092001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>"Ord# 964298697001"</f>
        <v>Ord# 964298697001</v>
      </c>
    </row>
    <row r="1117" spans="1:9" x14ac:dyDescent="0.3">
      <c r="A1117" t="str">
        <f>""</f>
        <v/>
      </c>
      <c r="F1117" t="str">
        <f>""</f>
        <v/>
      </c>
      <c r="G1117" t="str">
        <f>""</f>
        <v/>
      </c>
      <c r="I1117" t="str">
        <f>"Ord# 95926206002"</f>
        <v>Ord# 95926206002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>"Ord# 966154485001"</f>
        <v>Ord# 966154485001</v>
      </c>
    </row>
    <row r="1119" spans="1:9" x14ac:dyDescent="0.3">
      <c r="A1119" t="str">
        <f>""</f>
        <v/>
      </c>
      <c r="F1119" t="str">
        <f>""</f>
        <v/>
      </c>
      <c r="G1119" t="str">
        <f>""</f>
        <v/>
      </c>
      <c r="I1119" t="str">
        <f>"Ord# 966156374001"</f>
        <v>Ord# 966156374001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>"Ord# 966665672001"</f>
        <v>Ord# 966665672001</v>
      </c>
    </row>
    <row r="1121" spans="1:9" x14ac:dyDescent="0.3">
      <c r="A1121" t="str">
        <f>""</f>
        <v/>
      </c>
      <c r="F1121" t="str">
        <f>""</f>
        <v/>
      </c>
      <c r="G1121" t="str">
        <f>""</f>
        <v/>
      </c>
      <c r="I1121" t="str">
        <f>"Ord# 966666081001"</f>
        <v>Ord# 966666081001</v>
      </c>
    </row>
    <row r="1122" spans="1:9" x14ac:dyDescent="0.3">
      <c r="A1122" t="str">
        <f>"OMNIBA"</f>
        <v>OMNIBA</v>
      </c>
      <c r="B1122" t="s">
        <v>350</v>
      </c>
      <c r="C1122">
        <v>73286</v>
      </c>
      <c r="D1122" s="2">
        <v>2622</v>
      </c>
      <c r="E1122" s="1">
        <v>43031</v>
      </c>
      <c r="F1122" t="str">
        <f>"001011"</f>
        <v>001011</v>
      </c>
      <c r="G1122" t="str">
        <f>"REPORT#OBS17300084/3RD QTR '17"</f>
        <v>REPORT#OBS17300084/3RD QTR '17</v>
      </c>
      <c r="H1122" s="2">
        <v>312</v>
      </c>
      <c r="I1122" t="str">
        <f>"REPORT#OBS17300084/3RD QTR '17"</f>
        <v>REPORT#OBS17300084/3RD QTR '17</v>
      </c>
    </row>
    <row r="1123" spans="1:9" x14ac:dyDescent="0.3">
      <c r="A1123" t="str">
        <f>""</f>
        <v/>
      </c>
      <c r="F1123" t="str">
        <f>"002011"</f>
        <v>002011</v>
      </c>
      <c r="G1123" t="str">
        <f>"REPORT#OBS17300085/3RD QTR '17"</f>
        <v>REPORT#OBS17300085/3RD QTR '17</v>
      </c>
      <c r="H1123" s="2">
        <v>480</v>
      </c>
      <c r="I1123" t="str">
        <f>"REPORT#OBS17300085/3RD QTR '17"</f>
        <v>REPORT#OBS17300085/3RD QTR '17</v>
      </c>
    </row>
    <row r="1124" spans="1:9" x14ac:dyDescent="0.3">
      <c r="A1124" t="str">
        <f>""</f>
        <v/>
      </c>
      <c r="F1124" t="str">
        <f>"003011"</f>
        <v>003011</v>
      </c>
      <c r="G1124" t="str">
        <f>"REPORT#OBS17300086/3RD QTR 17"</f>
        <v>REPORT#OBS17300086/3RD QTR 17</v>
      </c>
      <c r="H1124" s="2">
        <v>1092</v>
      </c>
      <c r="I1124" t="str">
        <f>"REPORT#OBS17300086/3RD QTR 17"</f>
        <v>REPORT#OBS17300086/3RD QTR 17</v>
      </c>
    </row>
    <row r="1125" spans="1:9" x14ac:dyDescent="0.3">
      <c r="A1125" t="str">
        <f>""</f>
        <v/>
      </c>
      <c r="F1125" t="str">
        <f>"004011"</f>
        <v>004011</v>
      </c>
      <c r="G1125" t="str">
        <f>"REPORT#OBS17300087/3RD QTR '17"</f>
        <v>REPORT#OBS17300087/3RD QTR '17</v>
      </c>
      <c r="H1125" s="2">
        <v>738</v>
      </c>
      <c r="I1125" t="str">
        <f>"REPORT#OBS17300087/3RD QTR '17"</f>
        <v>REPORT#OBS17300087/3RD QTR '17</v>
      </c>
    </row>
    <row r="1126" spans="1:9" x14ac:dyDescent="0.3">
      <c r="A1126" t="str">
        <f>"000877"</f>
        <v>000877</v>
      </c>
      <c r="B1126" t="s">
        <v>351</v>
      </c>
      <c r="C1126">
        <v>73287</v>
      </c>
      <c r="D1126" s="2">
        <v>515</v>
      </c>
      <c r="E1126" s="1">
        <v>43031</v>
      </c>
      <c r="F1126" t="str">
        <f>"283510"</f>
        <v>283510</v>
      </c>
      <c r="G1126" t="str">
        <f>"CUST ID BASCOU/DRUG TESTING/AC"</f>
        <v>CUST ID BASCOU/DRUG TESTING/AC</v>
      </c>
      <c r="H1126" s="2">
        <v>20</v>
      </c>
      <c r="I1126" t="str">
        <f>"DRUG SCREENING/ANIMAL CONTROL"</f>
        <v>DRUG SCREENING/ANIMAL CONTROL</v>
      </c>
    </row>
    <row r="1127" spans="1:9" x14ac:dyDescent="0.3">
      <c r="A1127" t="str">
        <f>""</f>
        <v/>
      </c>
      <c r="F1127" t="str">
        <f>"283510-1"</f>
        <v>283510-1</v>
      </c>
      <c r="G1127" t="str">
        <f>"CUST ID:BASCOU/DRUG TEST/PCT1"</f>
        <v>CUST ID:BASCOU/DRUG TEST/PCT1</v>
      </c>
      <c r="H1127" s="2">
        <v>240</v>
      </c>
      <c r="I1127" t="str">
        <f>"CUST ID:BASCOU/DRUG TEST/PCT1"</f>
        <v>CUST ID:BASCOU/DRUG TEST/PCT1</v>
      </c>
    </row>
    <row r="1128" spans="1:9" x14ac:dyDescent="0.3">
      <c r="A1128" t="str">
        <f>""</f>
        <v/>
      </c>
      <c r="F1128" t="str">
        <f>"283510-2"</f>
        <v>283510-2</v>
      </c>
      <c r="G1128" t="str">
        <f>"CUST#BASCOU/DRUG TESTING/PCT2"</f>
        <v>CUST#BASCOU/DRUG TESTING/PCT2</v>
      </c>
      <c r="H1128" s="2">
        <v>135</v>
      </c>
      <c r="I1128" t="str">
        <f>"CUST#BASCOU/DRUG TESTING/PCT2"</f>
        <v>CUST#BASCOU/DRUG TESTING/PCT2</v>
      </c>
    </row>
    <row r="1129" spans="1:9" x14ac:dyDescent="0.3">
      <c r="A1129" t="str">
        <f>""</f>
        <v/>
      </c>
      <c r="F1129" t="str">
        <f>"283510-3"</f>
        <v>283510-3</v>
      </c>
      <c r="G1129" t="str">
        <f>"CUST#BASCOU/DRUG TEST/PCT4"</f>
        <v>CUST#BASCOU/DRUG TEST/PCT4</v>
      </c>
      <c r="H1129" s="2">
        <v>75</v>
      </c>
      <c r="I1129" t="str">
        <f>"CUST#BASCOU/DRUG TEST/PCT4"</f>
        <v>CUST#BASCOU/DRUG TEST/PCT4</v>
      </c>
    </row>
    <row r="1130" spans="1:9" x14ac:dyDescent="0.3">
      <c r="A1130" t="str">
        <f>""</f>
        <v/>
      </c>
      <c r="F1130" t="str">
        <f>"283510-5"</f>
        <v>283510-5</v>
      </c>
      <c r="G1130" t="str">
        <f>"CUST#BASCOU/DRUG TEST/PCT#3"</f>
        <v>CUST#BASCOU/DRUG TEST/PCT#3</v>
      </c>
      <c r="H1130" s="2">
        <v>45</v>
      </c>
      <c r="I1130" t="str">
        <f>"CUST#BASCOU/DRUG TEST/PCT#3"</f>
        <v>CUST#BASCOU/DRUG TEST/PCT#3</v>
      </c>
    </row>
    <row r="1131" spans="1:9" x14ac:dyDescent="0.3">
      <c r="A1131" t="str">
        <f>"OP"</f>
        <v>OP</v>
      </c>
      <c r="B1131" t="s">
        <v>352</v>
      </c>
      <c r="C1131">
        <v>73040</v>
      </c>
      <c r="D1131" s="2">
        <v>1110</v>
      </c>
      <c r="E1131" s="1">
        <v>43018</v>
      </c>
      <c r="F1131" t="str">
        <f>"16593"</f>
        <v>16593</v>
      </c>
      <c r="G1131" t="str">
        <f>"INV 16593"</f>
        <v>INV 16593</v>
      </c>
      <c r="H1131" s="2">
        <v>1110</v>
      </c>
      <c r="I1131" t="str">
        <f>"INV 16593"</f>
        <v>INV 16593</v>
      </c>
    </row>
    <row r="1132" spans="1:9" x14ac:dyDescent="0.3">
      <c r="A1132" t="str">
        <f>"OP"</f>
        <v>OP</v>
      </c>
      <c r="B1132" t="s">
        <v>352</v>
      </c>
      <c r="C1132">
        <v>73288</v>
      </c>
      <c r="D1132" s="2">
        <v>930</v>
      </c>
      <c r="E1132" s="1">
        <v>43031</v>
      </c>
      <c r="F1132" t="str">
        <f>"16630"</f>
        <v>16630</v>
      </c>
      <c r="G1132" t="str">
        <f>"UNSTOP KITCHEN SINK/JURY ROOM"</f>
        <v>UNSTOP KITCHEN SINK/JURY ROOM</v>
      </c>
      <c r="H1132" s="2">
        <v>210</v>
      </c>
      <c r="I1132" t="str">
        <f>"UNSTOP KITCHEN SINK/JURY ROOM"</f>
        <v>UNSTOP KITCHEN SINK/JURY ROOM</v>
      </c>
    </row>
    <row r="1133" spans="1:9" x14ac:dyDescent="0.3">
      <c r="A1133" t="str">
        <f>""</f>
        <v/>
      </c>
      <c r="F1133" t="str">
        <f>"16632"</f>
        <v>16632</v>
      </c>
      <c r="G1133" t="str">
        <f>"16632"</f>
        <v>16632</v>
      </c>
      <c r="H1133" s="2">
        <v>720</v>
      </c>
      <c r="I1133" t="str">
        <f>"16632"</f>
        <v>16632</v>
      </c>
    </row>
    <row r="1134" spans="1:9" x14ac:dyDescent="0.3">
      <c r="A1134" t="str">
        <f>"005183"</f>
        <v>005183</v>
      </c>
      <c r="B1134" t="s">
        <v>353</v>
      </c>
      <c r="C1134">
        <v>73041</v>
      </c>
      <c r="D1134" s="2">
        <v>665.72</v>
      </c>
      <c r="E1134" s="1">
        <v>43018</v>
      </c>
      <c r="F1134" t="str">
        <f>"978721"</f>
        <v>978721</v>
      </c>
      <c r="G1134" t="str">
        <f>"INV 978721"</f>
        <v>INV 978721</v>
      </c>
      <c r="H1134" s="2">
        <v>665.72</v>
      </c>
      <c r="I1134" t="str">
        <f>"INV 978721"</f>
        <v>INV 978721</v>
      </c>
    </row>
    <row r="1135" spans="1:9" x14ac:dyDescent="0.3">
      <c r="A1135" t="str">
        <f>"003566"</f>
        <v>003566</v>
      </c>
      <c r="B1135" t="s">
        <v>354</v>
      </c>
      <c r="C1135">
        <v>73289</v>
      </c>
      <c r="D1135" s="2">
        <v>4.71</v>
      </c>
      <c r="E1135" s="1">
        <v>43031</v>
      </c>
      <c r="F1135" t="str">
        <f>"201710135624"</f>
        <v>201710135624</v>
      </c>
      <c r="G1135" t="str">
        <f>"ACCT#1137/PCT#4"</f>
        <v>ACCT#1137/PCT#4</v>
      </c>
      <c r="H1135" s="2">
        <v>4.71</v>
      </c>
      <c r="I1135" t="str">
        <f>"ACCT#1137/PCT#4"</f>
        <v>ACCT#1137/PCT#4</v>
      </c>
    </row>
    <row r="1136" spans="1:9" x14ac:dyDescent="0.3">
      <c r="A1136" t="str">
        <f>"T5411"</f>
        <v>T5411</v>
      </c>
      <c r="B1136" t="s">
        <v>355</v>
      </c>
      <c r="C1136">
        <v>73042</v>
      </c>
      <c r="D1136" s="2">
        <v>1550</v>
      </c>
      <c r="E1136" s="1">
        <v>43018</v>
      </c>
      <c r="F1136" t="str">
        <f>"024723"</f>
        <v>024723</v>
      </c>
      <c r="G1136" t="str">
        <f>"Inv# 024723"</f>
        <v>Inv# 024723</v>
      </c>
      <c r="H1136" s="2">
        <v>1550</v>
      </c>
      <c r="I1136" t="str">
        <f>"Item# 30901"</f>
        <v>Item# 30901</v>
      </c>
    </row>
    <row r="1137" spans="1:9" x14ac:dyDescent="0.3">
      <c r="A1137" t="str">
        <f>""</f>
        <v/>
      </c>
      <c r="F1137" t="str">
        <f>""</f>
        <v/>
      </c>
      <c r="G1137" t="str">
        <f>""</f>
        <v/>
      </c>
      <c r="I1137" t="str">
        <f>"Shipping"</f>
        <v>Shipping</v>
      </c>
    </row>
    <row r="1138" spans="1:9" x14ac:dyDescent="0.3">
      <c r="A1138" t="str">
        <f>"002370"</f>
        <v>002370</v>
      </c>
      <c r="B1138" t="s">
        <v>356</v>
      </c>
      <c r="C1138">
        <v>73290</v>
      </c>
      <c r="D1138" s="2">
        <v>966.8</v>
      </c>
      <c r="E1138" s="1">
        <v>43031</v>
      </c>
      <c r="F1138" t="str">
        <f>"2008288"</f>
        <v>2008288</v>
      </c>
      <c r="G1138" t="str">
        <f>"ADD OUTLET FOR A/C UNIT/AG OFF"</f>
        <v>ADD OUTLET FOR A/C UNIT/AG OFF</v>
      </c>
      <c r="H1138" s="2">
        <v>572.5</v>
      </c>
      <c r="I1138" t="str">
        <f>"ADD OUTLET FOR A/C UNIT/AG OFF"</f>
        <v>ADD OUTLET FOR A/C UNIT/AG OFF</v>
      </c>
    </row>
    <row r="1139" spans="1:9" x14ac:dyDescent="0.3">
      <c r="A1139" t="str">
        <f>""</f>
        <v/>
      </c>
      <c r="F1139" t="str">
        <f>"2008299"</f>
        <v>2008299</v>
      </c>
      <c r="G1139" t="str">
        <f>"ELECTRICAL SVCS"</f>
        <v>ELECTRICAL SVCS</v>
      </c>
      <c r="H1139" s="2">
        <v>394.3</v>
      </c>
      <c r="I1139" t="str">
        <f>"ELECTRICAL SVCS"</f>
        <v>ELECTRICAL SVCS</v>
      </c>
    </row>
    <row r="1140" spans="1:9" x14ac:dyDescent="0.3">
      <c r="A1140" t="str">
        <f>"WEBSTE"</f>
        <v>WEBSTE</v>
      </c>
      <c r="B1140" t="s">
        <v>357</v>
      </c>
      <c r="C1140">
        <v>73291</v>
      </c>
      <c r="D1140" s="2">
        <v>7413.14</v>
      </c>
      <c r="E1140" s="1">
        <v>43031</v>
      </c>
      <c r="F1140" t="str">
        <f>"201710185843"</f>
        <v>201710185843</v>
      </c>
      <c r="G1140" t="str">
        <f>"ACCT#0200140783"</f>
        <v>ACCT#0200140783</v>
      </c>
      <c r="H1140" s="2">
        <v>7413.14</v>
      </c>
      <c r="I1140" t="str">
        <f>"ACCT#0200140783"</f>
        <v>ACCT#0200140783</v>
      </c>
    </row>
    <row r="1141" spans="1:9" x14ac:dyDescent="0.3">
      <c r="A1141" t="str">
        <f>""</f>
        <v/>
      </c>
      <c r="F1141" t="str">
        <f>""</f>
        <v/>
      </c>
      <c r="G1141" t="str">
        <f>""</f>
        <v/>
      </c>
      <c r="I1141" t="str">
        <f>"ACCT#0200140783"</f>
        <v>ACCT#0200140783</v>
      </c>
    </row>
    <row r="1142" spans="1:9" x14ac:dyDescent="0.3">
      <c r="A1142" t="str">
        <f>"001854"</f>
        <v>001854</v>
      </c>
      <c r="B1142" t="s">
        <v>358</v>
      </c>
      <c r="C1142">
        <v>73043</v>
      </c>
      <c r="D1142" s="2">
        <v>435.5</v>
      </c>
      <c r="E1142" s="1">
        <v>43018</v>
      </c>
      <c r="F1142" t="str">
        <f>"201710035257"</f>
        <v>201710035257</v>
      </c>
      <c r="G1142" t="str">
        <f>"TRASH REMOVAL 10/2/17-10/5/17"</f>
        <v>TRASH REMOVAL 10/2/17-10/5/17</v>
      </c>
      <c r="H1142" s="2">
        <v>214.5</v>
      </c>
      <c r="I1142" t="str">
        <f>"TRASH REMOVAL 10/2/17-10/5/17"</f>
        <v>TRASH REMOVAL 10/2/17-10/5/17</v>
      </c>
    </row>
    <row r="1143" spans="1:9" x14ac:dyDescent="0.3">
      <c r="A1143" t="str">
        <f>""</f>
        <v/>
      </c>
      <c r="F1143" t="str">
        <f>"201710035258"</f>
        <v>201710035258</v>
      </c>
      <c r="G1143" t="str">
        <f>"TRASH REMOVAL 9/25/17-9/28/17"</f>
        <v>TRASH REMOVAL 9/25/17-9/28/17</v>
      </c>
      <c r="H1143" s="2">
        <v>221</v>
      </c>
      <c r="I1143" t="str">
        <f>"TRASH REMOVAL 9/25/17-9/28/17"</f>
        <v>TRASH REMOVAL 9/25/17-9/28/17</v>
      </c>
    </row>
    <row r="1144" spans="1:9" x14ac:dyDescent="0.3">
      <c r="A1144" t="str">
        <f>"001854"</f>
        <v>001854</v>
      </c>
      <c r="B1144" t="s">
        <v>358</v>
      </c>
      <c r="C1144">
        <v>73292</v>
      </c>
      <c r="D1144" s="2">
        <v>442</v>
      </c>
      <c r="E1144" s="1">
        <v>43031</v>
      </c>
      <c r="F1144" t="str">
        <f>"201710185825"</f>
        <v>201710185825</v>
      </c>
      <c r="G1144" t="str">
        <f>"TRASH REMOVAL/10/9-10/19/PCT#4"</f>
        <v>TRASH REMOVAL/10/9-10/19/PCT#4</v>
      </c>
      <c r="H1144" s="2">
        <v>442</v>
      </c>
      <c r="I1144" t="str">
        <f>"TRASH REMOVAL/10/9-10/19/PCT#4"</f>
        <v>TRASH REMOVAL/10/9-10/19/PCT#4</v>
      </c>
    </row>
    <row r="1145" spans="1:9" x14ac:dyDescent="0.3">
      <c r="A1145" t="str">
        <f>"005232"</f>
        <v>005232</v>
      </c>
      <c r="B1145" t="s">
        <v>359</v>
      </c>
      <c r="C1145">
        <v>73044</v>
      </c>
      <c r="D1145" s="2">
        <v>75</v>
      </c>
      <c r="E1145" s="1">
        <v>43018</v>
      </c>
      <c r="F1145" t="str">
        <f>"201709285174"</f>
        <v>201709285174</v>
      </c>
      <c r="G1145" t="str">
        <f>"REFUND DUE TO EXCESS COLLECT."</f>
        <v>REFUND DUE TO EXCESS COLLECT.</v>
      </c>
      <c r="H1145" s="2">
        <v>75</v>
      </c>
      <c r="I1145" t="str">
        <f>"REFUND DUE TO EXCESS COLLECT."</f>
        <v>REFUND DUE TO EXCESS COLLECT.</v>
      </c>
    </row>
    <row r="1146" spans="1:9" x14ac:dyDescent="0.3">
      <c r="A1146" t="str">
        <f>"PET"</f>
        <v>PET</v>
      </c>
      <c r="B1146" t="s">
        <v>360</v>
      </c>
      <c r="C1146">
        <v>73045</v>
      </c>
      <c r="D1146" s="2">
        <v>33.950000000000003</v>
      </c>
      <c r="E1146" s="1">
        <v>43018</v>
      </c>
      <c r="F1146" t="str">
        <f>"SIUN10006347"</f>
        <v>SIUN10006347</v>
      </c>
      <c r="G1146" t="str">
        <f>"NON-24PW REGISTRATION-ADOPT"</f>
        <v>NON-24PW REGISTRATION-ADOPT</v>
      </c>
      <c r="H1146" s="2">
        <v>33.950000000000003</v>
      </c>
      <c r="I1146" t="str">
        <f>"NON-24PW REGISTRATION-ADOPT"</f>
        <v>NON-24PW REGISTRATION-ADOPT</v>
      </c>
    </row>
    <row r="1147" spans="1:9" x14ac:dyDescent="0.3">
      <c r="A1147" t="str">
        <f>"PET"</f>
        <v>PET</v>
      </c>
      <c r="B1147" t="s">
        <v>360</v>
      </c>
      <c r="C1147">
        <v>73293</v>
      </c>
      <c r="D1147" s="2">
        <v>29.1</v>
      </c>
      <c r="E1147" s="1">
        <v>43031</v>
      </c>
      <c r="F1147" t="str">
        <f>"SIUN10712136"</f>
        <v>SIUN10712136</v>
      </c>
      <c r="G1147" t="str">
        <f>"ACCT#CUN000000233"</f>
        <v>ACCT#CUN000000233</v>
      </c>
      <c r="H1147" s="2">
        <v>29.1</v>
      </c>
    </row>
    <row r="1148" spans="1:9" x14ac:dyDescent="0.3">
      <c r="A1148" t="str">
        <f>"000192"</f>
        <v>000192</v>
      </c>
      <c r="B1148" t="s">
        <v>361</v>
      </c>
      <c r="C1148">
        <v>73046</v>
      </c>
      <c r="D1148" s="2">
        <v>422.03</v>
      </c>
      <c r="E1148" s="1">
        <v>43018</v>
      </c>
      <c r="F1148" t="str">
        <f>"201710025204"</f>
        <v>201710025204</v>
      </c>
      <c r="G1148" t="str">
        <f>"REIMBURSE-PER DIEM/LODGING"</f>
        <v>REIMBURSE-PER DIEM/LODGING</v>
      </c>
      <c r="H1148" s="2">
        <v>422.03</v>
      </c>
      <c r="I1148" t="str">
        <f>"REIMBURSE-PER DIEM/TRAVEL"</f>
        <v>REIMBURSE-PER DIEM/TRAVEL</v>
      </c>
    </row>
    <row r="1149" spans="1:9" x14ac:dyDescent="0.3">
      <c r="A1149" t="str">
        <f>"PRD"</f>
        <v>PRD</v>
      </c>
      <c r="B1149" t="s">
        <v>362</v>
      </c>
      <c r="C1149">
        <v>999999</v>
      </c>
      <c r="D1149" s="2">
        <v>1805</v>
      </c>
      <c r="E1149" s="1">
        <v>43019</v>
      </c>
      <c r="F1149" t="str">
        <f>"201710045355"</f>
        <v>201710045355</v>
      </c>
      <c r="G1149" t="str">
        <f>"G-273"</f>
        <v>G-273</v>
      </c>
      <c r="H1149" s="2">
        <v>525</v>
      </c>
      <c r="I1149" t="str">
        <f>"G-273"</f>
        <v>G-273</v>
      </c>
    </row>
    <row r="1150" spans="1:9" x14ac:dyDescent="0.3">
      <c r="A1150" t="str">
        <f>""</f>
        <v/>
      </c>
      <c r="F1150" t="str">
        <f>"201710045356"</f>
        <v>201710045356</v>
      </c>
      <c r="G1150" t="str">
        <f>"55261"</f>
        <v>55261</v>
      </c>
      <c r="H1150" s="2">
        <v>250</v>
      </c>
      <c r="I1150" t="str">
        <f>"55261"</f>
        <v>55261</v>
      </c>
    </row>
    <row r="1151" spans="1:9" x14ac:dyDescent="0.3">
      <c r="A1151" t="str">
        <f>""</f>
        <v/>
      </c>
      <c r="F1151" t="str">
        <f>"201710045357"</f>
        <v>201710045357</v>
      </c>
      <c r="G1151" t="str">
        <f>"55178"</f>
        <v>55178</v>
      </c>
      <c r="H1151" s="2">
        <v>250</v>
      </c>
      <c r="I1151" t="str">
        <f>"55178"</f>
        <v>55178</v>
      </c>
    </row>
    <row r="1152" spans="1:9" x14ac:dyDescent="0.3">
      <c r="A1152" t="str">
        <f>""</f>
        <v/>
      </c>
      <c r="F1152" t="str">
        <f>"201710045358"</f>
        <v>201710045358</v>
      </c>
      <c r="G1152" t="str">
        <f>"16-18062"</f>
        <v>16-18062</v>
      </c>
      <c r="H1152" s="2">
        <v>280</v>
      </c>
      <c r="I1152" t="str">
        <f>"16-18062"</f>
        <v>16-18062</v>
      </c>
    </row>
    <row r="1153" spans="1:9" x14ac:dyDescent="0.3">
      <c r="A1153" t="str">
        <f>""</f>
        <v/>
      </c>
      <c r="F1153" t="str">
        <f>"201710045359"</f>
        <v>201710045359</v>
      </c>
      <c r="G1153" t="str">
        <f>"16-17841"</f>
        <v>16-17841</v>
      </c>
      <c r="H1153" s="2">
        <v>325</v>
      </c>
      <c r="I1153" t="str">
        <f>"16-17841"</f>
        <v>16-17841</v>
      </c>
    </row>
    <row r="1154" spans="1:9" x14ac:dyDescent="0.3">
      <c r="A1154" t="str">
        <f>""</f>
        <v/>
      </c>
      <c r="F1154" t="str">
        <f>"201710045360"</f>
        <v>201710045360</v>
      </c>
      <c r="G1154" t="str">
        <f>"16-17575"</f>
        <v>16-17575</v>
      </c>
      <c r="H1154" s="2">
        <v>175</v>
      </c>
      <c r="I1154" t="str">
        <f>"16-17575"</f>
        <v>16-17575</v>
      </c>
    </row>
    <row r="1155" spans="1:9" x14ac:dyDescent="0.3">
      <c r="A1155" t="str">
        <f>"PRD"</f>
        <v>PRD</v>
      </c>
      <c r="B1155" t="s">
        <v>362</v>
      </c>
      <c r="C1155">
        <v>999999</v>
      </c>
      <c r="D1155" s="2">
        <v>1748</v>
      </c>
      <c r="E1155" s="1">
        <v>43032</v>
      </c>
      <c r="F1155" t="str">
        <f>"201710185799"</f>
        <v>201710185799</v>
      </c>
      <c r="G1155" t="str">
        <f>"55122"</f>
        <v>55122</v>
      </c>
      <c r="H1155" s="2">
        <v>250</v>
      </c>
      <c r="I1155" t="str">
        <f>"55122"</f>
        <v>55122</v>
      </c>
    </row>
    <row r="1156" spans="1:9" x14ac:dyDescent="0.3">
      <c r="A1156" t="str">
        <f>""</f>
        <v/>
      </c>
      <c r="F1156" t="str">
        <f>"201710185800"</f>
        <v>201710185800</v>
      </c>
      <c r="G1156" t="str">
        <f>"16-18105"</f>
        <v>16-18105</v>
      </c>
      <c r="H1156" s="2">
        <v>415</v>
      </c>
      <c r="I1156" t="str">
        <f>"16-18105"</f>
        <v>16-18105</v>
      </c>
    </row>
    <row r="1157" spans="1:9" x14ac:dyDescent="0.3">
      <c r="A1157" t="str">
        <f>""</f>
        <v/>
      </c>
      <c r="F1157" t="str">
        <f>"201710185801"</f>
        <v>201710185801</v>
      </c>
      <c r="G1157" t="str">
        <f>"16-17918  16-17818  17819"</f>
        <v>16-17918  16-17818  17819</v>
      </c>
      <c r="H1157" s="2">
        <v>535</v>
      </c>
      <c r="I1157" t="str">
        <f>"16-17918  16-17818  17819"</f>
        <v>16-17918  16-17818  17819</v>
      </c>
    </row>
    <row r="1158" spans="1:9" x14ac:dyDescent="0.3">
      <c r="A1158" t="str">
        <f>""</f>
        <v/>
      </c>
      <c r="F1158" t="str">
        <f>"201710185802"</f>
        <v>201710185802</v>
      </c>
      <c r="G1158" t="str">
        <f>"17-18617"</f>
        <v>17-18617</v>
      </c>
      <c r="H1158" s="2">
        <v>548</v>
      </c>
      <c r="I1158" t="str">
        <f>"17-18617"</f>
        <v>17-18617</v>
      </c>
    </row>
    <row r="1159" spans="1:9" x14ac:dyDescent="0.3">
      <c r="A1159" t="str">
        <f>"PCAS"</f>
        <v>PCAS</v>
      </c>
      <c r="B1159" t="s">
        <v>363</v>
      </c>
      <c r="C1159">
        <v>73294</v>
      </c>
      <c r="D1159" s="2">
        <v>14</v>
      </c>
      <c r="E1159" s="1">
        <v>43031</v>
      </c>
      <c r="F1159" t="str">
        <f>"003120"</f>
        <v>003120</v>
      </c>
      <c r="G1159" t="str">
        <f>"INSPECTIONS"</f>
        <v>INSPECTIONS</v>
      </c>
      <c r="H1159" s="2">
        <v>14</v>
      </c>
      <c r="I1159" t="str">
        <f>"INSPECTIONS"</f>
        <v>INSPECTIONS</v>
      </c>
    </row>
    <row r="1160" spans="1:9" x14ac:dyDescent="0.3">
      <c r="A1160" t="str">
        <f>"T9047"</f>
        <v>T9047</v>
      </c>
      <c r="B1160" t="s">
        <v>364</v>
      </c>
      <c r="C1160">
        <v>73047</v>
      </c>
      <c r="D1160" s="2">
        <v>590</v>
      </c>
      <c r="E1160" s="1">
        <v>43018</v>
      </c>
      <c r="F1160" t="str">
        <f>"1005340290"</f>
        <v>1005340290</v>
      </c>
      <c r="G1160" t="str">
        <f>"ACCT#0011198047/POSTAGE"</f>
        <v>ACCT#0011198047/POSTAGE</v>
      </c>
      <c r="H1160" s="2">
        <v>590</v>
      </c>
      <c r="I1160" t="str">
        <f>"ACCT#0011198047/POSTAGE"</f>
        <v>ACCT#0011198047/POSTAGE</v>
      </c>
    </row>
    <row r="1161" spans="1:9" x14ac:dyDescent="0.3">
      <c r="A1161" t="str">
        <f>"PB"</f>
        <v>PB</v>
      </c>
      <c r="B1161" t="s">
        <v>365</v>
      </c>
      <c r="C1161">
        <v>999999</v>
      </c>
      <c r="D1161" s="2">
        <v>1688</v>
      </c>
      <c r="E1161" s="1">
        <v>43032</v>
      </c>
      <c r="F1161" t="str">
        <f>"3300963202"</f>
        <v>3300963202</v>
      </c>
      <c r="G1161" t="str">
        <f>"PROPERTY TAX"</f>
        <v>PROPERTY TAX</v>
      </c>
      <c r="H1161" s="2">
        <v>35</v>
      </c>
      <c r="I1161" t="str">
        <f>"PROPERTY TAX"</f>
        <v>PROPERTY TAX</v>
      </c>
    </row>
    <row r="1162" spans="1:9" x14ac:dyDescent="0.3">
      <c r="A1162" t="str">
        <f>""</f>
        <v/>
      </c>
      <c r="F1162" t="str">
        <f>"3304632908-17"</f>
        <v>3304632908-17</v>
      </c>
      <c r="G1162" t="str">
        <f>"LEASING CHARGES- FY 2017"</f>
        <v>LEASING CHARGES- FY 2017</v>
      </c>
      <c r="H1162" s="2">
        <v>1102</v>
      </c>
      <c r="I1162" t="str">
        <f>"LEASING CHARGES- FY 2017"</f>
        <v>LEASING CHARGES- FY 2017</v>
      </c>
    </row>
    <row r="1163" spans="1:9" x14ac:dyDescent="0.3">
      <c r="A1163" t="str">
        <f>""</f>
        <v/>
      </c>
      <c r="F1163" t="str">
        <f>"3304632908-18"</f>
        <v>3304632908-18</v>
      </c>
      <c r="G1163" t="str">
        <f>"LEASING CHARGES-FY 2018"</f>
        <v>LEASING CHARGES-FY 2018</v>
      </c>
      <c r="H1163" s="2">
        <v>551</v>
      </c>
      <c r="I1163" t="str">
        <f>"LEASING CHARGES-FY 2018"</f>
        <v>LEASING CHARGES-FY 2018</v>
      </c>
    </row>
    <row r="1164" spans="1:9" x14ac:dyDescent="0.3">
      <c r="A1164" t="str">
        <f>"003293"</f>
        <v>003293</v>
      </c>
      <c r="B1164" t="s">
        <v>366</v>
      </c>
      <c r="C1164">
        <v>73295</v>
      </c>
      <c r="D1164" s="2">
        <v>500</v>
      </c>
      <c r="E1164" s="1">
        <v>43031</v>
      </c>
      <c r="F1164" t="str">
        <f>"201710185797"</f>
        <v>201710185797</v>
      </c>
      <c r="G1164" t="str">
        <f>"55 007"</f>
        <v>55 007</v>
      </c>
      <c r="H1164" s="2">
        <v>250</v>
      </c>
      <c r="I1164" t="str">
        <f>"55 007"</f>
        <v>55 007</v>
      </c>
    </row>
    <row r="1165" spans="1:9" x14ac:dyDescent="0.3">
      <c r="A1165" t="str">
        <f>""</f>
        <v/>
      </c>
      <c r="F1165" t="str">
        <f>"201710185798"</f>
        <v>201710185798</v>
      </c>
      <c r="G1165" t="str">
        <f>"55 405"</f>
        <v>55 405</v>
      </c>
      <c r="H1165" s="2">
        <v>250</v>
      </c>
      <c r="I1165" t="str">
        <f>"55 405"</f>
        <v>55 405</v>
      </c>
    </row>
    <row r="1166" spans="1:9" x14ac:dyDescent="0.3">
      <c r="A1166" t="str">
        <f>"WOSC"</f>
        <v>WOSC</v>
      </c>
      <c r="B1166" t="s">
        <v>367</v>
      </c>
      <c r="C1166">
        <v>73296</v>
      </c>
      <c r="D1166" s="2">
        <v>30.24</v>
      </c>
      <c r="E1166" s="1">
        <v>43031</v>
      </c>
      <c r="F1166" t="str">
        <f>"79161787"</f>
        <v>79161787</v>
      </c>
      <c r="G1166" t="str">
        <f>"CUST#71745122/CYLINDER RENT"</f>
        <v>CUST#71745122/CYLINDER RENT</v>
      </c>
      <c r="H1166" s="2">
        <v>30.24</v>
      </c>
      <c r="I1166" t="str">
        <f>"CUST#71745122/CYLINDER RENT"</f>
        <v>CUST#71745122/CYLINDER RENT</v>
      </c>
    </row>
    <row r="1167" spans="1:9" x14ac:dyDescent="0.3">
      <c r="A1167" t="str">
        <f>"005203"</f>
        <v>005203</v>
      </c>
      <c r="B1167" t="s">
        <v>368</v>
      </c>
      <c r="C1167">
        <v>73048</v>
      </c>
      <c r="D1167" s="2">
        <v>3950</v>
      </c>
      <c r="E1167" s="1">
        <v>43018</v>
      </c>
      <c r="F1167" t="str">
        <f>"8644"</f>
        <v>8644</v>
      </c>
      <c r="G1167" t="str">
        <f>"Urethane Coating SO Court"</f>
        <v>Urethane Coating SO Court</v>
      </c>
      <c r="H1167" s="2">
        <v>3950</v>
      </c>
      <c r="I1167" t="str">
        <f>"Urethane Coating SO Court"</f>
        <v>Urethane Coating SO Court</v>
      </c>
    </row>
    <row r="1168" spans="1:9" x14ac:dyDescent="0.3">
      <c r="A1168" t="str">
        <f>"T11156"</f>
        <v>T11156</v>
      </c>
      <c r="B1168" t="s">
        <v>369</v>
      </c>
      <c r="C1168">
        <v>73297</v>
      </c>
      <c r="D1168" s="2">
        <v>41.66</v>
      </c>
      <c r="E1168" s="1">
        <v>43031</v>
      </c>
      <c r="F1168" t="str">
        <f>"201710185838"</f>
        <v>201710185838</v>
      </c>
      <c r="G1168" t="str">
        <f>"INDIGENT HEALTH"</f>
        <v>INDIGENT HEALTH</v>
      </c>
      <c r="H1168" s="2">
        <v>41.66</v>
      </c>
      <c r="I1168" t="str">
        <f>"INDIGENT HEALTH"</f>
        <v>INDIGENT HEALTH</v>
      </c>
    </row>
    <row r="1169" spans="1:10" x14ac:dyDescent="0.3">
      <c r="A1169" t="str">
        <f>"005235"</f>
        <v>005235</v>
      </c>
      <c r="B1169" t="s">
        <v>370</v>
      </c>
      <c r="C1169">
        <v>999999</v>
      </c>
      <c r="D1169" s="2">
        <v>7120.06</v>
      </c>
      <c r="E1169" s="1">
        <v>43032</v>
      </c>
      <c r="F1169" t="str">
        <f>"1000814101"</f>
        <v>1000814101</v>
      </c>
      <c r="G1169" t="str">
        <f>"Kace Systems Mgt"</f>
        <v>Kace Systems Mgt</v>
      </c>
      <c r="H1169" s="2">
        <v>7120.06</v>
      </c>
      <c r="I1169" t="str">
        <f>"Kace Sys Mgt W/100"</f>
        <v>Kace Sys Mgt W/100</v>
      </c>
    </row>
    <row r="1170" spans="1:10" x14ac:dyDescent="0.3">
      <c r="A1170" t="str">
        <f>""</f>
        <v/>
      </c>
      <c r="F1170" t="str">
        <f>""</f>
        <v/>
      </c>
      <c r="G1170" t="str">
        <f>""</f>
        <v/>
      </c>
      <c r="I1170" t="str">
        <f>"Kace Sys Mgt Addtl"</f>
        <v>Kace Sys Mgt Addtl</v>
      </c>
    </row>
    <row r="1171" spans="1:10" x14ac:dyDescent="0.3">
      <c r="A1171" t="str">
        <f>"T3233"</f>
        <v>T3233</v>
      </c>
      <c r="B1171" t="s">
        <v>371</v>
      </c>
      <c r="C1171">
        <v>73298</v>
      </c>
      <c r="D1171" s="2">
        <v>150.80000000000001</v>
      </c>
      <c r="E1171" s="1">
        <v>43031</v>
      </c>
      <c r="F1171" t="str">
        <f>"1292011"</f>
        <v>1292011</v>
      </c>
      <c r="G1171" t="str">
        <f>"Acct# C6796564"</f>
        <v>Acct# C6796564</v>
      </c>
      <c r="H1171" s="2">
        <v>8.49</v>
      </c>
      <c r="I1171" t="str">
        <f>"Inv# 1292011"</f>
        <v>Inv# 1292011</v>
      </c>
    </row>
    <row r="1172" spans="1:10" x14ac:dyDescent="0.3">
      <c r="A1172" t="str">
        <f>""</f>
        <v/>
      </c>
      <c r="F1172" t="str">
        <f>"C6796564"</f>
        <v>C6796564</v>
      </c>
      <c r="G1172" t="str">
        <f>"Acct# C6796564"</f>
        <v>Acct# C6796564</v>
      </c>
      <c r="H1172" s="2">
        <v>142.31</v>
      </c>
      <c r="I1172" t="str">
        <f>"Inv# 1351136"</f>
        <v>Inv# 1351136</v>
      </c>
    </row>
    <row r="1173" spans="1:10" x14ac:dyDescent="0.3">
      <c r="A1173" t="str">
        <f>""</f>
        <v/>
      </c>
      <c r="F1173" t="str">
        <f>""</f>
        <v/>
      </c>
      <c r="G1173" t="str">
        <f>""</f>
        <v/>
      </c>
      <c r="I1173" t="str">
        <f>"Inv# 1394095"</f>
        <v>Inv# 1394095</v>
      </c>
    </row>
    <row r="1174" spans="1:10" x14ac:dyDescent="0.3">
      <c r="A1174" t="str">
        <f>""</f>
        <v/>
      </c>
      <c r="F1174" t="str">
        <f>""</f>
        <v/>
      </c>
      <c r="G1174" t="str">
        <f>""</f>
        <v/>
      </c>
      <c r="I1174" t="str">
        <f>"Inv# 1604809"</f>
        <v>Inv# 1604809</v>
      </c>
    </row>
    <row r="1175" spans="1:10" x14ac:dyDescent="0.3">
      <c r="A1175" t="str">
        <f>"004268"</f>
        <v>004268</v>
      </c>
      <c r="B1175" t="s">
        <v>372</v>
      </c>
      <c r="C1175">
        <v>73299</v>
      </c>
      <c r="D1175" s="2">
        <v>815.35</v>
      </c>
      <c r="E1175" s="1">
        <v>43031</v>
      </c>
      <c r="F1175" t="str">
        <f>"0023893"</f>
        <v>0023893</v>
      </c>
      <c r="G1175" t="str">
        <f>"AUTO REPAIRS/PCT#2"</f>
        <v>AUTO REPAIRS/PCT#2</v>
      </c>
      <c r="H1175" s="2">
        <v>815.35</v>
      </c>
      <c r="I1175" t="str">
        <f>"AUTO REPAIRS/PCT#2"</f>
        <v>AUTO REPAIRS/PCT#2</v>
      </c>
    </row>
    <row r="1176" spans="1:10" x14ac:dyDescent="0.3">
      <c r="A1176" t="str">
        <f>"T14429"</f>
        <v>T14429</v>
      </c>
      <c r="B1176" t="s">
        <v>373</v>
      </c>
      <c r="C1176">
        <v>73106</v>
      </c>
      <c r="D1176" s="2">
        <v>135</v>
      </c>
      <c r="E1176" s="1">
        <v>43021</v>
      </c>
      <c r="F1176" t="str">
        <f>"201710135608"</f>
        <v>201710135608</v>
      </c>
      <c r="G1176" t="str">
        <f>"TCOLE CONF TRAVEL ADVANCE"</f>
        <v>TCOLE CONF TRAVEL ADVANCE</v>
      </c>
      <c r="H1176" s="2">
        <v>135</v>
      </c>
      <c r="I1176" t="str">
        <f>"TCOLE CONF TRAVEL ADVANCE"</f>
        <v>TCOLE CONF TRAVEL ADVANCE</v>
      </c>
    </row>
    <row r="1177" spans="1:10" x14ac:dyDescent="0.3">
      <c r="A1177" t="str">
        <f>"002673"</f>
        <v>002673</v>
      </c>
      <c r="B1177" t="s">
        <v>374</v>
      </c>
      <c r="C1177">
        <v>73300</v>
      </c>
      <c r="D1177" s="2">
        <v>3510</v>
      </c>
      <c r="E1177" s="1">
        <v>43031</v>
      </c>
      <c r="F1177" t="str">
        <f>"4256"</f>
        <v>4256</v>
      </c>
      <c r="G1177" t="str">
        <f>"Inv# 4256"</f>
        <v>Inv# 4256</v>
      </c>
      <c r="H1177" s="2">
        <v>1710</v>
      </c>
      <c r="I1177" t="str">
        <f>"Inv#  4256"</f>
        <v>Inv#  4256</v>
      </c>
    </row>
    <row r="1178" spans="1:10" x14ac:dyDescent="0.3">
      <c r="A1178" t="str">
        <f>""</f>
        <v/>
      </c>
      <c r="F1178" t="str">
        <f>"4300"</f>
        <v>4300</v>
      </c>
      <c r="G1178" t="str">
        <f>"Inv# 4300"</f>
        <v>Inv# 4300</v>
      </c>
      <c r="H1178" s="2">
        <v>1800</v>
      </c>
      <c r="I1178" t="str">
        <f>"Inv# 4300"</f>
        <v>Inv# 4300</v>
      </c>
    </row>
    <row r="1179" spans="1:10" x14ac:dyDescent="0.3">
      <c r="A1179" t="str">
        <f>"000591"</f>
        <v>000591</v>
      </c>
      <c r="B1179" t="s">
        <v>375</v>
      </c>
      <c r="C1179">
        <v>999999</v>
      </c>
      <c r="D1179" s="2">
        <v>72.739999999999995</v>
      </c>
      <c r="E1179" s="1">
        <v>43019</v>
      </c>
      <c r="F1179" t="str">
        <f>"07IO121569859"</f>
        <v>07IO121569859</v>
      </c>
      <c r="G1179" t="str">
        <f>"ACCT#0121569859/JP#4"</f>
        <v>ACCT#0121569859/JP#4</v>
      </c>
      <c r="H1179" s="2">
        <v>22.93</v>
      </c>
      <c r="I1179" t="str">
        <f>"ACCT#0121569859/JP#4"</f>
        <v>ACCT#0121569859/JP#4</v>
      </c>
    </row>
    <row r="1180" spans="1:10" x14ac:dyDescent="0.3">
      <c r="A1180" t="str">
        <f>""</f>
        <v/>
      </c>
      <c r="F1180" t="str">
        <f>"07IO121587851"</f>
        <v>07IO121587851</v>
      </c>
      <c r="G1180" t="str">
        <f>"ACCT#0121587851"</f>
        <v>ACCT#0121587851</v>
      </c>
      <c r="H1180" s="2">
        <v>49.81</v>
      </c>
      <c r="I1180" t="str">
        <f>"ACCT#0121587851"</f>
        <v>ACCT#0121587851</v>
      </c>
    </row>
    <row r="1181" spans="1:10" x14ac:dyDescent="0.3">
      <c r="A1181" t="str">
        <f>"005240"</f>
        <v>005240</v>
      </c>
      <c r="B1181" t="s">
        <v>376</v>
      </c>
      <c r="C1181">
        <v>73049</v>
      </c>
      <c r="D1181" s="2">
        <v>50</v>
      </c>
      <c r="E1181" s="1">
        <v>43018</v>
      </c>
      <c r="F1181" t="s">
        <v>377</v>
      </c>
      <c r="G1181" t="s">
        <v>378</v>
      </c>
      <c r="H1181" s="2" t="str">
        <f>"RESTITUTION-D. NEELY"</f>
        <v>RESTITUTION-D. NEELY</v>
      </c>
      <c r="I1181" t="str">
        <f>"210-0000"</f>
        <v>210-0000</v>
      </c>
      <c r="J1181">
        <v>50</v>
      </c>
    </row>
    <row r="1182" spans="1:10" x14ac:dyDescent="0.3">
      <c r="A1182" t="str">
        <f>"004205"</f>
        <v>004205</v>
      </c>
      <c r="B1182" t="s">
        <v>379</v>
      </c>
      <c r="C1182">
        <v>73050</v>
      </c>
      <c r="D1182" s="2">
        <v>215.99</v>
      </c>
      <c r="E1182" s="1">
        <v>43018</v>
      </c>
      <c r="F1182" t="str">
        <f>"000000002-179"</f>
        <v>000000002-179</v>
      </c>
      <c r="G1182" t="str">
        <f>"TICKET#25674/PCT#4"</f>
        <v>TICKET#25674/PCT#4</v>
      </c>
      <c r="H1182" s="2">
        <v>215.99</v>
      </c>
      <c r="I1182" t="str">
        <f>"TICKET#25674/PCT#4"</f>
        <v>TICKET#25674/PCT#4</v>
      </c>
    </row>
    <row r="1183" spans="1:10" x14ac:dyDescent="0.3">
      <c r="A1183" t="str">
        <f>"003737"</f>
        <v>003737</v>
      </c>
      <c r="B1183" t="s">
        <v>380</v>
      </c>
      <c r="C1183">
        <v>73051</v>
      </c>
      <c r="D1183" s="2">
        <v>284.08999999999997</v>
      </c>
      <c r="E1183" s="1">
        <v>43018</v>
      </c>
      <c r="F1183" t="str">
        <f>"0843-001380815"</f>
        <v>0843-001380815</v>
      </c>
      <c r="G1183" t="str">
        <f>"ACCT#3-0843-1269216"</f>
        <v>ACCT#3-0843-1269216</v>
      </c>
      <c r="H1183" s="2">
        <v>284.08999999999997</v>
      </c>
      <c r="I1183" t="str">
        <f>"ACCT#3-0843-1269216"</f>
        <v>ACCT#3-0843-1269216</v>
      </c>
    </row>
    <row r="1184" spans="1:10" x14ac:dyDescent="0.3">
      <c r="A1184" t="str">
        <f>"003737"</f>
        <v>003737</v>
      </c>
      <c r="B1184" t="s">
        <v>380</v>
      </c>
      <c r="C1184">
        <v>73174</v>
      </c>
      <c r="D1184" s="2">
        <v>1961.28</v>
      </c>
      <c r="E1184" s="1">
        <v>43026</v>
      </c>
      <c r="F1184" t="str">
        <f>"0843-00138208"</f>
        <v>0843-00138208</v>
      </c>
      <c r="G1184" t="str">
        <f>"ACCT#3-0843-0017094"</f>
        <v>ACCT#3-0843-0017094</v>
      </c>
      <c r="H1184" s="2">
        <v>1961.28</v>
      </c>
      <c r="I1184" t="str">
        <f>"ACCT#3-0843-0017094"</f>
        <v>ACCT#3-0843-0017094</v>
      </c>
    </row>
    <row r="1185" spans="1:9" x14ac:dyDescent="0.3">
      <c r="A1185" t="str">
        <f>"004766"</f>
        <v>004766</v>
      </c>
      <c r="B1185" t="s">
        <v>381</v>
      </c>
      <c r="C1185">
        <v>73052</v>
      </c>
      <c r="D1185" s="2">
        <v>8950</v>
      </c>
      <c r="E1185" s="1">
        <v>43018</v>
      </c>
      <c r="F1185" t="str">
        <f>"201710045265"</f>
        <v>201710045265</v>
      </c>
      <c r="G1185" t="str">
        <f>"LAY PIPE &amp; CONCRETE HD WALLS"</f>
        <v>LAY PIPE &amp; CONCRETE HD WALLS</v>
      </c>
      <c r="H1185" s="2">
        <v>8950</v>
      </c>
      <c r="I1185" t="str">
        <f>"LAY PIPE &amp; CONCRETE HD WALLS"</f>
        <v>LAY PIPE &amp; CONCRETE HD WALLS</v>
      </c>
    </row>
    <row r="1186" spans="1:9" x14ac:dyDescent="0.3">
      <c r="A1186" t="str">
        <f>"RESERV"</f>
        <v>RESERV</v>
      </c>
      <c r="B1186" t="s">
        <v>382</v>
      </c>
      <c r="C1186">
        <v>73301</v>
      </c>
      <c r="D1186" s="2">
        <v>9000</v>
      </c>
      <c r="E1186" s="1">
        <v>43031</v>
      </c>
      <c r="F1186" t="str">
        <f>"201710185847"</f>
        <v>201710185847</v>
      </c>
      <c r="G1186" t="str">
        <f>"ACCT#34549337/SEPT CHARGES"</f>
        <v>ACCT#34549337/SEPT CHARGES</v>
      </c>
      <c r="H1186" s="2">
        <v>9000</v>
      </c>
      <c r="I1186" t="str">
        <f>"ACCT#34549337/SEPT CHARGES"</f>
        <v>ACCT#34549337/SEPT CHARGES</v>
      </c>
    </row>
    <row r="1187" spans="1:9" x14ac:dyDescent="0.3">
      <c r="A1187" t="str">
        <f>"T11385"</f>
        <v>T11385</v>
      </c>
      <c r="B1187" t="s">
        <v>383</v>
      </c>
      <c r="C1187">
        <v>999999</v>
      </c>
      <c r="D1187" s="2">
        <v>1250</v>
      </c>
      <c r="E1187" s="1">
        <v>43032</v>
      </c>
      <c r="F1187" t="str">
        <f>"201710185745"</f>
        <v>201710185745</v>
      </c>
      <c r="G1187" t="str">
        <f>"55331  404227-3"</f>
        <v>55331  404227-3</v>
      </c>
      <c r="H1187" s="2">
        <v>375</v>
      </c>
      <c r="I1187" t="str">
        <f>"55331  404227-3"</f>
        <v>55331  404227-3</v>
      </c>
    </row>
    <row r="1188" spans="1:9" x14ac:dyDescent="0.3">
      <c r="A1188" t="str">
        <f>""</f>
        <v/>
      </c>
      <c r="F1188" t="str">
        <f>"201710185746"</f>
        <v>201710185746</v>
      </c>
      <c r="G1188" t="str">
        <f>"02-0827-1"</f>
        <v>02-0827-1</v>
      </c>
      <c r="H1188" s="2">
        <v>250</v>
      </c>
      <c r="I1188" t="str">
        <f>"02-0827-1"</f>
        <v>02-0827-1</v>
      </c>
    </row>
    <row r="1189" spans="1:9" x14ac:dyDescent="0.3">
      <c r="A1189" t="str">
        <f>""</f>
        <v/>
      </c>
      <c r="F1189" t="str">
        <f>"201710185747"</f>
        <v>201710185747</v>
      </c>
      <c r="G1189" t="str">
        <f>"409215-IM"</f>
        <v>409215-IM</v>
      </c>
      <c r="H1189" s="2">
        <v>250</v>
      </c>
      <c r="I1189" t="str">
        <f>"409215-IM"</f>
        <v>409215-IM</v>
      </c>
    </row>
    <row r="1190" spans="1:9" x14ac:dyDescent="0.3">
      <c r="A1190" t="str">
        <f>""</f>
        <v/>
      </c>
      <c r="F1190" t="str">
        <f>"201710185748"</f>
        <v>201710185748</v>
      </c>
      <c r="G1190" t="str">
        <f>"20160691A"</f>
        <v>20160691A</v>
      </c>
      <c r="H1190" s="2">
        <v>375</v>
      </c>
      <c r="I1190" t="str">
        <f>"20160691A"</f>
        <v>20160691A</v>
      </c>
    </row>
    <row r="1191" spans="1:9" x14ac:dyDescent="0.3">
      <c r="A1191" t="str">
        <f>"005249"</f>
        <v>005249</v>
      </c>
      <c r="B1191" t="s">
        <v>384</v>
      </c>
      <c r="C1191">
        <v>73302</v>
      </c>
      <c r="D1191" s="2">
        <v>7500</v>
      </c>
      <c r="E1191" s="1">
        <v>43031</v>
      </c>
      <c r="F1191" t="str">
        <f>"201710135696"</f>
        <v>201710135696</v>
      </c>
      <c r="G1191" t="str">
        <f>"16001"</f>
        <v>16001</v>
      </c>
      <c r="H1191" s="2">
        <v>7500</v>
      </c>
      <c r="I1191" t="str">
        <f>"16001"</f>
        <v>16001</v>
      </c>
    </row>
    <row r="1192" spans="1:9" x14ac:dyDescent="0.3">
      <c r="A1192" t="str">
        <f>"001322"</f>
        <v>001322</v>
      </c>
      <c r="B1192" t="s">
        <v>385</v>
      </c>
      <c r="C1192">
        <v>999999</v>
      </c>
      <c r="D1192" s="2">
        <v>13030.5</v>
      </c>
      <c r="E1192" s="1">
        <v>43019</v>
      </c>
      <c r="F1192" t="str">
        <f>"5050352868"</f>
        <v>5050352868</v>
      </c>
      <c r="G1192" t="str">
        <f>"COPIER LEASE"</f>
        <v>COPIER LEASE</v>
      </c>
      <c r="H1192" s="2">
        <v>13030.5</v>
      </c>
      <c r="I1192" t="str">
        <f t="shared" ref="I1192:I1211" si="15">"COPIER LEASE"</f>
        <v>COPIER LEASE</v>
      </c>
    </row>
    <row r="1193" spans="1:9" x14ac:dyDescent="0.3">
      <c r="A1193" t="str">
        <f>""</f>
        <v/>
      </c>
      <c r="F1193" t="str">
        <f>""</f>
        <v/>
      </c>
      <c r="G1193" t="str">
        <f>""</f>
        <v/>
      </c>
      <c r="I1193" t="str">
        <f t="shared" si="15"/>
        <v>COPIER LEASE</v>
      </c>
    </row>
    <row r="1194" spans="1:9" x14ac:dyDescent="0.3">
      <c r="A1194" t="str">
        <f>""</f>
        <v/>
      </c>
      <c r="F1194" t="str">
        <f>""</f>
        <v/>
      </c>
      <c r="G1194" t="str">
        <f>""</f>
        <v/>
      </c>
      <c r="I1194" t="str">
        <f t="shared" si="15"/>
        <v>COPIER LEASE</v>
      </c>
    </row>
    <row r="1195" spans="1:9" x14ac:dyDescent="0.3">
      <c r="A1195" t="str">
        <f>""</f>
        <v/>
      </c>
      <c r="F1195" t="str">
        <f>""</f>
        <v/>
      </c>
      <c r="G1195" t="str">
        <f>""</f>
        <v/>
      </c>
      <c r="I1195" t="str">
        <f t="shared" si="15"/>
        <v>COPIER LEASE</v>
      </c>
    </row>
    <row r="1196" spans="1:9" x14ac:dyDescent="0.3">
      <c r="A1196" t="str">
        <f>""</f>
        <v/>
      </c>
      <c r="F1196" t="str">
        <f>""</f>
        <v/>
      </c>
      <c r="G1196" t="str">
        <f>""</f>
        <v/>
      </c>
      <c r="I1196" t="str">
        <f t="shared" si="15"/>
        <v>COPIER LEASE</v>
      </c>
    </row>
    <row r="1197" spans="1:9" x14ac:dyDescent="0.3">
      <c r="A1197" t="str">
        <f>""</f>
        <v/>
      </c>
      <c r="F1197" t="str">
        <f>""</f>
        <v/>
      </c>
      <c r="G1197" t="str">
        <f>""</f>
        <v/>
      </c>
      <c r="I1197" t="str">
        <f t="shared" si="15"/>
        <v>COPIER LEASE</v>
      </c>
    </row>
    <row r="1198" spans="1:9" x14ac:dyDescent="0.3">
      <c r="A1198" t="str">
        <f>""</f>
        <v/>
      </c>
      <c r="F1198" t="str">
        <f>""</f>
        <v/>
      </c>
      <c r="G1198" t="str">
        <f>""</f>
        <v/>
      </c>
      <c r="I1198" t="str">
        <f t="shared" si="15"/>
        <v>COPIER LEASE</v>
      </c>
    </row>
    <row r="1199" spans="1:9" x14ac:dyDescent="0.3">
      <c r="A1199" t="str">
        <f>""</f>
        <v/>
      </c>
      <c r="F1199" t="str">
        <f>""</f>
        <v/>
      </c>
      <c r="G1199" t="str">
        <f>""</f>
        <v/>
      </c>
      <c r="I1199" t="str">
        <f t="shared" si="15"/>
        <v>COPIER LEASE</v>
      </c>
    </row>
    <row r="1200" spans="1:9" x14ac:dyDescent="0.3">
      <c r="A1200" t="str">
        <f>""</f>
        <v/>
      </c>
      <c r="F1200" t="str">
        <f>""</f>
        <v/>
      </c>
      <c r="G1200" t="str">
        <f>""</f>
        <v/>
      </c>
      <c r="I1200" t="str">
        <f t="shared" si="15"/>
        <v>COPIER LEASE</v>
      </c>
    </row>
    <row r="1201" spans="1:9" x14ac:dyDescent="0.3">
      <c r="A1201" t="str">
        <f>""</f>
        <v/>
      </c>
      <c r="F1201" t="str">
        <f>""</f>
        <v/>
      </c>
      <c r="G1201" t="str">
        <f>""</f>
        <v/>
      </c>
      <c r="I1201" t="str">
        <f t="shared" si="15"/>
        <v>COPIER LEASE</v>
      </c>
    </row>
    <row r="1202" spans="1:9" x14ac:dyDescent="0.3">
      <c r="A1202" t="str">
        <f>""</f>
        <v/>
      </c>
      <c r="F1202" t="str">
        <f>""</f>
        <v/>
      </c>
      <c r="G1202" t="str">
        <f>""</f>
        <v/>
      </c>
      <c r="I1202" t="str">
        <f t="shared" si="15"/>
        <v>COPIER LEASE</v>
      </c>
    </row>
    <row r="1203" spans="1:9" x14ac:dyDescent="0.3">
      <c r="A1203" t="str">
        <f>""</f>
        <v/>
      </c>
      <c r="F1203" t="str">
        <f>""</f>
        <v/>
      </c>
      <c r="G1203" t="str">
        <f>""</f>
        <v/>
      </c>
      <c r="I1203" t="str">
        <f t="shared" si="15"/>
        <v>COPIER LEASE</v>
      </c>
    </row>
    <row r="1204" spans="1:9" x14ac:dyDescent="0.3">
      <c r="A1204" t="str">
        <f>""</f>
        <v/>
      </c>
      <c r="F1204" t="str">
        <f>""</f>
        <v/>
      </c>
      <c r="G1204" t="str">
        <f>""</f>
        <v/>
      </c>
      <c r="I1204" t="str">
        <f t="shared" si="15"/>
        <v>COPIER LEASE</v>
      </c>
    </row>
    <row r="1205" spans="1:9" x14ac:dyDescent="0.3">
      <c r="A1205" t="str">
        <f>""</f>
        <v/>
      </c>
      <c r="F1205" t="str">
        <f>""</f>
        <v/>
      </c>
      <c r="G1205" t="str">
        <f>""</f>
        <v/>
      </c>
      <c r="I1205" t="str">
        <f t="shared" si="15"/>
        <v>COPIER LEASE</v>
      </c>
    </row>
    <row r="1206" spans="1:9" x14ac:dyDescent="0.3">
      <c r="A1206" t="str">
        <f>""</f>
        <v/>
      </c>
      <c r="F1206" t="str">
        <f>""</f>
        <v/>
      </c>
      <c r="G1206" t="str">
        <f>""</f>
        <v/>
      </c>
      <c r="I1206" t="str">
        <f t="shared" si="15"/>
        <v>COPIER LEASE</v>
      </c>
    </row>
    <row r="1207" spans="1:9" x14ac:dyDescent="0.3">
      <c r="A1207" t="str">
        <f>""</f>
        <v/>
      </c>
      <c r="F1207" t="str">
        <f>""</f>
        <v/>
      </c>
      <c r="G1207" t="str">
        <f>""</f>
        <v/>
      </c>
      <c r="I1207" t="str">
        <f t="shared" si="15"/>
        <v>COPIER LEASE</v>
      </c>
    </row>
    <row r="1208" spans="1:9" x14ac:dyDescent="0.3">
      <c r="A1208" t="str">
        <f>""</f>
        <v/>
      </c>
      <c r="F1208" t="str">
        <f>""</f>
        <v/>
      </c>
      <c r="G1208" t="str">
        <f>""</f>
        <v/>
      </c>
      <c r="I1208" t="str">
        <f t="shared" si="15"/>
        <v>COPIER LEASE</v>
      </c>
    </row>
    <row r="1209" spans="1:9" x14ac:dyDescent="0.3">
      <c r="A1209" t="str">
        <f>""</f>
        <v/>
      </c>
      <c r="F1209" t="str">
        <f>""</f>
        <v/>
      </c>
      <c r="G1209" t="str">
        <f>""</f>
        <v/>
      </c>
      <c r="I1209" t="str">
        <f t="shared" si="15"/>
        <v>COPIER LEASE</v>
      </c>
    </row>
    <row r="1210" spans="1:9" x14ac:dyDescent="0.3">
      <c r="A1210" t="str">
        <f>""</f>
        <v/>
      </c>
      <c r="F1210" t="str">
        <f>""</f>
        <v/>
      </c>
      <c r="G1210" t="str">
        <f>""</f>
        <v/>
      </c>
      <c r="I1210" t="str">
        <f t="shared" si="15"/>
        <v>COPIER LEASE</v>
      </c>
    </row>
    <row r="1211" spans="1:9" x14ac:dyDescent="0.3">
      <c r="A1211" t="str">
        <f>""</f>
        <v/>
      </c>
      <c r="F1211" t="str">
        <f>""</f>
        <v/>
      </c>
      <c r="G1211" t="str">
        <f>""</f>
        <v/>
      </c>
      <c r="I1211" t="str">
        <f t="shared" si="15"/>
        <v>COPIER LEASE</v>
      </c>
    </row>
    <row r="1212" spans="1:9" x14ac:dyDescent="0.3">
      <c r="A1212" t="str">
        <f>"000972"</f>
        <v>000972</v>
      </c>
      <c r="B1212" t="s">
        <v>386</v>
      </c>
      <c r="C1212">
        <v>73303</v>
      </c>
      <c r="D1212" s="2">
        <v>7159.58</v>
      </c>
      <c r="E1212" s="1">
        <v>43031</v>
      </c>
      <c r="F1212" t="str">
        <f>"30879593"</f>
        <v>30879593</v>
      </c>
      <c r="G1212" t="str">
        <f>"CUST#2000172616"</f>
        <v>CUST#2000172616</v>
      </c>
      <c r="H1212" s="2">
        <v>7159.58</v>
      </c>
      <c r="I1212" t="str">
        <f t="shared" ref="I1212:I1233" si="16">"CUST#2000172616"</f>
        <v>CUST#2000172616</v>
      </c>
    </row>
    <row r="1213" spans="1:9" x14ac:dyDescent="0.3">
      <c r="A1213" t="str">
        <f>""</f>
        <v/>
      </c>
      <c r="F1213" t="str">
        <f>""</f>
        <v/>
      </c>
      <c r="G1213" t="str">
        <f>""</f>
        <v/>
      </c>
      <c r="I1213" t="str">
        <f t="shared" si="16"/>
        <v>CUST#2000172616</v>
      </c>
    </row>
    <row r="1214" spans="1:9" x14ac:dyDescent="0.3">
      <c r="A1214" t="str">
        <f>""</f>
        <v/>
      </c>
      <c r="F1214" t="str">
        <f>""</f>
        <v/>
      </c>
      <c r="G1214" t="str">
        <f>""</f>
        <v/>
      </c>
      <c r="I1214" t="str">
        <f t="shared" si="16"/>
        <v>CUST#2000172616</v>
      </c>
    </row>
    <row r="1215" spans="1:9" x14ac:dyDescent="0.3">
      <c r="A1215" t="str">
        <f>""</f>
        <v/>
      </c>
      <c r="F1215" t="str">
        <f>""</f>
        <v/>
      </c>
      <c r="G1215" t="str">
        <f>""</f>
        <v/>
      </c>
      <c r="I1215" t="str">
        <f t="shared" si="16"/>
        <v>CUST#2000172616</v>
      </c>
    </row>
    <row r="1216" spans="1:9" x14ac:dyDescent="0.3">
      <c r="A1216" t="str">
        <f>""</f>
        <v/>
      </c>
      <c r="F1216" t="str">
        <f>""</f>
        <v/>
      </c>
      <c r="G1216" t="str">
        <f>""</f>
        <v/>
      </c>
      <c r="I1216" t="str">
        <f t="shared" si="16"/>
        <v>CUST#2000172616</v>
      </c>
    </row>
    <row r="1217" spans="1:9" x14ac:dyDescent="0.3">
      <c r="A1217" t="str">
        <f>""</f>
        <v/>
      </c>
      <c r="F1217" t="str">
        <f>""</f>
        <v/>
      </c>
      <c r="G1217" t="str">
        <f>""</f>
        <v/>
      </c>
      <c r="I1217" t="str">
        <f t="shared" si="16"/>
        <v>CUST#2000172616</v>
      </c>
    </row>
    <row r="1218" spans="1:9" x14ac:dyDescent="0.3">
      <c r="A1218" t="str">
        <f>""</f>
        <v/>
      </c>
      <c r="F1218" t="str">
        <f>""</f>
        <v/>
      </c>
      <c r="G1218" t="str">
        <f>""</f>
        <v/>
      </c>
      <c r="I1218" t="str">
        <f t="shared" si="16"/>
        <v>CUST#2000172616</v>
      </c>
    </row>
    <row r="1219" spans="1:9" x14ac:dyDescent="0.3">
      <c r="A1219" t="str">
        <f>""</f>
        <v/>
      </c>
      <c r="F1219" t="str">
        <f>""</f>
        <v/>
      </c>
      <c r="G1219" t="str">
        <f>""</f>
        <v/>
      </c>
      <c r="I1219" t="str">
        <f t="shared" si="16"/>
        <v>CUST#2000172616</v>
      </c>
    </row>
    <row r="1220" spans="1:9" x14ac:dyDescent="0.3">
      <c r="A1220" t="str">
        <f>""</f>
        <v/>
      </c>
      <c r="F1220" t="str">
        <f>""</f>
        <v/>
      </c>
      <c r="G1220" t="str">
        <f>""</f>
        <v/>
      </c>
      <c r="I1220" t="str">
        <f t="shared" si="16"/>
        <v>CUST#2000172616</v>
      </c>
    </row>
    <row r="1221" spans="1:9" x14ac:dyDescent="0.3">
      <c r="A1221" t="str">
        <f>""</f>
        <v/>
      </c>
      <c r="F1221" t="str">
        <f>""</f>
        <v/>
      </c>
      <c r="G1221" t="str">
        <f>""</f>
        <v/>
      </c>
      <c r="I1221" t="str">
        <f t="shared" si="16"/>
        <v>CUST#2000172616</v>
      </c>
    </row>
    <row r="1222" spans="1:9" x14ac:dyDescent="0.3">
      <c r="A1222" t="str">
        <f>""</f>
        <v/>
      </c>
      <c r="F1222" t="str">
        <f>""</f>
        <v/>
      </c>
      <c r="G1222" t="str">
        <f>""</f>
        <v/>
      </c>
      <c r="I1222" t="str">
        <f t="shared" si="16"/>
        <v>CUST#2000172616</v>
      </c>
    </row>
    <row r="1223" spans="1:9" x14ac:dyDescent="0.3">
      <c r="A1223" t="str">
        <f>""</f>
        <v/>
      </c>
      <c r="F1223" t="str">
        <f>""</f>
        <v/>
      </c>
      <c r="G1223" t="str">
        <f>""</f>
        <v/>
      </c>
      <c r="I1223" t="str">
        <f t="shared" si="16"/>
        <v>CUST#2000172616</v>
      </c>
    </row>
    <row r="1224" spans="1:9" x14ac:dyDescent="0.3">
      <c r="A1224" t="str">
        <f>""</f>
        <v/>
      </c>
      <c r="F1224" t="str">
        <f>""</f>
        <v/>
      </c>
      <c r="G1224" t="str">
        <f>""</f>
        <v/>
      </c>
      <c r="I1224" t="str">
        <f t="shared" si="16"/>
        <v>CUST#2000172616</v>
      </c>
    </row>
    <row r="1225" spans="1:9" x14ac:dyDescent="0.3">
      <c r="A1225" t="str">
        <f>""</f>
        <v/>
      </c>
      <c r="F1225" t="str">
        <f>""</f>
        <v/>
      </c>
      <c r="G1225" t="str">
        <f>""</f>
        <v/>
      </c>
      <c r="I1225" t="str">
        <f t="shared" si="16"/>
        <v>CUST#2000172616</v>
      </c>
    </row>
    <row r="1226" spans="1:9" x14ac:dyDescent="0.3">
      <c r="A1226" t="str">
        <f>""</f>
        <v/>
      </c>
      <c r="F1226" t="str">
        <f>""</f>
        <v/>
      </c>
      <c r="G1226" t="str">
        <f>""</f>
        <v/>
      </c>
      <c r="I1226" t="str">
        <f t="shared" si="16"/>
        <v>CUST#2000172616</v>
      </c>
    </row>
    <row r="1227" spans="1:9" x14ac:dyDescent="0.3">
      <c r="A1227" t="str">
        <f>""</f>
        <v/>
      </c>
      <c r="F1227" t="str">
        <f>""</f>
        <v/>
      </c>
      <c r="G1227" t="str">
        <f>""</f>
        <v/>
      </c>
      <c r="I1227" t="str">
        <f t="shared" si="16"/>
        <v>CUST#2000172616</v>
      </c>
    </row>
    <row r="1228" spans="1:9" x14ac:dyDescent="0.3">
      <c r="A1228" t="str">
        <f>""</f>
        <v/>
      </c>
      <c r="F1228" t="str">
        <f>""</f>
        <v/>
      </c>
      <c r="G1228" t="str">
        <f>""</f>
        <v/>
      </c>
      <c r="I1228" t="str">
        <f t="shared" si="16"/>
        <v>CUST#2000172616</v>
      </c>
    </row>
    <row r="1229" spans="1:9" x14ac:dyDescent="0.3">
      <c r="A1229" t="str">
        <f>""</f>
        <v/>
      </c>
      <c r="F1229" t="str">
        <f>""</f>
        <v/>
      </c>
      <c r="G1229" t="str">
        <f>""</f>
        <v/>
      </c>
      <c r="I1229" t="str">
        <f t="shared" si="16"/>
        <v>CUST#2000172616</v>
      </c>
    </row>
    <row r="1230" spans="1:9" x14ac:dyDescent="0.3">
      <c r="A1230" t="str">
        <f>""</f>
        <v/>
      </c>
      <c r="F1230" t="str">
        <f>""</f>
        <v/>
      </c>
      <c r="G1230" t="str">
        <f>""</f>
        <v/>
      </c>
      <c r="I1230" t="str">
        <f t="shared" si="16"/>
        <v>CUST#2000172616</v>
      </c>
    </row>
    <row r="1231" spans="1:9" x14ac:dyDescent="0.3">
      <c r="A1231" t="str">
        <f>""</f>
        <v/>
      </c>
      <c r="F1231" t="str">
        <f>""</f>
        <v/>
      </c>
      <c r="G1231" t="str">
        <f>""</f>
        <v/>
      </c>
      <c r="I1231" t="str">
        <f t="shared" si="16"/>
        <v>CUST#2000172616</v>
      </c>
    </row>
    <row r="1232" spans="1:9" x14ac:dyDescent="0.3">
      <c r="A1232" t="str">
        <f>""</f>
        <v/>
      </c>
      <c r="F1232" t="str">
        <f>""</f>
        <v/>
      </c>
      <c r="G1232" t="str">
        <f>""</f>
        <v/>
      </c>
      <c r="I1232" t="str">
        <f t="shared" si="16"/>
        <v>CUST#2000172616</v>
      </c>
    </row>
    <row r="1233" spans="1:9" x14ac:dyDescent="0.3">
      <c r="A1233" t="str">
        <f>""</f>
        <v/>
      </c>
      <c r="F1233" t="str">
        <f>""</f>
        <v/>
      </c>
      <c r="G1233" t="str">
        <f>""</f>
        <v/>
      </c>
      <c r="I1233" t="str">
        <f t="shared" si="16"/>
        <v>CUST#2000172616</v>
      </c>
    </row>
    <row r="1234" spans="1:9" x14ac:dyDescent="0.3">
      <c r="A1234" t="str">
        <f>"004549"</f>
        <v>004549</v>
      </c>
      <c r="B1234" t="s">
        <v>387</v>
      </c>
      <c r="C1234">
        <v>73304</v>
      </c>
      <c r="D1234" s="2">
        <v>275</v>
      </c>
      <c r="E1234" s="1">
        <v>43031</v>
      </c>
      <c r="F1234" t="str">
        <f>"721176"</f>
        <v>721176</v>
      </c>
      <c r="G1234" t="str">
        <f>"LANDSCAPING SVCS/PCT#4"</f>
        <v>LANDSCAPING SVCS/PCT#4</v>
      </c>
      <c r="H1234" s="2">
        <v>125</v>
      </c>
      <c r="I1234" t="str">
        <f>"LANDSCAPING SVCS/PCT#4"</f>
        <v>LANDSCAPING SVCS/PCT#4</v>
      </c>
    </row>
    <row r="1235" spans="1:9" x14ac:dyDescent="0.3">
      <c r="A1235" t="str">
        <f>""</f>
        <v/>
      </c>
      <c r="F1235" t="str">
        <f>"721177"</f>
        <v>721177</v>
      </c>
      <c r="G1235" t="str">
        <f>"LANDSCAPING SVCS/PCT#4"</f>
        <v>LANDSCAPING SVCS/PCT#4</v>
      </c>
      <c r="H1235" s="2">
        <v>150</v>
      </c>
      <c r="I1235" t="str">
        <f>"LANDSCAPING SVCS/PCT#4"</f>
        <v>LANDSCAPING SVCS/PCT#4</v>
      </c>
    </row>
    <row r="1236" spans="1:9" x14ac:dyDescent="0.3">
      <c r="A1236" t="str">
        <f>"000374"</f>
        <v>000374</v>
      </c>
      <c r="B1236" t="s">
        <v>388</v>
      </c>
      <c r="C1236">
        <v>999999</v>
      </c>
      <c r="D1236" s="2">
        <v>41.99</v>
      </c>
      <c r="E1236" s="1">
        <v>43032</v>
      </c>
      <c r="F1236" t="str">
        <f>"1019852"</f>
        <v>1019852</v>
      </c>
      <c r="G1236" t="str">
        <f>"KITCHEN ROLL TOWELS"</f>
        <v>KITCHEN ROLL TOWELS</v>
      </c>
      <c r="H1236" s="2">
        <v>41.99</v>
      </c>
      <c r="I1236" t="str">
        <f>"KITCHEN ROLL TOWELS"</f>
        <v>KITCHEN ROLL TOWELS</v>
      </c>
    </row>
    <row r="1237" spans="1:9" x14ac:dyDescent="0.3">
      <c r="A1237" t="str">
        <f>"004417"</f>
        <v>004417</v>
      </c>
      <c r="B1237" t="s">
        <v>389</v>
      </c>
      <c r="C1237">
        <v>999999</v>
      </c>
      <c r="D1237" s="2">
        <v>850</v>
      </c>
      <c r="E1237" s="1">
        <v>43032</v>
      </c>
      <c r="F1237" t="str">
        <f>"BCSOSEP17"</f>
        <v>BCSOSEP17</v>
      </c>
      <c r="G1237" t="str">
        <f>"INV BCSOSEP17"</f>
        <v>INV BCSOSEP17</v>
      </c>
      <c r="H1237" s="2">
        <v>850</v>
      </c>
      <c r="I1237" t="str">
        <f>"INV BCSOSEP17"</f>
        <v>INV BCSOSEP17</v>
      </c>
    </row>
    <row r="1238" spans="1:9" x14ac:dyDescent="0.3">
      <c r="A1238" t="str">
        <f>"MADDEN"</f>
        <v>MADDEN</v>
      </c>
      <c r="B1238" t="s">
        <v>390</v>
      </c>
      <c r="C1238">
        <v>73305</v>
      </c>
      <c r="D1238" s="2">
        <v>12.95</v>
      </c>
      <c r="E1238" s="1">
        <v>43031</v>
      </c>
      <c r="F1238" t="str">
        <f>"4070613"</f>
        <v>4070613</v>
      </c>
      <c r="G1238" t="str">
        <f>"TRANS #4070613"</f>
        <v>TRANS #4070613</v>
      </c>
      <c r="H1238" s="2">
        <v>12.95</v>
      </c>
      <c r="I1238" t="str">
        <f>"TRANS #4070613"</f>
        <v>TRANS #4070613</v>
      </c>
    </row>
    <row r="1239" spans="1:9" x14ac:dyDescent="0.3">
      <c r="A1239" t="str">
        <f>"003619"</f>
        <v>003619</v>
      </c>
      <c r="B1239" t="s">
        <v>391</v>
      </c>
      <c r="C1239">
        <v>73306</v>
      </c>
      <c r="D1239" s="2">
        <v>626</v>
      </c>
      <c r="E1239" s="1">
        <v>43031</v>
      </c>
      <c r="F1239" t="str">
        <f>"170831-1"</f>
        <v>170831-1</v>
      </c>
      <c r="G1239" t="str">
        <f>"Hoodies and Polo's"</f>
        <v>Hoodies and Polo's</v>
      </c>
      <c r="H1239" s="2">
        <v>626</v>
      </c>
      <c r="I1239" t="str">
        <f>"Zipped Hoodies"</f>
        <v>Zipped Hoodies</v>
      </c>
    </row>
    <row r="1240" spans="1:9" x14ac:dyDescent="0.3">
      <c r="A1240" t="str">
        <f>""</f>
        <v/>
      </c>
      <c r="F1240" t="str">
        <f>""</f>
        <v/>
      </c>
      <c r="G1240" t="str">
        <f>""</f>
        <v/>
      </c>
      <c r="I1240" t="str">
        <f>"Zipped Hoodie Plus"</f>
        <v>Zipped Hoodie Plus</v>
      </c>
    </row>
    <row r="1241" spans="1:9" x14ac:dyDescent="0.3">
      <c r="A1241" t="str">
        <f>""</f>
        <v/>
      </c>
      <c r="F1241" t="str">
        <f>""</f>
        <v/>
      </c>
      <c r="G1241" t="str">
        <f>""</f>
        <v/>
      </c>
      <c r="I1241" t="str">
        <f>"Polo LOG"</f>
        <v>Polo LOG</v>
      </c>
    </row>
    <row r="1242" spans="1:9" x14ac:dyDescent="0.3">
      <c r="A1242" t="str">
        <f>""</f>
        <v/>
      </c>
      <c r="F1242" t="str">
        <f>""</f>
        <v/>
      </c>
      <c r="G1242" t="str">
        <f>""</f>
        <v/>
      </c>
      <c r="I1242" t="str">
        <f>"Polo Plus"</f>
        <v>Polo Plus</v>
      </c>
    </row>
    <row r="1243" spans="1:9" x14ac:dyDescent="0.3">
      <c r="A1243" t="str">
        <f>"003955"</f>
        <v>003955</v>
      </c>
      <c r="B1243" t="s">
        <v>392</v>
      </c>
      <c r="C1243">
        <v>73307</v>
      </c>
      <c r="D1243" s="2">
        <v>193.98</v>
      </c>
      <c r="E1243" s="1">
        <v>43031</v>
      </c>
      <c r="F1243" t="str">
        <f>"201710125596"</f>
        <v>201710125596</v>
      </c>
      <c r="G1243" t="str">
        <f>"REIMBURSE/1TB HARD DRIVE/DELL"</f>
        <v>REIMBURSE/1TB HARD DRIVE/DELL</v>
      </c>
      <c r="H1243" s="2">
        <v>193.98</v>
      </c>
      <c r="I1243" t="str">
        <f>"REIMBURSE/1TB HARD DRIVE/DELL"</f>
        <v>REIMBURSE/1TB HARD DRIVE/DELL</v>
      </c>
    </row>
    <row r="1244" spans="1:9" x14ac:dyDescent="0.3">
      <c r="A1244" t="str">
        <f>"RP-CC"</f>
        <v>RP-CC</v>
      </c>
      <c r="B1244" t="s">
        <v>393</v>
      </c>
      <c r="C1244">
        <v>73053</v>
      </c>
      <c r="D1244" s="2">
        <v>404</v>
      </c>
      <c r="E1244" s="1">
        <v>43018</v>
      </c>
      <c r="F1244" t="str">
        <f>"201710045553"</f>
        <v>201710045553</v>
      </c>
      <c r="G1244" t="str">
        <f>"DEVELOPMENT SVCS RECORDING FEE"</f>
        <v>DEVELOPMENT SVCS RECORDING FEE</v>
      </c>
      <c r="H1244" s="2">
        <v>404</v>
      </c>
      <c r="I1244" t="str">
        <f>"DEVELOPMENT SVCS RECORDING FEE"</f>
        <v>DEVELOPMENT SVCS RECORDING FEE</v>
      </c>
    </row>
    <row r="1245" spans="1:9" x14ac:dyDescent="0.3">
      <c r="A1245" t="str">
        <f>"RP-CC"</f>
        <v>RP-CC</v>
      </c>
      <c r="B1245" t="s">
        <v>393</v>
      </c>
      <c r="C1245">
        <v>73308</v>
      </c>
      <c r="D1245" s="2">
        <v>244</v>
      </c>
      <c r="E1245" s="1">
        <v>43031</v>
      </c>
      <c r="F1245" t="str">
        <f>"201710185823"</f>
        <v>201710185823</v>
      </c>
      <c r="G1245" t="str">
        <f>"DEVELOPMENT SVCS RECORDING FEE"</f>
        <v>DEVELOPMENT SVCS RECORDING FEE</v>
      </c>
      <c r="H1245" s="2">
        <v>244</v>
      </c>
      <c r="I1245" t="str">
        <f>"DEVELOPMENT SVCS RECORDING FEE"</f>
        <v>DEVELOPMENT SVCS RECORDING FEE</v>
      </c>
    </row>
    <row r="1246" spans="1:9" x14ac:dyDescent="0.3">
      <c r="A1246" t="str">
        <f>"005093"</f>
        <v>005093</v>
      </c>
      <c r="B1246" t="s">
        <v>394</v>
      </c>
      <c r="C1246">
        <v>73054</v>
      </c>
      <c r="D1246" s="2">
        <v>340</v>
      </c>
      <c r="E1246" s="1">
        <v>43018</v>
      </c>
      <c r="F1246" t="str">
        <f>"26456"</f>
        <v>26456</v>
      </c>
      <c r="G1246" t="str">
        <f>"RENTAL/PCT#1"</f>
        <v>RENTAL/PCT#1</v>
      </c>
      <c r="H1246" s="2">
        <v>340</v>
      </c>
      <c r="I1246" t="str">
        <f>"RENTAL/PCT#1"</f>
        <v>RENTAL/PCT#1</v>
      </c>
    </row>
    <row r="1247" spans="1:9" x14ac:dyDescent="0.3">
      <c r="A1247" t="str">
        <f>"SHSU"</f>
        <v>SHSU</v>
      </c>
      <c r="B1247" t="s">
        <v>395</v>
      </c>
      <c r="C1247">
        <v>73309</v>
      </c>
      <c r="D1247" s="2">
        <v>675</v>
      </c>
      <c r="E1247" s="1">
        <v>43031</v>
      </c>
      <c r="F1247" t="str">
        <f>"MENTAL HLTH CONF"</f>
        <v>MENTAL HLTH CONF</v>
      </c>
      <c r="G1247" t="str">
        <f>"TRAINING"</f>
        <v>TRAINING</v>
      </c>
      <c r="H1247" s="2">
        <v>675</v>
      </c>
      <c r="I1247" t="str">
        <f>"M. WHITE"</f>
        <v>M. WHITE</v>
      </c>
    </row>
    <row r="1248" spans="1:9" x14ac:dyDescent="0.3">
      <c r="A1248" t="str">
        <f>""</f>
        <v/>
      </c>
      <c r="F1248" t="str">
        <f>""</f>
        <v/>
      </c>
      <c r="G1248" t="str">
        <f>""</f>
        <v/>
      </c>
      <c r="I1248" t="str">
        <f>"L. PARKER"</f>
        <v>L. PARKER</v>
      </c>
    </row>
    <row r="1249" spans="1:9" x14ac:dyDescent="0.3">
      <c r="A1249" t="str">
        <f>""</f>
        <v/>
      </c>
      <c r="F1249" t="str">
        <f>""</f>
        <v/>
      </c>
      <c r="G1249" t="str">
        <f>""</f>
        <v/>
      </c>
      <c r="I1249" t="str">
        <f>"J. HAMBY"</f>
        <v>J. HAMBY</v>
      </c>
    </row>
    <row r="1250" spans="1:9" x14ac:dyDescent="0.3">
      <c r="A1250" t="str">
        <f>"T11973"</f>
        <v>T11973</v>
      </c>
      <c r="B1250" t="s">
        <v>396</v>
      </c>
      <c r="C1250">
        <v>999999</v>
      </c>
      <c r="D1250" s="2">
        <v>146.54</v>
      </c>
      <c r="E1250" s="1">
        <v>43019</v>
      </c>
      <c r="F1250" t="str">
        <f>"201710045379"</f>
        <v>201710045379</v>
      </c>
      <c r="G1250" t="str">
        <f>"INDIGENT HEALTH"</f>
        <v>INDIGENT HEALTH</v>
      </c>
      <c r="H1250" s="2">
        <v>146.54</v>
      </c>
      <c r="I1250" t="str">
        <f>"INDIGENT HEALTH"</f>
        <v>INDIGENT HEALTH</v>
      </c>
    </row>
    <row r="1251" spans="1:9" x14ac:dyDescent="0.3">
      <c r="A1251" t="str">
        <f>"T11973"</f>
        <v>T11973</v>
      </c>
      <c r="B1251" t="s">
        <v>396</v>
      </c>
      <c r="C1251">
        <v>999999</v>
      </c>
      <c r="D1251" s="2">
        <v>113.27</v>
      </c>
      <c r="E1251" s="1">
        <v>43032</v>
      </c>
      <c r="F1251" t="str">
        <f>"201710185831"</f>
        <v>201710185831</v>
      </c>
      <c r="G1251" t="str">
        <f>"INDIGENT HEALTH"</f>
        <v>INDIGENT HEALTH</v>
      </c>
      <c r="H1251" s="2">
        <v>46.73</v>
      </c>
      <c r="I1251" t="str">
        <f>"INDIGENT HEALTH"</f>
        <v>INDIGENT HEALTH</v>
      </c>
    </row>
    <row r="1252" spans="1:9" x14ac:dyDescent="0.3">
      <c r="A1252" t="str">
        <f>""</f>
        <v/>
      </c>
      <c r="F1252" t="str">
        <f>"201710185832"</f>
        <v>201710185832</v>
      </c>
      <c r="G1252" t="str">
        <f>"INDIGENT HEALTH"</f>
        <v>INDIGENT HEALTH</v>
      </c>
      <c r="H1252" s="2">
        <v>66.540000000000006</v>
      </c>
      <c r="I1252" t="str">
        <f>"INDIGENT HEALTH"</f>
        <v>INDIGENT HEALTH</v>
      </c>
    </row>
    <row r="1253" spans="1:9" x14ac:dyDescent="0.3">
      <c r="A1253" t="str">
        <f>"002195"</f>
        <v>002195</v>
      </c>
      <c r="B1253" t="s">
        <v>397</v>
      </c>
      <c r="C1253">
        <v>73310</v>
      </c>
      <c r="D1253" s="2">
        <v>154.28</v>
      </c>
      <c r="E1253" s="1">
        <v>43031</v>
      </c>
      <c r="F1253" t="str">
        <f>"201710125603"</f>
        <v>201710125603</v>
      </c>
      <c r="G1253" t="str">
        <f>"REIMBURSE-LUNCH FOR JURORS"</f>
        <v>REIMBURSE-LUNCH FOR JURORS</v>
      </c>
      <c r="H1253" s="2">
        <v>154.28</v>
      </c>
    </row>
    <row r="1254" spans="1:9" x14ac:dyDescent="0.3">
      <c r="A1254" t="str">
        <f>"000574"</f>
        <v>000574</v>
      </c>
      <c r="B1254" t="s">
        <v>398</v>
      </c>
      <c r="C1254">
        <v>73055</v>
      </c>
      <c r="D1254" s="2">
        <v>2823.91</v>
      </c>
      <c r="E1254" s="1">
        <v>43018</v>
      </c>
      <c r="F1254" t="str">
        <f>"INV12378262/8701"</f>
        <v>INV12378262/8701</v>
      </c>
      <c r="G1254" t="str">
        <f>"QUO1901092"</f>
        <v>QUO1901092</v>
      </c>
      <c r="H1254" s="2">
        <v>2823.91</v>
      </c>
      <c r="I1254" t="str">
        <f>"TABLE DOLLY"</f>
        <v>TABLE DOLLY</v>
      </c>
    </row>
    <row r="1255" spans="1:9" x14ac:dyDescent="0.3">
      <c r="A1255" t="str">
        <f>""</f>
        <v/>
      </c>
      <c r="F1255" t="str">
        <f>""</f>
        <v/>
      </c>
      <c r="G1255" t="str">
        <f>""</f>
        <v/>
      </c>
      <c r="I1255" t="s">
        <v>399</v>
      </c>
    </row>
    <row r="1256" spans="1:9" x14ac:dyDescent="0.3">
      <c r="A1256" t="str">
        <f>""</f>
        <v/>
      </c>
      <c r="F1256" t="str">
        <f>""</f>
        <v/>
      </c>
      <c r="G1256" t="str">
        <f>""</f>
        <v/>
      </c>
      <c r="I1256" t="s">
        <v>400</v>
      </c>
    </row>
    <row r="1257" spans="1:9" x14ac:dyDescent="0.3">
      <c r="A1257" t="str">
        <f>""</f>
        <v/>
      </c>
      <c r="F1257" t="str">
        <f>""</f>
        <v/>
      </c>
      <c r="G1257" t="str">
        <f>""</f>
        <v/>
      </c>
      <c r="I1257" t="str">
        <f>"SHIPPING"</f>
        <v>SHIPPING</v>
      </c>
    </row>
    <row r="1258" spans="1:9" x14ac:dyDescent="0.3">
      <c r="A1258" t="str">
        <f>"T6180"</f>
        <v>T6180</v>
      </c>
      <c r="B1258" t="s">
        <v>401</v>
      </c>
      <c r="C1258">
        <v>73056</v>
      </c>
      <c r="D1258" s="2">
        <v>1183.68</v>
      </c>
      <c r="E1258" s="1">
        <v>43018</v>
      </c>
      <c r="F1258" t="str">
        <f>"201710045380"</f>
        <v>201710045380</v>
      </c>
      <c r="G1258" t="str">
        <f>"INDIGENT HEALTH"</f>
        <v>INDIGENT HEALTH</v>
      </c>
      <c r="H1258" s="2">
        <v>79.34</v>
      </c>
      <c r="I1258" t="str">
        <f>"INDIGENT HEALTH"</f>
        <v>INDIGENT HEALTH</v>
      </c>
    </row>
    <row r="1259" spans="1:9" x14ac:dyDescent="0.3">
      <c r="A1259" t="str">
        <f>""</f>
        <v/>
      </c>
      <c r="F1259" t="str">
        <f>""</f>
        <v/>
      </c>
      <c r="G1259" t="str">
        <f>""</f>
        <v/>
      </c>
      <c r="I1259" t="str">
        <f>"INDIGENT HEALTH"</f>
        <v>INDIGENT HEALTH</v>
      </c>
    </row>
    <row r="1260" spans="1:9" x14ac:dyDescent="0.3">
      <c r="A1260" t="str">
        <f>""</f>
        <v/>
      </c>
      <c r="F1260" t="str">
        <f>"201710045381"</f>
        <v>201710045381</v>
      </c>
      <c r="G1260" t="str">
        <f>"INDIGENT HEALTH"</f>
        <v>INDIGENT HEALTH</v>
      </c>
      <c r="H1260" s="2">
        <v>1104.3399999999999</v>
      </c>
      <c r="I1260" t="str">
        <f>"INDIGENT HEALTH"</f>
        <v>INDIGENT HEALTH</v>
      </c>
    </row>
    <row r="1261" spans="1:9" x14ac:dyDescent="0.3">
      <c r="A1261" t="str">
        <f>"T6180"</f>
        <v>T6180</v>
      </c>
      <c r="B1261" t="s">
        <v>401</v>
      </c>
      <c r="C1261">
        <v>73311</v>
      </c>
      <c r="D1261" s="2">
        <v>48.38</v>
      </c>
      <c r="E1261" s="1">
        <v>43031</v>
      </c>
      <c r="F1261" t="str">
        <f>"201710185839"</f>
        <v>201710185839</v>
      </c>
      <c r="G1261" t="str">
        <f>"INDIGENT HEALTH"</f>
        <v>INDIGENT HEALTH</v>
      </c>
      <c r="H1261" s="2">
        <v>48.38</v>
      </c>
      <c r="I1261" t="str">
        <f>"INDIGENT HEALTH"</f>
        <v>INDIGENT HEALTH</v>
      </c>
    </row>
    <row r="1262" spans="1:9" x14ac:dyDescent="0.3">
      <c r="A1262" t="str">
        <f>"T4840"</f>
        <v>T4840</v>
      </c>
      <c r="B1262" t="s">
        <v>402</v>
      </c>
      <c r="C1262">
        <v>73057</v>
      </c>
      <c r="D1262" s="2">
        <v>630</v>
      </c>
      <c r="E1262" s="1">
        <v>43018</v>
      </c>
      <c r="F1262" t="str">
        <f>"REG CODE 45451"</f>
        <v>REG CODE 45451</v>
      </c>
      <c r="G1262" t="str">
        <f>"ELECT. LAW SEMINAR/B.ESCOBEDO"</f>
        <v>ELECT. LAW SEMINAR/B.ESCOBEDO</v>
      </c>
      <c r="H1262" s="2">
        <v>210</v>
      </c>
      <c r="I1262" t="str">
        <f>"ELECT. LAW SEMINAR/B.ESCOBEDO"</f>
        <v>ELECT. LAW SEMINAR/B.ESCOBEDO</v>
      </c>
    </row>
    <row r="1263" spans="1:9" x14ac:dyDescent="0.3">
      <c r="A1263" t="str">
        <f>""</f>
        <v/>
      </c>
      <c r="F1263" t="str">
        <f>"REG CODE 45471"</f>
        <v>REG CODE 45471</v>
      </c>
      <c r="G1263" t="str">
        <f>"ELECTION LAW SEMINAR/K. MILES"</f>
        <v>ELECTION LAW SEMINAR/K. MILES</v>
      </c>
      <c r="H1263" s="2">
        <v>210</v>
      </c>
      <c r="I1263" t="str">
        <f>"ELECTION LAW SEMINAR/K. MILES"</f>
        <v>ELECTION LAW SEMINAR/K. MILES</v>
      </c>
    </row>
    <row r="1264" spans="1:9" x14ac:dyDescent="0.3">
      <c r="A1264" t="str">
        <f>""</f>
        <v/>
      </c>
      <c r="F1264" t="str">
        <f>"REG CODE 45491"</f>
        <v>REG CODE 45491</v>
      </c>
      <c r="G1264" t="str">
        <f>"ELECTION LAW SEMINAR/G.BARTSCH"</f>
        <v>ELECTION LAW SEMINAR/G.BARTSCH</v>
      </c>
      <c r="H1264" s="2">
        <v>210</v>
      </c>
      <c r="I1264" t="str">
        <f>"ELECTION LAW SEMINAR/G.BARTSCH"</f>
        <v>ELECTION LAW SEMINAR/G.BARTSCH</v>
      </c>
    </row>
    <row r="1265" spans="1:9" x14ac:dyDescent="0.3">
      <c r="A1265" t="str">
        <f>"003194"</f>
        <v>003194</v>
      </c>
      <c r="B1265" t="s">
        <v>403</v>
      </c>
      <c r="C1265">
        <v>999999</v>
      </c>
      <c r="D1265" s="2">
        <v>4663</v>
      </c>
      <c r="E1265" s="1">
        <v>43032</v>
      </c>
      <c r="F1265" t="str">
        <f>"PPDINV0008517/8518"</f>
        <v>PPDINV0008517/8518</v>
      </c>
      <c r="G1265" t="str">
        <f>"INV PPDINV0008517"</f>
        <v>INV PPDINV0008517</v>
      </c>
      <c r="H1265" s="2">
        <v>4663</v>
      </c>
      <c r="I1265" t="str">
        <f>"INV PPDINV0008517"</f>
        <v>INV PPDINV0008517</v>
      </c>
    </row>
    <row r="1266" spans="1:9" x14ac:dyDescent="0.3">
      <c r="A1266" t="str">
        <f>""</f>
        <v/>
      </c>
      <c r="F1266" t="str">
        <f>""</f>
        <v/>
      </c>
      <c r="G1266" t="str">
        <f>""</f>
        <v/>
      </c>
      <c r="I1266" t="str">
        <f>"INV PPDINV0008518"</f>
        <v>INV PPDINV0008518</v>
      </c>
    </row>
    <row r="1267" spans="1:9" x14ac:dyDescent="0.3">
      <c r="A1267" t="str">
        <f>"003309"</f>
        <v>003309</v>
      </c>
      <c r="B1267" t="s">
        <v>404</v>
      </c>
      <c r="C1267">
        <v>73058</v>
      </c>
      <c r="D1267" s="2">
        <v>3000</v>
      </c>
      <c r="E1267" s="1">
        <v>43018</v>
      </c>
      <c r="F1267" t="str">
        <f>"201710025222"</f>
        <v>201710025222</v>
      </c>
      <c r="G1267" t="str">
        <f>"2018 REQUESTED FUNDS"</f>
        <v>2018 REQUESTED FUNDS</v>
      </c>
      <c r="H1267" s="2">
        <v>3000</v>
      </c>
      <c r="I1267" t="str">
        <f>"REQUESTED FUNDS"</f>
        <v>REQUESTED FUNDS</v>
      </c>
    </row>
    <row r="1268" spans="1:9" x14ac:dyDescent="0.3">
      <c r="A1268" t="str">
        <f>"003131"</f>
        <v>003131</v>
      </c>
      <c r="B1268" t="s">
        <v>405</v>
      </c>
      <c r="C1268">
        <v>73312</v>
      </c>
      <c r="D1268" s="2">
        <v>8802</v>
      </c>
      <c r="E1268" s="1">
        <v>43031</v>
      </c>
      <c r="F1268" t="str">
        <f>"820171/920171"</f>
        <v>820171/920171</v>
      </c>
      <c r="G1268" t="str">
        <f>"PRESCRIPTION ASSISTANCE PROG"</f>
        <v>PRESCRIPTION ASSISTANCE PROG</v>
      </c>
      <c r="H1268" s="2">
        <v>8802</v>
      </c>
      <c r="I1268" t="str">
        <f>"PRESCRIPTION ASSISTANCE PROG"</f>
        <v>PRESCRIPTION ASSISTANCE PROG</v>
      </c>
    </row>
    <row r="1269" spans="1:9" x14ac:dyDescent="0.3">
      <c r="A1269" t="str">
        <f>"003183"</f>
        <v>003183</v>
      </c>
      <c r="B1269" t="s">
        <v>406</v>
      </c>
      <c r="C1269">
        <v>73313</v>
      </c>
      <c r="D1269" s="2">
        <v>28146.77</v>
      </c>
      <c r="E1269" s="1">
        <v>43031</v>
      </c>
      <c r="F1269" t="str">
        <f>"201710185840"</f>
        <v>201710185840</v>
      </c>
      <c r="G1269" t="str">
        <f>"INDIGENT HEALTH"</f>
        <v>INDIGENT HEALTH</v>
      </c>
      <c r="H1269" s="2">
        <v>28146.77</v>
      </c>
      <c r="I1269" t="str">
        <f>"INDIGENT HEALTH"</f>
        <v>INDIGENT HEALTH</v>
      </c>
    </row>
    <row r="1270" spans="1:9" x14ac:dyDescent="0.3">
      <c r="A1270" t="str">
        <f>"003086"</f>
        <v>003086</v>
      </c>
      <c r="B1270" t="s">
        <v>407</v>
      </c>
      <c r="C1270">
        <v>73059</v>
      </c>
      <c r="D1270" s="2">
        <v>129.97</v>
      </c>
      <c r="E1270" s="1">
        <v>43018</v>
      </c>
      <c r="F1270" t="str">
        <f>"201710045382"</f>
        <v>201710045382</v>
      </c>
      <c r="G1270" t="str">
        <f>"INDIGENT HEALTH"</f>
        <v>INDIGENT HEALTH</v>
      </c>
      <c r="H1270" s="2">
        <v>129.97</v>
      </c>
      <c r="I1270" t="str">
        <f>"INDIGENT HEALTH"</f>
        <v>INDIGENT HEALTH</v>
      </c>
    </row>
    <row r="1271" spans="1:9" x14ac:dyDescent="0.3">
      <c r="A1271" t="str">
        <f>"003086"</f>
        <v>003086</v>
      </c>
      <c r="B1271" t="s">
        <v>407</v>
      </c>
      <c r="C1271">
        <v>73314</v>
      </c>
      <c r="D1271" s="2">
        <v>4076.77</v>
      </c>
      <c r="E1271" s="1">
        <v>43031</v>
      </c>
      <c r="F1271" t="str">
        <f>"201710185841"</f>
        <v>201710185841</v>
      </c>
      <c r="G1271" t="str">
        <f>"INDIGENT HEALTH"</f>
        <v>INDIGENT HEALTH</v>
      </c>
      <c r="H1271" s="2">
        <v>4076.77</v>
      </c>
      <c r="I1271" t="str">
        <f>"INDIGENT HEALTH"</f>
        <v>INDIGENT HEALTH</v>
      </c>
    </row>
    <row r="1272" spans="1:9" x14ac:dyDescent="0.3">
      <c r="A1272" t="str">
        <f>""</f>
        <v/>
      </c>
      <c r="F1272" t="str">
        <f>""</f>
        <v/>
      </c>
      <c r="G1272" t="str">
        <f>""</f>
        <v/>
      </c>
      <c r="I1272" t="str">
        <f>"INDIGENT HEALTH"</f>
        <v>INDIGENT HEALTH</v>
      </c>
    </row>
    <row r="1273" spans="1:9" x14ac:dyDescent="0.3">
      <c r="A1273" t="str">
        <f>"000291"</f>
        <v>000291</v>
      </c>
      <c r="B1273" t="s">
        <v>408</v>
      </c>
      <c r="C1273">
        <v>73060</v>
      </c>
      <c r="D1273" s="2">
        <v>81.95</v>
      </c>
      <c r="E1273" s="1">
        <v>43018</v>
      </c>
      <c r="F1273" t="str">
        <f>"2419-4"</f>
        <v>2419-4</v>
      </c>
      <c r="G1273" t="str">
        <f>"INV 2419-4"</f>
        <v>INV 2419-4</v>
      </c>
      <c r="H1273" s="2">
        <v>81.95</v>
      </c>
      <c r="I1273" t="str">
        <f>"INV 2419-4"</f>
        <v>INV 2419-4</v>
      </c>
    </row>
    <row r="1274" spans="1:9" x14ac:dyDescent="0.3">
      <c r="A1274" t="str">
        <f>"T10195"</f>
        <v>T10195</v>
      </c>
      <c r="B1274" t="s">
        <v>409</v>
      </c>
      <c r="C1274">
        <v>73061</v>
      </c>
      <c r="D1274" s="2">
        <v>19383.64</v>
      </c>
      <c r="E1274" s="1">
        <v>43018</v>
      </c>
      <c r="F1274" t="str">
        <f>"GB00253214"</f>
        <v>GB00253214</v>
      </c>
      <c r="G1274" t="str">
        <f>"Vmware"</f>
        <v>Vmware</v>
      </c>
      <c r="H1274" s="2">
        <v>19383.64</v>
      </c>
      <c r="I1274" t="str">
        <f>"Part#: VS6-OEPL-C"</f>
        <v>Part#: VS6-OEPL-C</v>
      </c>
    </row>
    <row r="1275" spans="1:9" x14ac:dyDescent="0.3">
      <c r="A1275" t="str">
        <f>""</f>
        <v/>
      </c>
      <c r="F1275" t="str">
        <f>""</f>
        <v/>
      </c>
      <c r="G1275" t="str">
        <f>""</f>
        <v/>
      </c>
      <c r="I1275" t="str">
        <f>"Prt#VS6-OEPL-P-SSS-C"</f>
        <v>Prt#VS6-OEPL-P-SSS-C</v>
      </c>
    </row>
    <row r="1276" spans="1:9" x14ac:dyDescent="0.3">
      <c r="A1276" t="str">
        <f>"T10195"</f>
        <v>T10195</v>
      </c>
      <c r="B1276" t="s">
        <v>409</v>
      </c>
      <c r="C1276">
        <v>73315</v>
      </c>
      <c r="D1276" s="2">
        <v>63</v>
      </c>
      <c r="E1276" s="1">
        <v>43031</v>
      </c>
      <c r="F1276" t="str">
        <f>"GB00254245"</f>
        <v>GB00254245</v>
      </c>
      <c r="G1276" t="str">
        <f>"CUST#3000414/SALES#GS00381264"</f>
        <v>CUST#3000414/SALES#GS00381264</v>
      </c>
      <c r="H1276" s="2">
        <v>63</v>
      </c>
      <c r="I1276" t="str">
        <f>"CUST#3000414/SALES#GS00381264"</f>
        <v>CUST#3000414/SALES#GS00381264</v>
      </c>
    </row>
    <row r="1277" spans="1:9" x14ac:dyDescent="0.3">
      <c r="A1277" t="str">
        <f>"001260"</f>
        <v>001260</v>
      </c>
      <c r="B1277" t="s">
        <v>410</v>
      </c>
      <c r="C1277">
        <v>73062</v>
      </c>
      <c r="D1277" s="2">
        <v>204.22</v>
      </c>
      <c r="E1277" s="1">
        <v>43018</v>
      </c>
      <c r="F1277" t="str">
        <f>"201710045383"</f>
        <v>201710045383</v>
      </c>
      <c r="G1277" t="str">
        <f>"INDIGENT HEALTH"</f>
        <v>INDIGENT HEALTH</v>
      </c>
      <c r="H1277" s="2">
        <v>204.22</v>
      </c>
      <c r="I1277" t="str">
        <f>"INDIGENT HEALTH"</f>
        <v>INDIGENT HEALTH</v>
      </c>
    </row>
    <row r="1278" spans="1:9" x14ac:dyDescent="0.3">
      <c r="A1278" t="str">
        <f>"SS"</f>
        <v>SS</v>
      </c>
      <c r="B1278" t="s">
        <v>411</v>
      </c>
      <c r="C1278">
        <v>73316</v>
      </c>
      <c r="D1278" s="2">
        <v>394.95</v>
      </c>
      <c r="E1278" s="1">
        <v>43031</v>
      </c>
      <c r="F1278" t="str">
        <f>"352008  352878"</f>
        <v>352008  352878</v>
      </c>
      <c r="G1278" t="str">
        <f>"SUPPLIES-GEN SVCS"</f>
        <v>SUPPLIES-GEN SVCS</v>
      </c>
      <c r="H1278" s="2">
        <v>139.05000000000001</v>
      </c>
      <c r="I1278" t="str">
        <f>"SUPPLIES-GEN SVCS"</f>
        <v>SUPPLIES-GEN SVCS</v>
      </c>
    </row>
    <row r="1279" spans="1:9" x14ac:dyDescent="0.3">
      <c r="A1279" t="str">
        <f>""</f>
        <v/>
      </c>
      <c r="F1279" t="str">
        <f>"353788/354516"</f>
        <v>353788/354516</v>
      </c>
      <c r="G1279" t="str">
        <f>"AMDRO/METAL CULVERT/PCT#2"</f>
        <v>AMDRO/METAL CULVERT/PCT#2</v>
      </c>
      <c r="H1279" s="2">
        <v>255.9</v>
      </c>
      <c r="I1279" t="str">
        <f>"AMDRO/METAL CULVERT/PCT#2"</f>
        <v>AMDRO/METAL CULVERT/PCT#2</v>
      </c>
    </row>
    <row r="1280" spans="1:9" x14ac:dyDescent="0.3">
      <c r="A1280" t="str">
        <f>""</f>
        <v/>
      </c>
      <c r="F1280" t="str">
        <f>""</f>
        <v/>
      </c>
      <c r="G1280" t="str">
        <f>""</f>
        <v/>
      </c>
      <c r="I1280" t="str">
        <f>"AMDRO/METAL CULVERT/PCT#2"</f>
        <v>AMDRO/METAL CULVERT/PCT#2</v>
      </c>
    </row>
    <row r="1281" spans="1:9" x14ac:dyDescent="0.3">
      <c r="A1281" t="str">
        <f>"SAP"</f>
        <v>SAP</v>
      </c>
      <c r="B1281" t="s">
        <v>412</v>
      </c>
      <c r="C1281">
        <v>73317</v>
      </c>
      <c r="D1281" s="2">
        <v>282.88</v>
      </c>
      <c r="E1281" s="1">
        <v>43031</v>
      </c>
      <c r="F1281" t="str">
        <f>"201710135614"</f>
        <v>201710135614</v>
      </c>
      <c r="G1281" t="str">
        <f>"PARTS/PCT#2"</f>
        <v>PARTS/PCT#2</v>
      </c>
      <c r="H1281" s="2">
        <v>282.88</v>
      </c>
      <c r="I1281" t="str">
        <f>"PARTS/PCT#2"</f>
        <v>PARTS/PCT#2</v>
      </c>
    </row>
    <row r="1282" spans="1:9" x14ac:dyDescent="0.3">
      <c r="A1282" t="str">
        <f>"003951"</f>
        <v>003951</v>
      </c>
      <c r="B1282" t="s">
        <v>413</v>
      </c>
      <c r="C1282">
        <v>73318</v>
      </c>
      <c r="D1282" s="2">
        <v>271.8</v>
      </c>
      <c r="E1282" s="1">
        <v>43031</v>
      </c>
      <c r="F1282" t="str">
        <f>"201710175735"</f>
        <v>201710175735</v>
      </c>
      <c r="G1282" t="str">
        <f>"TML BOOTH-HOTEL EXPENSE"</f>
        <v>TML BOOTH-HOTEL EXPENSE</v>
      </c>
      <c r="H1282" s="2">
        <v>271.8</v>
      </c>
      <c r="I1282" t="str">
        <f>"TML BOOTH-HOTEL EXPENSE"</f>
        <v>TML BOOTH-HOTEL EXPENSE</v>
      </c>
    </row>
    <row r="1283" spans="1:9" x14ac:dyDescent="0.3">
      <c r="A1283" t="str">
        <f>"T6832"</f>
        <v>T6832</v>
      </c>
      <c r="B1283" t="s">
        <v>414</v>
      </c>
      <c r="C1283">
        <v>73063</v>
      </c>
      <c r="D1283" s="2">
        <v>7000</v>
      </c>
      <c r="E1283" s="1">
        <v>43018</v>
      </c>
      <c r="F1283" t="str">
        <f>"201710045277"</f>
        <v>201710045277</v>
      </c>
      <c r="G1283" t="str">
        <f>"FUNDS AWARDED"</f>
        <v>FUNDS AWARDED</v>
      </c>
      <c r="H1283" s="2">
        <v>7000</v>
      </c>
      <c r="I1283" t="str">
        <f>"FUNDS AWARDED"</f>
        <v>FUNDS AWARDED</v>
      </c>
    </row>
    <row r="1284" spans="1:9" x14ac:dyDescent="0.3">
      <c r="A1284" t="str">
        <f>"T7958"</f>
        <v>T7958</v>
      </c>
      <c r="B1284" t="s">
        <v>415</v>
      </c>
      <c r="C1284">
        <v>73064</v>
      </c>
      <c r="D1284" s="2">
        <v>5500</v>
      </c>
      <c r="E1284" s="1">
        <v>43018</v>
      </c>
      <c r="F1284" t="str">
        <f>"HVAC WORK"</f>
        <v>HVAC WORK</v>
      </c>
      <c r="G1284" t="str">
        <f>"HAVAC Work"</f>
        <v>HAVAC Work</v>
      </c>
      <c r="H1284" s="2">
        <v>5500</v>
      </c>
      <c r="I1284" t="str">
        <f>"HAVAC Work"</f>
        <v>HAVAC Work</v>
      </c>
    </row>
    <row r="1285" spans="1:9" x14ac:dyDescent="0.3">
      <c r="A1285" t="str">
        <f>"T6831"</f>
        <v>T6831</v>
      </c>
      <c r="B1285" t="s">
        <v>416</v>
      </c>
      <c r="C1285">
        <v>73319</v>
      </c>
      <c r="D1285" s="2">
        <v>8500</v>
      </c>
      <c r="E1285" s="1">
        <v>43031</v>
      </c>
      <c r="F1285" t="str">
        <f>"201710175727"</f>
        <v>201710175727</v>
      </c>
      <c r="G1285" t="str">
        <f>"PER BUDGET-FY'18"</f>
        <v>PER BUDGET-FY'18</v>
      </c>
      <c r="H1285" s="2">
        <v>8500</v>
      </c>
      <c r="I1285" t="str">
        <f>"PER BUDGET-FY'18"</f>
        <v>PER BUDGET-FY'18</v>
      </c>
    </row>
    <row r="1286" spans="1:9" x14ac:dyDescent="0.3">
      <c r="A1286" t="str">
        <f>"002759"</f>
        <v>002759</v>
      </c>
      <c r="B1286" t="s">
        <v>417</v>
      </c>
      <c r="C1286">
        <v>73065</v>
      </c>
      <c r="D1286" s="2">
        <v>6500</v>
      </c>
      <c r="E1286" s="1">
        <v>43018</v>
      </c>
      <c r="F1286" t="str">
        <f>"3758C"</f>
        <v>3758C</v>
      </c>
      <c r="G1286" t="str">
        <f>"VOTER EDUCATION &amp; ELEC NIGHT R"</f>
        <v>VOTER EDUCATION &amp; ELEC NIGHT R</v>
      </c>
      <c r="H1286" s="2">
        <v>6500</v>
      </c>
      <c r="I1286" t="str">
        <f>"VOTER EDUCATION &amp; ELEC NIGHT R"</f>
        <v>VOTER EDUCATION &amp; ELEC NIGHT R</v>
      </c>
    </row>
    <row r="1287" spans="1:9" x14ac:dyDescent="0.3">
      <c r="A1287" t="str">
        <f>"T11884"</f>
        <v>T11884</v>
      </c>
      <c r="B1287" t="s">
        <v>418</v>
      </c>
      <c r="C1287">
        <v>73066</v>
      </c>
      <c r="D1287" s="2">
        <v>3025</v>
      </c>
      <c r="E1287" s="1">
        <v>43018</v>
      </c>
      <c r="F1287" t="str">
        <f>"7065"</f>
        <v>7065</v>
      </c>
      <c r="G1287" t="str">
        <f>"Desk"</f>
        <v>Desk</v>
      </c>
      <c r="H1287" s="2">
        <v>3025</v>
      </c>
      <c r="I1287" t="str">
        <f>"Left Pedestal Desk"</f>
        <v>Left Pedestal Desk</v>
      </c>
    </row>
    <row r="1288" spans="1:9" x14ac:dyDescent="0.3">
      <c r="A1288" t="str">
        <f>""</f>
        <v/>
      </c>
      <c r="F1288" t="str">
        <f>""</f>
        <v/>
      </c>
      <c r="G1288" t="str">
        <f>""</f>
        <v/>
      </c>
      <c r="I1288" t="str">
        <f>"24X28 Bridge"</f>
        <v>24X28 Bridge</v>
      </c>
    </row>
    <row r="1289" spans="1:9" x14ac:dyDescent="0.3">
      <c r="A1289" t="str">
        <f>""</f>
        <v/>
      </c>
      <c r="F1289" t="str">
        <f>""</f>
        <v/>
      </c>
      <c r="G1289" t="str">
        <f>""</f>
        <v/>
      </c>
      <c r="I1289" t="str">
        <f>"Right Ped Credenza"</f>
        <v>Right Ped Credenza</v>
      </c>
    </row>
    <row r="1290" spans="1:9" x14ac:dyDescent="0.3">
      <c r="A1290" t="str">
        <f>""</f>
        <v/>
      </c>
      <c r="F1290" t="str">
        <f>""</f>
        <v/>
      </c>
      <c r="G1290" t="str">
        <f>""</f>
        <v/>
      </c>
      <c r="I1290" t="str">
        <f>"keyboard platform"</f>
        <v>keyboard platform</v>
      </c>
    </row>
    <row r="1291" spans="1:9" x14ac:dyDescent="0.3">
      <c r="A1291" t="str">
        <f>""</f>
        <v/>
      </c>
      <c r="F1291" t="str">
        <f>""</f>
        <v/>
      </c>
      <c r="G1291" t="str">
        <f>""</f>
        <v/>
      </c>
      <c r="I1291" t="str">
        <f>"Delivery &amp; Install"</f>
        <v>Delivery &amp; Install</v>
      </c>
    </row>
    <row r="1292" spans="1:9" x14ac:dyDescent="0.3">
      <c r="A1292" t="str">
        <f>"003945"</f>
        <v>003945</v>
      </c>
      <c r="B1292" t="s">
        <v>419</v>
      </c>
      <c r="C1292">
        <v>73320</v>
      </c>
      <c r="D1292" s="2">
        <v>5699.99</v>
      </c>
      <c r="E1292" s="1">
        <v>43031</v>
      </c>
      <c r="F1292" t="str">
        <f>"IN-000455588"</f>
        <v>IN-000455588</v>
      </c>
      <c r="G1292" t="str">
        <f>"SOUTHERN COMPUTER WAREHOUSE IN"</f>
        <v>SOUTHERN COMPUTER WAREHOUSE IN</v>
      </c>
      <c r="H1292" s="2">
        <v>5699.99</v>
      </c>
      <c r="I1292" t="str">
        <f>"HP Designjet T2530"</f>
        <v>HP Designjet T2530</v>
      </c>
    </row>
    <row r="1293" spans="1:9" x14ac:dyDescent="0.3">
      <c r="A1293" t="str">
        <f>"STM"</f>
        <v>STM</v>
      </c>
      <c r="B1293" t="s">
        <v>420</v>
      </c>
      <c r="C1293">
        <v>73321</v>
      </c>
      <c r="D1293" s="2">
        <v>158</v>
      </c>
      <c r="E1293" s="1">
        <v>43031</v>
      </c>
      <c r="F1293" t="str">
        <f>"63229112"</f>
        <v>63229112</v>
      </c>
      <c r="G1293" t="str">
        <f>"CUST#52157/FLAT REPAIR/PCT#3"</f>
        <v>CUST#52157/FLAT REPAIR/PCT#3</v>
      </c>
      <c r="H1293" s="2">
        <v>158</v>
      </c>
      <c r="I1293" t="str">
        <f>"CUST#52157/FLAT REPAIR/PCT#3"</f>
        <v>CUST#52157/FLAT REPAIR/PCT#3</v>
      </c>
    </row>
    <row r="1294" spans="1:9" x14ac:dyDescent="0.3">
      <c r="A1294" t="str">
        <f>"005220"</f>
        <v>005220</v>
      </c>
      <c r="B1294" t="s">
        <v>421</v>
      </c>
      <c r="C1294">
        <v>73322</v>
      </c>
      <c r="D1294" s="2">
        <v>2158</v>
      </c>
      <c r="E1294" s="1">
        <v>43031</v>
      </c>
      <c r="F1294" t="str">
        <f>"16241/16248"</f>
        <v>16241/16248</v>
      </c>
      <c r="G1294" t="str">
        <f>"CONVERSION KIT - SRT"</f>
        <v>CONVERSION KIT - SRT</v>
      </c>
      <c r="H1294" s="2">
        <v>2010</v>
      </c>
      <c r="I1294" t="str">
        <f>"CONVERSION KIT - SRT"</f>
        <v>CONVERSION KIT - SRT</v>
      </c>
    </row>
    <row r="1295" spans="1:9" x14ac:dyDescent="0.3">
      <c r="A1295" t="str">
        <f>""</f>
        <v/>
      </c>
      <c r="F1295" t="str">
        <f>"16253"</f>
        <v>16253</v>
      </c>
      <c r="G1295" t="str">
        <f>"INV 16253"</f>
        <v>INV 16253</v>
      </c>
      <c r="H1295" s="2">
        <v>148</v>
      </c>
      <c r="I1295" t="str">
        <f>"INV 16253"</f>
        <v>INV 16253</v>
      </c>
    </row>
    <row r="1296" spans="1:9" x14ac:dyDescent="0.3">
      <c r="A1296" t="str">
        <f>"SDHCS"</f>
        <v>SDHCS</v>
      </c>
      <c r="B1296" t="s">
        <v>422</v>
      </c>
      <c r="C1296">
        <v>73323</v>
      </c>
      <c r="D1296" s="2">
        <v>1042.3800000000001</v>
      </c>
      <c r="E1296" s="1">
        <v>43031</v>
      </c>
      <c r="F1296" t="str">
        <f>"201710185842"</f>
        <v>201710185842</v>
      </c>
      <c r="G1296" t="str">
        <f>"INDIGENT HEALTH"</f>
        <v>INDIGENT HEALTH</v>
      </c>
      <c r="H1296" s="2">
        <v>1042.3800000000001</v>
      </c>
      <c r="I1296" t="str">
        <f>"INDIGENT HEALTH"</f>
        <v>INDIGENT HEALTH</v>
      </c>
    </row>
    <row r="1297" spans="1:9" x14ac:dyDescent="0.3">
      <c r="A1297" t="str">
        <f>"003508"</f>
        <v>003508</v>
      </c>
      <c r="B1297" t="s">
        <v>423</v>
      </c>
      <c r="C1297">
        <v>73067</v>
      </c>
      <c r="D1297" s="2">
        <v>2643.58</v>
      </c>
      <c r="E1297" s="1">
        <v>43018</v>
      </c>
      <c r="F1297" t="str">
        <f>"8046398994"</f>
        <v>8046398994</v>
      </c>
      <c r="G1297" t="str">
        <f>"Sum Inv# 8046398994"</f>
        <v>Sum Inv# 8046398994</v>
      </c>
      <c r="H1297" s="2">
        <v>2643.58</v>
      </c>
      <c r="I1297" t="str">
        <f>"Inv# 3352644075"</f>
        <v>Inv# 3352644075</v>
      </c>
    </row>
    <row r="1298" spans="1:9" x14ac:dyDescent="0.3">
      <c r="A1298" t="str">
        <f>""</f>
        <v/>
      </c>
      <c r="F1298" t="str">
        <f>""</f>
        <v/>
      </c>
      <c r="G1298" t="str">
        <f>""</f>
        <v/>
      </c>
      <c r="I1298" t="str">
        <f>"Inv# 3352644077"</f>
        <v>Inv# 3352644077</v>
      </c>
    </row>
    <row r="1299" spans="1:9" x14ac:dyDescent="0.3">
      <c r="A1299" t="str">
        <f>""</f>
        <v/>
      </c>
      <c r="F1299" t="str">
        <f>""</f>
        <v/>
      </c>
      <c r="G1299" t="str">
        <f>""</f>
        <v/>
      </c>
      <c r="I1299" t="str">
        <f>"Inv# 3352644079"</f>
        <v>Inv# 3352644079</v>
      </c>
    </row>
    <row r="1300" spans="1:9" x14ac:dyDescent="0.3">
      <c r="A1300" t="str">
        <f>""</f>
        <v/>
      </c>
      <c r="F1300" t="str">
        <f>""</f>
        <v/>
      </c>
      <c r="G1300" t="str">
        <f>""</f>
        <v/>
      </c>
      <c r="I1300" t="str">
        <f>"Inv# 3352644072"</f>
        <v>Inv# 3352644072</v>
      </c>
    </row>
    <row r="1301" spans="1:9" x14ac:dyDescent="0.3">
      <c r="A1301" t="str">
        <f>""</f>
        <v/>
      </c>
      <c r="F1301" t="str">
        <f>""</f>
        <v/>
      </c>
      <c r="G1301" t="str">
        <f>""</f>
        <v/>
      </c>
      <c r="I1301" t="str">
        <f>"Inv# 3352644073"</f>
        <v>Inv# 3352644073</v>
      </c>
    </row>
    <row r="1302" spans="1:9" x14ac:dyDescent="0.3">
      <c r="A1302" t="str">
        <f>""</f>
        <v/>
      </c>
      <c r="F1302" t="str">
        <f>""</f>
        <v/>
      </c>
      <c r="G1302" t="str">
        <f>""</f>
        <v/>
      </c>
      <c r="I1302" t="str">
        <f>"Inv# 3352644074"</f>
        <v>Inv# 3352644074</v>
      </c>
    </row>
    <row r="1303" spans="1:9" x14ac:dyDescent="0.3">
      <c r="A1303" t="str">
        <f>""</f>
        <v/>
      </c>
      <c r="F1303" t="str">
        <f>""</f>
        <v/>
      </c>
      <c r="G1303" t="str">
        <f>""</f>
        <v/>
      </c>
      <c r="I1303" t="str">
        <f>"Inv# 3352644067"</f>
        <v>Inv# 3352644067</v>
      </c>
    </row>
    <row r="1304" spans="1:9" x14ac:dyDescent="0.3">
      <c r="A1304" t="str">
        <f>""</f>
        <v/>
      </c>
      <c r="F1304" t="str">
        <f>""</f>
        <v/>
      </c>
      <c r="G1304" t="str">
        <f>""</f>
        <v/>
      </c>
      <c r="I1304" t="str">
        <f>"Inv# 335266068"</f>
        <v>Inv# 335266068</v>
      </c>
    </row>
    <row r="1305" spans="1:9" x14ac:dyDescent="0.3">
      <c r="A1305" t="str">
        <f>""</f>
        <v/>
      </c>
      <c r="F1305" t="str">
        <f>""</f>
        <v/>
      </c>
      <c r="G1305" t="str">
        <f>""</f>
        <v/>
      </c>
      <c r="I1305" t="str">
        <f>"Inv# 3352644069"</f>
        <v>Inv# 3352644069</v>
      </c>
    </row>
    <row r="1306" spans="1:9" x14ac:dyDescent="0.3">
      <c r="A1306" t="str">
        <f>""</f>
        <v/>
      </c>
      <c r="F1306" t="str">
        <f>""</f>
        <v/>
      </c>
      <c r="G1306" t="str">
        <f>""</f>
        <v/>
      </c>
      <c r="I1306" t="str">
        <f>"Inv# 3352644070"</f>
        <v>Inv# 3352644070</v>
      </c>
    </row>
    <row r="1307" spans="1:9" x14ac:dyDescent="0.3">
      <c r="A1307" t="str">
        <f>""</f>
        <v/>
      </c>
      <c r="F1307" t="str">
        <f>""</f>
        <v/>
      </c>
      <c r="G1307" t="str">
        <f>""</f>
        <v/>
      </c>
      <c r="I1307" t="str">
        <f>"Inv# 3352644071"</f>
        <v>Inv# 3352644071</v>
      </c>
    </row>
    <row r="1308" spans="1:9" x14ac:dyDescent="0.3">
      <c r="A1308" t="str">
        <f>""</f>
        <v/>
      </c>
      <c r="F1308" t="str">
        <f>""</f>
        <v/>
      </c>
      <c r="G1308" t="str">
        <f>""</f>
        <v/>
      </c>
      <c r="I1308" t="str">
        <f>"Inv# 3352644084"</f>
        <v>Inv# 3352644084</v>
      </c>
    </row>
    <row r="1309" spans="1:9" x14ac:dyDescent="0.3">
      <c r="A1309" t="str">
        <f>""</f>
        <v/>
      </c>
      <c r="F1309" t="str">
        <f>""</f>
        <v/>
      </c>
      <c r="G1309" t="str">
        <f>""</f>
        <v/>
      </c>
      <c r="I1309" t="str">
        <f>"Inv# 3352644080"</f>
        <v>Inv# 3352644080</v>
      </c>
    </row>
    <row r="1310" spans="1:9" x14ac:dyDescent="0.3">
      <c r="A1310" t="str">
        <f>""</f>
        <v/>
      </c>
      <c r="F1310" t="str">
        <f>""</f>
        <v/>
      </c>
      <c r="G1310" t="str">
        <f>""</f>
        <v/>
      </c>
      <c r="I1310" t="str">
        <f>"Inv# 3352644082"</f>
        <v>Inv# 3352644082</v>
      </c>
    </row>
    <row r="1311" spans="1:9" x14ac:dyDescent="0.3">
      <c r="A1311" t="str">
        <f>""</f>
        <v/>
      </c>
      <c r="F1311" t="str">
        <f>""</f>
        <v/>
      </c>
      <c r="G1311" t="str">
        <f>""</f>
        <v/>
      </c>
      <c r="I1311" t="str">
        <f>"Inv# 3352644083"</f>
        <v>Inv# 3352644083</v>
      </c>
    </row>
    <row r="1312" spans="1:9" x14ac:dyDescent="0.3">
      <c r="A1312" t="str">
        <f>""</f>
        <v/>
      </c>
      <c r="F1312" t="str">
        <f>""</f>
        <v/>
      </c>
      <c r="G1312" t="str">
        <f>""</f>
        <v/>
      </c>
      <c r="I1312" t="str">
        <f>"Inv# 3352644057"</f>
        <v>Inv# 3352644057</v>
      </c>
    </row>
    <row r="1313" spans="1:9" x14ac:dyDescent="0.3">
      <c r="A1313" t="str">
        <f>""</f>
        <v/>
      </c>
      <c r="F1313" t="str">
        <f>""</f>
        <v/>
      </c>
      <c r="G1313" t="str">
        <f>""</f>
        <v/>
      </c>
      <c r="I1313" t="str">
        <f>"Inv# 3352644060"</f>
        <v>Inv# 3352644060</v>
      </c>
    </row>
    <row r="1314" spans="1:9" x14ac:dyDescent="0.3">
      <c r="A1314" t="str">
        <f>""</f>
        <v/>
      </c>
      <c r="F1314" t="str">
        <f>""</f>
        <v/>
      </c>
      <c r="G1314" t="str">
        <f>""</f>
        <v/>
      </c>
      <c r="I1314" t="str">
        <f>"Inv# 3352644061"</f>
        <v>Inv# 3352644061</v>
      </c>
    </row>
    <row r="1315" spans="1:9" x14ac:dyDescent="0.3">
      <c r="A1315" t="str">
        <f>""</f>
        <v/>
      </c>
      <c r="F1315" t="str">
        <f>""</f>
        <v/>
      </c>
      <c r="G1315" t="str">
        <f>""</f>
        <v/>
      </c>
      <c r="I1315" t="str">
        <f>"Inv# 3352644062"</f>
        <v>Inv# 3352644062</v>
      </c>
    </row>
    <row r="1316" spans="1:9" x14ac:dyDescent="0.3">
      <c r="A1316" t="str">
        <f>""</f>
        <v/>
      </c>
      <c r="F1316" t="str">
        <f>""</f>
        <v/>
      </c>
      <c r="G1316" t="str">
        <f>""</f>
        <v/>
      </c>
      <c r="I1316" t="str">
        <f>"Inv# 3352644063"</f>
        <v>Inv# 3352644063</v>
      </c>
    </row>
    <row r="1317" spans="1:9" x14ac:dyDescent="0.3">
      <c r="A1317" t="str">
        <f>""</f>
        <v/>
      </c>
      <c r="F1317" t="str">
        <f>""</f>
        <v/>
      </c>
      <c r="G1317" t="str">
        <f>""</f>
        <v/>
      </c>
      <c r="I1317" t="str">
        <f>"Inv# 3352644064"</f>
        <v>Inv# 3352644064</v>
      </c>
    </row>
    <row r="1318" spans="1:9" x14ac:dyDescent="0.3">
      <c r="A1318" t="str">
        <f>""</f>
        <v/>
      </c>
      <c r="F1318" t="str">
        <f>""</f>
        <v/>
      </c>
      <c r="G1318" t="str">
        <f>""</f>
        <v/>
      </c>
      <c r="I1318" t="str">
        <f>"Inv# 3352644065"</f>
        <v>Inv# 3352644065</v>
      </c>
    </row>
    <row r="1319" spans="1:9" x14ac:dyDescent="0.3">
      <c r="A1319" t="str">
        <f>""</f>
        <v/>
      </c>
      <c r="F1319" t="str">
        <f>""</f>
        <v/>
      </c>
      <c r="G1319" t="str">
        <f>""</f>
        <v/>
      </c>
      <c r="I1319" t="str">
        <f>"Inv# 3352644066"</f>
        <v>Inv# 3352644066</v>
      </c>
    </row>
    <row r="1320" spans="1:9" x14ac:dyDescent="0.3">
      <c r="A1320" t="str">
        <f>""</f>
        <v/>
      </c>
      <c r="F1320" t="str">
        <f>""</f>
        <v/>
      </c>
      <c r="G1320" t="str">
        <f>""</f>
        <v/>
      </c>
      <c r="I1320" t="str">
        <f>"Inv# 3352644078"</f>
        <v>Inv# 3352644078</v>
      </c>
    </row>
    <row r="1321" spans="1:9" x14ac:dyDescent="0.3">
      <c r="A1321" t="str">
        <f>"003508"</f>
        <v>003508</v>
      </c>
      <c r="B1321" t="s">
        <v>423</v>
      </c>
      <c r="C1321">
        <v>73324</v>
      </c>
      <c r="D1321" s="2">
        <v>1787.55</v>
      </c>
      <c r="E1321" s="1">
        <v>43031</v>
      </c>
      <c r="F1321" t="str">
        <f>"8046729856"</f>
        <v>8046729856</v>
      </c>
      <c r="G1321" t="str">
        <f>"Sum Inv# 8046729856"</f>
        <v>Sum Inv# 8046729856</v>
      </c>
      <c r="H1321" s="2">
        <v>1787.55</v>
      </c>
      <c r="I1321" t="str">
        <f>"Inv# 3354980298"</f>
        <v>Inv# 3354980298</v>
      </c>
    </row>
    <row r="1322" spans="1:9" x14ac:dyDescent="0.3">
      <c r="A1322" t="str">
        <f>""</f>
        <v/>
      </c>
      <c r="F1322" t="str">
        <f>""</f>
        <v/>
      </c>
      <c r="G1322" t="str">
        <f>""</f>
        <v/>
      </c>
      <c r="I1322" t="str">
        <f>"Inv# 3354980297"</f>
        <v>Inv# 3354980297</v>
      </c>
    </row>
    <row r="1323" spans="1:9" x14ac:dyDescent="0.3">
      <c r="A1323" t="str">
        <f>""</f>
        <v/>
      </c>
      <c r="F1323" t="str">
        <f>""</f>
        <v/>
      </c>
      <c r="G1323" t="str">
        <f>""</f>
        <v/>
      </c>
      <c r="I1323" t="str">
        <f>"Inv# 3354980300"</f>
        <v>Inv# 3354980300</v>
      </c>
    </row>
    <row r="1324" spans="1:9" x14ac:dyDescent="0.3">
      <c r="A1324" t="str">
        <f>""</f>
        <v/>
      </c>
      <c r="F1324" t="str">
        <f>""</f>
        <v/>
      </c>
      <c r="G1324" t="str">
        <f>""</f>
        <v/>
      </c>
      <c r="I1324" t="str">
        <f>"Inv# 3354980302"</f>
        <v>Inv# 3354980302</v>
      </c>
    </row>
    <row r="1325" spans="1:9" x14ac:dyDescent="0.3">
      <c r="A1325" t="str">
        <f>""</f>
        <v/>
      </c>
      <c r="F1325" t="str">
        <f>""</f>
        <v/>
      </c>
      <c r="G1325" t="str">
        <f>""</f>
        <v/>
      </c>
      <c r="I1325" t="str">
        <f>"Inv# 3354980304"</f>
        <v>Inv# 3354980304</v>
      </c>
    </row>
    <row r="1326" spans="1:9" x14ac:dyDescent="0.3">
      <c r="A1326" t="str">
        <f>""</f>
        <v/>
      </c>
      <c r="F1326" t="str">
        <f>""</f>
        <v/>
      </c>
      <c r="G1326" t="str">
        <f>""</f>
        <v/>
      </c>
      <c r="I1326" t="str">
        <f>"Inv# 3354980307"</f>
        <v>Inv# 3354980307</v>
      </c>
    </row>
    <row r="1327" spans="1:9" x14ac:dyDescent="0.3">
      <c r="A1327" t="str">
        <f>""</f>
        <v/>
      </c>
      <c r="F1327" t="str">
        <f>""</f>
        <v/>
      </c>
      <c r="G1327" t="str">
        <f>""</f>
        <v/>
      </c>
      <c r="I1327" t="str">
        <f>"Inv# 3354980309"</f>
        <v>Inv# 3354980309</v>
      </c>
    </row>
    <row r="1328" spans="1:9" x14ac:dyDescent="0.3">
      <c r="A1328" t="str">
        <f>""</f>
        <v/>
      </c>
      <c r="F1328" t="str">
        <f>""</f>
        <v/>
      </c>
      <c r="G1328" t="str">
        <f>""</f>
        <v/>
      </c>
      <c r="I1328" t="str">
        <f>"Inv# 3354980311"</f>
        <v>Inv# 3354980311</v>
      </c>
    </row>
    <row r="1329" spans="1:9" x14ac:dyDescent="0.3">
      <c r="A1329" t="str">
        <f>""</f>
        <v/>
      </c>
      <c r="F1329" t="str">
        <f>""</f>
        <v/>
      </c>
      <c r="G1329" t="str">
        <f>""</f>
        <v/>
      </c>
      <c r="I1329" t="str">
        <f>"Inv# 3354980295"</f>
        <v>Inv# 3354980295</v>
      </c>
    </row>
    <row r="1330" spans="1:9" x14ac:dyDescent="0.3">
      <c r="A1330" t="str">
        <f>""</f>
        <v/>
      </c>
      <c r="F1330" t="str">
        <f>""</f>
        <v/>
      </c>
      <c r="G1330" t="str">
        <f>""</f>
        <v/>
      </c>
      <c r="I1330" t="str">
        <f>"Inv# 3354980286"</f>
        <v>Inv# 3354980286</v>
      </c>
    </row>
    <row r="1331" spans="1:9" x14ac:dyDescent="0.3">
      <c r="A1331" t="str">
        <f>""</f>
        <v/>
      </c>
      <c r="F1331" t="str">
        <f>""</f>
        <v/>
      </c>
      <c r="G1331" t="str">
        <f>""</f>
        <v/>
      </c>
      <c r="I1331" t="str">
        <f>"Inv# 3354980290"</f>
        <v>Inv# 3354980290</v>
      </c>
    </row>
    <row r="1332" spans="1:9" x14ac:dyDescent="0.3">
      <c r="A1332" t="str">
        <f>""</f>
        <v/>
      </c>
      <c r="F1332" t="str">
        <f>""</f>
        <v/>
      </c>
      <c r="G1332" t="str">
        <f>""</f>
        <v/>
      </c>
      <c r="I1332" t="str">
        <f>"Inv# 3354980293"</f>
        <v>Inv# 3354980293</v>
      </c>
    </row>
    <row r="1333" spans="1:9" x14ac:dyDescent="0.3">
      <c r="A1333" t="str">
        <f>"ST"</f>
        <v>ST</v>
      </c>
      <c r="B1333" t="s">
        <v>424</v>
      </c>
      <c r="C1333">
        <v>73387</v>
      </c>
      <c r="D1333" s="2">
        <v>2714.29</v>
      </c>
      <c r="E1333" s="1">
        <v>43035</v>
      </c>
      <c r="F1333" t="str">
        <f>"201710276050"</f>
        <v>201710276050</v>
      </c>
      <c r="G1333" t="str">
        <f>"Sexual Assault Q3 2017"</f>
        <v>Sexual Assault Q3 2017</v>
      </c>
      <c r="H1333" s="2">
        <v>680</v>
      </c>
      <c r="I1333" t="str">
        <f>"Sexual Assault Q3 2017"</f>
        <v>Sexual Assault Q3 2017</v>
      </c>
    </row>
    <row r="1334" spans="1:9" x14ac:dyDescent="0.3">
      <c r="A1334" t="str">
        <f>""</f>
        <v/>
      </c>
      <c r="F1334" t="str">
        <f>"201710276051"</f>
        <v>201710276051</v>
      </c>
      <c r="G1334" t="str">
        <f>"Drug Court Q3 2017"</f>
        <v>Drug Court Q3 2017</v>
      </c>
      <c r="H1334" s="2">
        <v>2004.06</v>
      </c>
      <c r="I1334" t="str">
        <f>"Drug Court Q3 2017"</f>
        <v>Drug Court Q3 2017</v>
      </c>
    </row>
    <row r="1335" spans="1:9" x14ac:dyDescent="0.3">
      <c r="A1335" t="str">
        <f>""</f>
        <v/>
      </c>
      <c r="F1335" t="str">
        <f>"201710276052"</f>
        <v>201710276052</v>
      </c>
      <c r="G1335" t="str">
        <f>"Texas Home Visiting Q3 2017"</f>
        <v>Texas Home Visiting Q3 2017</v>
      </c>
      <c r="H1335" s="2">
        <v>30</v>
      </c>
      <c r="I1335" t="str">
        <f>"Texas Home Visiting Q3 2017"</f>
        <v>Texas Home Visiting Q3 2017</v>
      </c>
    </row>
    <row r="1336" spans="1:9" x14ac:dyDescent="0.3">
      <c r="A1336" t="str">
        <f>""</f>
        <v/>
      </c>
      <c r="F1336" t="str">
        <f>"201710276054"</f>
        <v>201710276054</v>
      </c>
      <c r="G1336" t="str">
        <f>"Child Safety Q3 2017"</f>
        <v>Child Safety Q3 2017</v>
      </c>
      <c r="H1336" s="2">
        <v>0.23</v>
      </c>
      <c r="I1336" t="str">
        <f>"Child Safety Q3 2017"</f>
        <v>Child Safety Q3 2017</v>
      </c>
    </row>
    <row r="1337" spans="1:9" x14ac:dyDescent="0.3">
      <c r="A1337" t="str">
        <f>"003177"</f>
        <v>003177</v>
      </c>
      <c r="B1337" t="s">
        <v>425</v>
      </c>
      <c r="C1337">
        <v>73107</v>
      </c>
      <c r="D1337" s="2">
        <v>135</v>
      </c>
      <c r="E1337" s="1">
        <v>43021</v>
      </c>
      <c r="F1337" t="str">
        <f>"201710135609"</f>
        <v>201710135609</v>
      </c>
      <c r="G1337" t="str">
        <f>"TCOLE CONF TRAVEL ADVANCE"</f>
        <v>TCOLE CONF TRAVEL ADVANCE</v>
      </c>
      <c r="H1337" s="2">
        <v>135</v>
      </c>
      <c r="I1337" t="str">
        <f>"STEFANIE LEE"</f>
        <v>STEFANIE LEE</v>
      </c>
    </row>
    <row r="1338" spans="1:9" x14ac:dyDescent="0.3">
      <c r="A1338" t="str">
        <f>"T8648"</f>
        <v>T8648</v>
      </c>
      <c r="B1338" t="s">
        <v>426</v>
      </c>
      <c r="C1338">
        <v>73068</v>
      </c>
      <c r="D1338" s="2">
        <v>723.61</v>
      </c>
      <c r="E1338" s="1">
        <v>43018</v>
      </c>
      <c r="F1338" t="str">
        <f>"4007369813"</f>
        <v>4007369813</v>
      </c>
      <c r="G1338" t="str">
        <f>"INV 4007369813"</f>
        <v>INV 4007369813</v>
      </c>
      <c r="H1338" s="2">
        <v>723.61</v>
      </c>
      <c r="I1338" t="str">
        <f>"INV 4007369813"</f>
        <v>INV 4007369813</v>
      </c>
    </row>
    <row r="1339" spans="1:9" x14ac:dyDescent="0.3">
      <c r="A1339" t="str">
        <f>"002260"</f>
        <v>002260</v>
      </c>
      <c r="B1339" t="s">
        <v>427</v>
      </c>
      <c r="C1339">
        <v>73069</v>
      </c>
      <c r="D1339" s="2">
        <v>435.5</v>
      </c>
      <c r="E1339" s="1">
        <v>43018</v>
      </c>
      <c r="F1339" t="str">
        <f>"201710035255"</f>
        <v>201710035255</v>
      </c>
      <c r="G1339" t="str">
        <f>"TRASH REMOVAL 10/2/17-10/6/17"</f>
        <v>TRASH REMOVAL 10/2/17-10/6/17</v>
      </c>
      <c r="H1339" s="2">
        <v>214.5</v>
      </c>
      <c r="I1339" t="str">
        <f>"TRASH REMOVAL 10/2/17-10/6/17"</f>
        <v>TRASH REMOVAL 10/2/17-10/6/17</v>
      </c>
    </row>
    <row r="1340" spans="1:9" x14ac:dyDescent="0.3">
      <c r="A1340" t="str">
        <f>""</f>
        <v/>
      </c>
      <c r="F1340" t="str">
        <f>"201710035256"</f>
        <v>201710035256</v>
      </c>
      <c r="G1340" t="str">
        <f>"TRASH REMOVAL 9/25/17-9/29/17"</f>
        <v>TRASH REMOVAL 9/25/17-9/29/17</v>
      </c>
      <c r="H1340" s="2">
        <v>221</v>
      </c>
      <c r="I1340" t="str">
        <f>"TRASH REMOVAL 9/25/17-9/29/17"</f>
        <v>TRASH REMOVAL 9/25/17-9/29/17</v>
      </c>
    </row>
    <row r="1341" spans="1:9" x14ac:dyDescent="0.3">
      <c r="A1341" t="str">
        <f>"002260"</f>
        <v>002260</v>
      </c>
      <c r="B1341" t="s">
        <v>427</v>
      </c>
      <c r="C1341">
        <v>73325</v>
      </c>
      <c r="D1341" s="2">
        <v>351</v>
      </c>
      <c r="E1341" s="1">
        <v>43031</v>
      </c>
      <c r="F1341" t="str">
        <f>"201710185826"</f>
        <v>201710185826</v>
      </c>
      <c r="G1341" t="str">
        <f>"TRASH REMOVAL/10/9-10/20/PCT4"</f>
        <v>TRASH REMOVAL/10/9-10/20/PCT4</v>
      </c>
      <c r="H1341" s="2">
        <v>351</v>
      </c>
      <c r="I1341" t="str">
        <f>"TRASH REMOVAL/10/9-10/20/PCT4"</f>
        <v>TRASH REMOVAL/10/9-10/20/PCT4</v>
      </c>
    </row>
    <row r="1342" spans="1:9" x14ac:dyDescent="0.3">
      <c r="A1342" t="str">
        <f>"004775"</f>
        <v>004775</v>
      </c>
      <c r="B1342" t="s">
        <v>428</v>
      </c>
      <c r="C1342">
        <v>73070</v>
      </c>
      <c r="D1342" s="2">
        <v>8960</v>
      </c>
      <c r="E1342" s="1">
        <v>43018</v>
      </c>
      <c r="F1342" t="str">
        <f>"100"</f>
        <v>100</v>
      </c>
      <c r="G1342" t="str">
        <f>"SHREDDING/MOWING/WEED EATING"</f>
        <v>SHREDDING/MOWING/WEED EATING</v>
      </c>
      <c r="H1342" s="2">
        <v>8960</v>
      </c>
      <c r="I1342" t="str">
        <f>"SHREDDING/MOWING/WEED EATING"</f>
        <v>SHREDDING/MOWING/WEED EATING</v>
      </c>
    </row>
    <row r="1343" spans="1:9" x14ac:dyDescent="0.3">
      <c r="A1343" t="str">
        <f>"004775"</f>
        <v>004775</v>
      </c>
      <c r="B1343" t="s">
        <v>428</v>
      </c>
      <c r="C1343">
        <v>999999</v>
      </c>
      <c r="D1343" s="2">
        <v>8960</v>
      </c>
      <c r="E1343" s="1">
        <v>43032</v>
      </c>
      <c r="F1343" t="str">
        <f>"104"</f>
        <v>104</v>
      </c>
      <c r="G1343" t="str">
        <f>"SHREDDING SVCS/PCT#2"</f>
        <v>SHREDDING SVCS/PCT#2</v>
      </c>
      <c r="H1343" s="2">
        <v>8960</v>
      </c>
      <c r="I1343" t="str">
        <f>"SHREDDING SVCS/PCT#2"</f>
        <v>SHREDDING SVCS/PCT#2</v>
      </c>
    </row>
    <row r="1344" spans="1:9" x14ac:dyDescent="0.3">
      <c r="A1344" t="str">
        <f>"004087"</f>
        <v>004087</v>
      </c>
      <c r="B1344" t="s">
        <v>429</v>
      </c>
      <c r="C1344">
        <v>999999</v>
      </c>
      <c r="D1344" s="2">
        <v>68.08</v>
      </c>
      <c r="E1344" s="1">
        <v>43019</v>
      </c>
      <c r="F1344" t="str">
        <f>"17100204"</f>
        <v>17100204</v>
      </c>
      <c r="G1344" t="str">
        <f>"SVC CONTRACT"</f>
        <v>SVC CONTRACT</v>
      </c>
      <c r="H1344" s="2">
        <v>68.08</v>
      </c>
      <c r="I1344" t="str">
        <f>"SVC CONTRACT"</f>
        <v>SVC CONTRACT</v>
      </c>
    </row>
    <row r="1345" spans="1:9" x14ac:dyDescent="0.3">
      <c r="A1345" t="str">
        <f>"TAE"</f>
        <v>TAE</v>
      </c>
      <c r="B1345" t="s">
        <v>430</v>
      </c>
      <c r="C1345">
        <v>73326</v>
      </c>
      <c r="D1345" s="2">
        <v>49.41</v>
      </c>
      <c r="E1345" s="1">
        <v>43031</v>
      </c>
      <c r="F1345" t="str">
        <f>"54853"</f>
        <v>54853</v>
      </c>
      <c r="G1345" t="str">
        <f>"LABOR/SOLUTION/PCT#4"</f>
        <v>LABOR/SOLUTION/PCT#4</v>
      </c>
      <c r="H1345" s="2">
        <v>49.41</v>
      </c>
      <c r="I1345" t="str">
        <f>"LABOR/SOLUTION/PCT#4"</f>
        <v>LABOR/SOLUTION/PCT#4</v>
      </c>
    </row>
    <row r="1346" spans="1:9" x14ac:dyDescent="0.3">
      <c r="A1346" t="str">
        <f>"TIMW"</f>
        <v>TIMW</v>
      </c>
      <c r="B1346" t="s">
        <v>431</v>
      </c>
      <c r="C1346">
        <v>999999</v>
      </c>
      <c r="D1346" s="2">
        <v>227.2</v>
      </c>
      <c r="E1346" s="1">
        <v>43032</v>
      </c>
      <c r="F1346" t="str">
        <f>"011140"</f>
        <v>011140</v>
      </c>
      <c r="G1346" t="str">
        <f>"SALES ORD#11150/PCT#4"</f>
        <v>SALES ORD#11150/PCT#4</v>
      </c>
      <c r="H1346" s="2">
        <v>36.799999999999997</v>
      </c>
      <c r="I1346" t="str">
        <f>"SALES ORD#11150/PCT#4"</f>
        <v>SALES ORD#11150/PCT#4</v>
      </c>
    </row>
    <row r="1347" spans="1:9" x14ac:dyDescent="0.3">
      <c r="A1347" t="str">
        <f>""</f>
        <v/>
      </c>
      <c r="F1347" t="str">
        <f>"011146"</f>
        <v>011146</v>
      </c>
      <c r="G1347" t="str">
        <f>"ORD#11153/PCT#4"</f>
        <v>ORD#11153/PCT#4</v>
      </c>
      <c r="H1347" s="2">
        <v>190.4</v>
      </c>
      <c r="I1347" t="str">
        <f>"ORD#11153/PCT#4"</f>
        <v>ORD#11153/PCT#4</v>
      </c>
    </row>
    <row r="1348" spans="1:9" x14ac:dyDescent="0.3">
      <c r="A1348" t="str">
        <f>"T11929"</f>
        <v>T11929</v>
      </c>
      <c r="B1348" t="s">
        <v>432</v>
      </c>
      <c r="C1348">
        <v>73071</v>
      </c>
      <c r="D1348" s="2">
        <v>566.4</v>
      </c>
      <c r="E1348" s="1">
        <v>43018</v>
      </c>
      <c r="F1348" t="str">
        <f>"74812"</f>
        <v>74812</v>
      </c>
      <c r="G1348" t="str">
        <f>"ACCT#0103-0903 F/SERVICE CALL"</f>
        <v>ACCT#0103-0903 F/SERVICE CALL</v>
      </c>
      <c r="H1348" s="2">
        <v>566.4</v>
      </c>
      <c r="I1348" t="str">
        <f>"ACCT#0103-0903 F/SERVICE CALL"</f>
        <v>ACCT#0103-0903 F/SERVICE CALL</v>
      </c>
    </row>
    <row r="1349" spans="1:9" x14ac:dyDescent="0.3">
      <c r="A1349" t="str">
        <f>"T6057"</f>
        <v>T6057</v>
      </c>
      <c r="B1349" t="s">
        <v>433</v>
      </c>
      <c r="C1349">
        <v>73072</v>
      </c>
      <c r="D1349" s="2">
        <v>500</v>
      </c>
      <c r="E1349" s="1">
        <v>43018</v>
      </c>
      <c r="F1349" t="str">
        <f>"129619"</f>
        <v>129619</v>
      </c>
      <c r="G1349" t="str">
        <f>"CONFERENCE-L. SIMMONS"</f>
        <v>CONFERENCE-L. SIMMONS</v>
      </c>
      <c r="H1349" s="2">
        <v>350</v>
      </c>
      <c r="I1349" t="str">
        <f>"CONFERENCE-L. SIMMONS"</f>
        <v>CONFERENCE-L. SIMMONS</v>
      </c>
    </row>
    <row r="1350" spans="1:9" x14ac:dyDescent="0.3">
      <c r="A1350" t="str">
        <f>""</f>
        <v/>
      </c>
      <c r="F1350" t="str">
        <f>"CONF#129143"</f>
        <v>CONF#129143</v>
      </c>
      <c r="G1350" t="str">
        <f>"CONFERENCE-BRYAN GOERTZ"</f>
        <v>CONFERENCE-BRYAN GOERTZ</v>
      </c>
      <c r="H1350" s="2">
        <v>125</v>
      </c>
      <c r="I1350" t="str">
        <f>"CONFERENCE-BRYAN GOERTZ"</f>
        <v>CONFERENCE-BRYAN GOERTZ</v>
      </c>
    </row>
    <row r="1351" spans="1:9" x14ac:dyDescent="0.3">
      <c r="A1351" t="str">
        <f>""</f>
        <v/>
      </c>
      <c r="F1351" t="str">
        <f>"CONF#130029"</f>
        <v>CONF#130029</v>
      </c>
      <c r="G1351" t="str">
        <f>"CONFERENCE-L.SIMMONS"</f>
        <v>CONFERENCE-L.SIMMONS</v>
      </c>
      <c r="H1351" s="2">
        <v>25</v>
      </c>
      <c r="I1351" t="str">
        <f>"CONFERENCE-L.SIMMONS"</f>
        <v>CONFERENCE-L.SIMMONS</v>
      </c>
    </row>
    <row r="1352" spans="1:9" x14ac:dyDescent="0.3">
      <c r="A1352" t="str">
        <f>"T7300"</f>
        <v>T7300</v>
      </c>
      <c r="B1352" t="s">
        <v>433</v>
      </c>
      <c r="C1352">
        <v>73327</v>
      </c>
      <c r="D1352" s="2">
        <v>1350</v>
      </c>
      <c r="E1352" s="1">
        <v>43031</v>
      </c>
      <c r="F1352" t="str">
        <f>"201710175713"</f>
        <v>201710175713</v>
      </c>
      <c r="G1352" t="str">
        <f>"INV#'S 121945/120389/120459"</f>
        <v>INV#'S 121945/120389/120459</v>
      </c>
      <c r="H1352" s="2">
        <v>300</v>
      </c>
      <c r="I1352" t="str">
        <f>"INV#'S 121945/120389/120459"</f>
        <v>INV#'S 121945/120389/120459</v>
      </c>
    </row>
    <row r="1353" spans="1:9" x14ac:dyDescent="0.3">
      <c r="A1353" t="str">
        <f>""</f>
        <v/>
      </c>
      <c r="F1353" t="str">
        <f>"201710175714"</f>
        <v>201710175714</v>
      </c>
      <c r="G1353" t="str">
        <f>"INV#'S 127521 129699 129785"</f>
        <v>INV#'S 127521 129699 129785</v>
      </c>
      <c r="H1353" s="2">
        <v>1050</v>
      </c>
      <c r="I1353" t="str">
        <f>"INV#'S 127521 129699 129785"</f>
        <v>INV#'S 127521 129699 129785</v>
      </c>
    </row>
    <row r="1354" spans="1:9" x14ac:dyDescent="0.3">
      <c r="A1354" t="str">
        <f>"T8745"</f>
        <v>T8745</v>
      </c>
      <c r="B1354" t="s">
        <v>434</v>
      </c>
      <c r="C1354">
        <v>999999</v>
      </c>
      <c r="D1354" s="2">
        <v>193</v>
      </c>
      <c r="E1354" s="1">
        <v>43032</v>
      </c>
      <c r="F1354" t="str">
        <f>"1711056"</f>
        <v>1711056</v>
      </c>
      <c r="G1354" t="str">
        <f>"MONTHLY CONTRACT BILLING"</f>
        <v>MONTHLY CONTRACT BILLING</v>
      </c>
      <c r="H1354" s="2">
        <v>193</v>
      </c>
      <c r="I1354" t="str">
        <f>"MONTHLY CONTRACT BILLING"</f>
        <v>MONTHLY CONTRACT BILLING</v>
      </c>
    </row>
    <row r="1355" spans="1:9" x14ac:dyDescent="0.3">
      <c r="A1355" t="str">
        <f>"003281"</f>
        <v>003281</v>
      </c>
      <c r="B1355" t="s">
        <v>435</v>
      </c>
      <c r="C1355">
        <v>73328</v>
      </c>
      <c r="D1355" s="2">
        <v>3690</v>
      </c>
      <c r="E1355" s="1">
        <v>43031</v>
      </c>
      <c r="F1355" t="str">
        <f>"201710175724"</f>
        <v>201710175724</v>
      </c>
      <c r="G1355" t="str">
        <f>"16001"</f>
        <v>16001</v>
      </c>
      <c r="H1355" s="2">
        <v>3690</v>
      </c>
      <c r="I1355" t="str">
        <f>"16001"</f>
        <v>16001</v>
      </c>
    </row>
    <row r="1356" spans="1:9" x14ac:dyDescent="0.3">
      <c r="A1356" t="str">
        <f>"T6855"</f>
        <v>T6855</v>
      </c>
      <c r="B1356" t="s">
        <v>436</v>
      </c>
      <c r="C1356">
        <v>73073</v>
      </c>
      <c r="D1356" s="2">
        <v>6489.31</v>
      </c>
      <c r="E1356" s="1">
        <v>43018</v>
      </c>
      <c r="F1356" t="str">
        <f>"0679841-IN"</f>
        <v>0679841-IN</v>
      </c>
      <c r="G1356" t="str">
        <f>"ACCT#01-0112917/ITEM#204200/P2"</f>
        <v>ACCT#01-0112917/ITEM#204200/P2</v>
      </c>
      <c r="H1356" s="2">
        <v>2161.15</v>
      </c>
      <c r="I1356" t="str">
        <f>"ACCT#01-0112917/ITEM#204200/P2"</f>
        <v>ACCT#01-0112917/ITEM#204200/P2</v>
      </c>
    </row>
    <row r="1357" spans="1:9" x14ac:dyDescent="0.3">
      <c r="A1357" t="str">
        <f>""</f>
        <v/>
      </c>
      <c r="F1357" t="str">
        <f>"0681882-IN"</f>
        <v>0681882-IN</v>
      </c>
      <c r="G1357" t="str">
        <f>"ACCT#01-0112917/PCT#3"</f>
        <v>ACCT#01-0112917/PCT#3</v>
      </c>
      <c r="H1357" s="2">
        <v>4328.16</v>
      </c>
      <c r="I1357" t="str">
        <f>"ACCT#01-0112917/PCT#3"</f>
        <v>ACCT#01-0112917/PCT#3</v>
      </c>
    </row>
    <row r="1358" spans="1:9" x14ac:dyDescent="0.3">
      <c r="A1358" t="str">
        <f>"T6855"</f>
        <v>T6855</v>
      </c>
      <c r="B1358" t="s">
        <v>436</v>
      </c>
      <c r="C1358">
        <v>73329</v>
      </c>
      <c r="D1358" s="2">
        <v>17596.990000000002</v>
      </c>
      <c r="E1358" s="1">
        <v>43031</v>
      </c>
      <c r="F1358" t="str">
        <f>"0678984-IN"</f>
        <v>0678984-IN</v>
      </c>
      <c r="G1358" t="str">
        <f>"ACCT#01-0112917/BOL#246232/P3"</f>
        <v>ACCT#01-0112917/BOL#246232/P3</v>
      </c>
      <c r="H1358" s="2">
        <v>2268.35</v>
      </c>
      <c r="I1358" t="str">
        <f>"ACCT#01-0112917/BOL#246232/P3"</f>
        <v>ACCT#01-0112917/BOL#246232/P3</v>
      </c>
    </row>
    <row r="1359" spans="1:9" x14ac:dyDescent="0.3">
      <c r="A1359" t="str">
        <f>""</f>
        <v/>
      </c>
      <c r="F1359" t="str">
        <f>"0678994-IN"</f>
        <v>0678994-IN</v>
      </c>
      <c r="G1359" t="str">
        <f>"CUST#01-0112917/BOL#246232/P2"</f>
        <v>CUST#01-0112917/BOL#246232/P2</v>
      </c>
      <c r="H1359" s="2">
        <v>3292.53</v>
      </c>
      <c r="I1359" t="str">
        <f>"CUST#01-0112917/BOL#246232/P2"</f>
        <v>CUST#01-0112917/BOL#246232/P2</v>
      </c>
    </row>
    <row r="1360" spans="1:9" x14ac:dyDescent="0.3">
      <c r="A1360" t="str">
        <f>""</f>
        <v/>
      </c>
      <c r="F1360" t="str">
        <f>"0685538-IN"</f>
        <v>0685538-IN</v>
      </c>
      <c r="G1360" t="str">
        <f>"ACCT#01-0112917/BOL#249301/P2"</f>
        <v>ACCT#01-0112917/BOL#249301/P2</v>
      </c>
      <c r="H1360" s="2">
        <v>2532.34</v>
      </c>
      <c r="I1360" t="str">
        <f>"ACCT#01-0112917/BOL#249301/P2"</f>
        <v>ACCT#01-0112917/BOL#249301/P2</v>
      </c>
    </row>
    <row r="1361" spans="1:9" x14ac:dyDescent="0.3">
      <c r="A1361" t="str">
        <f>""</f>
        <v/>
      </c>
      <c r="F1361" t="str">
        <f>"0687921-IN"</f>
        <v>0687921-IN</v>
      </c>
      <c r="G1361" t="str">
        <f>"ACCT#01-0112917/PCT#3"</f>
        <v>ACCT#01-0112917/PCT#3</v>
      </c>
      <c r="H1361" s="2">
        <v>4081.61</v>
      </c>
      <c r="I1361" t="str">
        <f>"ACCT#01-0112917/PCT#3"</f>
        <v>ACCT#01-0112917/PCT#3</v>
      </c>
    </row>
    <row r="1362" spans="1:9" x14ac:dyDescent="0.3">
      <c r="A1362" t="str">
        <f>""</f>
        <v/>
      </c>
      <c r="F1362" t="str">
        <f>"201710175719"</f>
        <v>201710175719</v>
      </c>
      <c r="G1362" t="str">
        <f>"INV#0681898/0683605/PCT#2"</f>
        <v>INV#0681898/0683605/PCT#2</v>
      </c>
      <c r="H1362" s="2">
        <v>5422.16</v>
      </c>
      <c r="I1362" t="str">
        <f>"INV#0681898/0683605/PCT#2"</f>
        <v>INV#0681898/0683605/PCT#2</v>
      </c>
    </row>
    <row r="1363" spans="1:9" x14ac:dyDescent="0.3">
      <c r="A1363" t="str">
        <f>"T14371"</f>
        <v>T14371</v>
      </c>
      <c r="B1363" t="s">
        <v>437</v>
      </c>
      <c r="C1363">
        <v>73074</v>
      </c>
      <c r="D1363" s="2">
        <v>512.37</v>
      </c>
      <c r="E1363" s="1">
        <v>43018</v>
      </c>
      <c r="F1363" t="str">
        <f>"201710045384"</f>
        <v>201710045384</v>
      </c>
      <c r="G1363" t="str">
        <f>"INDIGENT HEALTH"</f>
        <v>INDIGENT HEALTH</v>
      </c>
      <c r="H1363" s="2">
        <v>512.37</v>
      </c>
      <c r="I1363" t="str">
        <f>"INDIGENT HEALTH"</f>
        <v>INDIGENT HEALTH</v>
      </c>
    </row>
    <row r="1364" spans="1:9" x14ac:dyDescent="0.3">
      <c r="A1364" t="str">
        <f>"T5238"</f>
        <v>T5238</v>
      </c>
      <c r="B1364" t="s">
        <v>438</v>
      </c>
      <c r="C1364">
        <v>73075</v>
      </c>
      <c r="D1364" s="2">
        <v>690</v>
      </c>
      <c r="E1364" s="1">
        <v>43018</v>
      </c>
      <c r="F1364" t="str">
        <f>"A800034"</f>
        <v>A800034</v>
      </c>
      <c r="G1364" t="str">
        <f>"HP ZBOOK/EXTERNAL DVD/CD"</f>
        <v>HP ZBOOK/EXTERNAL DVD/CD</v>
      </c>
      <c r="H1364" s="2">
        <v>690</v>
      </c>
      <c r="I1364" t="str">
        <f>"HP ZBOOK"</f>
        <v>HP ZBOOK</v>
      </c>
    </row>
    <row r="1365" spans="1:9" x14ac:dyDescent="0.3">
      <c r="A1365" t="str">
        <f>"TXAGG"</f>
        <v>TXAGG</v>
      </c>
      <c r="B1365" t="s">
        <v>439</v>
      </c>
      <c r="C1365">
        <v>999999</v>
      </c>
      <c r="D1365" s="2">
        <v>4140.5</v>
      </c>
      <c r="E1365" s="1">
        <v>43032</v>
      </c>
      <c r="F1365" t="str">
        <f>"91414"</f>
        <v>91414</v>
      </c>
      <c r="G1365" t="str">
        <f>"BULLROCK/PCT#1"</f>
        <v>BULLROCK/PCT#1</v>
      </c>
      <c r="H1365" s="2">
        <v>4140.5</v>
      </c>
      <c r="I1365" t="str">
        <f>"BULLROCK/PCT#1"</f>
        <v>BULLROCK/PCT#1</v>
      </c>
    </row>
    <row r="1366" spans="1:9" x14ac:dyDescent="0.3">
      <c r="A1366" t="str">
        <f>"001468"</f>
        <v>001468</v>
      </c>
      <c r="B1366" t="s">
        <v>440</v>
      </c>
      <c r="C1366">
        <v>73077</v>
      </c>
      <c r="D1366" s="2">
        <v>747.5</v>
      </c>
      <c r="E1366" s="1">
        <v>43018</v>
      </c>
      <c r="F1366" t="str">
        <f>"43802"</f>
        <v>43802</v>
      </c>
      <c r="G1366" t="str">
        <f>"POLICY#63354287/ACCT#PAPEP-1"</f>
        <v>POLICY#63354287/ACCT#PAPEP-1</v>
      </c>
      <c r="H1366" s="2">
        <v>647.5</v>
      </c>
      <c r="I1366" t="str">
        <f>"POLICY#63354287/ACCT#PAPEP-1"</f>
        <v>POLICY#63354287/ACCT#PAPEP-1</v>
      </c>
    </row>
    <row r="1367" spans="1:9" x14ac:dyDescent="0.3">
      <c r="A1367" t="str">
        <f>""</f>
        <v/>
      </c>
      <c r="F1367" t="str">
        <f>"43805/43806"</f>
        <v>43805/43806</v>
      </c>
      <c r="G1367" t="str">
        <f>"BONDS"</f>
        <v>BONDS</v>
      </c>
      <c r="H1367" s="2">
        <v>100</v>
      </c>
      <c r="I1367" t="str">
        <f>"INV 43806 S. MARTIN"</f>
        <v>INV 43806 S. MARTIN</v>
      </c>
    </row>
    <row r="1368" spans="1:9" x14ac:dyDescent="0.3">
      <c r="A1368" t="str">
        <f>""</f>
        <v/>
      </c>
      <c r="F1368" t="str">
        <f>""</f>
        <v/>
      </c>
      <c r="G1368" t="str">
        <f>""</f>
        <v/>
      </c>
      <c r="I1368" t="str">
        <f>"INV 43805 D. DAVIS"</f>
        <v>INV 43805 D. DAVIS</v>
      </c>
    </row>
    <row r="1369" spans="1:9" x14ac:dyDescent="0.3">
      <c r="A1369" t="str">
        <f>"TACUE"</f>
        <v>TACUE</v>
      </c>
      <c r="B1369" t="s">
        <v>441</v>
      </c>
      <c r="C1369">
        <v>73076</v>
      </c>
      <c r="D1369" s="2">
        <v>6160.11</v>
      </c>
      <c r="E1369" s="1">
        <v>43018</v>
      </c>
      <c r="F1369" t="str">
        <f>"201709275129"</f>
        <v>201709275129</v>
      </c>
      <c r="G1369" t="str">
        <f>"UNEMPLOYMENT WKSHT/3RD QTR '17"</f>
        <v>UNEMPLOYMENT WKSHT/3RD QTR '17</v>
      </c>
      <c r="H1369" s="2">
        <v>5394.48</v>
      </c>
      <c r="I1369" t="str">
        <f t="shared" ref="I1369:I1403" si="17">"UNEMPLOYMENT WKSHT/3RD QTR '17"</f>
        <v>UNEMPLOYMENT WKSHT/3RD QTR '17</v>
      </c>
    </row>
    <row r="1370" spans="1:9" x14ac:dyDescent="0.3">
      <c r="A1370" t="str">
        <f>""</f>
        <v/>
      </c>
      <c r="F1370" t="str">
        <f>""</f>
        <v/>
      </c>
      <c r="G1370" t="str">
        <f>""</f>
        <v/>
      </c>
      <c r="I1370" t="str">
        <f t="shared" si="17"/>
        <v>UNEMPLOYMENT WKSHT/3RD QTR '17</v>
      </c>
    </row>
    <row r="1371" spans="1:9" x14ac:dyDescent="0.3">
      <c r="A1371" t="str">
        <f>""</f>
        <v/>
      </c>
      <c r="F1371" t="str">
        <f>""</f>
        <v/>
      </c>
      <c r="G1371" t="str">
        <f>""</f>
        <v/>
      </c>
      <c r="I1371" t="str">
        <f t="shared" si="17"/>
        <v>UNEMPLOYMENT WKSHT/3RD QTR '17</v>
      </c>
    </row>
    <row r="1372" spans="1:9" x14ac:dyDescent="0.3">
      <c r="A1372" t="str">
        <f>""</f>
        <v/>
      </c>
      <c r="F1372" t="str">
        <f>""</f>
        <v/>
      </c>
      <c r="G1372" t="str">
        <f>""</f>
        <v/>
      </c>
      <c r="I1372" t="str">
        <f t="shared" si="17"/>
        <v>UNEMPLOYMENT WKSHT/3RD QTR '17</v>
      </c>
    </row>
    <row r="1373" spans="1:9" x14ac:dyDescent="0.3">
      <c r="A1373" t="str">
        <f>""</f>
        <v/>
      </c>
      <c r="F1373" t="str">
        <f>""</f>
        <v/>
      </c>
      <c r="G1373" t="str">
        <f>""</f>
        <v/>
      </c>
      <c r="I1373" t="str">
        <f t="shared" si="17"/>
        <v>UNEMPLOYMENT WKSHT/3RD QTR '17</v>
      </c>
    </row>
    <row r="1374" spans="1:9" x14ac:dyDescent="0.3">
      <c r="A1374" t="str">
        <f>""</f>
        <v/>
      </c>
      <c r="F1374" t="str">
        <f>""</f>
        <v/>
      </c>
      <c r="G1374" t="str">
        <f>""</f>
        <v/>
      </c>
      <c r="I1374" t="str">
        <f t="shared" si="17"/>
        <v>UNEMPLOYMENT WKSHT/3RD QTR '17</v>
      </c>
    </row>
    <row r="1375" spans="1:9" x14ac:dyDescent="0.3">
      <c r="A1375" t="str">
        <f>""</f>
        <v/>
      </c>
      <c r="F1375" t="str">
        <f>""</f>
        <v/>
      </c>
      <c r="G1375" t="str">
        <f>""</f>
        <v/>
      </c>
      <c r="I1375" t="str">
        <f t="shared" si="17"/>
        <v>UNEMPLOYMENT WKSHT/3RD QTR '17</v>
      </c>
    </row>
    <row r="1376" spans="1:9" x14ac:dyDescent="0.3">
      <c r="A1376" t="str">
        <f>""</f>
        <v/>
      </c>
      <c r="F1376" t="str">
        <f>""</f>
        <v/>
      </c>
      <c r="G1376" t="str">
        <f>""</f>
        <v/>
      </c>
      <c r="I1376" t="str">
        <f t="shared" si="17"/>
        <v>UNEMPLOYMENT WKSHT/3RD QTR '17</v>
      </c>
    </row>
    <row r="1377" spans="1:9" x14ac:dyDescent="0.3">
      <c r="A1377" t="str">
        <f>""</f>
        <v/>
      </c>
      <c r="F1377" t="str">
        <f>""</f>
        <v/>
      </c>
      <c r="G1377" t="str">
        <f>""</f>
        <v/>
      </c>
      <c r="I1377" t="str">
        <f t="shared" si="17"/>
        <v>UNEMPLOYMENT WKSHT/3RD QTR '17</v>
      </c>
    </row>
    <row r="1378" spans="1:9" x14ac:dyDescent="0.3">
      <c r="A1378" t="str">
        <f>""</f>
        <v/>
      </c>
      <c r="F1378" t="str">
        <f>""</f>
        <v/>
      </c>
      <c r="G1378" t="str">
        <f>""</f>
        <v/>
      </c>
      <c r="I1378" t="str">
        <f t="shared" si="17"/>
        <v>UNEMPLOYMENT WKSHT/3RD QTR '17</v>
      </c>
    </row>
    <row r="1379" spans="1:9" x14ac:dyDescent="0.3">
      <c r="A1379" t="str">
        <f>""</f>
        <v/>
      </c>
      <c r="F1379" t="str">
        <f>""</f>
        <v/>
      </c>
      <c r="G1379" t="str">
        <f>""</f>
        <v/>
      </c>
      <c r="I1379" t="str">
        <f t="shared" si="17"/>
        <v>UNEMPLOYMENT WKSHT/3RD QTR '17</v>
      </c>
    </row>
    <row r="1380" spans="1:9" x14ac:dyDescent="0.3">
      <c r="A1380" t="str">
        <f>""</f>
        <v/>
      </c>
      <c r="F1380" t="str">
        <f>""</f>
        <v/>
      </c>
      <c r="G1380" t="str">
        <f>""</f>
        <v/>
      </c>
      <c r="I1380" t="str">
        <f t="shared" si="17"/>
        <v>UNEMPLOYMENT WKSHT/3RD QTR '17</v>
      </c>
    </row>
    <row r="1381" spans="1:9" x14ac:dyDescent="0.3">
      <c r="A1381" t="str">
        <f>""</f>
        <v/>
      </c>
      <c r="F1381" t="str">
        <f>""</f>
        <v/>
      </c>
      <c r="G1381" t="str">
        <f>""</f>
        <v/>
      </c>
      <c r="I1381" t="str">
        <f t="shared" si="17"/>
        <v>UNEMPLOYMENT WKSHT/3RD QTR '17</v>
      </c>
    </row>
    <row r="1382" spans="1:9" x14ac:dyDescent="0.3">
      <c r="A1382" t="str">
        <f>""</f>
        <v/>
      </c>
      <c r="F1382" t="str">
        <f>""</f>
        <v/>
      </c>
      <c r="G1382" t="str">
        <f>""</f>
        <v/>
      </c>
      <c r="I1382" t="str">
        <f t="shared" si="17"/>
        <v>UNEMPLOYMENT WKSHT/3RD QTR '17</v>
      </c>
    </row>
    <row r="1383" spans="1:9" x14ac:dyDescent="0.3">
      <c r="A1383" t="str">
        <f>""</f>
        <v/>
      </c>
      <c r="F1383" t="str">
        <f>""</f>
        <v/>
      </c>
      <c r="G1383" t="str">
        <f>""</f>
        <v/>
      </c>
      <c r="I1383" t="str">
        <f t="shared" si="17"/>
        <v>UNEMPLOYMENT WKSHT/3RD QTR '17</v>
      </c>
    </row>
    <row r="1384" spans="1:9" x14ac:dyDescent="0.3">
      <c r="A1384" t="str">
        <f>""</f>
        <v/>
      </c>
      <c r="F1384" t="str">
        <f>""</f>
        <v/>
      </c>
      <c r="G1384" t="str">
        <f>""</f>
        <v/>
      </c>
      <c r="I1384" t="str">
        <f t="shared" si="17"/>
        <v>UNEMPLOYMENT WKSHT/3RD QTR '17</v>
      </c>
    </row>
    <row r="1385" spans="1:9" x14ac:dyDescent="0.3">
      <c r="A1385" t="str">
        <f>""</f>
        <v/>
      </c>
      <c r="F1385" t="str">
        <f>""</f>
        <v/>
      </c>
      <c r="G1385" t="str">
        <f>""</f>
        <v/>
      </c>
      <c r="I1385" t="str">
        <f t="shared" si="17"/>
        <v>UNEMPLOYMENT WKSHT/3RD QTR '17</v>
      </c>
    </row>
    <row r="1386" spans="1:9" x14ac:dyDescent="0.3">
      <c r="A1386" t="str">
        <f>""</f>
        <v/>
      </c>
      <c r="F1386" t="str">
        <f>""</f>
        <v/>
      </c>
      <c r="G1386" t="str">
        <f>""</f>
        <v/>
      </c>
      <c r="I1386" t="str">
        <f t="shared" si="17"/>
        <v>UNEMPLOYMENT WKSHT/3RD QTR '17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 t="shared" si="17"/>
        <v>UNEMPLOYMENT WKSHT/3RD QTR '17</v>
      </c>
    </row>
    <row r="1388" spans="1:9" x14ac:dyDescent="0.3">
      <c r="A1388" t="str">
        <f>""</f>
        <v/>
      </c>
      <c r="F1388" t="str">
        <f>""</f>
        <v/>
      </c>
      <c r="G1388" t="str">
        <f>""</f>
        <v/>
      </c>
      <c r="I1388" t="str">
        <f t="shared" si="17"/>
        <v>UNEMPLOYMENT WKSHT/3RD QTR '17</v>
      </c>
    </row>
    <row r="1389" spans="1:9" x14ac:dyDescent="0.3">
      <c r="A1389" t="str">
        <f>""</f>
        <v/>
      </c>
      <c r="F1389" t="str">
        <f>""</f>
        <v/>
      </c>
      <c r="G1389" t="str">
        <f>""</f>
        <v/>
      </c>
      <c r="I1389" t="str">
        <f t="shared" si="17"/>
        <v>UNEMPLOYMENT WKSHT/3RD QTR '17</v>
      </c>
    </row>
    <row r="1390" spans="1:9" x14ac:dyDescent="0.3">
      <c r="A1390" t="str">
        <f>""</f>
        <v/>
      </c>
      <c r="F1390" t="str">
        <f>""</f>
        <v/>
      </c>
      <c r="G1390" t="str">
        <f>""</f>
        <v/>
      </c>
      <c r="I1390" t="str">
        <f t="shared" si="17"/>
        <v>UNEMPLOYMENT WKSHT/3RD QTR '17</v>
      </c>
    </row>
    <row r="1391" spans="1:9" x14ac:dyDescent="0.3">
      <c r="A1391" t="str">
        <f>""</f>
        <v/>
      </c>
      <c r="F1391" t="str">
        <f>""</f>
        <v/>
      </c>
      <c r="G1391" t="str">
        <f>""</f>
        <v/>
      </c>
      <c r="I1391" t="str">
        <f t="shared" si="17"/>
        <v>UNEMPLOYMENT WKSHT/3RD QTR '17</v>
      </c>
    </row>
    <row r="1392" spans="1:9" x14ac:dyDescent="0.3">
      <c r="A1392" t="str">
        <f>""</f>
        <v/>
      </c>
      <c r="F1392" t="str">
        <f>""</f>
        <v/>
      </c>
      <c r="G1392" t="str">
        <f>""</f>
        <v/>
      </c>
      <c r="I1392" t="str">
        <f t="shared" si="17"/>
        <v>UNEMPLOYMENT WKSHT/3RD QTR '17</v>
      </c>
    </row>
    <row r="1393" spans="1:9" x14ac:dyDescent="0.3">
      <c r="A1393" t="str">
        <f>""</f>
        <v/>
      </c>
      <c r="F1393" t="str">
        <f>""</f>
        <v/>
      </c>
      <c r="G1393" t="str">
        <f>""</f>
        <v/>
      </c>
      <c r="I1393" t="str">
        <f t="shared" si="17"/>
        <v>UNEMPLOYMENT WKSHT/3RD QTR '17</v>
      </c>
    </row>
    <row r="1394" spans="1:9" x14ac:dyDescent="0.3">
      <c r="A1394" t="str">
        <f>""</f>
        <v/>
      </c>
      <c r="F1394" t="str">
        <f>""</f>
        <v/>
      </c>
      <c r="G1394" t="str">
        <f>""</f>
        <v/>
      </c>
      <c r="I1394" t="str">
        <f t="shared" si="17"/>
        <v>UNEMPLOYMENT WKSHT/3RD QTR '17</v>
      </c>
    </row>
    <row r="1395" spans="1:9" x14ac:dyDescent="0.3">
      <c r="A1395" t="str">
        <f>""</f>
        <v/>
      </c>
      <c r="F1395" t="str">
        <f>""</f>
        <v/>
      </c>
      <c r="G1395" t="str">
        <f>""</f>
        <v/>
      </c>
      <c r="I1395" t="str">
        <f t="shared" si="17"/>
        <v>UNEMPLOYMENT WKSHT/3RD QTR '17</v>
      </c>
    </row>
    <row r="1396" spans="1:9" x14ac:dyDescent="0.3">
      <c r="A1396" t="str">
        <f>""</f>
        <v/>
      </c>
      <c r="F1396" t="str">
        <f>""</f>
        <v/>
      </c>
      <c r="G1396" t="str">
        <f>""</f>
        <v/>
      </c>
      <c r="I1396" t="str">
        <f t="shared" si="17"/>
        <v>UNEMPLOYMENT WKSHT/3RD QTR '17</v>
      </c>
    </row>
    <row r="1397" spans="1:9" x14ac:dyDescent="0.3">
      <c r="A1397" t="str">
        <f>""</f>
        <v/>
      </c>
      <c r="F1397" t="str">
        <f>""</f>
        <v/>
      </c>
      <c r="G1397" t="str">
        <f>""</f>
        <v/>
      </c>
      <c r="I1397" t="str">
        <f t="shared" si="17"/>
        <v>UNEMPLOYMENT WKSHT/3RD QTR '17</v>
      </c>
    </row>
    <row r="1398" spans="1:9" x14ac:dyDescent="0.3">
      <c r="A1398" t="str">
        <f>""</f>
        <v/>
      </c>
      <c r="F1398" t="str">
        <f>""</f>
        <v/>
      </c>
      <c r="G1398" t="str">
        <f>""</f>
        <v/>
      </c>
      <c r="I1398" t="str">
        <f t="shared" si="17"/>
        <v>UNEMPLOYMENT WKSHT/3RD QTR '17</v>
      </c>
    </row>
    <row r="1399" spans="1:9" x14ac:dyDescent="0.3">
      <c r="A1399" t="str">
        <f>""</f>
        <v/>
      </c>
      <c r="F1399" t="str">
        <f>""</f>
        <v/>
      </c>
      <c r="G1399" t="str">
        <f>""</f>
        <v/>
      </c>
      <c r="I1399" t="str">
        <f t="shared" si="17"/>
        <v>UNEMPLOYMENT WKSHT/3RD QTR '17</v>
      </c>
    </row>
    <row r="1400" spans="1:9" x14ac:dyDescent="0.3">
      <c r="A1400" t="str">
        <f>""</f>
        <v/>
      </c>
      <c r="F1400" t="str">
        <f>""</f>
        <v/>
      </c>
      <c r="G1400" t="str">
        <f>""</f>
        <v/>
      </c>
      <c r="I1400" t="str">
        <f t="shared" si="17"/>
        <v>UNEMPLOYMENT WKSHT/3RD QTR '17</v>
      </c>
    </row>
    <row r="1401" spans="1:9" x14ac:dyDescent="0.3">
      <c r="A1401" t="str">
        <f>""</f>
        <v/>
      </c>
      <c r="F1401" t="str">
        <f>""</f>
        <v/>
      </c>
      <c r="G1401" t="str">
        <f>""</f>
        <v/>
      </c>
      <c r="I1401" t="str">
        <f t="shared" si="17"/>
        <v>UNEMPLOYMENT WKSHT/3RD QTR '17</v>
      </c>
    </row>
    <row r="1402" spans="1:9" x14ac:dyDescent="0.3">
      <c r="A1402" t="str">
        <f>""</f>
        <v/>
      </c>
      <c r="F1402" t="str">
        <f>""</f>
        <v/>
      </c>
      <c r="G1402" t="str">
        <f>""</f>
        <v/>
      </c>
      <c r="I1402" t="str">
        <f t="shared" si="17"/>
        <v>UNEMPLOYMENT WKSHT/3RD QTR '17</v>
      </c>
    </row>
    <row r="1403" spans="1:9" x14ac:dyDescent="0.3">
      <c r="A1403" t="str">
        <f>""</f>
        <v/>
      </c>
      <c r="F1403" t="str">
        <f>""</f>
        <v/>
      </c>
      <c r="G1403" t="str">
        <f>""</f>
        <v/>
      </c>
      <c r="I1403" t="str">
        <f t="shared" si="17"/>
        <v>UNEMPLOYMENT WKSHT/3RD QTR '17</v>
      </c>
    </row>
    <row r="1404" spans="1:9" x14ac:dyDescent="0.3">
      <c r="A1404" t="str">
        <f>""</f>
        <v/>
      </c>
      <c r="F1404" t="str">
        <f>"201709275132"</f>
        <v>201709275132</v>
      </c>
      <c r="G1404" t="str">
        <f>"UNEMPLOYMENT/3RD QTR '17"</f>
        <v>UNEMPLOYMENT/3RD QTR '17</v>
      </c>
      <c r="H1404" s="2">
        <v>28.18</v>
      </c>
      <c r="I1404" t="str">
        <f>"UNEMPLOYMENT/3RD QTR '17"</f>
        <v>UNEMPLOYMENT/3RD QTR '17</v>
      </c>
    </row>
    <row r="1405" spans="1:9" x14ac:dyDescent="0.3">
      <c r="A1405" t="str">
        <f>""</f>
        <v/>
      </c>
      <c r="F1405" t="str">
        <f>"201709275133"</f>
        <v>201709275133</v>
      </c>
      <c r="G1405" t="str">
        <f>"UNEMPLOYMENT WKSHT/PCT#1"</f>
        <v>UNEMPLOYMENT WKSHT/PCT#1</v>
      </c>
      <c r="H1405" s="2">
        <v>142.04</v>
      </c>
      <c r="I1405" t="str">
        <f>"UNEMPLOYMENT WKSHT/PCT#1"</f>
        <v>UNEMPLOYMENT WKSHT/PCT#1</v>
      </c>
    </row>
    <row r="1406" spans="1:9" x14ac:dyDescent="0.3">
      <c r="A1406" t="str">
        <f>""</f>
        <v/>
      </c>
      <c r="F1406" t="str">
        <f>"201709275134"</f>
        <v>201709275134</v>
      </c>
      <c r="G1406" t="str">
        <f>"UNEMPLOYMENT WKSHT/3RD QTR '17"</f>
        <v>UNEMPLOYMENT WKSHT/3RD QTR '17</v>
      </c>
      <c r="H1406" s="2">
        <v>207.4</v>
      </c>
      <c r="I1406" t="str">
        <f>"UNEMPLOYMENT WKSHT/3RD QTR '17"</f>
        <v>UNEMPLOYMENT WKSHT/3RD QTR '17</v>
      </c>
    </row>
    <row r="1407" spans="1:9" x14ac:dyDescent="0.3">
      <c r="A1407" t="str">
        <f>""</f>
        <v/>
      </c>
      <c r="F1407" t="str">
        <f>"201709275135"</f>
        <v>201709275135</v>
      </c>
      <c r="G1407" t="str">
        <f>"UNEMPLOYMENT/3RD QTR '17/PCT#3"</f>
        <v>UNEMPLOYMENT/3RD QTR '17/PCT#3</v>
      </c>
      <c r="H1407" s="2">
        <v>198.38</v>
      </c>
      <c r="I1407" t="str">
        <f>"UNEMPLOYMENT/3RD QTR '17/PCT#3"</f>
        <v>UNEMPLOYMENT/3RD QTR '17/PCT#3</v>
      </c>
    </row>
    <row r="1408" spans="1:9" x14ac:dyDescent="0.3">
      <c r="A1408" t="str">
        <f>""</f>
        <v/>
      </c>
      <c r="F1408" t="str">
        <f>"201709275136"</f>
        <v>201709275136</v>
      </c>
      <c r="G1408" t="str">
        <f>"UNEMPLOYMENT/3RD QTR '17/PCT#4"</f>
        <v>UNEMPLOYMENT/3RD QTR '17/PCT#4</v>
      </c>
      <c r="H1408" s="2">
        <v>189.63</v>
      </c>
      <c r="I1408" t="str">
        <f>"UNEMPLOYMENT/3RD QTR '17/PCT#4"</f>
        <v>UNEMPLOYMENT/3RD QTR '17/PCT#4</v>
      </c>
    </row>
    <row r="1409" spans="1:10" x14ac:dyDescent="0.3">
      <c r="A1409" t="str">
        <f>"TACRMP"</f>
        <v>TACRMP</v>
      </c>
      <c r="B1409" t="s">
        <v>441</v>
      </c>
      <c r="C1409">
        <v>73078</v>
      </c>
      <c r="D1409" s="2">
        <v>370</v>
      </c>
      <c r="E1409" s="1">
        <v>43018</v>
      </c>
      <c r="F1409" t="str">
        <f>"R266889"</f>
        <v>R266889</v>
      </c>
      <c r="G1409" t="str">
        <f>"ACCT 203296/CNTY AUDITORS CONF"</f>
        <v>ACCT 203296/CNTY AUDITORS CONF</v>
      </c>
      <c r="H1409" s="2">
        <v>370</v>
      </c>
    </row>
    <row r="1410" spans="1:10" x14ac:dyDescent="0.3">
      <c r="A1410" t="str">
        <f>"TACRMP"</f>
        <v>TACRMP</v>
      </c>
      <c r="B1410" t="s">
        <v>441</v>
      </c>
      <c r="C1410">
        <v>73078</v>
      </c>
      <c r="D1410" s="2">
        <v>370</v>
      </c>
      <c r="E1410" s="1">
        <v>43018</v>
      </c>
      <c r="F1410" t="str">
        <f>"CHECK"</f>
        <v>CHECK</v>
      </c>
      <c r="G1410" t="str">
        <f>""</f>
        <v/>
      </c>
      <c r="H1410" s="2">
        <v>370</v>
      </c>
    </row>
    <row r="1411" spans="1:10" x14ac:dyDescent="0.3">
      <c r="A1411" t="str">
        <f>"T13851"</f>
        <v>T13851</v>
      </c>
      <c r="B1411" t="s">
        <v>442</v>
      </c>
      <c r="C1411">
        <v>73079</v>
      </c>
      <c r="D1411" s="2">
        <v>515</v>
      </c>
      <c r="E1411" s="1">
        <v>43018</v>
      </c>
      <c r="F1411" t="str">
        <f>"201710045284"</f>
        <v>201710045284</v>
      </c>
      <c r="G1411" t="str">
        <f>"MEMBERSHIP-ANN/MIDWINTER CONF"</f>
        <v>MEMBERSHIP-ANN/MIDWINTER CONF</v>
      </c>
      <c r="H1411" s="2">
        <v>515</v>
      </c>
      <c r="I1411" t="str">
        <f>"MEMBERSHIP-ANN/MIDWINTER CONF"</f>
        <v>MEMBERSHIP-ANN/MIDWINTER CONF</v>
      </c>
    </row>
    <row r="1412" spans="1:10" x14ac:dyDescent="0.3">
      <c r="A1412" t="str">
        <f>"TACRMP"</f>
        <v>TACRMP</v>
      </c>
      <c r="B1412" t="s">
        <v>441</v>
      </c>
      <c r="C1412">
        <v>73330</v>
      </c>
      <c r="D1412" s="2">
        <v>180</v>
      </c>
      <c r="E1412" s="1">
        <v>43031</v>
      </c>
      <c r="F1412" t="str">
        <f>"201710125592"</f>
        <v>201710125592</v>
      </c>
      <c r="G1412" t="str">
        <f>"'18 DIST CLERK CONF/ID 203162"</f>
        <v>'18 DIST CLERK CONF/ID 203162</v>
      </c>
      <c r="H1412" s="2">
        <v>180</v>
      </c>
      <c r="I1412" t="str">
        <f>"'18 DIST CLERK CONF/ID 203162"</f>
        <v>'18 DIST CLERK CONF/ID 203162</v>
      </c>
    </row>
    <row r="1413" spans="1:10" x14ac:dyDescent="0.3">
      <c r="A1413" t="str">
        <f>"002122"</f>
        <v>002122</v>
      </c>
      <c r="B1413" t="s">
        <v>443</v>
      </c>
      <c r="C1413">
        <v>999999</v>
      </c>
      <c r="D1413" s="2">
        <v>449.7</v>
      </c>
      <c r="E1413" s="1">
        <v>43032</v>
      </c>
      <c r="F1413" t="str">
        <f>"201710135620"</f>
        <v>201710135620</v>
      </c>
      <c r="G1413" t="str">
        <f>"ACCT#0005/PCT#4"</f>
        <v>ACCT#0005/PCT#4</v>
      </c>
      <c r="H1413" s="2">
        <v>449.7</v>
      </c>
      <c r="I1413" t="str">
        <f>"ACCT#0005/PCT#4"</f>
        <v>ACCT#0005/PCT#4</v>
      </c>
    </row>
    <row r="1414" spans="1:10" x14ac:dyDescent="0.3">
      <c r="A1414" t="str">
        <f>"T12960"</f>
        <v>T12960</v>
      </c>
      <c r="B1414" t="s">
        <v>444</v>
      </c>
      <c r="C1414">
        <v>73331</v>
      </c>
      <c r="D1414" s="2">
        <v>200</v>
      </c>
      <c r="E1414" s="1">
        <v>43031</v>
      </c>
      <c r="F1414" t="str">
        <f>"9249"</f>
        <v>9249</v>
      </c>
      <c r="G1414" t="str">
        <f>"MEMBERSHIP DUES-2018"</f>
        <v>MEMBERSHIP DUES-2018</v>
      </c>
      <c r="H1414" s="2">
        <v>200</v>
      </c>
      <c r="I1414" t="str">
        <f>"MEMBERSHIP DUES-2018"</f>
        <v>MEMBERSHIP DUES-2018</v>
      </c>
    </row>
    <row r="1415" spans="1:10" x14ac:dyDescent="0.3">
      <c r="A1415" t="str">
        <f>"002354"</f>
        <v>002354</v>
      </c>
      <c r="B1415" t="s">
        <v>445</v>
      </c>
      <c r="C1415">
        <v>73080</v>
      </c>
      <c r="D1415" s="2">
        <v>230</v>
      </c>
      <c r="E1415" s="1">
        <v>43018</v>
      </c>
      <c r="F1415" t="s">
        <v>76</v>
      </c>
      <c r="G1415" t="s">
        <v>446</v>
      </c>
      <c r="H1415" s="2" t="str">
        <f>"RESTITUTION-J. RIVERA"</f>
        <v>RESTITUTION-J. RIVERA</v>
      </c>
      <c r="I1415" t="str">
        <f>"210-0000"</f>
        <v>210-0000</v>
      </c>
      <c r="J1415">
        <v>50</v>
      </c>
    </row>
    <row r="1416" spans="1:10" x14ac:dyDescent="0.3">
      <c r="A1416" t="str">
        <f>""</f>
        <v/>
      </c>
      <c r="F1416" t="s">
        <v>447</v>
      </c>
      <c r="G1416" t="s">
        <v>448</v>
      </c>
      <c r="H1416" s="2" t="str">
        <f>"RESTITUTION-J. BUNTE"</f>
        <v>RESTITUTION-J. BUNTE</v>
      </c>
      <c r="I1416" t="str">
        <f>"210-0000"</f>
        <v>210-0000</v>
      </c>
      <c r="J1416">
        <v>180</v>
      </c>
    </row>
    <row r="1417" spans="1:10" x14ac:dyDescent="0.3">
      <c r="A1417" t="str">
        <f>"001721"</f>
        <v>001721</v>
      </c>
      <c r="B1417" t="s">
        <v>445</v>
      </c>
      <c r="C1417">
        <v>73332</v>
      </c>
      <c r="D1417" s="2">
        <v>7</v>
      </c>
      <c r="E1417" s="1">
        <v>43031</v>
      </c>
      <c r="F1417" t="str">
        <f>"CRS-201709-129948"</f>
        <v>CRS-201709-129948</v>
      </c>
      <c r="G1417" t="str">
        <f>"SECURE SITE NAME SEARCH"</f>
        <v>SECURE SITE NAME SEARCH</v>
      </c>
      <c r="H1417" s="2">
        <v>7</v>
      </c>
      <c r="I1417" t="str">
        <f>"SECURE SITE NAME SEARCH"</f>
        <v>SECURE SITE NAME SEARCH</v>
      </c>
    </row>
    <row r="1418" spans="1:10" x14ac:dyDescent="0.3">
      <c r="A1418" t="str">
        <f>"002561"</f>
        <v>002561</v>
      </c>
      <c r="B1418" t="s">
        <v>449</v>
      </c>
      <c r="C1418">
        <v>73333</v>
      </c>
      <c r="D1418" s="2">
        <v>403.85</v>
      </c>
      <c r="E1418" s="1">
        <v>43031</v>
      </c>
      <c r="F1418" t="str">
        <f>"100"</f>
        <v>100</v>
      </c>
      <c r="G1418" t="str">
        <f>"ELECTION BOOKS"</f>
        <v>ELECTION BOOKS</v>
      </c>
      <c r="H1418" s="2">
        <v>403.85</v>
      </c>
      <c r="I1418" t="str">
        <f>"ELECTION BOOKS"</f>
        <v>ELECTION BOOKS</v>
      </c>
    </row>
    <row r="1419" spans="1:10" x14ac:dyDescent="0.3">
      <c r="A1419" t="str">
        <f>"T10512"</f>
        <v>T10512</v>
      </c>
      <c r="B1419" t="s">
        <v>450</v>
      </c>
      <c r="C1419">
        <v>73081</v>
      </c>
      <c r="D1419" s="2">
        <v>750</v>
      </c>
      <c r="E1419" s="1">
        <v>43018</v>
      </c>
      <c r="F1419" t="str">
        <f>"201709275151"</f>
        <v>201709275151</v>
      </c>
      <c r="G1419" t="str">
        <f>"NEW COURT PERSONNEL TRAINING"</f>
        <v>NEW COURT PERSONNEL TRAINING</v>
      </c>
      <c r="H1419" s="2">
        <v>150</v>
      </c>
      <c r="I1419" t="str">
        <f>"NEW COURT PERSONNEL TRAINING"</f>
        <v>NEW COURT PERSONNEL TRAINING</v>
      </c>
    </row>
    <row r="1420" spans="1:10" x14ac:dyDescent="0.3">
      <c r="A1420" t="str">
        <f>""</f>
        <v/>
      </c>
      <c r="F1420" t="str">
        <f>"201709275152"</f>
        <v>201709275152</v>
      </c>
      <c r="G1420" t="str">
        <f>"FY_18 EXP CT"</f>
        <v>FY_18 EXP CT</v>
      </c>
      <c r="H1420" s="2">
        <v>150</v>
      </c>
      <c r="I1420" t="str">
        <f>"FY_18 EXP CT"</f>
        <v>FY_18 EXP CT</v>
      </c>
    </row>
    <row r="1421" spans="1:10" x14ac:dyDescent="0.3">
      <c r="A1421" t="str">
        <f>""</f>
        <v/>
      </c>
      <c r="F1421" t="str">
        <f>"201709285173"</f>
        <v>201709285173</v>
      </c>
      <c r="G1421" t="str">
        <f>"JUSTICE OF THE PEACE SEMINAR"</f>
        <v>JUSTICE OF THE PEACE SEMINAR</v>
      </c>
      <c r="H1421" s="2">
        <v>150</v>
      </c>
      <c r="I1421" t="str">
        <f>"JUSTICE OF THE PEACE SEMINAR"</f>
        <v>JUSTICE OF THE PEACE SEMINAR</v>
      </c>
    </row>
    <row r="1422" spans="1:10" x14ac:dyDescent="0.3">
      <c r="A1422" t="str">
        <f>""</f>
        <v/>
      </c>
      <c r="F1422" t="str">
        <f>"201709295186"</f>
        <v>201709295186</v>
      </c>
      <c r="G1422" t="str">
        <f>"FY_18 JP SEMINAR"</f>
        <v>FY_18 JP SEMINAR</v>
      </c>
      <c r="H1422" s="2">
        <v>150</v>
      </c>
      <c r="I1422" t="str">
        <f>"FY_18 JP SEMINAR"</f>
        <v>FY_18 JP SEMINAR</v>
      </c>
    </row>
    <row r="1423" spans="1:10" x14ac:dyDescent="0.3">
      <c r="A1423" t="str">
        <f>""</f>
        <v/>
      </c>
      <c r="F1423" t="str">
        <f>"201710045280"</f>
        <v>201710045280</v>
      </c>
      <c r="G1423" t="str">
        <f>"FY_18 JP SEMINAR"</f>
        <v>FY_18 JP SEMINAR</v>
      </c>
      <c r="H1423" s="2">
        <v>150</v>
      </c>
      <c r="I1423" t="str">
        <f>"FY_18 JP SEMINAR"</f>
        <v>FY_18 JP SEMINAR</v>
      </c>
    </row>
    <row r="1424" spans="1:10" x14ac:dyDescent="0.3">
      <c r="A1424" t="str">
        <f>"T7170"</f>
        <v>T7170</v>
      </c>
      <c r="B1424" t="s">
        <v>451</v>
      </c>
      <c r="C1424">
        <v>73334</v>
      </c>
      <c r="D1424" s="2">
        <v>810.05</v>
      </c>
      <c r="E1424" s="1">
        <v>43031</v>
      </c>
      <c r="F1424" t="str">
        <f>"3CO-2045-17"</f>
        <v>3CO-2045-17</v>
      </c>
      <c r="G1424" t="str">
        <f>"A8139427-GONZALEZ-MACEDO"</f>
        <v>A8139427-GONZALEZ-MACEDO</v>
      </c>
      <c r="H1424" s="2">
        <v>170</v>
      </c>
      <c r="I1424" t="str">
        <f>"A8139427-GONZALEZ-MACEDO"</f>
        <v>A8139427-GONZALEZ-MACEDO</v>
      </c>
    </row>
    <row r="1425" spans="1:9" x14ac:dyDescent="0.3">
      <c r="A1425" t="str">
        <f>""</f>
        <v/>
      </c>
      <c r="F1425" t="str">
        <f>"3CO-3460-17"</f>
        <v>3CO-3460-17</v>
      </c>
      <c r="G1425" t="str">
        <f>"A8243985-HYATT"</f>
        <v>A8243985-HYATT</v>
      </c>
      <c r="H1425" s="2">
        <v>114.75</v>
      </c>
      <c r="I1425" t="str">
        <f>"A8243985-HYATT"</f>
        <v>A8243985-HYATT</v>
      </c>
    </row>
    <row r="1426" spans="1:9" x14ac:dyDescent="0.3">
      <c r="A1426" t="str">
        <f>""</f>
        <v/>
      </c>
      <c r="F1426" t="str">
        <f>"3CO-3759-17"</f>
        <v>3CO-3759-17</v>
      </c>
      <c r="G1426" t="str">
        <f>"A8210948-HERNANDEZ"</f>
        <v>A8210948-HERNANDEZ</v>
      </c>
      <c r="H1426" s="2">
        <v>425</v>
      </c>
      <c r="I1426" t="str">
        <f>"A8210948-HERNANDEZ"</f>
        <v>A8210948-HERNANDEZ</v>
      </c>
    </row>
    <row r="1427" spans="1:9" x14ac:dyDescent="0.3">
      <c r="A1427" t="str">
        <f>""</f>
        <v/>
      </c>
      <c r="F1427" t="str">
        <f>"J2-48633"</f>
        <v>J2-48633</v>
      </c>
      <c r="G1427" t="str">
        <f>"A8207023 GARCIA"</f>
        <v>A8207023 GARCIA</v>
      </c>
      <c r="H1427" s="2">
        <v>100.3</v>
      </c>
      <c r="I1427" t="str">
        <f>"A8207023 GARCIA"</f>
        <v>A8207023 GARCIA</v>
      </c>
    </row>
    <row r="1428" spans="1:9" x14ac:dyDescent="0.3">
      <c r="A1428" t="str">
        <f>"T12975"</f>
        <v>T12975</v>
      </c>
      <c r="B1428" t="s">
        <v>452</v>
      </c>
      <c r="C1428">
        <v>73335</v>
      </c>
      <c r="D1428" s="2">
        <v>280</v>
      </c>
      <c r="E1428" s="1">
        <v>43031</v>
      </c>
      <c r="F1428" t="str">
        <f>"200000827"</f>
        <v>200000827</v>
      </c>
      <c r="G1428" t="str">
        <f>"PARTICIPANT-R. PIETSCH"</f>
        <v>PARTICIPANT-R. PIETSCH</v>
      </c>
      <c r="H1428" s="2">
        <v>280</v>
      </c>
      <c r="I1428" t="str">
        <f>"PARTICIPANT-R. PIETSCH"</f>
        <v>PARTICIPANT-R. PIETSCH</v>
      </c>
    </row>
    <row r="1429" spans="1:9" x14ac:dyDescent="0.3">
      <c r="A1429" t="str">
        <f>"004858"</f>
        <v>004858</v>
      </c>
      <c r="B1429" t="s">
        <v>453</v>
      </c>
      <c r="C1429">
        <v>73082</v>
      </c>
      <c r="D1429" s="2">
        <v>154.88</v>
      </c>
      <c r="E1429" s="1">
        <v>43018</v>
      </c>
      <c r="F1429" t="str">
        <f>"E10592"</f>
        <v>E10592</v>
      </c>
      <c r="G1429" t="str">
        <f>"SHIRTS-PCT#4"</f>
        <v>SHIRTS-PCT#4</v>
      </c>
      <c r="H1429" s="2">
        <v>154.88</v>
      </c>
      <c r="I1429" t="str">
        <f>"SHIRTS-PCT#4"</f>
        <v>SHIRTS-PCT#4</v>
      </c>
    </row>
    <row r="1430" spans="1:9" x14ac:dyDescent="0.3">
      <c r="A1430" t="str">
        <f>"003946"</f>
        <v>003946</v>
      </c>
      <c r="B1430" t="s">
        <v>454</v>
      </c>
      <c r="C1430">
        <v>73083</v>
      </c>
      <c r="D1430" s="2">
        <v>250</v>
      </c>
      <c r="E1430" s="1">
        <v>43018</v>
      </c>
      <c r="F1430" t="str">
        <f>"201710045338"</f>
        <v>201710045338</v>
      </c>
      <c r="G1430" t="str">
        <f>"55 348"</f>
        <v>55 348</v>
      </c>
      <c r="H1430" s="2">
        <v>250</v>
      </c>
      <c r="I1430" t="str">
        <f>"55 348"</f>
        <v>55 348</v>
      </c>
    </row>
    <row r="1431" spans="1:9" x14ac:dyDescent="0.3">
      <c r="A1431" t="str">
        <f>"002317"</f>
        <v>002317</v>
      </c>
      <c r="B1431" t="s">
        <v>455</v>
      </c>
      <c r="C1431">
        <v>999999</v>
      </c>
      <c r="D1431" s="2">
        <v>2525</v>
      </c>
      <c r="E1431" s="1">
        <v>43019</v>
      </c>
      <c r="F1431" t="str">
        <f>"201709275141"</f>
        <v>201709275141</v>
      </c>
      <c r="G1431" t="str">
        <f>"CH20170111-B"</f>
        <v>CH20170111-B</v>
      </c>
      <c r="H1431" s="2">
        <v>400</v>
      </c>
      <c r="I1431" t="str">
        <f>"CH20170111-B"</f>
        <v>CH20170111-B</v>
      </c>
    </row>
    <row r="1432" spans="1:9" x14ac:dyDescent="0.3">
      <c r="A1432" t="str">
        <f>""</f>
        <v/>
      </c>
      <c r="F1432" t="str">
        <f>"201710045361"</f>
        <v>201710045361</v>
      </c>
      <c r="G1432" t="str">
        <f>"17-18175"</f>
        <v>17-18175</v>
      </c>
      <c r="H1432" s="2">
        <v>225</v>
      </c>
      <c r="I1432" t="str">
        <f>"17-18175"</f>
        <v>17-18175</v>
      </c>
    </row>
    <row r="1433" spans="1:9" x14ac:dyDescent="0.3">
      <c r="A1433" t="str">
        <f>""</f>
        <v/>
      </c>
      <c r="F1433" t="str">
        <f>"201710045362"</f>
        <v>201710045362</v>
      </c>
      <c r="G1433" t="str">
        <f>"16-18071"</f>
        <v>16-18071</v>
      </c>
      <c r="H1433" s="2">
        <v>225</v>
      </c>
      <c r="I1433" t="str">
        <f>"16-18071"</f>
        <v>16-18071</v>
      </c>
    </row>
    <row r="1434" spans="1:9" x14ac:dyDescent="0.3">
      <c r="A1434" t="str">
        <f>""</f>
        <v/>
      </c>
      <c r="F1434" t="str">
        <f>"201710045363"</f>
        <v>201710045363</v>
      </c>
      <c r="G1434" t="str">
        <f>"16-18067"</f>
        <v>16-18067</v>
      </c>
      <c r="H1434" s="2">
        <v>250</v>
      </c>
      <c r="I1434" t="str">
        <f>"16-18067"</f>
        <v>16-18067</v>
      </c>
    </row>
    <row r="1435" spans="1:9" x14ac:dyDescent="0.3">
      <c r="A1435" t="str">
        <f>""</f>
        <v/>
      </c>
      <c r="F1435" t="str">
        <f>"201710045364"</f>
        <v>201710045364</v>
      </c>
      <c r="G1435" t="str">
        <f>"17-18269"</f>
        <v>17-18269</v>
      </c>
      <c r="H1435" s="2">
        <v>250</v>
      </c>
      <c r="I1435" t="str">
        <f>"17-18269"</f>
        <v>17-18269</v>
      </c>
    </row>
    <row r="1436" spans="1:9" x14ac:dyDescent="0.3">
      <c r="A1436" t="str">
        <f>""</f>
        <v/>
      </c>
      <c r="F1436" t="str">
        <f>"201710045365"</f>
        <v>201710045365</v>
      </c>
      <c r="G1436" t="str">
        <f>"407117-4  407117-5"</f>
        <v>407117-4  407117-5</v>
      </c>
      <c r="H1436" s="2">
        <v>1000</v>
      </c>
      <c r="I1436" t="str">
        <f>"407117-4  407117-5"</f>
        <v>407117-4  407117-5</v>
      </c>
    </row>
    <row r="1437" spans="1:9" x14ac:dyDescent="0.3">
      <c r="A1437" t="str">
        <f>""</f>
        <v/>
      </c>
      <c r="F1437" t="str">
        <f>"8718"</f>
        <v>8718</v>
      </c>
      <c r="G1437" t="str">
        <f>"AD LITEM FEE  08/07/17"</f>
        <v>AD LITEM FEE  08/07/17</v>
      </c>
      <c r="H1437" s="2">
        <v>175</v>
      </c>
      <c r="I1437" t="str">
        <f>"AD LITEM FEE  08/07/17"</f>
        <v>AD LITEM FEE  08/07/17</v>
      </c>
    </row>
    <row r="1438" spans="1:9" x14ac:dyDescent="0.3">
      <c r="A1438" t="str">
        <f>"002317"</f>
        <v>002317</v>
      </c>
      <c r="B1438" t="s">
        <v>455</v>
      </c>
      <c r="C1438">
        <v>999999</v>
      </c>
      <c r="D1438" s="2">
        <v>1212.5</v>
      </c>
      <c r="E1438" s="1">
        <v>43032</v>
      </c>
      <c r="F1438" t="str">
        <f>"201710135689"</f>
        <v>201710135689</v>
      </c>
      <c r="G1438" t="str">
        <f>"16 227  10/4/17"</f>
        <v>16 227  10/4/17</v>
      </c>
      <c r="H1438" s="2">
        <v>400</v>
      </c>
      <c r="I1438" t="str">
        <f>"16 227  10/4/17"</f>
        <v>16 227  10/4/17</v>
      </c>
    </row>
    <row r="1439" spans="1:9" x14ac:dyDescent="0.3">
      <c r="A1439" t="str">
        <f>""</f>
        <v/>
      </c>
      <c r="F1439" t="str">
        <f>"201710185803"</f>
        <v>201710185803</v>
      </c>
      <c r="G1439" t="str">
        <f>"17-18269"</f>
        <v>17-18269</v>
      </c>
      <c r="H1439" s="2">
        <v>450</v>
      </c>
      <c r="I1439" t="str">
        <f>"17-18269"</f>
        <v>17-18269</v>
      </c>
    </row>
    <row r="1440" spans="1:9" x14ac:dyDescent="0.3">
      <c r="A1440" t="str">
        <f>""</f>
        <v/>
      </c>
      <c r="F1440" t="str">
        <f>"201710185804"</f>
        <v>201710185804</v>
      </c>
      <c r="G1440" t="str">
        <f>"17-18643"</f>
        <v>17-18643</v>
      </c>
      <c r="H1440" s="2">
        <v>112.5</v>
      </c>
      <c r="I1440" t="str">
        <f>"17-18643"</f>
        <v>17-18643</v>
      </c>
    </row>
    <row r="1441" spans="1:10" x14ac:dyDescent="0.3">
      <c r="A1441" t="str">
        <f>""</f>
        <v/>
      </c>
      <c r="F1441" t="str">
        <f>"201710185805"</f>
        <v>201710185805</v>
      </c>
      <c r="G1441" t="str">
        <f>"55 251"</f>
        <v>55 251</v>
      </c>
      <c r="H1441" s="2">
        <v>250</v>
      </c>
      <c r="I1441" t="str">
        <f>"55 251"</f>
        <v>55 251</v>
      </c>
    </row>
    <row r="1442" spans="1:10" x14ac:dyDescent="0.3">
      <c r="A1442" t="str">
        <f>"005062"</f>
        <v>005062</v>
      </c>
      <c r="B1442" t="s">
        <v>456</v>
      </c>
      <c r="C1442">
        <v>73084</v>
      </c>
      <c r="D1442" s="2">
        <v>230</v>
      </c>
      <c r="E1442" s="1">
        <v>43018</v>
      </c>
      <c r="F1442" t="str">
        <f>"1003"</f>
        <v>1003</v>
      </c>
      <c r="G1442" t="str">
        <f>"INV 1003"</f>
        <v>INV 1003</v>
      </c>
      <c r="H1442" s="2">
        <v>230</v>
      </c>
      <c r="I1442" t="str">
        <f>"INV 1003"</f>
        <v>INV 1003</v>
      </c>
    </row>
    <row r="1443" spans="1:10" x14ac:dyDescent="0.3">
      <c r="A1443" t="str">
        <f>"005062"</f>
        <v>005062</v>
      </c>
      <c r="B1443" t="s">
        <v>456</v>
      </c>
      <c r="C1443">
        <v>73336</v>
      </c>
      <c r="D1443" s="2">
        <v>320</v>
      </c>
      <c r="E1443" s="1">
        <v>43031</v>
      </c>
      <c r="F1443" t="str">
        <f>"023962"</f>
        <v>023962</v>
      </c>
      <c r="G1443" t="str">
        <f>"INV 023962"</f>
        <v>INV 023962</v>
      </c>
      <c r="H1443" s="2">
        <v>320</v>
      </c>
      <c r="I1443" t="str">
        <f>"INV 023962"</f>
        <v>INV 023962</v>
      </c>
    </row>
    <row r="1444" spans="1:10" x14ac:dyDescent="0.3">
      <c r="A1444" t="str">
        <f>"T13860"</f>
        <v>T13860</v>
      </c>
      <c r="B1444" t="s">
        <v>457</v>
      </c>
      <c r="C1444">
        <v>999999</v>
      </c>
      <c r="D1444" s="2">
        <v>49.16</v>
      </c>
      <c r="E1444" s="1">
        <v>43019</v>
      </c>
      <c r="F1444" t="str">
        <f>"201710045285"</f>
        <v>201710045285</v>
      </c>
      <c r="G1444" t="str">
        <f>"REIMBURSEMENT BUSINESS CARDS"</f>
        <v>REIMBURSEMENT BUSINESS CARDS</v>
      </c>
      <c r="H1444" s="2">
        <v>49.16</v>
      </c>
      <c r="I1444" t="str">
        <f>"REIMBURSEMENT BUSINESS CARDS"</f>
        <v>REIMBURSEMENT BUSINESS CARDS</v>
      </c>
    </row>
    <row r="1445" spans="1:10" x14ac:dyDescent="0.3">
      <c r="A1445" t="str">
        <f>"TIME"</f>
        <v>TIME</v>
      </c>
      <c r="B1445" t="s">
        <v>458</v>
      </c>
      <c r="C1445">
        <v>73337</v>
      </c>
      <c r="D1445" s="2">
        <v>10274.049999999999</v>
      </c>
      <c r="E1445" s="1">
        <v>43031</v>
      </c>
      <c r="F1445" t="str">
        <f>"201710175743"</f>
        <v>201710175743</v>
      </c>
      <c r="G1445" t="str">
        <f>"ACCT#8260163000003669"</f>
        <v>ACCT#8260163000003669</v>
      </c>
      <c r="H1445" s="2">
        <v>10274.049999999999</v>
      </c>
      <c r="I1445" t="str">
        <f>"ACCT#8260163000003669"</f>
        <v>ACCT#8260163000003669</v>
      </c>
    </row>
    <row r="1446" spans="1:10" x14ac:dyDescent="0.3">
      <c r="A1446" t="str">
        <f>""</f>
        <v/>
      </c>
      <c r="F1446" t="str">
        <f>""</f>
        <v/>
      </c>
      <c r="G1446" t="str">
        <f>""</f>
        <v/>
      </c>
      <c r="I1446" t="str">
        <f>"ACCT#8260163000003669"</f>
        <v>ACCT#8260163000003669</v>
      </c>
    </row>
    <row r="1447" spans="1:10" x14ac:dyDescent="0.3">
      <c r="A1447" t="str">
        <f>""</f>
        <v/>
      </c>
      <c r="F1447" t="str">
        <f>""</f>
        <v/>
      </c>
      <c r="G1447" t="str">
        <f>""</f>
        <v/>
      </c>
      <c r="I1447" t="str">
        <f>"ACCT#8260163000003669"</f>
        <v>ACCT#8260163000003669</v>
      </c>
    </row>
    <row r="1448" spans="1:10" x14ac:dyDescent="0.3">
      <c r="A1448" t="str">
        <f>"T13571"</f>
        <v>T13571</v>
      </c>
      <c r="B1448" t="s">
        <v>459</v>
      </c>
      <c r="C1448">
        <v>73085</v>
      </c>
      <c r="D1448" s="2">
        <v>1070</v>
      </c>
      <c r="E1448" s="1">
        <v>43018</v>
      </c>
      <c r="F1448" t="str">
        <f>"350162"</f>
        <v>350162</v>
      </c>
      <c r="G1448" t="str">
        <f>"Guard1 Plus"</f>
        <v>Guard1 Plus</v>
      </c>
      <c r="H1448" s="2">
        <v>1070</v>
      </c>
      <c r="I1448" t="str">
        <f>"Guard1 Plus"</f>
        <v>Guard1 Plus</v>
      </c>
    </row>
    <row r="1449" spans="1:10" x14ac:dyDescent="0.3">
      <c r="A1449" t="str">
        <f>"002337"</f>
        <v>002337</v>
      </c>
      <c r="B1449" t="s">
        <v>460</v>
      </c>
      <c r="C1449">
        <v>73086</v>
      </c>
      <c r="D1449" s="2">
        <v>505</v>
      </c>
      <c r="E1449" s="1">
        <v>43018</v>
      </c>
      <c r="F1449" t="s">
        <v>49</v>
      </c>
      <c r="G1449" t="s">
        <v>50</v>
      </c>
      <c r="H1449" s="2" t="str">
        <f>"SERVICE 08/04/2017"</f>
        <v>SERVICE 08/04/2017</v>
      </c>
      <c r="I1449" t="str">
        <f>"995-4110"</f>
        <v>995-4110</v>
      </c>
      <c r="J1449">
        <v>150</v>
      </c>
    </row>
    <row r="1450" spans="1:10" x14ac:dyDescent="0.3">
      <c r="A1450" t="str">
        <f>""</f>
        <v/>
      </c>
      <c r="F1450" t="s">
        <v>51</v>
      </c>
      <c r="G1450" t="s">
        <v>53</v>
      </c>
      <c r="H1450" s="2" t="str">
        <f>"SERVICE 8/9/17"</f>
        <v>SERVICE 8/9/17</v>
      </c>
      <c r="I1450" t="str">
        <f>"995-4110"</f>
        <v>995-4110</v>
      </c>
      <c r="J1450">
        <v>75</v>
      </c>
    </row>
    <row r="1451" spans="1:10" x14ac:dyDescent="0.3">
      <c r="A1451" t="str">
        <f>""</f>
        <v/>
      </c>
      <c r="F1451" t="str">
        <f>"8718"</f>
        <v>8718</v>
      </c>
      <c r="G1451" t="str">
        <f>"SERVICE  08/07/17"</f>
        <v>SERVICE  08/07/17</v>
      </c>
      <c r="H1451" s="2">
        <v>280</v>
      </c>
      <c r="I1451" t="str">
        <f>"SERVICE  08/07/17"</f>
        <v>SERVICE  08/07/17</v>
      </c>
    </row>
    <row r="1452" spans="1:10" x14ac:dyDescent="0.3">
      <c r="A1452" t="str">
        <f>"002337"</f>
        <v>002337</v>
      </c>
      <c r="B1452" t="s">
        <v>460</v>
      </c>
      <c r="C1452">
        <v>73389</v>
      </c>
      <c r="D1452" s="2">
        <v>75</v>
      </c>
      <c r="E1452" s="1">
        <v>43038</v>
      </c>
      <c r="F1452" t="str">
        <f>"11985-1"</f>
        <v>11985-1</v>
      </c>
      <c r="G1452" t="str">
        <f>"Cause #11985-1 Service 7/7/17"</f>
        <v>Cause #11985-1 Service 7/7/17</v>
      </c>
      <c r="H1452" s="2">
        <v>75</v>
      </c>
      <c r="I1452" t="str">
        <f>"Cause #11985-1 Service 7/7/17"</f>
        <v>Cause #11985-1 Service 7/7/17</v>
      </c>
    </row>
    <row r="1453" spans="1:10" x14ac:dyDescent="0.3">
      <c r="A1453" t="str">
        <f>"TCC"</f>
        <v>TCC</v>
      </c>
      <c r="B1453" t="s">
        <v>461</v>
      </c>
      <c r="C1453">
        <v>73087</v>
      </c>
      <c r="D1453" s="2">
        <v>454</v>
      </c>
      <c r="E1453" s="1">
        <v>43018</v>
      </c>
      <c r="F1453" t="str">
        <f>"17-001780"</f>
        <v>17-001780</v>
      </c>
      <c r="G1453" t="str">
        <f>"CAUSE#C-1-MH-17-001780/R. BOYD"</f>
        <v>CAUSE#C-1-MH-17-001780/R. BOYD</v>
      </c>
      <c r="H1453" s="2">
        <v>454</v>
      </c>
      <c r="I1453" t="str">
        <f>"CAUSE#C-1-MH-17-001780/R. BOYD"</f>
        <v>CAUSE#C-1-MH-17-001780/R. BOYD</v>
      </c>
    </row>
    <row r="1454" spans="1:10" x14ac:dyDescent="0.3">
      <c r="A1454" t="str">
        <f>"T13997"</f>
        <v>T13997</v>
      </c>
      <c r="B1454" t="s">
        <v>462</v>
      </c>
      <c r="C1454">
        <v>73088</v>
      </c>
      <c r="D1454" s="2">
        <v>105.4</v>
      </c>
      <c r="E1454" s="1">
        <v>43018</v>
      </c>
      <c r="F1454" t="str">
        <f>"201710045385"</f>
        <v>201710045385</v>
      </c>
      <c r="G1454" t="str">
        <f>"INDIGENT HEALTH"</f>
        <v>INDIGENT HEALTH</v>
      </c>
      <c r="H1454" s="2">
        <v>105.4</v>
      </c>
      <c r="I1454" t="str">
        <f>"INDIGENT HEALTH"</f>
        <v>INDIGENT HEALTH</v>
      </c>
    </row>
    <row r="1455" spans="1:10" x14ac:dyDescent="0.3">
      <c r="A1455" t="str">
        <f>"005136"</f>
        <v>005136</v>
      </c>
      <c r="B1455" t="s">
        <v>463</v>
      </c>
      <c r="C1455">
        <v>73338</v>
      </c>
      <c r="D1455" s="2">
        <v>363</v>
      </c>
      <c r="E1455" s="1">
        <v>43031</v>
      </c>
      <c r="F1455" t="str">
        <f>"3300000776"</f>
        <v>3300000776</v>
      </c>
      <c r="G1455" t="str">
        <f>"CUST#100501/EXPERT WITNESS"</f>
        <v>CUST#100501/EXPERT WITNESS</v>
      </c>
      <c r="H1455" s="2">
        <v>363</v>
      </c>
      <c r="I1455" t="str">
        <f>"CUST#100501/EXPERT WITNESS"</f>
        <v>CUST#100501/EXPERT WITNESS</v>
      </c>
    </row>
    <row r="1456" spans="1:10" x14ac:dyDescent="0.3">
      <c r="A1456" t="str">
        <f>"002944"</f>
        <v>002944</v>
      </c>
      <c r="B1456" t="s">
        <v>464</v>
      </c>
      <c r="C1456">
        <v>999999</v>
      </c>
      <c r="D1456" s="2">
        <v>534.05999999999995</v>
      </c>
      <c r="E1456" s="1">
        <v>43019</v>
      </c>
      <c r="F1456" t="str">
        <f>"675253"</f>
        <v>675253</v>
      </c>
      <c r="G1456" t="str">
        <f>"INV 675253/UNIT 0127"</f>
        <v>INV 675253/UNIT 0127</v>
      </c>
      <c r="H1456" s="2">
        <v>260.82</v>
      </c>
      <c r="I1456" t="str">
        <f>"INV 675253/UNIT 0127"</f>
        <v>INV 675253/UNIT 0127</v>
      </c>
    </row>
    <row r="1457" spans="1:9" x14ac:dyDescent="0.3">
      <c r="A1457" t="str">
        <f>""</f>
        <v/>
      </c>
      <c r="F1457" t="str">
        <f>"677047"</f>
        <v>677047</v>
      </c>
      <c r="G1457" t="str">
        <f>"INV 677047"</f>
        <v>INV 677047</v>
      </c>
      <c r="H1457" s="2">
        <v>273.24</v>
      </c>
      <c r="I1457" t="str">
        <f>"INV 677047"</f>
        <v>INV 677047</v>
      </c>
    </row>
    <row r="1458" spans="1:9" x14ac:dyDescent="0.3">
      <c r="A1458" t="str">
        <f>"003838"</f>
        <v>003838</v>
      </c>
      <c r="B1458" t="s">
        <v>465</v>
      </c>
      <c r="C1458">
        <v>73089</v>
      </c>
      <c r="D1458" s="2">
        <v>63.63</v>
      </c>
      <c r="E1458" s="1">
        <v>43018</v>
      </c>
      <c r="F1458" t="str">
        <f>"4103*95*2"</f>
        <v>4103*95*2</v>
      </c>
      <c r="G1458" t="str">
        <f>"PAT ID451476653/PHYS SVCS"</f>
        <v>PAT ID451476653/PHYS SVCS</v>
      </c>
      <c r="H1458" s="2">
        <v>63.63</v>
      </c>
      <c r="I1458" t="str">
        <f>"PAT ID451476653/PHYS SVCS"</f>
        <v>PAT ID451476653/PHYS SVCS</v>
      </c>
    </row>
    <row r="1459" spans="1:9" x14ac:dyDescent="0.3">
      <c r="A1459" t="str">
        <f>"003421"</f>
        <v>003421</v>
      </c>
      <c r="B1459" t="s">
        <v>466</v>
      </c>
      <c r="C1459">
        <v>73339</v>
      </c>
      <c r="D1459" s="2">
        <v>911.38</v>
      </c>
      <c r="E1459" s="1">
        <v>43031</v>
      </c>
      <c r="F1459" t="str">
        <f>"109301732"</f>
        <v>109301732</v>
      </c>
      <c r="G1459" t="str">
        <f>"INV 109301732"</f>
        <v>INV 109301732</v>
      </c>
      <c r="H1459" s="2">
        <v>789</v>
      </c>
      <c r="I1459" t="str">
        <f>"INV 109301732"</f>
        <v>INV 109301732</v>
      </c>
    </row>
    <row r="1460" spans="1:9" x14ac:dyDescent="0.3">
      <c r="A1460" t="str">
        <f>""</f>
        <v/>
      </c>
      <c r="F1460" t="str">
        <f>"109471462"</f>
        <v>109471462</v>
      </c>
      <c r="G1460" t="str">
        <f>"INV 109471462"</f>
        <v>INV 109471462</v>
      </c>
      <c r="H1460" s="2">
        <v>122.38</v>
      </c>
      <c r="I1460" t="str">
        <f>"INV 109471462"</f>
        <v>INV 109471462</v>
      </c>
    </row>
    <row r="1461" spans="1:9" x14ac:dyDescent="0.3">
      <c r="A1461" t="str">
        <f>"TRIPLE"</f>
        <v>TRIPLE</v>
      </c>
      <c r="B1461" t="s">
        <v>467</v>
      </c>
      <c r="C1461">
        <v>999999</v>
      </c>
      <c r="D1461" s="2">
        <v>9968.33</v>
      </c>
      <c r="E1461" s="1">
        <v>43019</v>
      </c>
      <c r="F1461" t="str">
        <f>"0012376-IN"</f>
        <v>0012376-IN</v>
      </c>
      <c r="G1461" t="str">
        <f>"CUST#0009084/DIESEL/PCT#1"</f>
        <v>CUST#0009084/DIESEL/PCT#1</v>
      </c>
      <c r="H1461" s="2">
        <v>5537.86</v>
      </c>
      <c r="I1461" t="str">
        <f>"CUST#0009084/DIESEL/PCT#1"</f>
        <v>CUST#0009084/DIESEL/PCT#1</v>
      </c>
    </row>
    <row r="1462" spans="1:9" x14ac:dyDescent="0.3">
      <c r="A1462" t="str">
        <f>""</f>
        <v/>
      </c>
      <c r="F1462" t="str">
        <f>"0012377-IN"</f>
        <v>0012377-IN</v>
      </c>
      <c r="G1462" t="str">
        <f>"CUST#0009087/FUEL/PCT#4"</f>
        <v>CUST#0009087/FUEL/PCT#4</v>
      </c>
      <c r="H1462" s="2">
        <v>4430.47</v>
      </c>
      <c r="I1462" t="str">
        <f>"CUST#0009087/FUEL/PCT#4"</f>
        <v>CUST#0009087/FUEL/PCT#4</v>
      </c>
    </row>
    <row r="1463" spans="1:9" x14ac:dyDescent="0.3">
      <c r="A1463" t="str">
        <f>"TRIPLE"</f>
        <v>TRIPLE</v>
      </c>
      <c r="B1463" t="s">
        <v>467</v>
      </c>
      <c r="C1463">
        <v>999999</v>
      </c>
      <c r="D1463" s="2">
        <v>5140.78</v>
      </c>
      <c r="E1463" s="1">
        <v>43032</v>
      </c>
      <c r="F1463" t="str">
        <f>"0012523-IN"</f>
        <v>0012523-IN</v>
      </c>
      <c r="G1463" t="str">
        <f>"CUST#0009087/PCT#4"</f>
        <v>CUST#0009087/PCT#4</v>
      </c>
      <c r="H1463" s="2">
        <v>5140.78</v>
      </c>
      <c r="I1463" t="str">
        <f>"CUST#0009087/PCT#4"</f>
        <v>CUST#0009087/PCT#4</v>
      </c>
    </row>
    <row r="1464" spans="1:9" x14ac:dyDescent="0.3">
      <c r="A1464" t="str">
        <f>"TRACTO"</f>
        <v>TRACTO</v>
      </c>
      <c r="B1464" t="s">
        <v>468</v>
      </c>
      <c r="C1464">
        <v>73090</v>
      </c>
      <c r="D1464" s="2">
        <v>824.36</v>
      </c>
      <c r="E1464" s="1">
        <v>43018</v>
      </c>
      <c r="F1464" t="str">
        <f>"#6035301200160982"</f>
        <v>#6035301200160982</v>
      </c>
      <c r="G1464" t="str">
        <f>"Acct# 6035301200160982"</f>
        <v>Acct# 6035301200160982</v>
      </c>
      <c r="H1464" s="2">
        <v>824.36</v>
      </c>
      <c r="I1464" t="str">
        <f>"Inv# 100531269"</f>
        <v>Inv# 100531269</v>
      </c>
    </row>
    <row r="1465" spans="1:9" x14ac:dyDescent="0.3">
      <c r="A1465" t="str">
        <f>""</f>
        <v/>
      </c>
      <c r="F1465" t="str">
        <f>""</f>
        <v/>
      </c>
      <c r="G1465" t="str">
        <f>""</f>
        <v/>
      </c>
      <c r="I1465" t="str">
        <f>"Inv# 100532326"</f>
        <v>Inv# 100532326</v>
      </c>
    </row>
    <row r="1466" spans="1:9" x14ac:dyDescent="0.3">
      <c r="A1466" t="str">
        <f>""</f>
        <v/>
      </c>
      <c r="F1466" t="str">
        <f>""</f>
        <v/>
      </c>
      <c r="G1466" t="str">
        <f>""</f>
        <v/>
      </c>
      <c r="I1466" t="str">
        <f>"Inv# 100532332"</f>
        <v>Inv# 100532332</v>
      </c>
    </row>
    <row r="1467" spans="1:9" x14ac:dyDescent="0.3">
      <c r="A1467" t="str">
        <f>""</f>
        <v/>
      </c>
      <c r="F1467" t="str">
        <f>""</f>
        <v/>
      </c>
      <c r="G1467" t="str">
        <f>""</f>
        <v/>
      </c>
      <c r="I1467" t="str">
        <f>"Inv# 100529875"</f>
        <v>Inv# 100529875</v>
      </c>
    </row>
    <row r="1468" spans="1:9" x14ac:dyDescent="0.3">
      <c r="A1468" t="str">
        <f>""</f>
        <v/>
      </c>
      <c r="F1468" t="str">
        <f>""</f>
        <v/>
      </c>
      <c r="G1468" t="str">
        <f>""</f>
        <v/>
      </c>
      <c r="I1468" t="str">
        <f>"Inv# 100531942"</f>
        <v>Inv# 100531942</v>
      </c>
    </row>
    <row r="1469" spans="1:9" x14ac:dyDescent="0.3">
      <c r="A1469" t="str">
        <f>""</f>
        <v/>
      </c>
      <c r="F1469" t="str">
        <f>""</f>
        <v/>
      </c>
      <c r="G1469" t="str">
        <f>""</f>
        <v/>
      </c>
      <c r="I1469" t="str">
        <f>"Inv# 100532518"</f>
        <v>Inv# 100532518</v>
      </c>
    </row>
    <row r="1470" spans="1:9" x14ac:dyDescent="0.3">
      <c r="A1470" t="str">
        <f>""</f>
        <v/>
      </c>
      <c r="F1470" t="str">
        <f>""</f>
        <v/>
      </c>
      <c r="G1470" t="str">
        <f>""</f>
        <v/>
      </c>
      <c r="I1470" t="str">
        <f>"Inv# 100531891"</f>
        <v>Inv# 100531891</v>
      </c>
    </row>
    <row r="1471" spans="1:9" x14ac:dyDescent="0.3">
      <c r="A1471" t="str">
        <f>""</f>
        <v/>
      </c>
      <c r="F1471" t="str">
        <f>""</f>
        <v/>
      </c>
      <c r="G1471" t="str">
        <f>""</f>
        <v/>
      </c>
      <c r="I1471" t="str">
        <f>"Inv# 200431942"</f>
        <v>Inv# 200431942</v>
      </c>
    </row>
    <row r="1472" spans="1:9" x14ac:dyDescent="0.3">
      <c r="A1472" t="str">
        <f>""</f>
        <v/>
      </c>
      <c r="F1472" t="str">
        <f>""</f>
        <v/>
      </c>
      <c r="G1472" t="str">
        <f>""</f>
        <v/>
      </c>
      <c r="I1472" t="str">
        <f>"Inv# 200434942"</f>
        <v>Inv# 200434942</v>
      </c>
    </row>
    <row r="1473" spans="1:9" x14ac:dyDescent="0.3">
      <c r="A1473" t="str">
        <f>""</f>
        <v/>
      </c>
      <c r="F1473" t="str">
        <f>""</f>
        <v/>
      </c>
      <c r="G1473" t="str">
        <f>""</f>
        <v/>
      </c>
      <c r="I1473" t="str">
        <f>"Inv# 200438288"</f>
        <v>Inv# 200438288</v>
      </c>
    </row>
    <row r="1474" spans="1:9" x14ac:dyDescent="0.3">
      <c r="A1474" t="str">
        <f>""</f>
        <v/>
      </c>
      <c r="F1474" t="str">
        <f>""</f>
        <v/>
      </c>
      <c r="G1474" t="str">
        <f>""</f>
        <v/>
      </c>
      <c r="I1474" t="str">
        <f>"Inv# 100530543"</f>
        <v>Inv# 100530543</v>
      </c>
    </row>
    <row r="1475" spans="1:9" x14ac:dyDescent="0.3">
      <c r="A1475" t="str">
        <f>""</f>
        <v/>
      </c>
      <c r="F1475" t="str">
        <f>""</f>
        <v/>
      </c>
      <c r="G1475" t="str">
        <f>""</f>
        <v/>
      </c>
      <c r="I1475" t="str">
        <f>"Inv# 100531891"</f>
        <v>Inv# 100531891</v>
      </c>
    </row>
    <row r="1476" spans="1:9" x14ac:dyDescent="0.3">
      <c r="A1476" t="str">
        <f>""</f>
        <v/>
      </c>
      <c r="F1476" t="str">
        <f>""</f>
        <v/>
      </c>
      <c r="G1476" t="str">
        <f>""</f>
        <v/>
      </c>
      <c r="I1476" t="str">
        <f>"Inv# 200431942"</f>
        <v>Inv# 200431942</v>
      </c>
    </row>
    <row r="1477" spans="1:9" x14ac:dyDescent="0.3">
      <c r="A1477" t="str">
        <f>""</f>
        <v/>
      </c>
      <c r="F1477" t="str">
        <f>""</f>
        <v/>
      </c>
      <c r="G1477" t="str">
        <f>""</f>
        <v/>
      </c>
      <c r="I1477" t="str">
        <f>"Inv# 200434942"</f>
        <v>Inv# 200434942</v>
      </c>
    </row>
    <row r="1478" spans="1:9" x14ac:dyDescent="0.3">
      <c r="A1478" t="str">
        <f>""</f>
        <v/>
      </c>
      <c r="F1478" t="str">
        <f>""</f>
        <v/>
      </c>
      <c r="G1478" t="str">
        <f>""</f>
        <v/>
      </c>
      <c r="I1478" t="str">
        <f>"Inv# 300406740"</f>
        <v>Inv# 300406740</v>
      </c>
    </row>
    <row r="1479" spans="1:9" x14ac:dyDescent="0.3">
      <c r="A1479" t="str">
        <f>"TULL"</f>
        <v>TULL</v>
      </c>
      <c r="B1479" t="s">
        <v>469</v>
      </c>
      <c r="C1479">
        <v>73091</v>
      </c>
      <c r="D1479" s="2">
        <v>1750</v>
      </c>
      <c r="E1479" s="1">
        <v>43018</v>
      </c>
      <c r="F1479" t="str">
        <f>"201709285159"</f>
        <v>201709285159</v>
      </c>
      <c r="G1479" t="str">
        <f>"16 286"</f>
        <v>16 286</v>
      </c>
      <c r="H1479" s="2">
        <v>400</v>
      </c>
      <c r="I1479" t="str">
        <f>"16 286"</f>
        <v>16 286</v>
      </c>
    </row>
    <row r="1480" spans="1:9" x14ac:dyDescent="0.3">
      <c r="A1480" t="str">
        <f>""</f>
        <v/>
      </c>
      <c r="F1480" t="str">
        <f>"201709285160"</f>
        <v>201709285160</v>
      </c>
      <c r="G1480" t="str">
        <f>"16 289/DCPC-17-083/EPD7109743"</f>
        <v>16 289/DCPC-17-083/EPD7109743</v>
      </c>
      <c r="H1480" s="2">
        <v>600</v>
      </c>
      <c r="I1480" t="str">
        <f>"16 289/DCPC-17-083/EPD7109743"</f>
        <v>16 289/DCPC-17-083/EPD7109743</v>
      </c>
    </row>
    <row r="1481" spans="1:9" x14ac:dyDescent="0.3">
      <c r="A1481" t="str">
        <f>""</f>
        <v/>
      </c>
      <c r="F1481" t="str">
        <f>"201710045366"</f>
        <v>201710045366</v>
      </c>
      <c r="G1481" t="str">
        <f>"55 190  CH-20170503-C"</f>
        <v>55 190  CH-20170503-C</v>
      </c>
      <c r="H1481" s="2">
        <v>375</v>
      </c>
      <c r="I1481" t="str">
        <f>"55 190  CH-20170503-C"</f>
        <v>55 190  CH-20170503-C</v>
      </c>
    </row>
    <row r="1482" spans="1:9" x14ac:dyDescent="0.3">
      <c r="A1482" t="str">
        <f>""</f>
        <v/>
      </c>
      <c r="F1482" t="str">
        <f>"201710045367"</f>
        <v>201710045367</v>
      </c>
      <c r="G1482" t="str">
        <f>"55 135  404206-5JP4"</f>
        <v>55 135  404206-5JP4</v>
      </c>
      <c r="H1482" s="2">
        <v>375</v>
      </c>
      <c r="I1482" t="str">
        <f>"55 135  404206-5JP4"</f>
        <v>55 135  404206-5JP4</v>
      </c>
    </row>
    <row r="1483" spans="1:9" x14ac:dyDescent="0.3">
      <c r="A1483" t="str">
        <f>"TULL"</f>
        <v>TULL</v>
      </c>
      <c r="B1483" t="s">
        <v>469</v>
      </c>
      <c r="C1483">
        <v>73340</v>
      </c>
      <c r="D1483" s="2">
        <v>1450</v>
      </c>
      <c r="E1483" s="1">
        <v>43031</v>
      </c>
      <c r="F1483" t="str">
        <f>"201710135691"</f>
        <v>201710135691</v>
      </c>
      <c r="G1483" t="str">
        <f>"15128  10/3/17"</f>
        <v>15128  10/3/17</v>
      </c>
      <c r="H1483" s="2">
        <v>400</v>
      </c>
      <c r="I1483" t="str">
        <f>"15128  10/3/17"</f>
        <v>15128  10/3/17</v>
      </c>
    </row>
    <row r="1484" spans="1:9" x14ac:dyDescent="0.3">
      <c r="A1484" t="str">
        <f>""</f>
        <v/>
      </c>
      <c r="F1484" t="str">
        <f>"201710135692"</f>
        <v>201710135692</v>
      </c>
      <c r="G1484" t="str">
        <f>"16 367  C170090  4051773"</f>
        <v>16 367  C170090  4051773</v>
      </c>
      <c r="H1484" s="2">
        <v>800</v>
      </c>
      <c r="I1484" t="str">
        <f>"16 367  C170090  4051773"</f>
        <v>16 367  C170090  4051773</v>
      </c>
    </row>
    <row r="1485" spans="1:9" x14ac:dyDescent="0.3">
      <c r="A1485" t="str">
        <f>""</f>
        <v/>
      </c>
      <c r="F1485" t="str">
        <f>"201710185806"</f>
        <v>201710185806</v>
      </c>
      <c r="G1485" t="str">
        <f>"20170131D"</f>
        <v>20170131D</v>
      </c>
      <c r="H1485" s="2">
        <v>250</v>
      </c>
      <c r="I1485" t="str">
        <f>"20170131D"</f>
        <v>20170131D</v>
      </c>
    </row>
    <row r="1486" spans="1:9" x14ac:dyDescent="0.3">
      <c r="A1486" t="str">
        <f>"TWC"</f>
        <v>TWC</v>
      </c>
      <c r="B1486" t="s">
        <v>470</v>
      </c>
      <c r="C1486">
        <v>73092</v>
      </c>
      <c r="D1486" s="2">
        <v>1750</v>
      </c>
      <c r="E1486" s="1">
        <v>43018</v>
      </c>
      <c r="F1486" t="str">
        <f>"WTR0048669/670/671"</f>
        <v>WTR0048669/670/671</v>
      </c>
      <c r="G1486" t="str">
        <f>"ACCT#0620010/BASTROP COUNTY"</f>
        <v>ACCT#0620010/BASTROP COUNTY</v>
      </c>
      <c r="H1486" s="2">
        <v>1750</v>
      </c>
      <c r="I1486" t="str">
        <f>"ACCT#0620010/BASTROP COUNTY"</f>
        <v>ACCT#0620010/BASTROP COUNTY</v>
      </c>
    </row>
    <row r="1487" spans="1:9" x14ac:dyDescent="0.3">
      <c r="A1487" t="str">
        <f>"000651"</f>
        <v>000651</v>
      </c>
      <c r="B1487" t="s">
        <v>471</v>
      </c>
      <c r="C1487">
        <v>73341</v>
      </c>
      <c r="D1487" s="2">
        <v>200</v>
      </c>
      <c r="E1487" s="1">
        <v>43031</v>
      </c>
      <c r="F1487" t="str">
        <f>"236245"</f>
        <v>236245</v>
      </c>
      <c r="G1487" t="str">
        <f>"MEMBERSHIP DUES-9/1/17-8/31/18"</f>
        <v>MEMBERSHIP DUES-9/1/17-8/31/18</v>
      </c>
      <c r="H1487" s="2">
        <v>200</v>
      </c>
      <c r="I1487" t="str">
        <f>"MEMBERSHIP DUES-9/1/17-8/31/18"</f>
        <v>MEMBERSHIP DUES-9/1/17-8/31/18</v>
      </c>
    </row>
    <row r="1488" spans="1:9" x14ac:dyDescent="0.3">
      <c r="A1488" t="str">
        <f>"000599"</f>
        <v>000599</v>
      </c>
      <c r="B1488" t="s">
        <v>472</v>
      </c>
      <c r="C1488">
        <v>73342</v>
      </c>
      <c r="D1488" s="2">
        <v>270.3</v>
      </c>
      <c r="E1488" s="1">
        <v>43031</v>
      </c>
      <c r="F1488" t="str">
        <f>"91111971"</f>
        <v>91111971</v>
      </c>
      <c r="G1488" t="str">
        <f>"ULINE"</f>
        <v>ULINE</v>
      </c>
      <c r="H1488" s="2">
        <v>270.3</v>
      </c>
      <c r="I1488" t="str">
        <f>"S-12832"</f>
        <v>S-12832</v>
      </c>
    </row>
    <row r="1489" spans="1:9" x14ac:dyDescent="0.3">
      <c r="A1489" t="str">
        <f>""</f>
        <v/>
      </c>
      <c r="F1489" t="str">
        <f>""</f>
        <v/>
      </c>
      <c r="G1489" t="str">
        <f>""</f>
        <v/>
      </c>
      <c r="I1489" t="str">
        <f>"Shipping"</f>
        <v>Shipping</v>
      </c>
    </row>
    <row r="1490" spans="1:9" x14ac:dyDescent="0.3">
      <c r="A1490" t="str">
        <f>"T5424"</f>
        <v>T5424</v>
      </c>
      <c r="B1490" t="s">
        <v>473</v>
      </c>
      <c r="C1490">
        <v>73093</v>
      </c>
      <c r="D1490" s="2">
        <v>519.83000000000004</v>
      </c>
      <c r="E1490" s="1">
        <v>43018</v>
      </c>
      <c r="F1490" t="str">
        <f>"201710045283"</f>
        <v>201710045283</v>
      </c>
      <c r="G1490" t="str">
        <f>"MEALS/LODGING/MILEAGE"</f>
        <v>MEALS/LODGING/MILEAGE</v>
      </c>
      <c r="H1490" s="2">
        <v>519.83000000000004</v>
      </c>
      <c r="I1490" t="str">
        <f>"MEALS/LODGING/MILEAGE"</f>
        <v>MEALS/LODGING/MILEAGE</v>
      </c>
    </row>
    <row r="1491" spans="1:9" x14ac:dyDescent="0.3">
      <c r="A1491" t="str">
        <f>""</f>
        <v/>
      </c>
      <c r="F1491" t="str">
        <f>""</f>
        <v/>
      </c>
      <c r="G1491" t="str">
        <f>""</f>
        <v/>
      </c>
      <c r="I1491" t="str">
        <f>"MEALS/LODGING/MILEAGE"</f>
        <v>MEALS/LODGING/MILEAGE</v>
      </c>
    </row>
    <row r="1492" spans="1:9" x14ac:dyDescent="0.3">
      <c r="A1492" t="str">
        <f>"005231"</f>
        <v>005231</v>
      </c>
      <c r="B1492" t="s">
        <v>474</v>
      </c>
      <c r="C1492">
        <v>73094</v>
      </c>
      <c r="D1492" s="2">
        <v>1049.6400000000001</v>
      </c>
      <c r="E1492" s="1">
        <v>43018</v>
      </c>
      <c r="F1492" t="str">
        <f>"201709275149"</f>
        <v>201709275149</v>
      </c>
      <c r="G1492" t="str">
        <f>"ACCT#1120/DAKOTA"</f>
        <v>ACCT#1120/DAKOTA</v>
      </c>
      <c r="H1492" s="2">
        <v>927.14</v>
      </c>
      <c r="I1492" t="str">
        <f>"ACCT#1120/DAKOTA"</f>
        <v>ACCT#1120/DAKOTA</v>
      </c>
    </row>
    <row r="1493" spans="1:9" x14ac:dyDescent="0.3">
      <c r="A1493" t="str">
        <f>""</f>
        <v/>
      </c>
      <c r="F1493" t="str">
        <f>"201709275150"</f>
        <v>201709275150</v>
      </c>
      <c r="G1493" t="str">
        <f>"ACCT#1120/SQUEAKS"</f>
        <v>ACCT#1120/SQUEAKS</v>
      </c>
      <c r="H1493" s="2">
        <v>122.5</v>
      </c>
      <c r="I1493" t="str">
        <f>"ACCT#1120/SQUEAKS"</f>
        <v>ACCT#1120/SQUEAKS</v>
      </c>
    </row>
    <row r="1494" spans="1:9" x14ac:dyDescent="0.3">
      <c r="A1494" t="str">
        <f>"001445"</f>
        <v>001445</v>
      </c>
      <c r="B1494" t="s">
        <v>475</v>
      </c>
      <c r="C1494">
        <v>73095</v>
      </c>
      <c r="D1494" s="2">
        <v>49.41</v>
      </c>
      <c r="E1494" s="1">
        <v>43018</v>
      </c>
      <c r="F1494" t="str">
        <f>"2004070"</f>
        <v>2004070</v>
      </c>
      <c r="G1494" t="str">
        <f>"REMOTE BIRTH ACCESS/SEP 1-30"</f>
        <v>REMOTE BIRTH ACCESS/SEP 1-30</v>
      </c>
      <c r="H1494" s="2">
        <v>49.41</v>
      </c>
      <c r="I1494" t="str">
        <f>"REMOTE BIRTH ACCESS/SEP 1-30"</f>
        <v>REMOTE BIRTH ACCESS/SEP 1-30</v>
      </c>
    </row>
    <row r="1495" spans="1:9" x14ac:dyDescent="0.3">
      <c r="A1495" t="str">
        <f>"T14369"</f>
        <v>T14369</v>
      </c>
      <c r="B1495" t="s">
        <v>476</v>
      </c>
      <c r="C1495">
        <v>73096</v>
      </c>
      <c r="D1495" s="2">
        <v>32174.2</v>
      </c>
      <c r="E1495" s="1">
        <v>43018</v>
      </c>
      <c r="F1495" t="str">
        <f>"12456"</f>
        <v>12456</v>
      </c>
      <c r="G1495" t="str">
        <f>"VEMACS SUPPORT 10/1/17-9/30/18"</f>
        <v>VEMACS SUPPORT 10/1/17-9/30/18</v>
      </c>
      <c r="H1495" s="2">
        <v>24894.2</v>
      </c>
      <c r="I1495" t="str">
        <f>"VEMACS SUPPORT 10/1/17-9/30/18"</f>
        <v>VEMACS SUPPORT 10/1/17-9/30/18</v>
      </c>
    </row>
    <row r="1496" spans="1:9" x14ac:dyDescent="0.3">
      <c r="A1496" t="str">
        <f>""</f>
        <v/>
      </c>
      <c r="F1496" t="str">
        <f>"12457"</f>
        <v>12457</v>
      </c>
      <c r="G1496" t="str">
        <f>"VOTESAFE SUPP. 10/1/17-9/30/18"</f>
        <v>VOTESAFE SUPP. 10/1/17-9/30/18</v>
      </c>
      <c r="H1496" s="2">
        <v>3780</v>
      </c>
      <c r="I1496" t="str">
        <f>"VOTESAFE SUPP. 10/1/17-9/30/18"</f>
        <v>VOTESAFE SUPP. 10/1/17-9/30/18</v>
      </c>
    </row>
    <row r="1497" spans="1:9" x14ac:dyDescent="0.3">
      <c r="A1497" t="str">
        <f>""</f>
        <v/>
      </c>
      <c r="F1497" t="str">
        <f>"12610"</f>
        <v>12610</v>
      </c>
      <c r="G1497" t="str">
        <f>"NCOA VOTER PROCESSING"</f>
        <v>NCOA VOTER PROCESSING</v>
      </c>
      <c r="H1497" s="2">
        <v>3500</v>
      </c>
      <c r="I1497" t="str">
        <f>"NCOA VOTER PROCESSING"</f>
        <v>NCOA VOTER PROCESSING</v>
      </c>
    </row>
    <row r="1498" spans="1:9" x14ac:dyDescent="0.3">
      <c r="A1498" t="str">
        <f>"VI"</f>
        <v>VI</v>
      </c>
      <c r="B1498" t="s">
        <v>477</v>
      </c>
      <c r="C1498">
        <v>73343</v>
      </c>
      <c r="D1498" s="2">
        <v>809.6</v>
      </c>
      <c r="E1498" s="1">
        <v>43031</v>
      </c>
      <c r="F1498" t="str">
        <f>"314186"</f>
        <v>314186</v>
      </c>
      <c r="G1498" t="str">
        <f>"Materials"</f>
        <v>Materials</v>
      </c>
      <c r="H1498" s="2">
        <v>809.6</v>
      </c>
      <c r="I1498" t="s">
        <v>478</v>
      </c>
    </row>
    <row r="1499" spans="1:9" x14ac:dyDescent="0.3">
      <c r="A1499" t="str">
        <f>""</f>
        <v/>
      </c>
      <c r="F1499" t="str">
        <f>""</f>
        <v/>
      </c>
      <c r="G1499" t="str">
        <f>""</f>
        <v/>
      </c>
      <c r="I1499" t="s">
        <v>479</v>
      </c>
    </row>
    <row r="1500" spans="1:9" x14ac:dyDescent="0.3">
      <c r="A1500" t="str">
        <f>"004767"</f>
        <v>004767</v>
      </c>
      <c r="B1500" t="s">
        <v>480</v>
      </c>
      <c r="C1500">
        <v>73344</v>
      </c>
      <c r="D1500" s="2">
        <v>590.29999999999995</v>
      </c>
      <c r="E1500" s="1">
        <v>43031</v>
      </c>
      <c r="F1500" t="str">
        <f>"0117-DR14926"</f>
        <v>0117-DR14926</v>
      </c>
      <c r="G1500" t="str">
        <f>"CLIENT ID:CXD 14926/JAN 2017"</f>
        <v>CLIENT ID:CXD 14926/JAN 2017</v>
      </c>
      <c r="H1500" s="2">
        <v>107.65</v>
      </c>
      <c r="I1500" t="str">
        <f>"CLIENT ID:CXD 14926/JAN 2017"</f>
        <v>CLIENT ID:CXD 14926/JAN 2017</v>
      </c>
    </row>
    <row r="1501" spans="1:9" x14ac:dyDescent="0.3">
      <c r="A1501" t="str">
        <f>""</f>
        <v/>
      </c>
      <c r="F1501" t="str">
        <f>"0217-DR14926"</f>
        <v>0217-DR14926</v>
      </c>
      <c r="G1501" t="str">
        <f>"CLIENT ID:CXD 14926/FEB 2017"</f>
        <v>CLIENT ID:CXD 14926/FEB 2017</v>
      </c>
      <c r="H1501" s="2">
        <v>126.8</v>
      </c>
      <c r="I1501" t="str">
        <f>"CLIENT ID:CXD 14926/FEB 2017"</f>
        <v>CLIENT ID:CXD 14926/FEB 2017</v>
      </c>
    </row>
    <row r="1502" spans="1:9" x14ac:dyDescent="0.3">
      <c r="A1502" t="str">
        <f>""</f>
        <v/>
      </c>
      <c r="F1502" t="str">
        <f>"0917-DR14926"</f>
        <v>0917-DR14926</v>
      </c>
      <c r="G1502" t="str">
        <f>"CLIENT ID#CXD 14926"</f>
        <v>CLIENT ID#CXD 14926</v>
      </c>
      <c r="H1502" s="2">
        <v>139.44999999999999</v>
      </c>
      <c r="I1502" t="str">
        <f>"CLIENT ID#CXD 14926"</f>
        <v>CLIENT ID#CXD 14926</v>
      </c>
    </row>
    <row r="1503" spans="1:9" x14ac:dyDescent="0.3">
      <c r="A1503" t="str">
        <f>""</f>
        <v/>
      </c>
      <c r="F1503" t="str">
        <f>"1216-DR14926"</f>
        <v>1216-DR14926</v>
      </c>
      <c r="G1503" t="str">
        <f>"CLIENT ID:CXD 14926/DEC 2016"</f>
        <v>CLIENT ID:CXD 14926/DEC 2016</v>
      </c>
      <c r="H1503" s="2">
        <v>216.4</v>
      </c>
      <c r="I1503" t="str">
        <f>"CLIENT ID:CXD 14926/DEC 2016"</f>
        <v>CLIENT ID:CXD 14926/DEC 2016</v>
      </c>
    </row>
    <row r="1504" spans="1:9" x14ac:dyDescent="0.3">
      <c r="A1504" t="str">
        <f>"003629"</f>
        <v>003629</v>
      </c>
      <c r="B1504" t="s">
        <v>481</v>
      </c>
      <c r="C1504">
        <v>999999</v>
      </c>
      <c r="D1504" s="2">
        <v>2663.73</v>
      </c>
      <c r="E1504" s="1">
        <v>43019</v>
      </c>
      <c r="F1504" t="str">
        <f>"12906"</f>
        <v>12906</v>
      </c>
      <c r="G1504" t="str">
        <f>"COLD MIX/PCT#4"</f>
        <v>COLD MIX/PCT#4</v>
      </c>
      <c r="H1504" s="2">
        <v>2653.73</v>
      </c>
      <c r="I1504" t="str">
        <f>"COLD MIX/PCT#4"</f>
        <v>COLD MIX/PCT#4</v>
      </c>
    </row>
    <row r="1505" spans="1:9" x14ac:dyDescent="0.3">
      <c r="A1505" t="str">
        <f>""</f>
        <v/>
      </c>
      <c r="F1505" t="str">
        <f>"3436"</f>
        <v>3436</v>
      </c>
      <c r="G1505" t="str">
        <f>"FREIGHT/PCT#4"</f>
        <v>FREIGHT/PCT#4</v>
      </c>
      <c r="H1505" s="2">
        <v>10</v>
      </c>
      <c r="I1505" t="str">
        <f>"FREIGHT/PCT#4"</f>
        <v>FREIGHT/PCT#4</v>
      </c>
    </row>
    <row r="1506" spans="1:9" x14ac:dyDescent="0.3">
      <c r="A1506" t="str">
        <f>"003629"</f>
        <v>003629</v>
      </c>
      <c r="B1506" t="s">
        <v>481</v>
      </c>
      <c r="C1506">
        <v>999999</v>
      </c>
      <c r="D1506" s="2">
        <v>5146.53</v>
      </c>
      <c r="E1506" s="1">
        <v>43032</v>
      </c>
      <c r="F1506" t="str">
        <f>"12995"</f>
        <v>12995</v>
      </c>
      <c r="G1506" t="str">
        <f>"TICKET#015811/COLD MIX/FRT/P4"</f>
        <v>TICKET#015811/COLD MIX/FRT/P4</v>
      </c>
      <c r="H1506" s="2">
        <v>2568.65</v>
      </c>
      <c r="I1506" t="str">
        <f>"TICKET#015811/COLD MIX/FRT/P4"</f>
        <v>TICKET#015811/COLD MIX/FRT/P4</v>
      </c>
    </row>
    <row r="1507" spans="1:9" x14ac:dyDescent="0.3">
      <c r="A1507" t="str">
        <f>""</f>
        <v/>
      </c>
      <c r="F1507" t="str">
        <f>"13020"</f>
        <v>13020</v>
      </c>
      <c r="G1507" t="str">
        <f>"COLD MIX/PCT#4"</f>
        <v>COLD MIX/PCT#4</v>
      </c>
      <c r="H1507" s="2">
        <v>2577.88</v>
      </c>
      <c r="I1507" t="str">
        <f>"COLD MIX/PCT#4"</f>
        <v>COLD MIX/PCT#4</v>
      </c>
    </row>
    <row r="1508" spans="1:9" x14ac:dyDescent="0.3">
      <c r="A1508" t="str">
        <f>"WALMAR"</f>
        <v>WALMAR</v>
      </c>
      <c r="B1508" t="s">
        <v>482</v>
      </c>
      <c r="C1508">
        <v>73097</v>
      </c>
      <c r="D1508" s="2">
        <v>1029.17</v>
      </c>
      <c r="E1508" s="1">
        <v>43018</v>
      </c>
      <c r="F1508" t="str">
        <f>"#6032202005312476"</f>
        <v>#6032202005312476</v>
      </c>
      <c r="G1508" t="str">
        <f>"Acct# 6032202005312476"</f>
        <v>Acct# 6032202005312476</v>
      </c>
      <c r="H1508" s="2">
        <v>1029.17</v>
      </c>
      <c r="I1508" t="str">
        <f>"Inv# 001360"</f>
        <v>Inv# 001360</v>
      </c>
    </row>
    <row r="1509" spans="1:9" x14ac:dyDescent="0.3">
      <c r="A1509" t="str">
        <f>""</f>
        <v/>
      </c>
      <c r="F1509" t="str">
        <f>""</f>
        <v/>
      </c>
      <c r="G1509" t="str">
        <f>""</f>
        <v/>
      </c>
      <c r="I1509" t="str">
        <f>"Inv# 005453"</f>
        <v>Inv# 005453</v>
      </c>
    </row>
    <row r="1510" spans="1:9" x14ac:dyDescent="0.3">
      <c r="A1510" t="str">
        <f>""</f>
        <v/>
      </c>
      <c r="F1510" t="str">
        <f>""</f>
        <v/>
      </c>
      <c r="G1510" t="str">
        <f>""</f>
        <v/>
      </c>
      <c r="I1510" t="str">
        <f>"Inv# 006992"</f>
        <v>Inv# 006992</v>
      </c>
    </row>
    <row r="1511" spans="1:9" x14ac:dyDescent="0.3">
      <c r="A1511" t="str">
        <f>""</f>
        <v/>
      </c>
      <c r="F1511" t="str">
        <f>""</f>
        <v/>
      </c>
      <c r="G1511" t="str">
        <f>""</f>
        <v/>
      </c>
      <c r="I1511" t="str">
        <f>"Inv# 000556"</f>
        <v>Inv# 000556</v>
      </c>
    </row>
    <row r="1512" spans="1:9" x14ac:dyDescent="0.3">
      <c r="A1512" t="str">
        <f>""</f>
        <v/>
      </c>
      <c r="F1512" t="str">
        <f>""</f>
        <v/>
      </c>
      <c r="G1512" t="str">
        <f>""</f>
        <v/>
      </c>
      <c r="I1512" t="str">
        <f>"Inv# 000556"</f>
        <v>Inv# 000556</v>
      </c>
    </row>
    <row r="1513" spans="1:9" x14ac:dyDescent="0.3">
      <c r="A1513" t="str">
        <f>""</f>
        <v/>
      </c>
      <c r="F1513" t="str">
        <f>""</f>
        <v/>
      </c>
      <c r="G1513" t="str">
        <f>""</f>
        <v/>
      </c>
      <c r="I1513" t="str">
        <f>"Inv# 004761"</f>
        <v>Inv# 004761</v>
      </c>
    </row>
    <row r="1514" spans="1:9" x14ac:dyDescent="0.3">
      <c r="A1514" t="str">
        <f>""</f>
        <v/>
      </c>
      <c r="F1514" t="str">
        <f>""</f>
        <v/>
      </c>
      <c r="G1514" t="str">
        <f>""</f>
        <v/>
      </c>
      <c r="I1514" t="str">
        <f>"Inv# 001147"</f>
        <v>Inv# 001147</v>
      </c>
    </row>
    <row r="1515" spans="1:9" x14ac:dyDescent="0.3">
      <c r="A1515" t="str">
        <f>""</f>
        <v/>
      </c>
      <c r="F1515" t="str">
        <f>""</f>
        <v/>
      </c>
      <c r="G1515" t="str">
        <f>""</f>
        <v/>
      </c>
      <c r="I1515" t="str">
        <f>"Inv# 004851"</f>
        <v>Inv# 004851</v>
      </c>
    </row>
    <row r="1516" spans="1:9" x14ac:dyDescent="0.3">
      <c r="A1516" t="str">
        <f>""</f>
        <v/>
      </c>
      <c r="F1516" t="str">
        <f>""</f>
        <v/>
      </c>
      <c r="G1516" t="str">
        <f>""</f>
        <v/>
      </c>
      <c r="I1516" t="str">
        <f>"Inv# 006322"</f>
        <v>Inv# 006322</v>
      </c>
    </row>
    <row r="1517" spans="1:9" x14ac:dyDescent="0.3">
      <c r="A1517" t="str">
        <f>""</f>
        <v/>
      </c>
      <c r="F1517" t="str">
        <f>""</f>
        <v/>
      </c>
      <c r="G1517" t="str">
        <f>""</f>
        <v/>
      </c>
      <c r="I1517" t="str">
        <f>"Inv# 009638"</f>
        <v>Inv# 009638</v>
      </c>
    </row>
    <row r="1518" spans="1:9" x14ac:dyDescent="0.3">
      <c r="A1518" t="str">
        <f>""</f>
        <v/>
      </c>
      <c r="F1518" t="str">
        <f>""</f>
        <v/>
      </c>
      <c r="G1518" t="str">
        <f>""</f>
        <v/>
      </c>
      <c r="I1518" t="str">
        <f>"Inv# 004147"</f>
        <v>Inv# 004147</v>
      </c>
    </row>
    <row r="1519" spans="1:9" x14ac:dyDescent="0.3">
      <c r="A1519" t="str">
        <f>""</f>
        <v/>
      </c>
      <c r="F1519" t="str">
        <f>""</f>
        <v/>
      </c>
      <c r="G1519" t="str">
        <f>""</f>
        <v/>
      </c>
      <c r="I1519" t="str">
        <f>"Inv# 005804"</f>
        <v>Inv# 005804</v>
      </c>
    </row>
    <row r="1520" spans="1:9" x14ac:dyDescent="0.3">
      <c r="A1520" t="str">
        <f>""</f>
        <v/>
      </c>
      <c r="F1520" t="str">
        <f>""</f>
        <v/>
      </c>
      <c r="G1520" t="str">
        <f>""</f>
        <v/>
      </c>
      <c r="I1520" t="str">
        <f>"Inv# 002887"</f>
        <v>Inv# 002887</v>
      </c>
    </row>
    <row r="1521" spans="1:9" x14ac:dyDescent="0.3">
      <c r="A1521" t="str">
        <f>""</f>
        <v/>
      </c>
      <c r="F1521" t="str">
        <f>""</f>
        <v/>
      </c>
      <c r="G1521" t="str">
        <f>""</f>
        <v/>
      </c>
      <c r="I1521" t="str">
        <f>"Inv# 006890"</f>
        <v>Inv# 006890</v>
      </c>
    </row>
    <row r="1522" spans="1:9" x14ac:dyDescent="0.3">
      <c r="A1522" t="str">
        <f>""</f>
        <v/>
      </c>
      <c r="F1522" t="str">
        <f>""</f>
        <v/>
      </c>
      <c r="G1522" t="str">
        <f>""</f>
        <v/>
      </c>
      <c r="I1522" t="str">
        <f>"Inv# 003606"</f>
        <v>Inv# 003606</v>
      </c>
    </row>
    <row r="1523" spans="1:9" x14ac:dyDescent="0.3">
      <c r="A1523" t="str">
        <f>"004310"</f>
        <v>004310</v>
      </c>
      <c r="B1523" t="s">
        <v>483</v>
      </c>
      <c r="C1523">
        <v>73345</v>
      </c>
      <c r="D1523" s="2">
        <v>226.24</v>
      </c>
      <c r="E1523" s="1">
        <v>43031</v>
      </c>
      <c r="F1523" t="str">
        <f>"0035091-2162-4"</f>
        <v>0035091-2162-4</v>
      </c>
      <c r="G1523" t="str">
        <f>"WASTE-ANIMAL CONTROL"</f>
        <v>WASTE-ANIMAL CONTROL</v>
      </c>
      <c r="H1523" s="2">
        <v>226.24</v>
      </c>
      <c r="I1523" t="str">
        <f>"WASTE-ANIMAL CONTROL"</f>
        <v>WASTE-ANIMAL CONTROL</v>
      </c>
    </row>
    <row r="1524" spans="1:9" x14ac:dyDescent="0.3">
      <c r="A1524" t="str">
        <f>"004877"</f>
        <v>004877</v>
      </c>
      <c r="B1524" t="s">
        <v>484</v>
      </c>
      <c r="C1524">
        <v>73098</v>
      </c>
      <c r="D1524" s="2">
        <v>6446.5</v>
      </c>
      <c r="E1524" s="1">
        <v>43018</v>
      </c>
      <c r="F1524" t="str">
        <f>"1701797702"</f>
        <v>1701797702</v>
      </c>
      <c r="G1524" t="str">
        <f>"ACCT#5150-005129483/DEVELOPMEN"</f>
        <v>ACCT#5150-005129483/DEVELOPMEN</v>
      </c>
      <c r="H1524" s="2">
        <v>6446.5</v>
      </c>
      <c r="I1524" t="str">
        <f>"ACCT#5150-005129483/DEVELOPMEN"</f>
        <v>ACCT#5150-005129483/DEVELOPMEN</v>
      </c>
    </row>
    <row r="1525" spans="1:9" x14ac:dyDescent="0.3">
      <c r="A1525" t="str">
        <f>"004877"</f>
        <v>004877</v>
      </c>
      <c r="B1525" t="s">
        <v>484</v>
      </c>
      <c r="C1525">
        <v>73346</v>
      </c>
      <c r="D1525" s="2">
        <v>7621.51</v>
      </c>
      <c r="E1525" s="1">
        <v>43031</v>
      </c>
      <c r="F1525" t="str">
        <f>"1701805451"</f>
        <v>1701805451</v>
      </c>
      <c r="G1525" t="str">
        <f>"ROLL OFF &amp; DUMP"</f>
        <v>ROLL OFF &amp; DUMP</v>
      </c>
      <c r="H1525" s="2">
        <v>6501</v>
      </c>
      <c r="I1525" t="str">
        <f>"ROLL OFF &amp; DUMP"</f>
        <v>ROLL OFF &amp; DUMP</v>
      </c>
    </row>
    <row r="1526" spans="1:9" x14ac:dyDescent="0.3">
      <c r="A1526" t="str">
        <f>""</f>
        <v/>
      </c>
      <c r="F1526" t="str">
        <f>"1701806374"</f>
        <v>1701806374</v>
      </c>
      <c r="G1526" t="str">
        <f>"ACCT#5151-005117630/COURTHOUSE"</f>
        <v>ACCT#5151-005117630/COURTHOUSE</v>
      </c>
      <c r="H1526" s="2">
        <v>226.82</v>
      </c>
      <c r="I1526" t="str">
        <f>"ACCT#5151-005117630/COURTHOUSE"</f>
        <v>ACCT#5151-005117630/COURTHOUSE</v>
      </c>
    </row>
    <row r="1527" spans="1:9" x14ac:dyDescent="0.3">
      <c r="A1527" t="str">
        <f>""</f>
        <v/>
      </c>
      <c r="F1527" t="str">
        <f>"1701806375"</f>
        <v>1701806375</v>
      </c>
      <c r="G1527" t="str">
        <f>"ACCT#5151-005117766"</f>
        <v>ACCT#5151-005117766</v>
      </c>
      <c r="H1527" s="2">
        <v>104.64</v>
      </c>
      <c r="I1527" t="str">
        <f>"ACCT#5151-005117766"</f>
        <v>ACCT#5151-005117766</v>
      </c>
    </row>
    <row r="1528" spans="1:9" x14ac:dyDescent="0.3">
      <c r="A1528" t="str">
        <f>""</f>
        <v/>
      </c>
      <c r="F1528" t="str">
        <f>"1701806376"</f>
        <v>1701806376</v>
      </c>
      <c r="G1528" t="str">
        <f>"ACCT#5151-005117838/DPS"</f>
        <v>ACCT#5151-005117838/DPS</v>
      </c>
      <c r="H1528" s="2">
        <v>96.85</v>
      </c>
      <c r="I1528" t="str">
        <f>"ACCT#5151-005117838/DPS"</f>
        <v>ACCT#5151-005117838/DPS</v>
      </c>
    </row>
    <row r="1529" spans="1:9" x14ac:dyDescent="0.3">
      <c r="A1529" t="str">
        <f>""</f>
        <v/>
      </c>
      <c r="F1529" t="str">
        <f>"1701806378"</f>
        <v>1701806378</v>
      </c>
      <c r="G1529" t="str">
        <f>"ACCT#5151-005117882/211 JACKSO"</f>
        <v>ACCT#5151-005117882/211 JACKSO</v>
      </c>
      <c r="H1529" s="2">
        <v>130.78</v>
      </c>
      <c r="I1529" t="str">
        <f>"ACCT#5151-005117882/211 JACKSO"</f>
        <v>ACCT#5151-005117882/211 JACKSO</v>
      </c>
    </row>
    <row r="1530" spans="1:9" x14ac:dyDescent="0.3">
      <c r="A1530" t="str">
        <f>""</f>
        <v/>
      </c>
      <c r="F1530" t="str">
        <f>"1701806380"</f>
        <v>1701806380</v>
      </c>
      <c r="G1530" t="str">
        <f>"ACCT#5151-005118183/200 JACKSO"</f>
        <v>ACCT#5151-005118183/200 JACKSO</v>
      </c>
      <c r="H1530" s="2">
        <v>561.41999999999996</v>
      </c>
      <c r="I1530" t="str">
        <f>"ACCT#5151-005118183/200 JACKSO"</f>
        <v>ACCT#5151-005118183/200 JACKSO</v>
      </c>
    </row>
    <row r="1531" spans="1:9" x14ac:dyDescent="0.3">
      <c r="A1531" t="str">
        <f>"004877"</f>
        <v>004877</v>
      </c>
      <c r="B1531" t="s">
        <v>484</v>
      </c>
      <c r="C1531">
        <v>73395</v>
      </c>
      <c r="D1531" s="2">
        <v>8475</v>
      </c>
      <c r="E1531" s="1">
        <v>43038</v>
      </c>
      <c r="F1531" t="str">
        <f>"1701810445"</f>
        <v>1701810445</v>
      </c>
      <c r="G1531" t="str">
        <f>"ACCT#5150-005129483/10152017"</f>
        <v>ACCT#5150-005129483/10152017</v>
      </c>
      <c r="H1531" s="2">
        <v>8475</v>
      </c>
      <c r="I1531" t="str">
        <f>"ACCT#5150-005129483/10152017"</f>
        <v>ACCT#5150-005129483/10152017</v>
      </c>
    </row>
    <row r="1532" spans="1:9" x14ac:dyDescent="0.3">
      <c r="A1532" t="str">
        <f>"LIN"</f>
        <v>LIN</v>
      </c>
      <c r="B1532" t="s">
        <v>485</v>
      </c>
      <c r="C1532">
        <v>999999</v>
      </c>
      <c r="D1532" s="2">
        <v>12500</v>
      </c>
      <c r="E1532" s="1">
        <v>43032</v>
      </c>
      <c r="F1532" t="str">
        <f>"201710175733"</f>
        <v>201710175733</v>
      </c>
      <c r="G1532" t="str">
        <f>"MEDICAL CONTRACT"</f>
        <v>MEDICAL CONTRACT</v>
      </c>
      <c r="H1532" s="2">
        <v>12500</v>
      </c>
      <c r="I1532" t="str">
        <f>"MEDICAL CONTRACT"</f>
        <v>MEDICAL CONTRACT</v>
      </c>
    </row>
    <row r="1533" spans="1:9" x14ac:dyDescent="0.3">
      <c r="A1533" t="str">
        <f>"WPC"</f>
        <v>WPC</v>
      </c>
      <c r="B1533" t="s">
        <v>486</v>
      </c>
      <c r="C1533">
        <v>73099</v>
      </c>
      <c r="D1533" s="2">
        <v>727.5</v>
      </c>
      <c r="E1533" s="1">
        <v>43018</v>
      </c>
      <c r="F1533" t="str">
        <f>"836727065"</f>
        <v>836727065</v>
      </c>
      <c r="G1533" t="str">
        <f>"ACCT#1000648597/INFO. CHRGS"</f>
        <v>ACCT#1000648597/INFO. CHRGS</v>
      </c>
      <c r="H1533" s="2">
        <v>396</v>
      </c>
      <c r="I1533" t="str">
        <f>"ACCT#1000648597/INFO. CHRGS"</f>
        <v>ACCT#1000648597/INFO. CHRGS</v>
      </c>
    </row>
    <row r="1534" spans="1:9" x14ac:dyDescent="0.3">
      <c r="A1534" t="str">
        <f>""</f>
        <v/>
      </c>
      <c r="F1534" t="str">
        <f>"836843513"</f>
        <v>836843513</v>
      </c>
      <c r="G1534" t="str">
        <f>"ACCT#1003035377/SUBS. PRODUCT"</f>
        <v>ACCT#1003035377/SUBS. PRODUCT</v>
      </c>
      <c r="H1534" s="2">
        <v>331.5</v>
      </c>
      <c r="I1534" t="str">
        <f>"ACCT#1003035377/SUBS. PRODUCT"</f>
        <v>ACCT#1003035377/SUBS. PRODUCT</v>
      </c>
    </row>
    <row r="1535" spans="1:9" x14ac:dyDescent="0.3">
      <c r="A1535" t="str">
        <f>"WPC"</f>
        <v>WPC</v>
      </c>
      <c r="B1535" t="s">
        <v>486</v>
      </c>
      <c r="C1535">
        <v>73347</v>
      </c>
      <c r="D1535" s="2">
        <v>527</v>
      </c>
      <c r="E1535" s="1">
        <v>43031</v>
      </c>
      <c r="F1535" t="str">
        <f>"836649910"</f>
        <v>836649910</v>
      </c>
      <c r="G1535" t="str">
        <f>"BILLING#1000536366/SUBSCRIPTIO"</f>
        <v>BILLING#1000536366/SUBSCRIPTIO</v>
      </c>
      <c r="H1535" s="2">
        <v>131</v>
      </c>
      <c r="I1535" t="str">
        <f>"BILLING#1000536366/SUBSCRIPTIO"</f>
        <v>BILLING#1000536366/SUBSCRIPTIO</v>
      </c>
    </row>
    <row r="1536" spans="1:9" x14ac:dyDescent="0.3">
      <c r="A1536" t="str">
        <f>""</f>
        <v/>
      </c>
      <c r="F1536" t="str">
        <f>"836895714"</f>
        <v>836895714</v>
      </c>
      <c r="G1536" t="str">
        <f>"ACCT#1000648597/INFO CHARGES"</f>
        <v>ACCT#1000648597/INFO CHARGES</v>
      </c>
      <c r="H1536" s="2">
        <v>396</v>
      </c>
      <c r="I1536" t="str">
        <f>"ACCT#1000648597/INFO CHARGES"</f>
        <v>ACCT#1000648597/INFO CHARGES</v>
      </c>
    </row>
    <row r="1537" spans="1:9" x14ac:dyDescent="0.3">
      <c r="A1537" t="str">
        <f>"004074"</f>
        <v>004074</v>
      </c>
      <c r="B1537" t="s">
        <v>487</v>
      </c>
      <c r="C1537">
        <v>73348</v>
      </c>
      <c r="D1537" s="2">
        <v>9438.14</v>
      </c>
      <c r="E1537" s="1">
        <v>43031</v>
      </c>
      <c r="F1537" t="str">
        <f>"19057"</f>
        <v>19057</v>
      </c>
      <c r="G1537" t="str">
        <f>"INV 19057"</f>
        <v>INV 19057</v>
      </c>
      <c r="H1537" s="2">
        <v>9438.14</v>
      </c>
      <c r="I1537" t="str">
        <f>"INV 19057"</f>
        <v>INV 19057</v>
      </c>
    </row>
    <row r="1538" spans="1:9" x14ac:dyDescent="0.3">
      <c r="A1538" t="str">
        <f>"003938"</f>
        <v>003938</v>
      </c>
      <c r="B1538" t="s">
        <v>488</v>
      </c>
      <c r="C1538">
        <v>73100</v>
      </c>
      <c r="D1538" s="2">
        <v>700</v>
      </c>
      <c r="E1538" s="1">
        <v>43018</v>
      </c>
      <c r="F1538" t="str">
        <f>"644"</f>
        <v>644</v>
      </c>
      <c r="G1538" t="str">
        <f>"TREE SVCS/ SMITHVILLE ANNEX"</f>
        <v>TREE SVCS/ SMITHVILLE ANNEX</v>
      </c>
      <c r="H1538" s="2">
        <v>700</v>
      </c>
      <c r="I1538" t="str">
        <f>"TREE SVCS/ SMITHVILLE ANNEX"</f>
        <v>TREE SVCS/ SMITHVILLE ANNEX</v>
      </c>
    </row>
    <row r="1539" spans="1:9" x14ac:dyDescent="0.3">
      <c r="A1539" t="str">
        <f>"004240"</f>
        <v>004240</v>
      </c>
      <c r="B1539" t="s">
        <v>489</v>
      </c>
      <c r="C1539">
        <v>73349</v>
      </c>
      <c r="D1539" s="2">
        <v>60768.24</v>
      </c>
      <c r="E1539" s="1">
        <v>43031</v>
      </c>
      <c r="F1539" t="str">
        <f>"1228"</f>
        <v>1228</v>
      </c>
      <c r="G1539" t="str">
        <f>"FENCE INSTALLATION/PCT#2"</f>
        <v>FENCE INSTALLATION/PCT#2</v>
      </c>
      <c r="H1539" s="2">
        <v>3143.4</v>
      </c>
      <c r="I1539" t="str">
        <f>"FENCE INSTALLATION/PCT#2"</f>
        <v>FENCE INSTALLATION/PCT#2</v>
      </c>
    </row>
    <row r="1540" spans="1:9" x14ac:dyDescent="0.3">
      <c r="A1540" t="str">
        <f>""</f>
        <v/>
      </c>
      <c r="F1540" t="str">
        <f>"1231"</f>
        <v>1231</v>
      </c>
      <c r="G1540" t="str">
        <f>"ROAD GRAVEL/PCT#2"</f>
        <v>ROAD GRAVEL/PCT#2</v>
      </c>
      <c r="H1540" s="2">
        <v>4074.84</v>
      </c>
      <c r="I1540" t="str">
        <f>"WJC CONSTRUCTION LLC"</f>
        <v>WJC CONSTRUCTION LLC</v>
      </c>
    </row>
    <row r="1541" spans="1:9" x14ac:dyDescent="0.3">
      <c r="A1541" t="str">
        <f>""</f>
        <v/>
      </c>
      <c r="F1541" t="str">
        <f>"1249"</f>
        <v>1249</v>
      </c>
      <c r="G1541" t="str">
        <f>"ROAD REPAIR/PCT#2"</f>
        <v>ROAD REPAIR/PCT#2</v>
      </c>
      <c r="H1541" s="2">
        <v>53550</v>
      </c>
      <c r="I1541" t="str">
        <f>"ROAD REPAIR/PCT#2"</f>
        <v>ROAD REPAIR/PCT#2</v>
      </c>
    </row>
    <row r="1542" spans="1:9" x14ac:dyDescent="0.3">
      <c r="A1542" t="str">
        <f>"001324"</f>
        <v>001324</v>
      </c>
      <c r="B1542" t="s">
        <v>490</v>
      </c>
      <c r="C1542">
        <v>73101</v>
      </c>
      <c r="D1542" s="2">
        <v>4817.8</v>
      </c>
      <c r="E1542" s="1">
        <v>43018</v>
      </c>
      <c r="F1542" t="str">
        <f>"58419458"</f>
        <v>58419458</v>
      </c>
      <c r="G1542" t="str">
        <f>"Quote# SM170082"</f>
        <v>Quote# SM170082</v>
      </c>
      <c r="H1542" s="2">
        <v>4817.8</v>
      </c>
      <c r="I1542" t="str">
        <f>"AE112NNC"</f>
        <v>AE112NNC</v>
      </c>
    </row>
    <row r="1543" spans="1:9" x14ac:dyDescent="0.3">
      <c r="A1543" t="str">
        <f>""</f>
        <v/>
      </c>
      <c r="F1543" t="str">
        <f>""</f>
        <v/>
      </c>
      <c r="G1543" t="str">
        <f>""</f>
        <v/>
      </c>
      <c r="I1543" t="str">
        <f>"AE722NNBG1"</f>
        <v>AE722NNBG1</v>
      </c>
    </row>
    <row r="1544" spans="1:9" x14ac:dyDescent="0.3">
      <c r="A1544" t="str">
        <f>"005219"</f>
        <v>005219</v>
      </c>
      <c r="B1544" t="s">
        <v>491</v>
      </c>
      <c r="C1544">
        <v>73350</v>
      </c>
      <c r="D1544" s="2">
        <v>5637.96</v>
      </c>
      <c r="E1544" s="1">
        <v>43031</v>
      </c>
      <c r="F1544" t="str">
        <f>"INV299146BAS2001"</f>
        <v>INV299146BAS2001</v>
      </c>
      <c r="G1544" t="str">
        <f>"QUOTE 005378"</f>
        <v>QUOTE 005378</v>
      </c>
      <c r="H1544" s="2">
        <v>5637.96</v>
      </c>
      <c r="I1544" t="str">
        <f>"QUOTE 005378"</f>
        <v>QUOTE 005378</v>
      </c>
    </row>
    <row r="1545" spans="1:9" x14ac:dyDescent="0.3">
      <c r="A1545" t="str">
        <f>""</f>
        <v/>
      </c>
      <c r="F1545" t="str">
        <f>""</f>
        <v/>
      </c>
      <c r="G1545" t="str">
        <f>""</f>
        <v/>
      </c>
      <c r="I1545" t="str">
        <f>"SHIPPING"</f>
        <v>SHIPPING</v>
      </c>
    </row>
    <row r="1546" spans="1:9" x14ac:dyDescent="0.3">
      <c r="A1546" t="str">
        <f>"XEROX"</f>
        <v>XEROX</v>
      </c>
      <c r="B1546" t="s">
        <v>492</v>
      </c>
      <c r="C1546">
        <v>73351</v>
      </c>
      <c r="D1546" s="2">
        <v>177.35</v>
      </c>
      <c r="E1546" s="1">
        <v>43031</v>
      </c>
      <c r="F1546" t="str">
        <f>"090768395"</f>
        <v>090768395</v>
      </c>
      <c r="G1546" t="str">
        <f>"CUST#662445931/TAX OFFICE"</f>
        <v>CUST#662445931/TAX OFFICE</v>
      </c>
      <c r="H1546" s="2">
        <v>106.45</v>
      </c>
      <c r="I1546" t="str">
        <f>"CUST#662445931/TAX OFFICE"</f>
        <v>CUST#662445931/TAX OFFICE</v>
      </c>
    </row>
    <row r="1547" spans="1:9" x14ac:dyDescent="0.3">
      <c r="A1547" t="str">
        <f>""</f>
        <v/>
      </c>
      <c r="F1547" t="str">
        <f>"090768396"</f>
        <v>090768396</v>
      </c>
      <c r="G1547" t="str">
        <f>"CUST#662445931/TAX OFFICE"</f>
        <v>CUST#662445931/TAX OFFICE</v>
      </c>
      <c r="H1547" s="2">
        <v>35.450000000000003</v>
      </c>
      <c r="I1547" t="str">
        <f>"CUST#662445931/TAX OFFICE"</f>
        <v>CUST#662445931/TAX OFFICE</v>
      </c>
    </row>
    <row r="1548" spans="1:9" x14ac:dyDescent="0.3">
      <c r="A1548" t="str">
        <f>""</f>
        <v/>
      </c>
      <c r="F1548" t="str">
        <f>"090768407"</f>
        <v>090768407</v>
      </c>
      <c r="G1548" t="str">
        <f>"CUST#723230843/TAX OFFICE"</f>
        <v>CUST#723230843/TAX OFFICE</v>
      </c>
      <c r="H1548" s="2">
        <v>35.450000000000003</v>
      </c>
      <c r="I1548" t="str">
        <f>"CUST#723230843/TAX OFFICE"</f>
        <v>CUST#723230843/TAX OFFICE</v>
      </c>
    </row>
    <row r="1549" spans="1:9" x14ac:dyDescent="0.3">
      <c r="A1549" t="str">
        <f>"003731"</f>
        <v>003731</v>
      </c>
      <c r="B1549" t="s">
        <v>493</v>
      </c>
      <c r="C1549">
        <v>72915</v>
      </c>
      <c r="D1549" s="2">
        <v>301.70999999999998</v>
      </c>
      <c r="E1549" s="1">
        <v>43018</v>
      </c>
      <c r="F1549" t="str">
        <f>"1090050"</f>
        <v>1090050</v>
      </c>
      <c r="G1549" t="str">
        <f>"TDCA CONFERENCE"</f>
        <v>TDCA CONFERENCE</v>
      </c>
      <c r="H1549" s="2">
        <v>301.70999999999998</v>
      </c>
      <c r="I1549" t="str">
        <f>"TDCA CONFERENCE"</f>
        <v>TDCA CONFERENCE</v>
      </c>
    </row>
    <row r="1550" spans="1:9" x14ac:dyDescent="0.3">
      <c r="A1550" t="str">
        <f>"005225"</f>
        <v>005225</v>
      </c>
      <c r="B1550" t="s">
        <v>494</v>
      </c>
      <c r="C1550">
        <v>73102</v>
      </c>
      <c r="D1550" s="2">
        <v>1066.68</v>
      </c>
      <c r="E1550" s="1">
        <v>43018</v>
      </c>
      <c r="F1550" t="str">
        <f>"29127"</f>
        <v>29127</v>
      </c>
      <c r="G1550" t="str">
        <f>"INV 29127"</f>
        <v>INV 29127</v>
      </c>
      <c r="H1550" s="2">
        <v>861.68</v>
      </c>
      <c r="I1550" t="str">
        <f>"INV 29127"</f>
        <v>INV 29127</v>
      </c>
    </row>
    <row r="1551" spans="1:9" x14ac:dyDescent="0.3">
      <c r="A1551" t="str">
        <f>""</f>
        <v/>
      </c>
      <c r="F1551" t="str">
        <f>"29190"</f>
        <v>29190</v>
      </c>
      <c r="G1551" t="str">
        <f>"INV 29190"</f>
        <v>INV 29190</v>
      </c>
      <c r="H1551" s="2">
        <v>205</v>
      </c>
      <c r="I1551" t="str">
        <f>"INV 29190"</f>
        <v>INV 29190</v>
      </c>
    </row>
    <row r="1552" spans="1:9" x14ac:dyDescent="0.3">
      <c r="A1552" t="str">
        <f>"005225"</f>
        <v>005225</v>
      </c>
      <c r="B1552" t="s">
        <v>494</v>
      </c>
      <c r="C1552">
        <v>73352</v>
      </c>
      <c r="D1552" s="2">
        <v>205</v>
      </c>
      <c r="E1552" s="1">
        <v>43031</v>
      </c>
      <c r="F1552" t="str">
        <f>"29196"</f>
        <v>29196</v>
      </c>
      <c r="G1552" t="str">
        <f>"INV 29196"</f>
        <v>INV 29196</v>
      </c>
      <c r="H1552" s="2">
        <v>205</v>
      </c>
      <c r="I1552" t="str">
        <f>"INV 29196"</f>
        <v>INV 29196</v>
      </c>
    </row>
    <row r="1553" spans="1:9" x14ac:dyDescent="0.3">
      <c r="A1553" t="str">
        <f>"T4634"</f>
        <v>T4634</v>
      </c>
      <c r="B1553" t="s">
        <v>495</v>
      </c>
      <c r="C1553">
        <v>73353</v>
      </c>
      <c r="D1553" s="2">
        <v>297.14</v>
      </c>
      <c r="E1553" s="1">
        <v>43031</v>
      </c>
      <c r="F1553" t="str">
        <f>"9003061361"</f>
        <v>9003061361</v>
      </c>
      <c r="G1553" t="str">
        <f>"CST#31041142/ORD#4002777487/P4"</f>
        <v>CST#31041142/ORD#4002777487/P4</v>
      </c>
      <c r="H1553" s="2">
        <v>297.14</v>
      </c>
      <c r="I1553" t="str">
        <f>"CST#31041142/ORD#4002777487/P4"</f>
        <v>CST#31041142/ORD#4002777487/P4</v>
      </c>
    </row>
    <row r="1554" spans="1:9" x14ac:dyDescent="0.3">
      <c r="A1554" t="str">
        <f>"005161"</f>
        <v>005161</v>
      </c>
      <c r="B1554" t="s">
        <v>496</v>
      </c>
      <c r="C1554">
        <v>73354</v>
      </c>
      <c r="D1554" s="2">
        <v>12551.55</v>
      </c>
      <c r="E1554" s="1">
        <v>43031</v>
      </c>
      <c r="F1554" t="str">
        <f>"ACCT#0071064690"</f>
        <v>ACCT#0071064690</v>
      </c>
      <c r="G1554" t="str">
        <f>"ZONES INC."</f>
        <v>ZONES INC.</v>
      </c>
      <c r="H1554" s="2">
        <v>12551.55</v>
      </c>
      <c r="I1554" t="str">
        <f>"Work Station T7910"</f>
        <v>Work Station T7910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>"Mobile Prec 7720"</f>
        <v>Mobile Prec 7720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>"Thunderbolt Dock"</f>
        <v>Thunderbolt Dock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>"Dell Adapter"</f>
        <v>Dell Adapter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>"Dell Monitors"</f>
        <v>Dell Monitors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>"APC Back Up"</f>
        <v>APC Back Up</v>
      </c>
    </row>
    <row r="1560" spans="1:9" x14ac:dyDescent="0.3">
      <c r="A1560" t="str">
        <f>"004928"</f>
        <v>004928</v>
      </c>
      <c r="B1560" t="s">
        <v>497</v>
      </c>
      <c r="C1560">
        <v>73103</v>
      </c>
      <c r="D1560" s="2">
        <v>157.24</v>
      </c>
      <c r="E1560" s="1">
        <v>43018</v>
      </c>
      <c r="F1560" t="str">
        <f>"INV3655729"</f>
        <v>INV3655729</v>
      </c>
      <c r="G1560" t="str">
        <f>"ZORO TOOLS INC"</f>
        <v>ZORO TOOLS INC</v>
      </c>
      <c r="H1560" s="2">
        <v>157.24</v>
      </c>
      <c r="I1560" t="str">
        <f>"Warning Triangles"</f>
        <v>Warning Triangles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>"Shipping"</f>
        <v>Shipping</v>
      </c>
    </row>
    <row r="1562" spans="1:9" x14ac:dyDescent="0.3">
      <c r="A1562" t="str">
        <f>"004928"</f>
        <v>004928</v>
      </c>
      <c r="B1562" t="s">
        <v>497</v>
      </c>
      <c r="C1562">
        <v>73355</v>
      </c>
      <c r="D1562" s="2">
        <v>2807.81</v>
      </c>
      <c r="E1562" s="1">
        <v>43031</v>
      </c>
      <c r="F1562" t="str">
        <f>"17-18096"</f>
        <v>17-18096</v>
      </c>
      <c r="G1562" t="str">
        <f>"CHEMICAL STORAGE"</f>
        <v>CHEMICAL STORAGE</v>
      </c>
      <c r="H1562" s="2">
        <v>767.32</v>
      </c>
      <c r="I1562" t="str">
        <f>"CHEMICAL STORAGE"</f>
        <v>CHEMICAL STORAGE</v>
      </c>
    </row>
    <row r="1563" spans="1:9" x14ac:dyDescent="0.3">
      <c r="A1563" t="str">
        <f>""</f>
        <v/>
      </c>
      <c r="F1563" t="str">
        <f>"INV3592809"</f>
        <v>INV3592809</v>
      </c>
      <c r="G1563" t="str">
        <f>"ROLLING LADDER"</f>
        <v>ROLLING LADDER</v>
      </c>
      <c r="H1563" s="2">
        <v>988.47</v>
      </c>
      <c r="I1563" t="str">
        <f>"ROLLING LADDER"</f>
        <v>ROLLING LADDER</v>
      </c>
    </row>
    <row r="1564" spans="1:9" x14ac:dyDescent="0.3">
      <c r="A1564" t="str">
        <f>""</f>
        <v/>
      </c>
      <c r="F1564" t="str">
        <f>"INV3694885"</f>
        <v>INV3694885</v>
      </c>
      <c r="G1564" t="str">
        <f>"Replacement Parts"</f>
        <v>Replacement Parts</v>
      </c>
      <c r="H1564" s="2">
        <v>1052.02</v>
      </c>
      <c r="I1564" t="str">
        <f>"Faucet"</f>
        <v>Faucet</v>
      </c>
    </row>
    <row r="1565" spans="1:9" x14ac:dyDescent="0.3">
      <c r="A1565" t="str">
        <f>""</f>
        <v/>
      </c>
      <c r="F1565" t="str">
        <f>""</f>
        <v/>
      </c>
      <c r="G1565" t="str">
        <f>""</f>
        <v/>
      </c>
      <c r="I1565" t="str">
        <f>"Battery"</f>
        <v>Battery</v>
      </c>
    </row>
    <row r="1566" spans="1:9" x14ac:dyDescent="0.3">
      <c r="A1566" t="str">
        <f>"000598"</f>
        <v>000598</v>
      </c>
      <c r="B1566" t="s">
        <v>9</v>
      </c>
      <c r="C1566">
        <v>72896</v>
      </c>
      <c r="D1566" s="2">
        <v>26640.799999999999</v>
      </c>
      <c r="E1566" s="1">
        <v>43018</v>
      </c>
      <c r="F1566" t="str">
        <f>"9725-001-94863"</f>
        <v>9725-001-94863</v>
      </c>
      <c r="G1566" t="str">
        <f>"ACCT#9725-001/REC BASE/PCT#2"</f>
        <v>ACCT#9725-001/REC BASE/PCT#2</v>
      </c>
      <c r="H1566" s="2">
        <v>196.7</v>
      </c>
      <c r="I1566" t="str">
        <f>"ACCT#9725-001/REC BASE/PCT#2"</f>
        <v>ACCT#9725-001/REC BASE/PCT#2</v>
      </c>
    </row>
    <row r="1567" spans="1:9" x14ac:dyDescent="0.3">
      <c r="A1567" t="str">
        <f>""</f>
        <v/>
      </c>
      <c r="F1567" t="str">
        <f>"9725-001-95447"</f>
        <v>9725-001-95447</v>
      </c>
      <c r="G1567" t="str">
        <f>"ACCT#9725-001/REC BASE/PCT#2"</f>
        <v>ACCT#9725-001/REC BASE/PCT#2</v>
      </c>
      <c r="H1567" s="2">
        <v>3353.12</v>
      </c>
      <c r="I1567" t="str">
        <f>"ACCT#9725-001/REC BASE/PCT#2"</f>
        <v>ACCT#9725-001/REC BASE/PCT#2</v>
      </c>
    </row>
    <row r="1568" spans="1:9" x14ac:dyDescent="0.3">
      <c r="A1568" t="str">
        <f>""</f>
        <v/>
      </c>
      <c r="F1568" t="str">
        <f>"9725-010-95419"</f>
        <v>9725-010-95419</v>
      </c>
      <c r="G1568" t="str">
        <f>"ACCT#9725-010/REC BASE/PCT#2"</f>
        <v>ACCT#9725-010/REC BASE/PCT#2</v>
      </c>
      <c r="H1568" s="2">
        <v>15013.46</v>
      </c>
      <c r="I1568" t="str">
        <f>"ACCT#9725-010/REC BASE/PCT#2"</f>
        <v>ACCT#9725-010/REC BASE/PCT#2</v>
      </c>
    </row>
    <row r="1569" spans="1:9" x14ac:dyDescent="0.3">
      <c r="A1569" t="str">
        <f>""</f>
        <v/>
      </c>
      <c r="F1569" t="str">
        <f>"9725-010-95465"</f>
        <v>9725-010-95465</v>
      </c>
      <c r="G1569" t="str">
        <f>"ACCT#9725-010/REC BASE/PCT#2"</f>
        <v>ACCT#9725-010/REC BASE/PCT#2</v>
      </c>
      <c r="H1569" s="2">
        <v>7435.79</v>
      </c>
      <c r="I1569" t="str">
        <f>"ACCT#9725-010/REC BASE/PCT#2"</f>
        <v>ACCT#9725-010/REC BASE/PCT#2</v>
      </c>
    </row>
    <row r="1570" spans="1:9" x14ac:dyDescent="0.3">
      <c r="A1570" t="str">
        <f>""</f>
        <v/>
      </c>
      <c r="F1570" t="str">
        <f>"9725-011-94787"</f>
        <v>9725-011-94787</v>
      </c>
      <c r="G1570" t="str">
        <f>"ACCT#9725-011/REC BASE/PCT#3"</f>
        <v>ACCT#9725-011/REC BASE/PCT#3</v>
      </c>
      <c r="H1570" s="2">
        <v>641.73</v>
      </c>
      <c r="I1570" t="str">
        <f>"ACCT#9725-011/REC BASE/PCT#3"</f>
        <v>ACCT#9725-011/REC BASE/PCT#3</v>
      </c>
    </row>
    <row r="1571" spans="1:9" x14ac:dyDescent="0.3">
      <c r="A1571" t="str">
        <f>"000598"</f>
        <v>000598</v>
      </c>
      <c r="B1571" t="s">
        <v>9</v>
      </c>
      <c r="C1571">
        <v>73356</v>
      </c>
      <c r="D1571" s="2">
        <v>17299.740000000002</v>
      </c>
      <c r="E1571" s="1">
        <v>43031</v>
      </c>
      <c r="F1571" t="str">
        <f>"9725-001-95473"</f>
        <v>9725-001-95473</v>
      </c>
      <c r="G1571" t="str">
        <f>"ACCT#9725-001/REC BASE/PCT#2"</f>
        <v>ACCT#9725-001/REC BASE/PCT#2</v>
      </c>
      <c r="H1571" s="2">
        <v>1078.8900000000001</v>
      </c>
      <c r="I1571" t="str">
        <f>"ACCT#9725-001/REC BASE/PCT#2"</f>
        <v>ACCT#9725-001/REC BASE/PCT#2</v>
      </c>
    </row>
    <row r="1572" spans="1:9" x14ac:dyDescent="0.3">
      <c r="A1572" t="str">
        <f>""</f>
        <v/>
      </c>
      <c r="F1572" t="str">
        <f>"9725-001-95514"</f>
        <v>9725-001-95514</v>
      </c>
      <c r="G1572" t="str">
        <f>"ACCT#9725-001/REC BASE/PCT#2"</f>
        <v>ACCT#9725-001/REC BASE/PCT#2</v>
      </c>
      <c r="H1572" s="2">
        <v>2309.7600000000002</v>
      </c>
      <c r="I1572" t="str">
        <f>"ACCT#9725-001/REC BASE/PCT#2"</f>
        <v>ACCT#9725-001/REC BASE/PCT#2</v>
      </c>
    </row>
    <row r="1573" spans="1:9" x14ac:dyDescent="0.3">
      <c r="A1573" t="str">
        <f>""</f>
        <v/>
      </c>
      <c r="F1573" t="str">
        <f>"9725-010-95505"</f>
        <v>9725-010-95505</v>
      </c>
      <c r="G1573" t="str">
        <f>"ACCT#9725-010/REC BASE/PCT#2"</f>
        <v>ACCT#9725-010/REC BASE/PCT#2</v>
      </c>
      <c r="H1573" s="2">
        <v>8110.94</v>
      </c>
      <c r="I1573" t="str">
        <f>"ACCT#9725-010/REC BASE/PCT#2"</f>
        <v>ACCT#9725-010/REC BASE/PCT#2</v>
      </c>
    </row>
    <row r="1574" spans="1:9" x14ac:dyDescent="0.3">
      <c r="A1574" t="str">
        <f>""</f>
        <v/>
      </c>
      <c r="F1574" t="str">
        <f>"9725-010-95531"</f>
        <v>9725-010-95531</v>
      </c>
      <c r="G1574" t="str">
        <f>"ACCT#9725-010/REC BASE/PCT#2"</f>
        <v>ACCT#9725-010/REC BASE/PCT#2</v>
      </c>
      <c r="H1574" s="2">
        <v>5800.15</v>
      </c>
      <c r="I1574" t="str">
        <f>"ACCT#9725-010/REC BASE/PCT#2"</f>
        <v>ACCT#9725-010/REC BASE/PCT#2</v>
      </c>
    </row>
    <row r="1575" spans="1:9" x14ac:dyDescent="0.3">
      <c r="A1575" t="str">
        <f>"AQUAB"</f>
        <v>AQUAB</v>
      </c>
      <c r="B1575" t="s">
        <v>28</v>
      </c>
      <c r="C1575">
        <v>72897</v>
      </c>
      <c r="D1575" s="2">
        <v>187.52</v>
      </c>
      <c r="E1575" s="1">
        <v>43018</v>
      </c>
      <c r="F1575" t="str">
        <f>"201710035242"</f>
        <v>201710035242</v>
      </c>
      <c r="G1575" t="str">
        <f>"ACCT#014877/OEM"</f>
        <v>ACCT#014877/OEM</v>
      </c>
      <c r="H1575" s="2">
        <v>87.84</v>
      </c>
      <c r="I1575" t="str">
        <f>"ACCT#014877/OEM"</f>
        <v>ACCT#014877/OEM</v>
      </c>
    </row>
    <row r="1576" spans="1:9" x14ac:dyDescent="0.3">
      <c r="A1576" t="str">
        <f>""</f>
        <v/>
      </c>
      <c r="F1576" t="str">
        <f>"201710045276"</f>
        <v>201710045276</v>
      </c>
      <c r="G1576" t="str">
        <f>"ACCT#015397/JUVENILE BOOT CAMP"</f>
        <v>ACCT#015397/JUVENILE BOOT CAMP</v>
      </c>
      <c r="H1576" s="2">
        <v>99.68</v>
      </c>
      <c r="I1576" t="str">
        <f>"ACCT#015397/JUVENILE BOOT CAMP"</f>
        <v>ACCT#015397/JUVENILE BOOT CAMP</v>
      </c>
    </row>
    <row r="1577" spans="1:9" x14ac:dyDescent="0.3">
      <c r="A1577" t="str">
        <f>"005160"</f>
        <v>005160</v>
      </c>
      <c r="B1577" t="s">
        <v>498</v>
      </c>
      <c r="C1577">
        <v>72898</v>
      </c>
      <c r="D1577" s="2">
        <v>768</v>
      </c>
      <c r="E1577" s="1">
        <v>43018</v>
      </c>
      <c r="F1577" t="str">
        <f>"1005"</f>
        <v>1005</v>
      </c>
      <c r="G1577" t="str">
        <f>"HOURS WORKED FOR LPHPC"</f>
        <v>HOURS WORKED FOR LPHPC</v>
      </c>
      <c r="H1577" s="2">
        <v>768</v>
      </c>
      <c r="I1577" t="str">
        <f>"HOURS WORKED FOR LPHPC"</f>
        <v>HOURS WORKED FOR LPHPC</v>
      </c>
    </row>
    <row r="1578" spans="1:9" x14ac:dyDescent="0.3">
      <c r="A1578" t="str">
        <f>"B&amp;B"</f>
        <v>B&amp;B</v>
      </c>
      <c r="B1578" t="s">
        <v>41</v>
      </c>
      <c r="C1578">
        <v>72899</v>
      </c>
      <c r="D1578" s="2">
        <v>473.48</v>
      </c>
      <c r="E1578" s="1">
        <v>43018</v>
      </c>
      <c r="F1578" t="str">
        <f>"201710035243"</f>
        <v>201710035243</v>
      </c>
      <c r="G1578" t="str">
        <f>"CUST#1645/OEM"</f>
        <v>CUST#1645/OEM</v>
      </c>
      <c r="H1578" s="2">
        <v>473.48</v>
      </c>
      <c r="I1578" t="str">
        <f>"CUST#1645/OEM"</f>
        <v>CUST#1645/OEM</v>
      </c>
    </row>
    <row r="1579" spans="1:9" x14ac:dyDescent="0.3">
      <c r="A1579" t="str">
        <f>"T3799"</f>
        <v>T3799</v>
      </c>
      <c r="B1579" t="s">
        <v>57</v>
      </c>
      <c r="C1579">
        <v>73357</v>
      </c>
      <c r="D1579" s="2">
        <v>4163.87</v>
      </c>
      <c r="E1579" s="1">
        <v>43031</v>
      </c>
      <c r="F1579" t="str">
        <f>"167"</f>
        <v>167</v>
      </c>
      <c r="G1579" t="str">
        <f>"DIESEL/UNLEADED/OEM"</f>
        <v>DIESEL/UNLEADED/OEM</v>
      </c>
      <c r="H1579" s="2">
        <v>4163.87</v>
      </c>
      <c r="I1579" t="str">
        <f>"DIESEL/UNLEADED/OEM"</f>
        <v>DIESEL/UNLEADED/OEM</v>
      </c>
    </row>
    <row r="1580" spans="1:9" x14ac:dyDescent="0.3">
      <c r="A1580" t="str">
        <f>"000864"</f>
        <v>000864</v>
      </c>
      <c r="B1580" t="s">
        <v>499</v>
      </c>
      <c r="C1580">
        <v>72900</v>
      </c>
      <c r="D1580" s="2">
        <v>6050</v>
      </c>
      <c r="E1580" s="1">
        <v>43018</v>
      </c>
      <c r="F1580" t="str">
        <f>"16-6717.2"</f>
        <v>16-6717.2</v>
      </c>
      <c r="G1580" t="str">
        <f>"FIELD &amp; OFFICE TIME FOR SURVEY"</f>
        <v>FIELD &amp; OFFICE TIME FOR SURVEY</v>
      </c>
      <c r="H1580" s="2">
        <v>6050</v>
      </c>
      <c r="I1580" t="str">
        <f>"FIELD &amp; OFFICE TIME FOR SURVEY"</f>
        <v>FIELD &amp; OFFICE TIME FOR SURVEY</v>
      </c>
    </row>
    <row r="1581" spans="1:9" x14ac:dyDescent="0.3">
      <c r="A1581" t="str">
        <f>"BEC"</f>
        <v>BEC</v>
      </c>
      <c r="B1581" t="s">
        <v>78</v>
      </c>
      <c r="C1581">
        <v>73175</v>
      </c>
      <c r="D1581" s="2">
        <v>199.52</v>
      </c>
      <c r="E1581" s="1">
        <v>43026</v>
      </c>
      <c r="F1581" t="str">
        <f>"201710185851"</f>
        <v>201710185851</v>
      </c>
      <c r="G1581" t="str">
        <f>"ACCT#5000057374 - 10/03/2017"</f>
        <v>ACCT#5000057374 - 10/03/2017</v>
      </c>
      <c r="H1581" s="2">
        <v>199.52</v>
      </c>
      <c r="I1581" t="str">
        <f>"ACCT#5000057374 - 10/03/2017"</f>
        <v>ACCT#5000057374 - 10/03/2017</v>
      </c>
    </row>
    <row r="1582" spans="1:9" x14ac:dyDescent="0.3">
      <c r="A1582" t="str">
        <f>"002469"</f>
        <v>002469</v>
      </c>
      <c r="B1582" t="s">
        <v>500</v>
      </c>
      <c r="C1582">
        <v>73358</v>
      </c>
      <c r="D1582" s="2">
        <v>8736.7800000000007</v>
      </c>
      <c r="E1582" s="1">
        <v>43031</v>
      </c>
      <c r="F1582" t="str">
        <f>"15901-23"</f>
        <v>15901-23</v>
      </c>
      <c r="G1582" t="str">
        <f>"PROJ#B15159.01/OEM/BCESD#2"</f>
        <v>PROJ#B15159.01/OEM/BCESD#2</v>
      </c>
      <c r="H1582" s="2">
        <v>8736.7800000000007</v>
      </c>
      <c r="I1582" t="str">
        <f>"PROJ#B15159.01/OEM/BCESD#2"</f>
        <v>PROJ#B15159.01/OEM/BCESD#2</v>
      </c>
    </row>
    <row r="1583" spans="1:9" x14ac:dyDescent="0.3">
      <c r="A1583" t="str">
        <f>"T12897"</f>
        <v>T12897</v>
      </c>
      <c r="B1583" t="s">
        <v>96</v>
      </c>
      <c r="C1583">
        <v>73359</v>
      </c>
      <c r="D1583" s="2">
        <v>4738.9799999999996</v>
      </c>
      <c r="E1583" s="1">
        <v>43031</v>
      </c>
      <c r="F1583" t="str">
        <f>"CID2144878"</f>
        <v>CID2144878</v>
      </c>
      <c r="G1583" t="str">
        <f>"Kooling Towels"</f>
        <v>Kooling Towels</v>
      </c>
      <c r="H1583" s="2">
        <v>4738.9799999999996</v>
      </c>
    </row>
    <row r="1584" spans="1:9" x14ac:dyDescent="0.3">
      <c r="A1584" t="str">
        <f>"T12897"</f>
        <v>T12897</v>
      </c>
      <c r="B1584" t="s">
        <v>96</v>
      </c>
      <c r="C1584">
        <v>73359</v>
      </c>
      <c r="D1584" s="2">
        <v>4738.9799999999996</v>
      </c>
      <c r="E1584" s="1">
        <v>43031</v>
      </c>
      <c r="F1584" t="str">
        <f>"CHECK"</f>
        <v>CHECK</v>
      </c>
      <c r="G1584" t="str">
        <f>""</f>
        <v/>
      </c>
      <c r="H1584" s="2">
        <v>4738.9799999999996</v>
      </c>
    </row>
    <row r="1585" spans="1:9" x14ac:dyDescent="0.3">
      <c r="A1585" t="str">
        <f>"COB"</f>
        <v>COB</v>
      </c>
      <c r="B1585" t="s">
        <v>110</v>
      </c>
      <c r="C1585">
        <v>73360</v>
      </c>
      <c r="D1585" s="2">
        <v>81539</v>
      </c>
      <c r="E1585" s="1">
        <v>43031</v>
      </c>
      <c r="F1585" t="str">
        <f>"201710185819"</f>
        <v>201710185819</v>
      </c>
      <c r="G1585" t="str">
        <f>"SHELTER GRANT REIMBURSEMENT"</f>
        <v>SHELTER GRANT REIMBURSEMENT</v>
      </c>
      <c r="H1585" s="2">
        <v>81539</v>
      </c>
      <c r="I1585" t="str">
        <f>"SHELTER GRANT REIMBURSEMENT"</f>
        <v>SHELTER GRANT REIMBURSEMENT</v>
      </c>
    </row>
    <row r="1586" spans="1:9" x14ac:dyDescent="0.3">
      <c r="A1586" t="str">
        <f>"SCO"</f>
        <v>SCO</v>
      </c>
      <c r="B1586" t="s">
        <v>111</v>
      </c>
      <c r="C1586">
        <v>72901</v>
      </c>
      <c r="D1586" s="2">
        <v>38015.360000000001</v>
      </c>
      <c r="E1586" s="1">
        <v>43018</v>
      </c>
      <c r="F1586" t="str">
        <f>"201709285182"</f>
        <v>201709285182</v>
      </c>
      <c r="G1586" t="str">
        <f>"PRJ#P06726-6 BID7/CBG#WFR01001"</f>
        <v>PRJ#P06726-6 BID7/CBG#WFR01001</v>
      </c>
      <c r="H1586" s="2">
        <v>4181.8999999999996</v>
      </c>
      <c r="I1586" t="str">
        <f>"PRJ#P06726-6 BID7/CBG#WFR01001"</f>
        <v>PRJ#P06726-6 BID7/CBG#WFR01001</v>
      </c>
    </row>
    <row r="1587" spans="1:9" x14ac:dyDescent="0.3">
      <c r="A1587" t="str">
        <f>""</f>
        <v/>
      </c>
      <c r="F1587" t="str">
        <f>"201709285184"</f>
        <v>201709285184</v>
      </c>
      <c r="G1587" t="str">
        <f>"BEFCO JOB#16-6577"</f>
        <v>BEFCO JOB#16-6577</v>
      </c>
      <c r="H1587" s="2">
        <v>33833.46</v>
      </c>
      <c r="I1587" t="str">
        <f>"BEFCO JOB#16-6577"</f>
        <v>BEFCO JOB#16-6577</v>
      </c>
    </row>
    <row r="1588" spans="1:9" x14ac:dyDescent="0.3">
      <c r="A1588" t="str">
        <f>"SCO"</f>
        <v>SCO</v>
      </c>
      <c r="B1588" t="s">
        <v>111</v>
      </c>
      <c r="C1588">
        <v>73361</v>
      </c>
      <c r="D1588" s="2">
        <v>12238.1</v>
      </c>
      <c r="E1588" s="1">
        <v>43031</v>
      </c>
      <c r="F1588" t="str">
        <f>"201710135699"</f>
        <v>201710135699</v>
      </c>
      <c r="G1588" t="str">
        <f>"SMITHVILLE COMM CENTER A/V SYS"</f>
        <v>SMITHVILLE COMM CENTER A/V SYS</v>
      </c>
      <c r="H1588" s="2">
        <v>12238.1</v>
      </c>
      <c r="I1588" t="str">
        <f>"SMITHVILLE COMM CENTER A/V SYS"</f>
        <v>SMITHVILLE COMM CENTER A/V SYS</v>
      </c>
    </row>
    <row r="1589" spans="1:9" x14ac:dyDescent="0.3">
      <c r="A1589" t="str">
        <f>"000589"</f>
        <v>000589</v>
      </c>
      <c r="B1589" t="s">
        <v>149</v>
      </c>
      <c r="C1589">
        <v>72902</v>
      </c>
      <c r="D1589" s="2">
        <v>20822.150000000001</v>
      </c>
      <c r="E1589" s="1">
        <v>43018</v>
      </c>
      <c r="F1589" t="str">
        <f>"9401713847"</f>
        <v>9401713847</v>
      </c>
      <c r="G1589" t="str">
        <f>"ACCT#912923/BOL#20974/PCT#2"</f>
        <v>ACCT#912923/BOL#20974/PCT#2</v>
      </c>
      <c r="H1589" s="2">
        <v>2498.5500000000002</v>
      </c>
      <c r="I1589" t="str">
        <f>"ACCT#912923/BOL#20974/PCT#2"</f>
        <v>ACCT#912923/BOL#20974/PCT#2</v>
      </c>
    </row>
    <row r="1590" spans="1:9" x14ac:dyDescent="0.3">
      <c r="A1590" t="str">
        <f>""</f>
        <v/>
      </c>
      <c r="F1590" t="str">
        <f>"9401715337"</f>
        <v>9401715337</v>
      </c>
      <c r="G1590" t="str">
        <f>"ACCT#912923/BOL#21001/PCT#2"</f>
        <v>ACCT#912923/BOL#21001/PCT#2</v>
      </c>
      <c r="H1590" s="2">
        <v>10888.3</v>
      </c>
      <c r="I1590" t="str">
        <f>"ACCT#912923/BOL#21001/PCT#2"</f>
        <v>ACCT#912923/BOL#21001/PCT#2</v>
      </c>
    </row>
    <row r="1591" spans="1:9" x14ac:dyDescent="0.3">
      <c r="A1591" t="str">
        <f>""</f>
        <v/>
      </c>
      <c r="F1591" t="str">
        <f>"9401716175"</f>
        <v>9401716175</v>
      </c>
      <c r="G1591" t="str">
        <f>"ACCT#912923/BOL#21008/PCT#2"</f>
        <v>ACCT#912923/BOL#21008/PCT#2</v>
      </c>
      <c r="H1591" s="2">
        <v>7435.3</v>
      </c>
      <c r="I1591" t="str">
        <f>"ACCT#912923/BOL#21008/PCT#2"</f>
        <v>ACCT#912923/BOL#21008/PCT#2</v>
      </c>
    </row>
    <row r="1592" spans="1:9" x14ac:dyDescent="0.3">
      <c r="A1592" t="str">
        <f>"000589"</f>
        <v>000589</v>
      </c>
      <c r="B1592" t="s">
        <v>149</v>
      </c>
      <c r="C1592">
        <v>73362</v>
      </c>
      <c r="D1592" s="2">
        <v>43488.29</v>
      </c>
      <c r="E1592" s="1">
        <v>43031</v>
      </c>
      <c r="F1592" t="str">
        <f>"9401727220"</f>
        <v>9401727220</v>
      </c>
      <c r="G1592" t="str">
        <f>"ACCT#912904/BOL#21132/PCT#2"</f>
        <v>ACCT#912904/BOL#21132/PCT#2</v>
      </c>
      <c r="H1592" s="2">
        <v>7257.89</v>
      </c>
      <c r="I1592" t="str">
        <f>"ACCT#912904/BOL#21132/PCT#2"</f>
        <v>ACCT#912904/BOL#21132/PCT#2</v>
      </c>
    </row>
    <row r="1593" spans="1:9" x14ac:dyDescent="0.3">
      <c r="A1593" t="str">
        <f>""</f>
        <v/>
      </c>
      <c r="F1593" t="str">
        <f>"9401730308"</f>
        <v>9401730308</v>
      </c>
      <c r="G1593" t="str">
        <f>"ACCT#912904/BOL#21179/PCT#2"</f>
        <v>ACCT#912904/BOL#21179/PCT#2</v>
      </c>
      <c r="H1593" s="2">
        <v>11469.37</v>
      </c>
      <c r="I1593" t="str">
        <f>"ACCT#912904/BOL#21179/PCT#2"</f>
        <v>ACCT#912904/BOL#21179/PCT#2</v>
      </c>
    </row>
    <row r="1594" spans="1:9" x14ac:dyDescent="0.3">
      <c r="A1594" t="str">
        <f>""</f>
        <v/>
      </c>
      <c r="F1594" t="str">
        <f>"9401730679"</f>
        <v>9401730679</v>
      </c>
      <c r="G1594" t="str">
        <f>"ACCT#912904/BOL#21193/PCT#2"</f>
        <v>ACCT#912904/BOL#21193/PCT#2</v>
      </c>
      <c r="H1594" s="2">
        <v>12225.23</v>
      </c>
      <c r="I1594" t="str">
        <f>"ACCT#912904/BOL#21193/PCT#2"</f>
        <v>ACCT#912904/BOL#21193/PCT#2</v>
      </c>
    </row>
    <row r="1595" spans="1:9" x14ac:dyDescent="0.3">
      <c r="A1595" t="str">
        <f>""</f>
        <v/>
      </c>
      <c r="F1595" t="str">
        <f>"9401731186"</f>
        <v>9401731186</v>
      </c>
      <c r="G1595" t="str">
        <f>"ACCT#912904/BOL#21189/PCT#2"</f>
        <v>ACCT#912904/BOL#21189/PCT#2</v>
      </c>
      <c r="H1595" s="2">
        <v>12535.8</v>
      </c>
      <c r="I1595" t="str">
        <f>"ACCT#912904/BOL#21189/PCT#2"</f>
        <v>ACCT#912904/BOL#21189/PCT#2</v>
      </c>
    </row>
    <row r="1596" spans="1:9" x14ac:dyDescent="0.3">
      <c r="A1596" t="str">
        <f>"AP3545"</f>
        <v>AP3545</v>
      </c>
      <c r="B1596" t="s">
        <v>197</v>
      </c>
      <c r="C1596">
        <v>73363</v>
      </c>
      <c r="D1596" s="2">
        <v>158.88</v>
      </c>
      <c r="E1596" s="1">
        <v>43031</v>
      </c>
      <c r="F1596" t="str">
        <f>"100828"</f>
        <v>100828</v>
      </c>
      <c r="G1596" t="str">
        <f>"FUEL REDUCTION SS1 / OEM"</f>
        <v>FUEL REDUCTION SS1 / OEM</v>
      </c>
      <c r="H1596" s="2">
        <v>158.88</v>
      </c>
      <c r="I1596" t="str">
        <f>"FUEL REDUCTION SS1 / OEM"</f>
        <v>FUEL REDUCTION SS1 / OEM</v>
      </c>
    </row>
    <row r="1597" spans="1:9" x14ac:dyDescent="0.3">
      <c r="A1597" t="str">
        <f>"003545"</f>
        <v>003545</v>
      </c>
      <c r="B1597" t="s">
        <v>197</v>
      </c>
      <c r="C1597">
        <v>73371</v>
      </c>
      <c r="D1597" s="2">
        <v>708.34</v>
      </c>
      <c r="E1597" s="1">
        <v>43031</v>
      </c>
      <c r="F1597" t="str">
        <f>"100748  100751"</f>
        <v>100748  100751</v>
      </c>
      <c r="G1597" t="str">
        <f>"Inv# 100748 &amp; 100751"</f>
        <v>Inv# 100748 &amp; 100751</v>
      </c>
      <c r="H1597" s="2">
        <v>708.34</v>
      </c>
      <c r="I1597" t="str">
        <f>"Inv# 100748"</f>
        <v>Inv# 100748</v>
      </c>
    </row>
    <row r="1598" spans="1:9" x14ac:dyDescent="0.3">
      <c r="A1598" t="str">
        <f>""</f>
        <v/>
      </c>
      <c r="F1598" t="str">
        <f>""</f>
        <v/>
      </c>
      <c r="G1598" t="str">
        <f>""</f>
        <v/>
      </c>
      <c r="I1598" t="str">
        <f>"Inv#100751"</f>
        <v>Inv#100751</v>
      </c>
    </row>
    <row r="1599" spans="1:9" x14ac:dyDescent="0.3">
      <c r="A1599" t="str">
        <f>"000888"</f>
        <v>000888</v>
      </c>
      <c r="B1599" t="s">
        <v>242</v>
      </c>
      <c r="C1599">
        <v>73364</v>
      </c>
      <c r="D1599" s="2">
        <v>75.900000000000006</v>
      </c>
      <c r="E1599" s="1">
        <v>43031</v>
      </c>
      <c r="F1599" t="str">
        <f>"920920"</f>
        <v>920920</v>
      </c>
      <c r="G1599" t="str">
        <f>"Acct# 9006938692"</f>
        <v>Acct# 9006938692</v>
      </c>
      <c r="H1599" s="2">
        <v>75.900000000000006</v>
      </c>
      <c r="I1599" t="str">
        <f>"Inv# 920920"</f>
        <v>Inv# 920920</v>
      </c>
    </row>
    <row r="1600" spans="1:9" x14ac:dyDescent="0.3">
      <c r="A1600" t="str">
        <f>"002312"</f>
        <v>002312</v>
      </c>
      <c r="B1600" t="s">
        <v>262</v>
      </c>
      <c r="C1600">
        <v>72903</v>
      </c>
      <c r="D1600" s="2">
        <v>658.9</v>
      </c>
      <c r="E1600" s="1">
        <v>43018</v>
      </c>
      <c r="F1600" t="str">
        <f>"14912"</f>
        <v>14912</v>
      </c>
      <c r="G1600" t="str">
        <f>"FREIGHT SALES/PCT#2"</f>
        <v>FREIGHT SALES/PCT#2</v>
      </c>
      <c r="H1600" s="2">
        <v>658.9</v>
      </c>
      <c r="I1600" t="str">
        <f>"FREIGHT SALES/PCT#2"</f>
        <v>FREIGHT SALES/PCT#2</v>
      </c>
    </row>
    <row r="1601" spans="1:9" x14ac:dyDescent="0.3">
      <c r="A1601" t="str">
        <f>"002312"</f>
        <v>002312</v>
      </c>
      <c r="B1601" t="s">
        <v>262</v>
      </c>
      <c r="C1601">
        <v>73365</v>
      </c>
      <c r="D1601" s="2">
        <v>10836.48</v>
      </c>
      <c r="E1601" s="1">
        <v>43031</v>
      </c>
      <c r="F1601" t="str">
        <f>"15382"</f>
        <v>15382</v>
      </c>
      <c r="G1601" t="str">
        <f>"FREIGHT SALES/OLD PIN OAK/PCT2"</f>
        <v>FREIGHT SALES/OLD PIN OAK/PCT2</v>
      </c>
      <c r="H1601" s="2">
        <v>5939.55</v>
      </c>
      <c r="I1601" t="str">
        <f>"FREIGHT SALES/OLD PIN OAK/PCT2"</f>
        <v>FREIGHT SALES/OLD PIN OAK/PCT2</v>
      </c>
    </row>
    <row r="1602" spans="1:9" x14ac:dyDescent="0.3">
      <c r="A1602" t="str">
        <f>""</f>
        <v/>
      </c>
      <c r="F1602" t="str">
        <f>"15383"</f>
        <v>15383</v>
      </c>
      <c r="G1602" t="str">
        <f>"FREIGHT SALES/OLD PIN OAK/PCT2"</f>
        <v>FREIGHT SALES/OLD PIN OAK/PCT2</v>
      </c>
      <c r="H1602" s="2">
        <v>4896.93</v>
      </c>
      <c r="I1602" t="str">
        <f>"FREIGHT SALES/OLD PIN OAK/PCT2"</f>
        <v>FREIGHT SALES/OLD PIN OAK/PCT2</v>
      </c>
    </row>
    <row r="1603" spans="1:9" x14ac:dyDescent="0.3">
      <c r="A1603" t="str">
        <f>"004401"</f>
        <v>004401</v>
      </c>
      <c r="B1603" t="s">
        <v>501</v>
      </c>
      <c r="C1603">
        <v>72904</v>
      </c>
      <c r="D1603" s="2">
        <v>470.79</v>
      </c>
      <c r="E1603" s="1">
        <v>43018</v>
      </c>
      <c r="F1603" t="str">
        <f>"PART4511517"</f>
        <v>PART4511517</v>
      </c>
      <c r="G1603" t="str">
        <f>"Parts for Skid Steer"</f>
        <v>Parts for Skid Steer</v>
      </c>
      <c r="H1603" s="2">
        <v>470.79</v>
      </c>
      <c r="I1603" t="str">
        <f>"Item# 416-5884"</f>
        <v>Item# 416-5884</v>
      </c>
    </row>
    <row r="1604" spans="1:9" x14ac:dyDescent="0.3">
      <c r="A1604" t="str">
        <f>""</f>
        <v/>
      </c>
      <c r="F1604" t="str">
        <f>""</f>
        <v/>
      </c>
      <c r="G1604" t="str">
        <f>""</f>
        <v/>
      </c>
      <c r="I1604" t="str">
        <f>"Item# 379-6471"</f>
        <v>Item# 379-6471</v>
      </c>
    </row>
    <row r="1605" spans="1:9" x14ac:dyDescent="0.3">
      <c r="A1605" t="str">
        <f>""</f>
        <v/>
      </c>
      <c r="F1605" t="str">
        <f>""</f>
        <v/>
      </c>
      <c r="G1605" t="str">
        <f>""</f>
        <v/>
      </c>
      <c r="I1605" t="str">
        <f>"Item# 185-4015"</f>
        <v>Item# 185-4015</v>
      </c>
    </row>
    <row r="1606" spans="1:9" x14ac:dyDescent="0.3">
      <c r="A1606" t="str">
        <f>""</f>
        <v/>
      </c>
      <c r="F1606" t="str">
        <f>""</f>
        <v/>
      </c>
      <c r="G1606" t="str">
        <f>""</f>
        <v/>
      </c>
      <c r="I1606" t="str">
        <f>"Item# 309-6931"</f>
        <v>Item# 309-6931</v>
      </c>
    </row>
    <row r="1607" spans="1:9" x14ac:dyDescent="0.3">
      <c r="A1607" t="str">
        <f>"004401"</f>
        <v>004401</v>
      </c>
      <c r="B1607" t="s">
        <v>501</v>
      </c>
      <c r="C1607">
        <v>73366</v>
      </c>
      <c r="D1607" s="2">
        <v>371.61</v>
      </c>
      <c r="E1607" s="1">
        <v>43031</v>
      </c>
      <c r="F1607" t="str">
        <f>"A029000"</f>
        <v>A029000</v>
      </c>
      <c r="G1607" t="str">
        <f>"Inv# AO29000"</f>
        <v>Inv# AO29000</v>
      </c>
      <c r="H1607" s="2">
        <v>371.61</v>
      </c>
      <c r="I1607" t="str">
        <f>"Inv# AO29000"</f>
        <v>Inv# AO29000</v>
      </c>
    </row>
    <row r="1608" spans="1:9" x14ac:dyDescent="0.3">
      <c r="A1608" t="str">
        <f>"000877"</f>
        <v>000877</v>
      </c>
      <c r="B1608" t="s">
        <v>351</v>
      </c>
      <c r="C1608">
        <v>73367</v>
      </c>
      <c r="D1608" s="2">
        <v>45</v>
      </c>
      <c r="E1608" s="1">
        <v>43031</v>
      </c>
      <c r="F1608" t="str">
        <f>"283510-4"</f>
        <v>283510-4</v>
      </c>
      <c r="G1608" t="str">
        <f>"CUST#BASCOU/DRUG TEST/OEM"</f>
        <v>CUST#BASCOU/DRUG TEST/OEM</v>
      </c>
      <c r="H1608" s="2">
        <v>45</v>
      </c>
      <c r="I1608" t="str">
        <f>"CUST#BASCOU/DRUG TEST/OEM"</f>
        <v>CUST#BASCOU/DRUG TEST/OEM</v>
      </c>
    </row>
    <row r="1609" spans="1:9" x14ac:dyDescent="0.3">
      <c r="A1609" t="str">
        <f>"005197"</f>
        <v>005197</v>
      </c>
      <c r="B1609" t="s">
        <v>502</v>
      </c>
      <c r="C1609">
        <v>72905</v>
      </c>
      <c r="D1609" s="2">
        <v>5175</v>
      </c>
      <c r="E1609" s="1">
        <v>43018</v>
      </c>
      <c r="F1609" t="str">
        <f>"6273455"</f>
        <v>6273455</v>
      </c>
      <c r="G1609" t="s">
        <v>503</v>
      </c>
      <c r="H1609" s="2">
        <v>5175</v>
      </c>
      <c r="I1609" t="s">
        <v>503</v>
      </c>
    </row>
    <row r="1610" spans="1:9" x14ac:dyDescent="0.3">
      <c r="A1610" t="str">
        <f>"004650"</f>
        <v>004650</v>
      </c>
      <c r="B1610" t="s">
        <v>504</v>
      </c>
      <c r="C1610">
        <v>72906</v>
      </c>
      <c r="D1610" s="2">
        <v>113495.07</v>
      </c>
      <c r="E1610" s="1">
        <v>43018</v>
      </c>
      <c r="F1610" t="str">
        <f>"190000100-0717"</f>
        <v>190000100-0717</v>
      </c>
      <c r="G1610" t="str">
        <f>"PROJ#190000100/OLD PINEY TRL"</f>
        <v>PROJ#190000100/OLD PINEY TRL</v>
      </c>
      <c r="H1610" s="2">
        <v>113495.07</v>
      </c>
      <c r="I1610" t="str">
        <f>"PROJ#190000100/OLD PINEY TRL"</f>
        <v>PROJ#190000100/OLD PINEY TRL</v>
      </c>
    </row>
    <row r="1611" spans="1:9" x14ac:dyDescent="0.3">
      <c r="A1611" t="str">
        <f>"003697"</f>
        <v>003697</v>
      </c>
      <c r="B1611" t="s">
        <v>505</v>
      </c>
      <c r="C1611">
        <v>72907</v>
      </c>
      <c r="D1611" s="2">
        <v>128.1</v>
      </c>
      <c r="E1611" s="1">
        <v>43018</v>
      </c>
      <c r="F1611" t="str">
        <f>"22648"</f>
        <v>22648</v>
      </c>
      <c r="G1611" t="str">
        <f>"ACCT#35019"</f>
        <v>ACCT#35019</v>
      </c>
      <c r="H1611" s="2">
        <v>122.12</v>
      </c>
      <c r="I1611" t="str">
        <f>"ACCT#35019"</f>
        <v>ACCT#35019</v>
      </c>
    </row>
    <row r="1612" spans="1:9" x14ac:dyDescent="0.3">
      <c r="A1612" t="str">
        <f>""</f>
        <v/>
      </c>
      <c r="F1612" t="str">
        <f>"22650"</f>
        <v>22650</v>
      </c>
      <c r="G1612" t="str">
        <f>"ACCT#35019/PCT#2"</f>
        <v>ACCT#35019/PCT#2</v>
      </c>
      <c r="H1612" s="2">
        <v>5.98</v>
      </c>
      <c r="I1612" t="str">
        <f>"ACCT#35019/PCT#2"</f>
        <v>ACCT#35019/PCT#2</v>
      </c>
    </row>
    <row r="1613" spans="1:9" x14ac:dyDescent="0.3">
      <c r="A1613" t="str">
        <f>"T10195"</f>
        <v>T10195</v>
      </c>
      <c r="B1613" t="s">
        <v>409</v>
      </c>
      <c r="C1613">
        <v>72908</v>
      </c>
      <c r="D1613" s="2">
        <v>68908.990000000005</v>
      </c>
      <c r="E1613" s="1">
        <v>43018</v>
      </c>
      <c r="F1613" t="str">
        <f>"13539875"</f>
        <v>13539875</v>
      </c>
      <c r="G1613" t="str">
        <f>"USC 5108"</f>
        <v>USC 5108</v>
      </c>
      <c r="H1613" s="2">
        <v>68908.990000000005</v>
      </c>
      <c r="I1613" t="str">
        <f>"INV# GB00242981"</f>
        <v>INV# GB00242981</v>
      </c>
    </row>
    <row r="1614" spans="1:9" x14ac:dyDescent="0.3">
      <c r="A1614" t="str">
        <f>""</f>
        <v/>
      </c>
      <c r="F1614" t="str">
        <f>""</f>
        <v/>
      </c>
      <c r="G1614" t="str">
        <f>""</f>
        <v/>
      </c>
      <c r="I1614" t="str">
        <f>"GB00243476"</f>
        <v>GB00243476</v>
      </c>
    </row>
    <row r="1615" spans="1:9" x14ac:dyDescent="0.3">
      <c r="A1615" t="str">
        <f>""</f>
        <v/>
      </c>
      <c r="F1615" t="str">
        <f>""</f>
        <v/>
      </c>
      <c r="G1615" t="str">
        <f>""</f>
        <v/>
      </c>
      <c r="I1615" t="str">
        <f>"GB00246380"</f>
        <v>GB00246380</v>
      </c>
    </row>
    <row r="1616" spans="1:9" x14ac:dyDescent="0.3">
      <c r="A1616" t="str">
        <f>""</f>
        <v/>
      </c>
      <c r="F1616" t="str">
        <f>""</f>
        <v/>
      </c>
      <c r="G1616" t="str">
        <f>""</f>
        <v/>
      </c>
      <c r="I1616" t="str">
        <f>"GB00252560"</f>
        <v>GB00252560</v>
      </c>
    </row>
    <row r="1617" spans="1:9" x14ac:dyDescent="0.3">
      <c r="A1617" t="str">
        <f>"T10195"</f>
        <v>T10195</v>
      </c>
      <c r="B1617" t="s">
        <v>409</v>
      </c>
      <c r="C1617">
        <v>73368</v>
      </c>
      <c r="D1617" s="2">
        <v>106625.08</v>
      </c>
      <c r="E1617" s="1">
        <v>43031</v>
      </c>
      <c r="F1617" t="str">
        <f>"GB00253688"</f>
        <v>GB00253688</v>
      </c>
      <c r="G1617" t="str">
        <f>"Cisco Phone Upgrade"</f>
        <v>Cisco Phone Upgrade</v>
      </c>
      <c r="H1617" s="2">
        <v>104348.9</v>
      </c>
      <c r="I1617" t="str">
        <f>"CP-8811-K9"</f>
        <v>CP-8811-K9</v>
      </c>
    </row>
    <row r="1618" spans="1:9" x14ac:dyDescent="0.3">
      <c r="A1618" t="str">
        <f>""</f>
        <v/>
      </c>
      <c r="F1618" t="str">
        <f>""</f>
        <v/>
      </c>
      <c r="G1618" t="str">
        <f>""</f>
        <v/>
      </c>
      <c r="I1618" t="str">
        <f>"CON-SNT-CP8811K9"</f>
        <v>CON-SNT-CP8811K9</v>
      </c>
    </row>
    <row r="1619" spans="1:9" x14ac:dyDescent="0.3">
      <c r="A1619" t="str">
        <f>""</f>
        <v/>
      </c>
      <c r="F1619" t="str">
        <f>""</f>
        <v/>
      </c>
      <c r="G1619" t="str">
        <f>""</f>
        <v/>
      </c>
      <c r="I1619" t="str">
        <f>"CP-8831-K9"</f>
        <v>CP-8831-K9</v>
      </c>
    </row>
    <row r="1620" spans="1:9" x14ac:dyDescent="0.3">
      <c r="A1620" t="str">
        <f>""</f>
        <v/>
      </c>
      <c r="F1620" t="str">
        <f>""</f>
        <v/>
      </c>
      <c r="G1620" t="str">
        <f>""</f>
        <v/>
      </c>
      <c r="I1620" t="str">
        <f>"CON-SNT-CP8831K9 "</f>
        <v>CON-SNT-CP8831K9 </v>
      </c>
    </row>
    <row r="1621" spans="1:9" x14ac:dyDescent="0.3">
      <c r="A1621" t="str">
        <f>""</f>
        <v/>
      </c>
      <c r="F1621" t="str">
        <f>""</f>
        <v/>
      </c>
      <c r="G1621" t="str">
        <f>""</f>
        <v/>
      </c>
      <c r="I1621" t="str">
        <f>"CP-8841-K9"</f>
        <v>CP-8841-K9</v>
      </c>
    </row>
    <row r="1622" spans="1:9" x14ac:dyDescent="0.3">
      <c r="A1622" t="str">
        <f>""</f>
        <v/>
      </c>
      <c r="F1622" t="str">
        <f>""</f>
        <v/>
      </c>
      <c r="G1622" t="str">
        <f>""</f>
        <v/>
      </c>
      <c r="I1622" t="str">
        <f>"CON-SNT-CP8841K9"</f>
        <v>CON-SNT-CP8841K9</v>
      </c>
    </row>
    <row r="1623" spans="1:9" x14ac:dyDescent="0.3">
      <c r="A1623" t="str">
        <f>""</f>
        <v/>
      </c>
      <c r="F1623" t="str">
        <f>""</f>
        <v/>
      </c>
      <c r="G1623" t="str">
        <f>""</f>
        <v/>
      </c>
      <c r="I1623" t="str">
        <f>"CP-8851-K9"</f>
        <v>CP-8851-K9</v>
      </c>
    </row>
    <row r="1624" spans="1:9" x14ac:dyDescent="0.3">
      <c r="A1624" t="str">
        <f>""</f>
        <v/>
      </c>
      <c r="F1624" t="str">
        <f>""</f>
        <v/>
      </c>
      <c r="G1624" t="str">
        <f>""</f>
        <v/>
      </c>
      <c r="I1624" t="str">
        <f>"CON-SNT-CP8851K9 "</f>
        <v>CON-SNT-CP8851K9 </v>
      </c>
    </row>
    <row r="1625" spans="1:9" x14ac:dyDescent="0.3">
      <c r="A1625" t="str">
        <f>""</f>
        <v/>
      </c>
      <c r="F1625" t="str">
        <f>""</f>
        <v/>
      </c>
      <c r="G1625" t="str">
        <f>""</f>
        <v/>
      </c>
      <c r="I1625" t="str">
        <f>"CP-BEKEM"</f>
        <v>CP-BEKEM</v>
      </c>
    </row>
    <row r="1626" spans="1:9" x14ac:dyDescent="0.3">
      <c r="A1626" t="str">
        <f>""</f>
        <v/>
      </c>
      <c r="F1626" t="str">
        <f>""</f>
        <v/>
      </c>
      <c r="G1626" t="str">
        <f>""</f>
        <v/>
      </c>
      <c r="I1626" t="str">
        <f>"CON-SNT-CPBEKEM"</f>
        <v>CON-SNT-CPBEKEM</v>
      </c>
    </row>
    <row r="1627" spans="1:9" x14ac:dyDescent="0.3">
      <c r="A1627" t="str">
        <f>""</f>
        <v/>
      </c>
      <c r="F1627" t="str">
        <f>""</f>
        <v/>
      </c>
      <c r="G1627" t="str">
        <f>""</f>
        <v/>
      </c>
      <c r="I1627" t="str">
        <f>"CP-8851-K9"</f>
        <v>CP-8851-K9</v>
      </c>
    </row>
    <row r="1628" spans="1:9" x14ac:dyDescent="0.3">
      <c r="A1628" t="str">
        <f>""</f>
        <v/>
      </c>
      <c r="F1628" t="str">
        <f>""</f>
        <v/>
      </c>
      <c r="G1628" t="str">
        <f>""</f>
        <v/>
      </c>
      <c r="I1628" t="str">
        <f>"CON-SNT-CP8851K9"</f>
        <v>CON-SNT-CP8851K9</v>
      </c>
    </row>
    <row r="1629" spans="1:9" x14ac:dyDescent="0.3">
      <c r="A1629" t="str">
        <f>""</f>
        <v/>
      </c>
      <c r="F1629" t="str">
        <f>"GB00255592"</f>
        <v>GB00255592</v>
      </c>
      <c r="G1629" t="str">
        <f>"Inv GB00255592"</f>
        <v>Inv GB00255592</v>
      </c>
      <c r="H1629" s="2">
        <v>2276.1799999999998</v>
      </c>
      <c r="I1629" t="str">
        <f>"Inv GB00255592"</f>
        <v>Inv GB00255592</v>
      </c>
    </row>
    <row r="1630" spans="1:9" x14ac:dyDescent="0.3">
      <c r="A1630" t="str">
        <f>"004539"</f>
        <v>004539</v>
      </c>
      <c r="B1630" t="s">
        <v>506</v>
      </c>
      <c r="C1630">
        <v>72909</v>
      </c>
      <c r="D1630" s="2">
        <v>446230.69</v>
      </c>
      <c r="E1630" s="1">
        <v>43018</v>
      </c>
      <c r="F1630" t="str">
        <f>"16030512"</f>
        <v>16030512</v>
      </c>
      <c r="G1630" t="str">
        <f>"PROJ#160305/FIRE STATION #4"</f>
        <v>PROJ#160305/FIRE STATION #4</v>
      </c>
      <c r="H1630" s="2">
        <v>446230.69</v>
      </c>
      <c r="I1630" t="str">
        <f>"PROJ#160305/FIRE STATION #4"</f>
        <v>PROJ#160305/FIRE STATION #4</v>
      </c>
    </row>
    <row r="1631" spans="1:9" x14ac:dyDescent="0.3">
      <c r="A1631" t="str">
        <f>"005200"</f>
        <v>005200</v>
      </c>
      <c r="B1631" t="s">
        <v>507</v>
      </c>
      <c r="C1631">
        <v>72910</v>
      </c>
      <c r="D1631" s="2">
        <v>7455</v>
      </c>
      <c r="E1631" s="1">
        <v>43018</v>
      </c>
      <c r="F1631" t="str">
        <f>"46477"</f>
        <v>46477</v>
      </c>
      <c r="G1631" t="str">
        <f>"Bleachers for Cedar Creek"</f>
        <v>Bleachers for Cedar Creek</v>
      </c>
      <c r="H1631" s="2">
        <v>7455</v>
      </c>
      <c r="I1631" t="str">
        <f>"Bleachers"</f>
        <v>Bleachers</v>
      </c>
    </row>
    <row r="1632" spans="1:9" x14ac:dyDescent="0.3">
      <c r="A1632" t="str">
        <f>"T6855"</f>
        <v>T6855</v>
      </c>
      <c r="B1632" t="s">
        <v>436</v>
      </c>
      <c r="C1632">
        <v>73369</v>
      </c>
      <c r="D1632" s="2">
        <v>200.6</v>
      </c>
      <c r="E1632" s="1">
        <v>43031</v>
      </c>
      <c r="F1632" t="str">
        <f>"0685718-IN"</f>
        <v>0685718-IN</v>
      </c>
      <c r="G1632" t="str">
        <f>"ACCT#01-0112917/SALES#0685718"</f>
        <v>ACCT#01-0112917/SALES#0685718</v>
      </c>
      <c r="H1632" s="2">
        <v>200.6</v>
      </c>
      <c r="I1632" t="str">
        <f>"ACCT#01-0112917/SALES#0685718"</f>
        <v>ACCT#01-0112917/SALES#0685718</v>
      </c>
    </row>
    <row r="1633" spans="1:9" x14ac:dyDescent="0.3">
      <c r="A1633" t="str">
        <f>"TACUE"</f>
        <v>TACUE</v>
      </c>
      <c r="B1633" t="s">
        <v>441</v>
      </c>
      <c r="C1633">
        <v>72911</v>
      </c>
      <c r="D1633" s="2">
        <v>165.01</v>
      </c>
      <c r="E1633" s="1">
        <v>43018</v>
      </c>
      <c r="F1633" t="str">
        <f>"201709285183"</f>
        <v>201709285183</v>
      </c>
      <c r="G1633" t="str">
        <f>"UE FUND WKSHT/3RD QTR 2017"</f>
        <v>UE FUND WKSHT/3RD QTR 2017</v>
      </c>
      <c r="H1633" s="2">
        <v>51.48</v>
      </c>
      <c r="I1633" t="str">
        <f>"UE FUND WKSHT/3RD QTR 2017"</f>
        <v>UE FUND WKSHT/3RD QTR 2017</v>
      </c>
    </row>
    <row r="1634" spans="1:9" x14ac:dyDescent="0.3">
      <c r="A1634" t="str">
        <f>""</f>
        <v/>
      </c>
      <c r="F1634" t="str">
        <f>"201709285185"</f>
        <v>201709285185</v>
      </c>
      <c r="G1634" t="str">
        <f>"UNEMPLOYMENT/3RD QTR 2017"</f>
        <v>UNEMPLOYMENT/3RD QTR 2017</v>
      </c>
      <c r="H1634" s="2">
        <v>113.53</v>
      </c>
      <c r="I1634" t="str">
        <f>"UNEMPLOYMENT/3RD QTR 2017"</f>
        <v>UNEMPLOYMENT/3RD QTR 2017</v>
      </c>
    </row>
    <row r="1635" spans="1:9" x14ac:dyDescent="0.3">
      <c r="A1635" t="str">
        <f>"000103"</f>
        <v>000103</v>
      </c>
      <c r="B1635" t="s">
        <v>508</v>
      </c>
      <c r="C1635">
        <v>0</v>
      </c>
      <c r="D1635" s="2">
        <v>450</v>
      </c>
      <c r="E1635" s="1">
        <v>43031</v>
      </c>
      <c r="F1635" t="str">
        <f>"4651220"</f>
        <v>4651220</v>
      </c>
      <c r="G1635" t="str">
        <f>"ACCT#275262000"</f>
        <v>ACCT#275262000</v>
      </c>
      <c r="H1635" s="2">
        <v>450</v>
      </c>
      <c r="I1635" t="str">
        <f>"ACCT#275262000"</f>
        <v>ACCT#275262000</v>
      </c>
    </row>
    <row r="1636" spans="1:9" x14ac:dyDescent="0.3">
      <c r="A1636" t="str">
        <f>"T10851"</f>
        <v>T10851</v>
      </c>
      <c r="B1636" t="s">
        <v>509</v>
      </c>
      <c r="C1636">
        <v>72912</v>
      </c>
      <c r="D1636" s="2">
        <v>236.21</v>
      </c>
      <c r="E1636" s="1">
        <v>43018</v>
      </c>
      <c r="F1636" t="str">
        <f>"A11960"</f>
        <v>A11960</v>
      </c>
      <c r="G1636" t="str">
        <f>"PARTS"</f>
        <v>PARTS</v>
      </c>
      <c r="H1636" s="2">
        <v>236.21</v>
      </c>
      <c r="I1636" t="str">
        <f>"PARTS"</f>
        <v>PARTS</v>
      </c>
    </row>
    <row r="1637" spans="1:9" x14ac:dyDescent="0.3">
      <c r="A1637" t="str">
        <f>"WALMAR"</f>
        <v>WALMAR</v>
      </c>
      <c r="B1637" t="s">
        <v>482</v>
      </c>
      <c r="C1637">
        <v>72913</v>
      </c>
      <c r="D1637" s="2">
        <v>101.79</v>
      </c>
      <c r="E1637" s="1">
        <v>43018</v>
      </c>
      <c r="F1637" t="str">
        <f>"000901"</f>
        <v>000901</v>
      </c>
      <c r="G1637" t="str">
        <f>"Acct# 6032202005312476"</f>
        <v>Acct# 6032202005312476</v>
      </c>
      <c r="H1637" s="2">
        <v>101.79</v>
      </c>
      <c r="I1637" t="str">
        <f>"Inv # 000901"</f>
        <v>Inv # 000901</v>
      </c>
    </row>
    <row r="1638" spans="1:9" x14ac:dyDescent="0.3">
      <c r="A1638" t="str">
        <f>"003479"</f>
        <v>003479</v>
      </c>
      <c r="B1638" t="s">
        <v>510</v>
      </c>
      <c r="C1638">
        <v>72914</v>
      </c>
      <c r="D1638" s="2">
        <v>271.75</v>
      </c>
      <c r="E1638" s="1">
        <v>43018</v>
      </c>
      <c r="F1638" t="str">
        <f>"235865"</f>
        <v>235865</v>
      </c>
      <c r="G1638" t="str">
        <f>"0781-0017/RES#18307"</f>
        <v>0781-0017/RES#18307</v>
      </c>
      <c r="H1638" s="2">
        <v>271.75</v>
      </c>
      <c r="I1638" t="str">
        <f>"0781-0017/RES#18307"</f>
        <v>0781-0017/RES#18307</v>
      </c>
    </row>
    <row r="1639" spans="1:9" x14ac:dyDescent="0.3">
      <c r="A1639" t="str">
        <f>"004240"</f>
        <v>004240</v>
      </c>
      <c r="B1639" t="s">
        <v>489</v>
      </c>
      <c r="C1639">
        <v>73370</v>
      </c>
      <c r="D1639" s="2">
        <v>109638.19</v>
      </c>
      <c r="E1639" s="1">
        <v>43031</v>
      </c>
      <c r="F1639" t="str">
        <f>"1248"</f>
        <v>1248</v>
      </c>
      <c r="G1639" t="str">
        <f>"WFR010001/OLD PINEY TRAIL"</f>
        <v>WFR010001/OLD PINEY TRAIL</v>
      </c>
      <c r="H1639" s="2">
        <v>109638.19</v>
      </c>
      <c r="I1639" t="str">
        <f>"WFR010001/OLD PINEY TRAIL"</f>
        <v>WFR010001/OLD PINEY TRAIL</v>
      </c>
    </row>
    <row r="1640" spans="1:9" x14ac:dyDescent="0.3">
      <c r="A1640" t="str">
        <f>"ALLSTA"</f>
        <v>ALLSTA</v>
      </c>
      <c r="B1640" t="s">
        <v>511</v>
      </c>
      <c r="C1640">
        <v>0</v>
      </c>
      <c r="D1640" s="2">
        <v>8145.47</v>
      </c>
      <c r="E1640" s="1">
        <v>43035</v>
      </c>
      <c r="F1640" t="str">
        <f>"201710266000"</f>
        <v>201710266000</v>
      </c>
      <c r="G1640" t="str">
        <f>"ALLSTATE-AMERICAN HERITAGE LIF"</f>
        <v>ALLSTATE-AMERICAN HERITAGE LIF</v>
      </c>
      <c r="H1640" s="2">
        <v>0.05</v>
      </c>
      <c r="I1640" t="str">
        <f>"ALLSTATE-AMERICAN HERITAGE LIF"</f>
        <v>ALLSTATE-AMERICAN HERITAGE LIF</v>
      </c>
    </row>
    <row r="1641" spans="1:9" x14ac:dyDescent="0.3">
      <c r="A1641" t="str">
        <f>""</f>
        <v/>
      </c>
      <c r="F1641" t="str">
        <f>"AS 201710045386"</f>
        <v>AS 201710045386</v>
      </c>
      <c r="G1641" t="str">
        <f t="shared" ref="G1641:G1654" si="18">"ALLSTATE"</f>
        <v>ALLSTATE</v>
      </c>
      <c r="H1641" s="2">
        <v>805.84</v>
      </c>
      <c r="I1641" t="str">
        <f t="shared" ref="I1641:I1654" si="19">"ALLSTATE"</f>
        <v>ALLSTATE</v>
      </c>
    </row>
    <row r="1642" spans="1:9" x14ac:dyDescent="0.3">
      <c r="A1642" t="str">
        <f>""</f>
        <v/>
      </c>
      <c r="F1642" t="str">
        <f>"AS 201710045387"</f>
        <v>AS 201710045387</v>
      </c>
      <c r="G1642" t="str">
        <f t="shared" si="18"/>
        <v>ALLSTATE</v>
      </c>
      <c r="H1642" s="2">
        <v>36.14</v>
      </c>
      <c r="I1642" t="str">
        <f t="shared" si="19"/>
        <v>ALLSTATE</v>
      </c>
    </row>
    <row r="1643" spans="1:9" x14ac:dyDescent="0.3">
      <c r="A1643" t="str">
        <f>""</f>
        <v/>
      </c>
      <c r="F1643" t="str">
        <f>"AS 201710185808"</f>
        <v>AS 201710185808</v>
      </c>
      <c r="G1643" t="str">
        <f t="shared" si="18"/>
        <v>ALLSTATE</v>
      </c>
      <c r="H1643" s="2">
        <v>805.84</v>
      </c>
      <c r="I1643" t="str">
        <f t="shared" si="19"/>
        <v>ALLSTATE</v>
      </c>
    </row>
    <row r="1644" spans="1:9" x14ac:dyDescent="0.3">
      <c r="A1644" t="str">
        <f>""</f>
        <v/>
      </c>
      <c r="F1644" t="str">
        <f>"AS 201710185811"</f>
        <v>AS 201710185811</v>
      </c>
      <c r="G1644" t="str">
        <f t="shared" si="18"/>
        <v>ALLSTATE</v>
      </c>
      <c r="H1644" s="2">
        <v>36.14</v>
      </c>
      <c r="I1644" t="str">
        <f t="shared" si="19"/>
        <v>ALLSTATE</v>
      </c>
    </row>
    <row r="1645" spans="1:9" x14ac:dyDescent="0.3">
      <c r="A1645" t="str">
        <f>""</f>
        <v/>
      </c>
      <c r="F1645" t="str">
        <f>"ASD201710045386"</f>
        <v>ASD201710045386</v>
      </c>
      <c r="G1645" t="str">
        <f t="shared" si="18"/>
        <v>ALLSTATE</v>
      </c>
      <c r="H1645" s="2">
        <v>317.52</v>
      </c>
      <c r="I1645" t="str">
        <f t="shared" si="19"/>
        <v>ALLSTATE</v>
      </c>
    </row>
    <row r="1646" spans="1:9" x14ac:dyDescent="0.3">
      <c r="A1646" t="str">
        <f>""</f>
        <v/>
      </c>
      <c r="F1646" t="str">
        <f>"ASD201710185808"</f>
        <v>ASD201710185808</v>
      </c>
      <c r="G1646" t="str">
        <f t="shared" si="18"/>
        <v>ALLSTATE</v>
      </c>
      <c r="H1646" s="2">
        <v>317.52</v>
      </c>
      <c r="I1646" t="str">
        <f t="shared" si="19"/>
        <v>ALLSTATE</v>
      </c>
    </row>
    <row r="1647" spans="1:9" x14ac:dyDescent="0.3">
      <c r="A1647" t="str">
        <f>""</f>
        <v/>
      </c>
      <c r="F1647" t="str">
        <f>"ASI201710045386"</f>
        <v>ASI201710045386</v>
      </c>
      <c r="G1647" t="str">
        <f t="shared" si="18"/>
        <v>ALLSTATE</v>
      </c>
      <c r="H1647" s="2">
        <v>984.05</v>
      </c>
      <c r="I1647" t="str">
        <f t="shared" si="19"/>
        <v>ALLSTATE</v>
      </c>
    </row>
    <row r="1648" spans="1:9" x14ac:dyDescent="0.3">
      <c r="A1648" t="str">
        <f>""</f>
        <v/>
      </c>
      <c r="F1648" t="str">
        <f>"ASI201710045387"</f>
        <v>ASI201710045387</v>
      </c>
      <c r="G1648" t="str">
        <f t="shared" si="18"/>
        <v>ALLSTATE</v>
      </c>
      <c r="H1648" s="2">
        <v>100.63</v>
      </c>
      <c r="I1648" t="str">
        <f t="shared" si="19"/>
        <v>ALLSTATE</v>
      </c>
    </row>
    <row r="1649" spans="1:9" x14ac:dyDescent="0.3">
      <c r="A1649" t="str">
        <f>""</f>
        <v/>
      </c>
      <c r="F1649" t="str">
        <f>"ASI201710185808"</f>
        <v>ASI201710185808</v>
      </c>
      <c r="G1649" t="str">
        <f t="shared" si="18"/>
        <v>ALLSTATE</v>
      </c>
      <c r="H1649" s="2">
        <v>984.05</v>
      </c>
      <c r="I1649" t="str">
        <f t="shared" si="19"/>
        <v>ALLSTATE</v>
      </c>
    </row>
    <row r="1650" spans="1:9" x14ac:dyDescent="0.3">
      <c r="A1650" t="str">
        <f>""</f>
        <v/>
      </c>
      <c r="F1650" t="str">
        <f>"ASI201710185811"</f>
        <v>ASI201710185811</v>
      </c>
      <c r="G1650" t="str">
        <f t="shared" si="18"/>
        <v>ALLSTATE</v>
      </c>
      <c r="H1650" s="2">
        <v>100.63</v>
      </c>
      <c r="I1650" t="str">
        <f t="shared" si="19"/>
        <v>ALLSTATE</v>
      </c>
    </row>
    <row r="1651" spans="1:9" x14ac:dyDescent="0.3">
      <c r="A1651" t="str">
        <f>""</f>
        <v/>
      </c>
      <c r="F1651" t="str">
        <f>"AST201710045386"</f>
        <v>AST201710045386</v>
      </c>
      <c r="G1651" t="str">
        <f t="shared" si="18"/>
        <v>ALLSTATE</v>
      </c>
      <c r="H1651" s="2">
        <v>1774.7</v>
      </c>
      <c r="I1651" t="str">
        <f t="shared" si="19"/>
        <v>ALLSTATE</v>
      </c>
    </row>
    <row r="1652" spans="1:9" x14ac:dyDescent="0.3">
      <c r="A1652" t="str">
        <f>""</f>
        <v/>
      </c>
      <c r="F1652" t="str">
        <f>"AST201710045387"</f>
        <v>AST201710045387</v>
      </c>
      <c r="G1652" t="str">
        <f t="shared" si="18"/>
        <v>ALLSTATE</v>
      </c>
      <c r="H1652" s="2">
        <v>53.83</v>
      </c>
      <c r="I1652" t="str">
        <f t="shared" si="19"/>
        <v>ALLSTATE</v>
      </c>
    </row>
    <row r="1653" spans="1:9" x14ac:dyDescent="0.3">
      <c r="A1653" t="str">
        <f>""</f>
        <v/>
      </c>
      <c r="F1653" t="str">
        <f>"AST201710185808"</f>
        <v>AST201710185808</v>
      </c>
      <c r="G1653" t="str">
        <f t="shared" si="18"/>
        <v>ALLSTATE</v>
      </c>
      <c r="H1653" s="2">
        <v>1774.7</v>
      </c>
      <c r="I1653" t="str">
        <f t="shared" si="19"/>
        <v>ALLSTATE</v>
      </c>
    </row>
    <row r="1654" spans="1:9" x14ac:dyDescent="0.3">
      <c r="A1654" t="str">
        <f>""</f>
        <v/>
      </c>
      <c r="F1654" t="str">
        <f>"AST201710185811"</f>
        <v>AST201710185811</v>
      </c>
      <c r="G1654" t="str">
        <f t="shared" si="18"/>
        <v>ALLSTATE</v>
      </c>
      <c r="H1654" s="2">
        <v>53.83</v>
      </c>
      <c r="I1654" t="str">
        <f t="shared" si="19"/>
        <v>ALLSTATE</v>
      </c>
    </row>
    <row r="1655" spans="1:9" x14ac:dyDescent="0.3">
      <c r="A1655" t="str">
        <f>"002234"</f>
        <v>002234</v>
      </c>
      <c r="B1655" t="s">
        <v>512</v>
      </c>
      <c r="C1655">
        <v>0</v>
      </c>
      <c r="D1655" s="2">
        <v>1368</v>
      </c>
      <c r="E1655" s="1">
        <v>43035</v>
      </c>
      <c r="F1655" t="str">
        <f>"BAS201710045386"</f>
        <v>BAS201710045386</v>
      </c>
      <c r="G1655" t="str">
        <f>"B.A.S.E."</f>
        <v>B.A.S.E.</v>
      </c>
      <c r="H1655" s="2">
        <v>684</v>
      </c>
      <c r="I1655" t="str">
        <f>"B.A.S.E."</f>
        <v>B.A.S.E.</v>
      </c>
    </row>
    <row r="1656" spans="1:9" x14ac:dyDescent="0.3">
      <c r="A1656" t="str">
        <f>""</f>
        <v/>
      </c>
      <c r="F1656" t="str">
        <f>"BAS201710185808"</f>
        <v>BAS201710185808</v>
      </c>
      <c r="G1656" t="str">
        <f>"B.A.S.E."</f>
        <v>B.A.S.E.</v>
      </c>
      <c r="H1656" s="2">
        <v>684</v>
      </c>
      <c r="I1656" t="str">
        <f>"B.A.S.E."</f>
        <v>B.A.S.E.</v>
      </c>
    </row>
    <row r="1657" spans="1:9" x14ac:dyDescent="0.3">
      <c r="A1657" t="str">
        <f>"T12180"</f>
        <v>T12180</v>
      </c>
      <c r="B1657" t="s">
        <v>513</v>
      </c>
      <c r="C1657">
        <v>0</v>
      </c>
      <c r="D1657" s="2">
        <v>3119.87</v>
      </c>
      <c r="E1657" s="1">
        <v>43014</v>
      </c>
      <c r="F1657" t="str">
        <f>"DDP201710045388"</f>
        <v>DDP201710045388</v>
      </c>
      <c r="G1657" t="str">
        <f>"AP - TEXAS DISCOUNT DENTAL"</f>
        <v>AP - TEXAS DISCOUNT DENTAL</v>
      </c>
      <c r="H1657" s="2">
        <v>6.53</v>
      </c>
      <c r="I1657" t="str">
        <f>"AP - TEXAS DISCOUNT DENTAL"</f>
        <v>AP - TEXAS DISCOUNT DENTAL</v>
      </c>
    </row>
    <row r="1658" spans="1:9" x14ac:dyDescent="0.3">
      <c r="A1658" t="str">
        <f>""</f>
        <v/>
      </c>
      <c r="F1658" t="str">
        <f>"DHM201710045388"</f>
        <v>DHM201710045388</v>
      </c>
      <c r="G1658" t="str">
        <f>"AP - DENTAL HMO"</f>
        <v>AP - DENTAL HMO</v>
      </c>
      <c r="H1658" s="2">
        <v>30.7</v>
      </c>
      <c r="I1658" t="str">
        <f>"AP - DENTAL HMO"</f>
        <v>AP - DENTAL HMO</v>
      </c>
    </row>
    <row r="1659" spans="1:9" x14ac:dyDescent="0.3">
      <c r="A1659" t="str">
        <f>""</f>
        <v/>
      </c>
      <c r="F1659" t="str">
        <f>"DTX201710045388"</f>
        <v>DTX201710045388</v>
      </c>
      <c r="G1659" t="str">
        <f>"AP - TEXAS DENTAL"</f>
        <v>AP - TEXAS DENTAL</v>
      </c>
      <c r="H1659" s="2">
        <v>383.93</v>
      </c>
      <c r="I1659" t="str">
        <f>"AP - TEXAS DENTAL"</f>
        <v>AP - TEXAS DENTAL</v>
      </c>
    </row>
    <row r="1660" spans="1:9" x14ac:dyDescent="0.3">
      <c r="A1660" t="str">
        <f>""</f>
        <v/>
      </c>
      <c r="F1660" t="str">
        <f>"FD 201710045388"</f>
        <v>FD 201710045388</v>
      </c>
      <c r="G1660" t="str">
        <f>"AP - FT DEARBORN PRE-TAX"</f>
        <v>AP - FT DEARBORN PRE-TAX</v>
      </c>
      <c r="H1660" s="2">
        <v>219.93</v>
      </c>
      <c r="I1660" t="str">
        <f>"AP - FT DEARBORN PRE-TAX"</f>
        <v>AP - FT DEARBORN PRE-TAX</v>
      </c>
    </row>
    <row r="1661" spans="1:9" x14ac:dyDescent="0.3">
      <c r="A1661" t="str">
        <f>""</f>
        <v/>
      </c>
      <c r="F1661" t="str">
        <f>"FDT201710045388"</f>
        <v>FDT201710045388</v>
      </c>
      <c r="G1661" t="str">
        <f>"AP - FT DEARBORN AFTER TAX"</f>
        <v>AP - FT DEARBORN AFTER TAX</v>
      </c>
      <c r="H1661" s="2">
        <v>82.76</v>
      </c>
      <c r="I1661" t="str">
        <f>"AP - FT DEARBORN AFTER TAX"</f>
        <v>AP - FT DEARBORN AFTER TAX</v>
      </c>
    </row>
    <row r="1662" spans="1:9" x14ac:dyDescent="0.3">
      <c r="A1662" t="str">
        <f>""</f>
        <v/>
      </c>
      <c r="F1662" t="str">
        <f>"FLX201710045388"</f>
        <v>FLX201710045388</v>
      </c>
      <c r="G1662" t="str">
        <f>"AP - TEX FLEX"</f>
        <v>AP - TEX FLEX</v>
      </c>
      <c r="H1662" s="2">
        <v>303</v>
      </c>
      <c r="I1662" t="str">
        <f>"AP - TEX FLEX"</f>
        <v>AP - TEX FLEX</v>
      </c>
    </row>
    <row r="1663" spans="1:9" x14ac:dyDescent="0.3">
      <c r="A1663" t="str">
        <f>""</f>
        <v/>
      </c>
      <c r="F1663" t="str">
        <f>"MHS201710045388"</f>
        <v>MHS201710045388</v>
      </c>
      <c r="G1663" t="str">
        <f>"AP - HEALTH SELECT MEDICAL"</f>
        <v>AP - HEALTH SELECT MEDICAL</v>
      </c>
      <c r="H1663" s="2">
        <v>1787.8</v>
      </c>
      <c r="I1663" t="str">
        <f>"AP - HEALTH SELECT MEDICAL"</f>
        <v>AP - HEALTH SELECT MEDICAL</v>
      </c>
    </row>
    <row r="1664" spans="1:9" x14ac:dyDescent="0.3">
      <c r="A1664" t="str">
        <f>""</f>
        <v/>
      </c>
      <c r="F1664" t="str">
        <f>"MSW201710045388"</f>
        <v>MSW201710045388</v>
      </c>
      <c r="G1664" t="str">
        <f>"AP - SCOTT &amp; WHITE MEDICAL"</f>
        <v>AP - SCOTT &amp; WHITE MEDICAL</v>
      </c>
      <c r="H1664" s="2">
        <v>291.82</v>
      </c>
      <c r="I1664" t="str">
        <f>"AP - SCOTT &amp; WHITE MEDICAL"</f>
        <v>AP - SCOTT &amp; WHITE MEDICAL</v>
      </c>
    </row>
    <row r="1665" spans="1:9" x14ac:dyDescent="0.3">
      <c r="A1665" t="str">
        <f>""</f>
        <v/>
      </c>
      <c r="F1665" t="str">
        <f>"SPE201710045388"</f>
        <v>SPE201710045388</v>
      </c>
      <c r="G1665" t="str">
        <f>"AP - STATE VISION"</f>
        <v>AP - STATE VISION</v>
      </c>
      <c r="H1665" s="2">
        <v>13.4</v>
      </c>
      <c r="I1665" t="str">
        <f>"AP - STATE VISION"</f>
        <v>AP - STATE VISION</v>
      </c>
    </row>
    <row r="1666" spans="1:9" x14ac:dyDescent="0.3">
      <c r="A1666" t="str">
        <f>"T12180"</f>
        <v>T12180</v>
      </c>
      <c r="B1666" t="s">
        <v>513</v>
      </c>
      <c r="C1666">
        <v>0</v>
      </c>
      <c r="D1666" s="2">
        <v>3119.87</v>
      </c>
      <c r="E1666" s="1">
        <v>43028</v>
      </c>
      <c r="F1666" t="str">
        <f>"DDP201710185812"</f>
        <v>DDP201710185812</v>
      </c>
      <c r="G1666" t="str">
        <f>"AP - TEXAS DISCOUNT DENTAL"</f>
        <v>AP - TEXAS DISCOUNT DENTAL</v>
      </c>
      <c r="H1666" s="2">
        <v>6.53</v>
      </c>
      <c r="I1666" t="str">
        <f>"AP - TEXAS DISCOUNT DENTAL"</f>
        <v>AP - TEXAS DISCOUNT DENTAL</v>
      </c>
    </row>
    <row r="1667" spans="1:9" x14ac:dyDescent="0.3">
      <c r="A1667" t="str">
        <f>""</f>
        <v/>
      </c>
      <c r="F1667" t="str">
        <f>"DHM201710185812"</f>
        <v>DHM201710185812</v>
      </c>
      <c r="G1667" t="str">
        <f>"AP - DENTAL HMO"</f>
        <v>AP - DENTAL HMO</v>
      </c>
      <c r="H1667" s="2">
        <v>30.7</v>
      </c>
      <c r="I1667" t="str">
        <f>"AP - DENTAL HMO"</f>
        <v>AP - DENTAL HMO</v>
      </c>
    </row>
    <row r="1668" spans="1:9" x14ac:dyDescent="0.3">
      <c r="A1668" t="str">
        <f>""</f>
        <v/>
      </c>
      <c r="F1668" t="str">
        <f>"DTX201710185812"</f>
        <v>DTX201710185812</v>
      </c>
      <c r="G1668" t="str">
        <f>"AP - TEXAS DENTAL"</f>
        <v>AP - TEXAS DENTAL</v>
      </c>
      <c r="H1668" s="2">
        <v>383.93</v>
      </c>
      <c r="I1668" t="str">
        <f>"AP - TEXAS DENTAL"</f>
        <v>AP - TEXAS DENTAL</v>
      </c>
    </row>
    <row r="1669" spans="1:9" x14ac:dyDescent="0.3">
      <c r="A1669" t="str">
        <f>""</f>
        <v/>
      </c>
      <c r="F1669" t="str">
        <f>"FD 201710185812"</f>
        <v>FD 201710185812</v>
      </c>
      <c r="G1669" t="str">
        <f>"AP - FT DEARBORN PRE-TAX"</f>
        <v>AP - FT DEARBORN PRE-TAX</v>
      </c>
      <c r="H1669" s="2">
        <v>219.93</v>
      </c>
      <c r="I1669" t="str">
        <f>"AP - FT DEARBORN PRE-TAX"</f>
        <v>AP - FT DEARBORN PRE-TAX</v>
      </c>
    </row>
    <row r="1670" spans="1:9" x14ac:dyDescent="0.3">
      <c r="A1670" t="str">
        <f>""</f>
        <v/>
      </c>
      <c r="F1670" t="str">
        <f>"FDT201710185812"</f>
        <v>FDT201710185812</v>
      </c>
      <c r="G1670" t="str">
        <f>"AP - FT DEARBORN AFTER TAX"</f>
        <v>AP - FT DEARBORN AFTER TAX</v>
      </c>
      <c r="H1670" s="2">
        <v>82.76</v>
      </c>
      <c r="I1670" t="str">
        <f>"AP - FT DEARBORN AFTER TAX"</f>
        <v>AP - FT DEARBORN AFTER TAX</v>
      </c>
    </row>
    <row r="1671" spans="1:9" x14ac:dyDescent="0.3">
      <c r="A1671" t="str">
        <f>""</f>
        <v/>
      </c>
      <c r="F1671" t="str">
        <f>"FLX201710185812"</f>
        <v>FLX201710185812</v>
      </c>
      <c r="G1671" t="str">
        <f>"AP - TEX FLEX"</f>
        <v>AP - TEX FLEX</v>
      </c>
      <c r="H1671" s="2">
        <v>303</v>
      </c>
      <c r="I1671" t="str">
        <f>"AP - TEX FLEX"</f>
        <v>AP - TEX FLEX</v>
      </c>
    </row>
    <row r="1672" spans="1:9" x14ac:dyDescent="0.3">
      <c r="A1672" t="str">
        <f>""</f>
        <v/>
      </c>
      <c r="F1672" t="str">
        <f>"MHS201710185812"</f>
        <v>MHS201710185812</v>
      </c>
      <c r="G1672" t="str">
        <f>"AP - HEALTH SELECT MEDICAL"</f>
        <v>AP - HEALTH SELECT MEDICAL</v>
      </c>
      <c r="H1672" s="2">
        <v>1787.8</v>
      </c>
      <c r="I1672" t="str">
        <f>"AP - HEALTH SELECT MEDICAL"</f>
        <v>AP - HEALTH SELECT MEDICAL</v>
      </c>
    </row>
    <row r="1673" spans="1:9" x14ac:dyDescent="0.3">
      <c r="A1673" t="str">
        <f>""</f>
        <v/>
      </c>
      <c r="F1673" t="str">
        <f>"MSW201710185812"</f>
        <v>MSW201710185812</v>
      </c>
      <c r="G1673" t="str">
        <f>"AP - SCOTT &amp; WHITE MEDICAL"</f>
        <v>AP - SCOTT &amp; WHITE MEDICAL</v>
      </c>
      <c r="H1673" s="2">
        <v>291.82</v>
      </c>
      <c r="I1673" t="str">
        <f>"AP - SCOTT &amp; WHITE MEDICAL"</f>
        <v>AP - SCOTT &amp; WHITE MEDICAL</v>
      </c>
    </row>
    <row r="1674" spans="1:9" x14ac:dyDescent="0.3">
      <c r="A1674" t="str">
        <f>""</f>
        <v/>
      </c>
      <c r="F1674" t="str">
        <f>"SPE201710185812"</f>
        <v>SPE201710185812</v>
      </c>
      <c r="G1674" t="str">
        <f>"AP - STATE VISION"</f>
        <v>AP - STATE VISION</v>
      </c>
      <c r="H1674" s="2">
        <v>13.4</v>
      </c>
      <c r="I1674" t="str">
        <f>"AP - STATE VISION"</f>
        <v>AP - STATE VISION</v>
      </c>
    </row>
    <row r="1675" spans="1:9" x14ac:dyDescent="0.3">
      <c r="A1675" t="str">
        <f>"COLONI"</f>
        <v>COLONI</v>
      </c>
      <c r="B1675" t="s">
        <v>514</v>
      </c>
      <c r="C1675">
        <v>0</v>
      </c>
      <c r="D1675" s="2">
        <v>5765.64</v>
      </c>
      <c r="E1675" s="1">
        <v>43035</v>
      </c>
      <c r="F1675" t="str">
        <f>"CL 201710045386"</f>
        <v>CL 201710045386</v>
      </c>
      <c r="G1675" t="str">
        <f t="shared" ref="G1675:G1696" si="20">"COLONIAL"</f>
        <v>COLONIAL</v>
      </c>
      <c r="H1675" s="2">
        <v>859.08</v>
      </c>
      <c r="I1675" t="str">
        <f t="shared" ref="I1675:I1696" si="21">"COLONIAL"</f>
        <v>COLONIAL</v>
      </c>
    </row>
    <row r="1676" spans="1:9" x14ac:dyDescent="0.3">
      <c r="A1676" t="str">
        <f>""</f>
        <v/>
      </c>
      <c r="F1676" t="str">
        <f>"CL 201710045387"</f>
        <v>CL 201710045387</v>
      </c>
      <c r="G1676" t="str">
        <f t="shared" si="20"/>
        <v>COLONIAL</v>
      </c>
      <c r="H1676" s="2">
        <v>14.49</v>
      </c>
      <c r="I1676" t="str">
        <f t="shared" si="21"/>
        <v>COLONIAL</v>
      </c>
    </row>
    <row r="1677" spans="1:9" x14ac:dyDescent="0.3">
      <c r="A1677" t="str">
        <f>""</f>
        <v/>
      </c>
      <c r="F1677" t="str">
        <f>"CL 201710185808"</f>
        <v>CL 201710185808</v>
      </c>
      <c r="G1677" t="str">
        <f t="shared" si="20"/>
        <v>COLONIAL</v>
      </c>
      <c r="H1677" s="2">
        <v>859.08</v>
      </c>
      <c r="I1677" t="str">
        <f t="shared" si="21"/>
        <v>COLONIAL</v>
      </c>
    </row>
    <row r="1678" spans="1:9" x14ac:dyDescent="0.3">
      <c r="A1678" t="str">
        <f>""</f>
        <v/>
      </c>
      <c r="F1678" t="str">
        <f>"CL 201710185811"</f>
        <v>CL 201710185811</v>
      </c>
      <c r="G1678" t="str">
        <f t="shared" si="20"/>
        <v>COLONIAL</v>
      </c>
      <c r="H1678" s="2">
        <v>14.49</v>
      </c>
      <c r="I1678" t="str">
        <f t="shared" si="21"/>
        <v>COLONIAL</v>
      </c>
    </row>
    <row r="1679" spans="1:9" x14ac:dyDescent="0.3">
      <c r="A1679" t="str">
        <f>""</f>
        <v/>
      </c>
      <c r="F1679" t="str">
        <f>"CLC201710045386"</f>
        <v>CLC201710045386</v>
      </c>
      <c r="G1679" t="str">
        <f t="shared" si="20"/>
        <v>COLONIAL</v>
      </c>
      <c r="H1679" s="2">
        <v>100.6</v>
      </c>
      <c r="I1679" t="str">
        <f t="shared" si="21"/>
        <v>COLONIAL</v>
      </c>
    </row>
    <row r="1680" spans="1:9" x14ac:dyDescent="0.3">
      <c r="A1680" t="str">
        <f>""</f>
        <v/>
      </c>
      <c r="F1680" t="str">
        <f>"CLC201710185808"</f>
        <v>CLC201710185808</v>
      </c>
      <c r="G1680" t="str">
        <f t="shared" si="20"/>
        <v>COLONIAL</v>
      </c>
      <c r="H1680" s="2">
        <v>100.6</v>
      </c>
      <c r="I1680" t="str">
        <f t="shared" si="21"/>
        <v>COLONIAL</v>
      </c>
    </row>
    <row r="1681" spans="1:9" x14ac:dyDescent="0.3">
      <c r="A1681" t="str">
        <f>""</f>
        <v/>
      </c>
      <c r="F1681" t="str">
        <f>"CLI201710045386"</f>
        <v>CLI201710045386</v>
      </c>
      <c r="G1681" t="str">
        <f t="shared" si="20"/>
        <v>COLONIAL</v>
      </c>
      <c r="H1681" s="2">
        <v>662.55</v>
      </c>
      <c r="I1681" t="str">
        <f t="shared" si="21"/>
        <v>COLONIAL</v>
      </c>
    </row>
    <row r="1682" spans="1:9" x14ac:dyDescent="0.3">
      <c r="A1682" t="str">
        <f>""</f>
        <v/>
      </c>
      <c r="F1682" t="str">
        <f>"CLI201710045387"</f>
        <v>CLI201710045387</v>
      </c>
      <c r="G1682" t="str">
        <f t="shared" si="20"/>
        <v>COLONIAL</v>
      </c>
      <c r="H1682" s="2">
        <v>17.53</v>
      </c>
      <c r="I1682" t="str">
        <f t="shared" si="21"/>
        <v>COLONIAL</v>
      </c>
    </row>
    <row r="1683" spans="1:9" x14ac:dyDescent="0.3">
      <c r="A1683" t="str">
        <f>""</f>
        <v/>
      </c>
      <c r="F1683" t="str">
        <f>"CLI201710185808"</f>
        <v>CLI201710185808</v>
      </c>
      <c r="G1683" t="str">
        <f t="shared" si="20"/>
        <v>COLONIAL</v>
      </c>
      <c r="H1683" s="2">
        <v>662.55</v>
      </c>
      <c r="I1683" t="str">
        <f t="shared" si="21"/>
        <v>COLONIAL</v>
      </c>
    </row>
    <row r="1684" spans="1:9" x14ac:dyDescent="0.3">
      <c r="A1684" t="str">
        <f>""</f>
        <v/>
      </c>
      <c r="F1684" t="str">
        <f>"CLI201710185811"</f>
        <v>CLI201710185811</v>
      </c>
      <c r="G1684" t="str">
        <f t="shared" si="20"/>
        <v>COLONIAL</v>
      </c>
      <c r="H1684" s="2">
        <v>17.53</v>
      </c>
      <c r="I1684" t="str">
        <f t="shared" si="21"/>
        <v>COLONIAL</v>
      </c>
    </row>
    <row r="1685" spans="1:9" x14ac:dyDescent="0.3">
      <c r="A1685" t="str">
        <f>""</f>
        <v/>
      </c>
      <c r="F1685" t="str">
        <f>"CLK201710045386"</f>
        <v>CLK201710045386</v>
      </c>
      <c r="G1685" t="str">
        <f t="shared" si="20"/>
        <v>COLONIAL</v>
      </c>
      <c r="H1685" s="2">
        <v>27.09</v>
      </c>
      <c r="I1685" t="str">
        <f t="shared" si="21"/>
        <v>COLONIAL</v>
      </c>
    </row>
    <row r="1686" spans="1:9" x14ac:dyDescent="0.3">
      <c r="A1686" t="str">
        <f>""</f>
        <v/>
      </c>
      <c r="F1686" t="str">
        <f>"CLK201710185808"</f>
        <v>CLK201710185808</v>
      </c>
      <c r="G1686" t="str">
        <f t="shared" si="20"/>
        <v>COLONIAL</v>
      </c>
      <c r="H1686" s="2">
        <v>27.09</v>
      </c>
      <c r="I1686" t="str">
        <f t="shared" si="21"/>
        <v>COLONIAL</v>
      </c>
    </row>
    <row r="1687" spans="1:9" x14ac:dyDescent="0.3">
      <c r="A1687" t="str">
        <f>""</f>
        <v/>
      </c>
      <c r="F1687" t="str">
        <f>"CLS201710045386"</f>
        <v>CLS201710045386</v>
      </c>
      <c r="G1687" t="str">
        <f t="shared" si="20"/>
        <v>COLONIAL</v>
      </c>
      <c r="H1687" s="2">
        <v>463.79</v>
      </c>
      <c r="I1687" t="str">
        <f t="shared" si="21"/>
        <v>COLONIAL</v>
      </c>
    </row>
    <row r="1688" spans="1:9" x14ac:dyDescent="0.3">
      <c r="A1688" t="str">
        <f>""</f>
        <v/>
      </c>
      <c r="F1688" t="str">
        <f>"CLS201710045387"</f>
        <v>CLS201710045387</v>
      </c>
      <c r="G1688" t="str">
        <f t="shared" si="20"/>
        <v>COLONIAL</v>
      </c>
      <c r="H1688" s="2">
        <v>12.84</v>
      </c>
      <c r="I1688" t="str">
        <f t="shared" si="21"/>
        <v>COLONIAL</v>
      </c>
    </row>
    <row r="1689" spans="1:9" x14ac:dyDescent="0.3">
      <c r="A1689" t="str">
        <f>""</f>
        <v/>
      </c>
      <c r="F1689" t="str">
        <f>"CLS201710185808"</f>
        <v>CLS201710185808</v>
      </c>
      <c r="G1689" t="str">
        <f t="shared" si="20"/>
        <v>COLONIAL</v>
      </c>
      <c r="H1689" s="2">
        <v>431.69</v>
      </c>
      <c r="I1689" t="str">
        <f t="shared" si="21"/>
        <v>COLONIAL</v>
      </c>
    </row>
    <row r="1690" spans="1:9" x14ac:dyDescent="0.3">
      <c r="A1690" t="str">
        <f>""</f>
        <v/>
      </c>
      <c r="F1690" t="str">
        <f>"CLS201710185811"</f>
        <v>CLS201710185811</v>
      </c>
      <c r="G1690" t="str">
        <f t="shared" si="20"/>
        <v>COLONIAL</v>
      </c>
      <c r="H1690" s="2">
        <v>12.84</v>
      </c>
      <c r="I1690" t="str">
        <f t="shared" si="21"/>
        <v>COLONIAL</v>
      </c>
    </row>
    <row r="1691" spans="1:9" x14ac:dyDescent="0.3">
      <c r="A1691" t="str">
        <f>""</f>
        <v/>
      </c>
      <c r="F1691" t="str">
        <f>"CLT201710045386"</f>
        <v>CLT201710045386</v>
      </c>
      <c r="G1691" t="str">
        <f t="shared" si="20"/>
        <v>COLONIAL</v>
      </c>
      <c r="H1691" s="2">
        <v>402.75</v>
      </c>
      <c r="I1691" t="str">
        <f t="shared" si="21"/>
        <v>COLONIAL</v>
      </c>
    </row>
    <row r="1692" spans="1:9" x14ac:dyDescent="0.3">
      <c r="A1692" t="str">
        <f>""</f>
        <v/>
      </c>
      <c r="F1692" t="str">
        <f>"CLT201710185808"</f>
        <v>CLT201710185808</v>
      </c>
      <c r="G1692" t="str">
        <f t="shared" si="20"/>
        <v>COLONIAL</v>
      </c>
      <c r="H1692" s="2">
        <v>402.75</v>
      </c>
      <c r="I1692" t="str">
        <f t="shared" si="21"/>
        <v>COLONIAL</v>
      </c>
    </row>
    <row r="1693" spans="1:9" x14ac:dyDescent="0.3">
      <c r="A1693" t="str">
        <f>""</f>
        <v/>
      </c>
      <c r="F1693" t="str">
        <f>"CLU201710045386"</f>
        <v>CLU201710045386</v>
      </c>
      <c r="G1693" t="str">
        <f t="shared" si="20"/>
        <v>COLONIAL</v>
      </c>
      <c r="H1693" s="2">
        <v>268.56</v>
      </c>
      <c r="I1693" t="str">
        <f t="shared" si="21"/>
        <v>COLONIAL</v>
      </c>
    </row>
    <row r="1694" spans="1:9" x14ac:dyDescent="0.3">
      <c r="A1694" t="str">
        <f>""</f>
        <v/>
      </c>
      <c r="F1694" t="str">
        <f>"CLU201710185808"</f>
        <v>CLU201710185808</v>
      </c>
      <c r="G1694" t="str">
        <f t="shared" si="20"/>
        <v>COLONIAL</v>
      </c>
      <c r="H1694" s="2">
        <v>268.56</v>
      </c>
      <c r="I1694" t="str">
        <f t="shared" si="21"/>
        <v>COLONIAL</v>
      </c>
    </row>
    <row r="1695" spans="1:9" x14ac:dyDescent="0.3">
      <c r="A1695" t="str">
        <f>""</f>
        <v/>
      </c>
      <c r="F1695" t="str">
        <f>"CLW201710045386"</f>
        <v>CLW201710045386</v>
      </c>
      <c r="G1695" t="str">
        <f t="shared" si="20"/>
        <v>COLONIAL</v>
      </c>
      <c r="H1695" s="2">
        <v>69.59</v>
      </c>
      <c r="I1695" t="str">
        <f t="shared" si="21"/>
        <v>COLONIAL</v>
      </c>
    </row>
    <row r="1696" spans="1:9" x14ac:dyDescent="0.3">
      <c r="A1696" t="str">
        <f>""</f>
        <v/>
      </c>
      <c r="F1696" t="str">
        <f>"CLW201710185808"</f>
        <v>CLW201710185808</v>
      </c>
      <c r="G1696" t="str">
        <f t="shared" si="20"/>
        <v>COLONIAL</v>
      </c>
      <c r="H1696" s="2">
        <v>69.59</v>
      </c>
      <c r="I1696" t="str">
        <f t="shared" si="21"/>
        <v>COLONIAL</v>
      </c>
    </row>
    <row r="1697" spans="1:9" x14ac:dyDescent="0.3">
      <c r="A1697" t="str">
        <f>"T14390"</f>
        <v>T14390</v>
      </c>
      <c r="B1697" t="s">
        <v>515</v>
      </c>
      <c r="C1697">
        <v>0</v>
      </c>
      <c r="D1697" s="2">
        <v>7473.12</v>
      </c>
      <c r="E1697" s="1">
        <v>43014</v>
      </c>
      <c r="F1697" t="str">
        <f>"CPI201710045386"</f>
        <v>CPI201710045386</v>
      </c>
      <c r="G1697" t="str">
        <f>"DEFERRED COMP 457B PAYABLE"</f>
        <v>DEFERRED COMP 457B PAYABLE</v>
      </c>
      <c r="H1697" s="2">
        <v>7365.62</v>
      </c>
      <c r="I1697" t="str">
        <f>"DEFERRED COMP 457B PAYABLE"</f>
        <v>DEFERRED COMP 457B PAYABLE</v>
      </c>
    </row>
    <row r="1698" spans="1:9" x14ac:dyDescent="0.3">
      <c r="A1698" t="str">
        <f>""</f>
        <v/>
      </c>
      <c r="F1698" t="str">
        <f>"CPI201710045387"</f>
        <v>CPI201710045387</v>
      </c>
      <c r="G1698" t="str">
        <f>"DEFERRED COMP 457B PAYABLE"</f>
        <v>DEFERRED COMP 457B PAYABLE</v>
      </c>
      <c r="H1698" s="2">
        <v>107.5</v>
      </c>
      <c r="I1698" t="str">
        <f>"DEFERRED COMP 457B PAYABLE"</f>
        <v>DEFERRED COMP 457B PAYABLE</v>
      </c>
    </row>
    <row r="1699" spans="1:9" x14ac:dyDescent="0.3">
      <c r="A1699" t="str">
        <f>"T14390"</f>
        <v>T14390</v>
      </c>
      <c r="B1699" t="s">
        <v>515</v>
      </c>
      <c r="C1699">
        <v>0</v>
      </c>
      <c r="D1699" s="2">
        <v>7433.32</v>
      </c>
      <c r="E1699" s="1">
        <v>43028</v>
      </c>
      <c r="F1699" t="str">
        <f>"CPI201710185808"</f>
        <v>CPI201710185808</v>
      </c>
      <c r="G1699" t="str">
        <f>"DEFERRED COMP 457B PAYABLE"</f>
        <v>DEFERRED COMP 457B PAYABLE</v>
      </c>
      <c r="H1699" s="2">
        <v>7325.82</v>
      </c>
      <c r="I1699" t="str">
        <f>"DEFERRED COMP 457B PAYABLE"</f>
        <v>DEFERRED COMP 457B PAYABLE</v>
      </c>
    </row>
    <row r="1700" spans="1:9" x14ac:dyDescent="0.3">
      <c r="A1700" t="str">
        <f>""</f>
        <v/>
      </c>
      <c r="F1700" t="str">
        <f>"CPI201710185811"</f>
        <v>CPI201710185811</v>
      </c>
      <c r="G1700" t="str">
        <f>"DEFERRED COMP 457B PAYABLE"</f>
        <v>DEFERRED COMP 457B PAYABLE</v>
      </c>
      <c r="H1700" s="2">
        <v>107.5</v>
      </c>
      <c r="I1700" t="str">
        <f>"DEFERRED COMP 457B PAYABLE"</f>
        <v>DEFERRED COMP 457B PAYABLE</v>
      </c>
    </row>
    <row r="1701" spans="1:9" x14ac:dyDescent="0.3">
      <c r="A1701" t="str">
        <f>"T10761"</f>
        <v>T10761</v>
      </c>
      <c r="B1701" t="s">
        <v>516</v>
      </c>
      <c r="C1701">
        <v>45899</v>
      </c>
      <c r="D1701" s="2">
        <v>1345.62</v>
      </c>
      <c r="E1701" s="1">
        <v>43014</v>
      </c>
      <c r="F1701" t="str">
        <f>"B13201710045386"</f>
        <v>B13201710045386</v>
      </c>
      <c r="G1701" t="str">
        <f>"Rosa Warren 15-10357-TMD"</f>
        <v>Rosa Warren 15-10357-TMD</v>
      </c>
      <c r="H1701" s="2">
        <v>853.85</v>
      </c>
      <c r="I1701" t="str">
        <f>"Rosa Warren 15-10357-TMD"</f>
        <v>Rosa Warren 15-10357-TMD</v>
      </c>
    </row>
    <row r="1702" spans="1:9" x14ac:dyDescent="0.3">
      <c r="A1702" t="str">
        <f>""</f>
        <v/>
      </c>
      <c r="F1702" t="str">
        <f>"BJL201710045386"</f>
        <v>BJL201710045386</v>
      </c>
      <c r="G1702" t="str">
        <f>"Julian Luna 14-10230-TMD"</f>
        <v>Julian Luna 14-10230-TMD</v>
      </c>
      <c r="H1702" s="2">
        <v>491.77</v>
      </c>
      <c r="I1702" t="str">
        <f>"Julian Luna 14-10230-TMD"</f>
        <v>Julian Luna 14-10230-TMD</v>
      </c>
    </row>
    <row r="1703" spans="1:9" x14ac:dyDescent="0.3">
      <c r="A1703" t="str">
        <f>"T10761"</f>
        <v>T10761</v>
      </c>
      <c r="B1703" t="s">
        <v>516</v>
      </c>
      <c r="C1703">
        <v>45923</v>
      </c>
      <c r="D1703" s="2">
        <v>1345.62</v>
      </c>
      <c r="E1703" s="1">
        <v>43028</v>
      </c>
      <c r="F1703" t="str">
        <f>"B13201710185808"</f>
        <v>B13201710185808</v>
      </c>
      <c r="G1703" t="str">
        <f>"Rosa Warren 15-10357-TMD"</f>
        <v>Rosa Warren 15-10357-TMD</v>
      </c>
      <c r="H1703" s="2">
        <v>853.85</v>
      </c>
      <c r="I1703" t="str">
        <f>"Rosa Warren 15-10357-TMD"</f>
        <v>Rosa Warren 15-10357-TMD</v>
      </c>
    </row>
    <row r="1704" spans="1:9" x14ac:dyDescent="0.3">
      <c r="A1704" t="str">
        <f>""</f>
        <v/>
      </c>
      <c r="F1704" t="str">
        <f>"BJL201710185808"</f>
        <v>BJL201710185808</v>
      </c>
      <c r="G1704" t="str">
        <f>"Julian Luna 14-10230-TMD"</f>
        <v>Julian Luna 14-10230-TMD</v>
      </c>
      <c r="H1704" s="2">
        <v>491.77</v>
      </c>
      <c r="I1704" t="str">
        <f>"Julian Luna 14-10230-TMD"</f>
        <v>Julian Luna 14-10230-TMD</v>
      </c>
    </row>
    <row r="1705" spans="1:9" x14ac:dyDescent="0.3">
      <c r="A1705" t="str">
        <f>"GUARD"</f>
        <v>GUARD</v>
      </c>
      <c r="B1705" t="s">
        <v>517</v>
      </c>
      <c r="C1705">
        <v>0</v>
      </c>
      <c r="D1705" s="2">
        <v>36857.08</v>
      </c>
      <c r="E1705" s="1">
        <v>43035</v>
      </c>
      <c r="F1705" t="str">
        <f>"201710265990"</f>
        <v>201710265990</v>
      </c>
      <c r="G1705" t="str">
        <f>"GUARDIAN Dental Rounding"</f>
        <v>GUARDIAN Dental Rounding</v>
      </c>
      <c r="H1705" s="2">
        <v>-5.71</v>
      </c>
      <c r="I1705" t="str">
        <f>"GUARDIAN Dental Rounding"</f>
        <v>GUARDIAN Dental Rounding</v>
      </c>
    </row>
    <row r="1706" spans="1:9" x14ac:dyDescent="0.3">
      <c r="A1706" t="str">
        <f>""</f>
        <v/>
      </c>
      <c r="F1706" t="str">
        <f>"201710265992"</f>
        <v>201710265992</v>
      </c>
      <c r="G1706" t="str">
        <f>"GUARDIAN Life Ins Rounding"</f>
        <v>GUARDIAN Life Ins Rounding</v>
      </c>
      <c r="H1706" s="2">
        <v>-0.28000000000000003</v>
      </c>
      <c r="I1706" t="str">
        <f>"GUARDIAN Life Ins Rounding"</f>
        <v>GUARDIAN Life Ins Rounding</v>
      </c>
    </row>
    <row r="1707" spans="1:9" x14ac:dyDescent="0.3">
      <c r="A1707" t="str">
        <f>""</f>
        <v/>
      </c>
      <c r="F1707" t="str">
        <f>"201710265993"</f>
        <v>201710265993</v>
      </c>
      <c r="G1707" t="str">
        <f>"GUARDIAN LTD Rounding"</f>
        <v>GUARDIAN LTD Rounding</v>
      </c>
      <c r="H1707" s="2">
        <v>-0.12</v>
      </c>
      <c r="I1707" t="str">
        <f>"GUARDIAN LTD Rounding"</f>
        <v>GUARDIAN LTD Rounding</v>
      </c>
    </row>
    <row r="1708" spans="1:9" x14ac:dyDescent="0.3">
      <c r="A1708" t="str">
        <f>""</f>
        <v/>
      </c>
      <c r="F1708" t="str">
        <f>"201710265989"</f>
        <v>201710265989</v>
      </c>
      <c r="G1708" t="str">
        <f>"Retiree Dental/Vision"</f>
        <v>Retiree Dental/Vision</v>
      </c>
      <c r="H1708" s="2">
        <v>2793.42</v>
      </c>
      <c r="I1708" t="str">
        <f>"Retiree Dental/Vision"</f>
        <v>Retiree Dental/Vision</v>
      </c>
    </row>
    <row r="1709" spans="1:9" x14ac:dyDescent="0.3">
      <c r="A1709" t="str">
        <f>""</f>
        <v/>
      </c>
      <c r="F1709" t="str">
        <f>"201710265991"</f>
        <v>201710265991</v>
      </c>
      <c r="G1709" t="str">
        <f>"Retiree Life Coverage"</f>
        <v>Retiree Life Coverage</v>
      </c>
      <c r="H1709" s="2">
        <v>133.15</v>
      </c>
      <c r="I1709" t="str">
        <f>"Retiree Life Coverage"</f>
        <v>Retiree Life Coverage</v>
      </c>
    </row>
    <row r="1710" spans="1:9" x14ac:dyDescent="0.3">
      <c r="A1710" t="str">
        <f>""</f>
        <v/>
      </c>
      <c r="F1710" t="str">
        <f>"201710265994"</f>
        <v>201710265994</v>
      </c>
      <c r="G1710" t="str">
        <f>"Deduction October Issues"</f>
        <v>Deduction October Issues</v>
      </c>
      <c r="H1710" s="2">
        <v>96.41</v>
      </c>
      <c r="I1710" t="str">
        <f>"Deduction October Issues"</f>
        <v>Deduction October Issues</v>
      </c>
    </row>
    <row r="1711" spans="1:9" x14ac:dyDescent="0.3">
      <c r="A1711" t="str">
        <f>""</f>
        <v/>
      </c>
      <c r="F1711" t="str">
        <f>"ADC201710045386"</f>
        <v>ADC201710045386</v>
      </c>
      <c r="G1711" t="str">
        <f t="shared" ref="G1711:G1723" si="22">"GUARDIAN"</f>
        <v>GUARDIAN</v>
      </c>
      <c r="H1711" s="2">
        <v>5</v>
      </c>
      <c r="I1711" t="str">
        <f t="shared" ref="I1711:I1774" si="23">"GUARDIAN"</f>
        <v>GUARDIAN</v>
      </c>
    </row>
    <row r="1712" spans="1:9" x14ac:dyDescent="0.3">
      <c r="A1712" t="str">
        <f>""</f>
        <v/>
      </c>
      <c r="F1712" t="str">
        <f>"ADC201710045387"</f>
        <v>ADC201710045387</v>
      </c>
      <c r="G1712" t="str">
        <f t="shared" si="22"/>
        <v>GUARDIAN</v>
      </c>
      <c r="H1712" s="2">
        <v>0.16</v>
      </c>
      <c r="I1712" t="str">
        <f t="shared" si="23"/>
        <v>GUARDIAN</v>
      </c>
    </row>
    <row r="1713" spans="1:9" x14ac:dyDescent="0.3">
      <c r="A1713" t="str">
        <f>""</f>
        <v/>
      </c>
      <c r="F1713" t="str">
        <f>"ADC201710185808"</f>
        <v>ADC201710185808</v>
      </c>
      <c r="G1713" t="str">
        <f t="shared" si="22"/>
        <v>GUARDIAN</v>
      </c>
      <c r="H1713" s="2">
        <v>5.33</v>
      </c>
      <c r="I1713" t="str">
        <f t="shared" si="23"/>
        <v>GUARDIAN</v>
      </c>
    </row>
    <row r="1714" spans="1:9" x14ac:dyDescent="0.3">
      <c r="A1714" t="str">
        <f>""</f>
        <v/>
      </c>
      <c r="F1714" t="str">
        <f>"ADC201710185811"</f>
        <v>ADC201710185811</v>
      </c>
      <c r="G1714" t="str">
        <f t="shared" si="22"/>
        <v>GUARDIAN</v>
      </c>
      <c r="H1714" s="2">
        <v>0.16</v>
      </c>
      <c r="I1714" t="str">
        <f t="shared" si="23"/>
        <v>GUARDIAN</v>
      </c>
    </row>
    <row r="1715" spans="1:9" x14ac:dyDescent="0.3">
      <c r="A1715" t="str">
        <f>""</f>
        <v/>
      </c>
      <c r="F1715" t="str">
        <f>"ADE201710045386"</f>
        <v>ADE201710045386</v>
      </c>
      <c r="G1715" t="str">
        <f t="shared" si="22"/>
        <v>GUARDIAN</v>
      </c>
      <c r="H1715" s="2">
        <v>201.9</v>
      </c>
      <c r="I1715" t="str">
        <f t="shared" si="23"/>
        <v>GUARDIAN</v>
      </c>
    </row>
    <row r="1716" spans="1:9" x14ac:dyDescent="0.3">
      <c r="A1716" t="str">
        <f>""</f>
        <v/>
      </c>
      <c r="F1716" t="str">
        <f>"ADE201710045387"</f>
        <v>ADE201710045387</v>
      </c>
      <c r="G1716" t="str">
        <f t="shared" si="22"/>
        <v>GUARDIAN</v>
      </c>
      <c r="H1716" s="2">
        <v>6.6</v>
      </c>
      <c r="I1716" t="str">
        <f t="shared" si="23"/>
        <v>GUARDIAN</v>
      </c>
    </row>
    <row r="1717" spans="1:9" x14ac:dyDescent="0.3">
      <c r="A1717" t="str">
        <f>""</f>
        <v/>
      </c>
      <c r="F1717" t="str">
        <f>"ADE201710185808"</f>
        <v>ADE201710185808</v>
      </c>
      <c r="G1717" t="str">
        <f t="shared" si="22"/>
        <v>GUARDIAN</v>
      </c>
      <c r="H1717" s="2">
        <v>201.9</v>
      </c>
      <c r="I1717" t="str">
        <f t="shared" si="23"/>
        <v>GUARDIAN</v>
      </c>
    </row>
    <row r="1718" spans="1:9" x14ac:dyDescent="0.3">
      <c r="A1718" t="str">
        <f>""</f>
        <v/>
      </c>
      <c r="F1718" t="str">
        <f>"ADE201710185811"</f>
        <v>ADE201710185811</v>
      </c>
      <c r="G1718" t="str">
        <f t="shared" si="22"/>
        <v>GUARDIAN</v>
      </c>
      <c r="H1718" s="2">
        <v>6.6</v>
      </c>
      <c r="I1718" t="str">
        <f t="shared" si="23"/>
        <v>GUARDIAN</v>
      </c>
    </row>
    <row r="1719" spans="1:9" x14ac:dyDescent="0.3">
      <c r="A1719" t="str">
        <f>""</f>
        <v/>
      </c>
      <c r="F1719" t="str">
        <f>"ADS201710045386"</f>
        <v>ADS201710045386</v>
      </c>
      <c r="G1719" t="str">
        <f t="shared" si="22"/>
        <v>GUARDIAN</v>
      </c>
      <c r="H1719" s="2">
        <v>33.28</v>
      </c>
      <c r="I1719" t="str">
        <f t="shared" si="23"/>
        <v>GUARDIAN</v>
      </c>
    </row>
    <row r="1720" spans="1:9" x14ac:dyDescent="0.3">
      <c r="A1720" t="str">
        <f>""</f>
        <v/>
      </c>
      <c r="F1720" t="str">
        <f>"ADS201710045387"</f>
        <v>ADS201710045387</v>
      </c>
      <c r="G1720" t="str">
        <f t="shared" si="22"/>
        <v>GUARDIAN</v>
      </c>
      <c r="H1720" s="2">
        <v>0.98</v>
      </c>
      <c r="I1720" t="str">
        <f t="shared" si="23"/>
        <v>GUARDIAN</v>
      </c>
    </row>
    <row r="1721" spans="1:9" x14ac:dyDescent="0.3">
      <c r="A1721" t="str">
        <f>""</f>
        <v/>
      </c>
      <c r="F1721" t="str">
        <f>"ADS201710185808"</f>
        <v>ADS201710185808</v>
      </c>
      <c r="G1721" t="str">
        <f t="shared" si="22"/>
        <v>GUARDIAN</v>
      </c>
      <c r="H1721" s="2">
        <v>33.28</v>
      </c>
      <c r="I1721" t="str">
        <f t="shared" si="23"/>
        <v>GUARDIAN</v>
      </c>
    </row>
    <row r="1722" spans="1:9" x14ac:dyDescent="0.3">
      <c r="A1722" t="str">
        <f>""</f>
        <v/>
      </c>
      <c r="F1722" t="str">
        <f>"ADS201710185811"</f>
        <v>ADS201710185811</v>
      </c>
      <c r="G1722" t="str">
        <f t="shared" si="22"/>
        <v>GUARDIAN</v>
      </c>
      <c r="H1722" s="2">
        <v>0.98</v>
      </c>
      <c r="I1722" t="str">
        <f t="shared" si="23"/>
        <v>GUARDIAN</v>
      </c>
    </row>
    <row r="1723" spans="1:9" x14ac:dyDescent="0.3">
      <c r="A1723" t="str">
        <f>""</f>
        <v/>
      </c>
      <c r="F1723" t="str">
        <f>"GDC201710045386"</f>
        <v>GDC201710045386</v>
      </c>
      <c r="G1723" t="str">
        <f t="shared" si="22"/>
        <v>GUARDIAN</v>
      </c>
      <c r="H1723" s="2">
        <v>2448.75</v>
      </c>
      <c r="I1723" t="str">
        <f t="shared" si="23"/>
        <v>GUARDIAN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23"/>
        <v>GUARDIAN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 t="shared" si="23"/>
        <v>GUARDIAN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 t="shared" si="23"/>
        <v>GUARDIAN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 t="shared" si="23"/>
        <v>GUARDIAN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 t="shared" si="23"/>
        <v>GUARDIAN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 t="shared" si="23"/>
        <v>GUARDIAN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 t="shared" si="23"/>
        <v>GUARDIAN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 t="shared" si="23"/>
        <v>GUARDIAN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 t="shared" si="23"/>
        <v>GUARDIAN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 t="shared" si="23"/>
        <v>GUARDIAN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 t="shared" si="23"/>
        <v>GUARDIAN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 t="shared" si="23"/>
        <v>GUARDIAN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 t="shared" si="23"/>
        <v>GUARDIAN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 t="shared" si="23"/>
        <v>GUARDIAN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 t="shared" si="23"/>
        <v>GUARDIAN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 t="shared" si="23"/>
        <v>GUARDIAN</v>
      </c>
    </row>
    <row r="1740" spans="1:9" x14ac:dyDescent="0.3">
      <c r="A1740" t="str">
        <f>""</f>
        <v/>
      </c>
      <c r="F1740" t="str">
        <f>""</f>
        <v/>
      </c>
      <c r="G1740" t="str">
        <f>""</f>
        <v/>
      </c>
      <c r="I1740" t="str">
        <f t="shared" si="23"/>
        <v>GUARDIAN</v>
      </c>
    </row>
    <row r="1741" spans="1:9" x14ac:dyDescent="0.3">
      <c r="A1741" t="str">
        <f>""</f>
        <v/>
      </c>
      <c r="F1741" t="str">
        <f>""</f>
        <v/>
      </c>
      <c r="G1741" t="str">
        <f>""</f>
        <v/>
      </c>
      <c r="I1741" t="str">
        <f t="shared" si="23"/>
        <v>GUARDIAN</v>
      </c>
    </row>
    <row r="1742" spans="1:9" x14ac:dyDescent="0.3">
      <c r="A1742" t="str">
        <f>""</f>
        <v/>
      </c>
      <c r="F1742" t="str">
        <f>""</f>
        <v/>
      </c>
      <c r="G1742" t="str">
        <f>""</f>
        <v/>
      </c>
      <c r="I1742" t="str">
        <f t="shared" si="23"/>
        <v>GUARDIAN</v>
      </c>
    </row>
    <row r="1743" spans="1:9" x14ac:dyDescent="0.3">
      <c r="A1743" t="str">
        <f>""</f>
        <v/>
      </c>
      <c r="F1743" t="str">
        <f>""</f>
        <v/>
      </c>
      <c r="G1743" t="str">
        <f>""</f>
        <v/>
      </c>
      <c r="I1743" t="str">
        <f t="shared" si="23"/>
        <v>GUARDIAN</v>
      </c>
    </row>
    <row r="1744" spans="1:9" x14ac:dyDescent="0.3">
      <c r="A1744" t="str">
        <f>""</f>
        <v/>
      </c>
      <c r="F1744" t="str">
        <f>""</f>
        <v/>
      </c>
      <c r="G1744" t="str">
        <f>""</f>
        <v/>
      </c>
      <c r="I1744" t="str">
        <f t="shared" si="23"/>
        <v>GUARDIAN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 t="shared" si="23"/>
        <v>GUARDIAN</v>
      </c>
    </row>
    <row r="1746" spans="1:9" x14ac:dyDescent="0.3">
      <c r="A1746" t="str">
        <f>""</f>
        <v/>
      </c>
      <c r="F1746" t="str">
        <f>""</f>
        <v/>
      </c>
      <c r="G1746" t="str">
        <f>""</f>
        <v/>
      </c>
      <c r="I1746" t="str">
        <f t="shared" si="23"/>
        <v>GUARDIAN</v>
      </c>
    </row>
    <row r="1747" spans="1:9" x14ac:dyDescent="0.3">
      <c r="A1747" t="str">
        <f>""</f>
        <v/>
      </c>
      <c r="F1747" t="str">
        <f>""</f>
        <v/>
      </c>
      <c r="G1747" t="str">
        <f>""</f>
        <v/>
      </c>
      <c r="I1747" t="str">
        <f t="shared" si="23"/>
        <v>GUARDIAN</v>
      </c>
    </row>
    <row r="1748" spans="1:9" x14ac:dyDescent="0.3">
      <c r="A1748" t="str">
        <f>""</f>
        <v/>
      </c>
      <c r="F1748" t="str">
        <f>""</f>
        <v/>
      </c>
      <c r="G1748" t="str">
        <f>""</f>
        <v/>
      </c>
      <c r="I1748" t="str">
        <f t="shared" si="23"/>
        <v>GUARDIAN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 t="shared" si="23"/>
        <v>GUARDIAN</v>
      </c>
    </row>
    <row r="1750" spans="1:9" x14ac:dyDescent="0.3">
      <c r="A1750" t="str">
        <f>""</f>
        <v/>
      </c>
      <c r="F1750" t="str">
        <f>""</f>
        <v/>
      </c>
      <c r="G1750" t="str">
        <f>""</f>
        <v/>
      </c>
      <c r="I1750" t="str">
        <f t="shared" si="23"/>
        <v>GUARDIAN</v>
      </c>
    </row>
    <row r="1751" spans="1:9" x14ac:dyDescent="0.3">
      <c r="A1751" t="str">
        <f>""</f>
        <v/>
      </c>
      <c r="F1751" t="str">
        <f>""</f>
        <v/>
      </c>
      <c r="G1751" t="str">
        <f>""</f>
        <v/>
      </c>
      <c r="I1751" t="str">
        <f t="shared" si="23"/>
        <v>GUARDIAN</v>
      </c>
    </row>
    <row r="1752" spans="1:9" x14ac:dyDescent="0.3">
      <c r="A1752" t="str">
        <f>""</f>
        <v/>
      </c>
      <c r="F1752" t="str">
        <f>""</f>
        <v/>
      </c>
      <c r="G1752" t="str">
        <f>""</f>
        <v/>
      </c>
      <c r="I1752" t="str">
        <f t="shared" si="23"/>
        <v>GUARDIAN</v>
      </c>
    </row>
    <row r="1753" spans="1:9" x14ac:dyDescent="0.3">
      <c r="A1753" t="str">
        <f>""</f>
        <v/>
      </c>
      <c r="F1753" t="str">
        <f>""</f>
        <v/>
      </c>
      <c r="G1753" t="str">
        <f>""</f>
        <v/>
      </c>
      <c r="I1753" t="str">
        <f t="shared" si="23"/>
        <v>GUARDIAN</v>
      </c>
    </row>
    <row r="1754" spans="1:9" x14ac:dyDescent="0.3">
      <c r="A1754" t="str">
        <f>""</f>
        <v/>
      </c>
      <c r="F1754" t="str">
        <f>"GDC201710045387"</f>
        <v>GDC201710045387</v>
      </c>
      <c r="G1754" t="str">
        <f>"GUARDIAN"</f>
        <v>GUARDIAN</v>
      </c>
      <c r="H1754" s="2">
        <v>97.95</v>
      </c>
      <c r="I1754" t="str">
        <f t="shared" si="23"/>
        <v>GUARDIAN</v>
      </c>
    </row>
    <row r="1755" spans="1:9" x14ac:dyDescent="0.3">
      <c r="A1755" t="str">
        <f>""</f>
        <v/>
      </c>
      <c r="F1755" t="str">
        <f>""</f>
        <v/>
      </c>
      <c r="G1755" t="str">
        <f>""</f>
        <v/>
      </c>
      <c r="I1755" t="str">
        <f t="shared" si="23"/>
        <v>GUARDIAN</v>
      </c>
    </row>
    <row r="1756" spans="1:9" x14ac:dyDescent="0.3">
      <c r="A1756" t="str">
        <f>""</f>
        <v/>
      </c>
      <c r="F1756" t="str">
        <f>"GDC201710185808"</f>
        <v>GDC201710185808</v>
      </c>
      <c r="G1756" t="str">
        <f>"GUARDIAN"</f>
        <v>GUARDIAN</v>
      </c>
      <c r="H1756" s="2">
        <v>2383.4499999999998</v>
      </c>
      <c r="I1756" t="str">
        <f t="shared" si="23"/>
        <v>GUARDIAN</v>
      </c>
    </row>
    <row r="1757" spans="1:9" x14ac:dyDescent="0.3">
      <c r="A1757" t="str">
        <f>""</f>
        <v/>
      </c>
      <c r="F1757" t="str">
        <f>""</f>
        <v/>
      </c>
      <c r="G1757" t="str">
        <f>""</f>
        <v/>
      </c>
      <c r="I1757" t="str">
        <f t="shared" si="23"/>
        <v>GUARDIAN</v>
      </c>
    </row>
    <row r="1758" spans="1:9" x14ac:dyDescent="0.3">
      <c r="A1758" t="str">
        <f>""</f>
        <v/>
      </c>
      <c r="F1758" t="str">
        <f>""</f>
        <v/>
      </c>
      <c r="G1758" t="str">
        <f>""</f>
        <v/>
      </c>
      <c r="I1758" t="str">
        <f t="shared" si="23"/>
        <v>GUARDIAN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 t="shared" si="23"/>
        <v>GUARDIAN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 t="shared" si="23"/>
        <v>GUARDIAN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 t="shared" si="23"/>
        <v>GUARDIAN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 t="shared" si="23"/>
        <v>GUARDIAN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 t="shared" si="23"/>
        <v>GUARDIAN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 t="shared" si="23"/>
        <v>GUARDIAN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 t="shared" si="23"/>
        <v>GUARDIAN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 t="shared" si="23"/>
        <v>GUARDIAN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 t="shared" si="23"/>
        <v>GUARDIAN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 t="shared" si="23"/>
        <v>GUARDIAN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 t="shared" si="23"/>
        <v>GUARDIAN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 t="shared" si="23"/>
        <v>GUARDIAN</v>
      </c>
    </row>
    <row r="1771" spans="1:9" x14ac:dyDescent="0.3">
      <c r="A1771" t="str">
        <f>""</f>
        <v/>
      </c>
      <c r="F1771" t="str">
        <f>""</f>
        <v/>
      </c>
      <c r="G1771" t="str">
        <f>""</f>
        <v/>
      </c>
      <c r="I1771" t="str">
        <f t="shared" si="23"/>
        <v>GUARDIAN</v>
      </c>
    </row>
    <row r="1772" spans="1:9" x14ac:dyDescent="0.3">
      <c r="A1772" t="str">
        <f>""</f>
        <v/>
      </c>
      <c r="F1772" t="str">
        <f>""</f>
        <v/>
      </c>
      <c r="G1772" t="str">
        <f>""</f>
        <v/>
      </c>
      <c r="I1772" t="str">
        <f t="shared" si="23"/>
        <v>GUARDIAN</v>
      </c>
    </row>
    <row r="1773" spans="1:9" x14ac:dyDescent="0.3">
      <c r="A1773" t="str">
        <f>""</f>
        <v/>
      </c>
      <c r="F1773" t="str">
        <f>""</f>
        <v/>
      </c>
      <c r="G1773" t="str">
        <f>""</f>
        <v/>
      </c>
      <c r="I1773" t="str">
        <f t="shared" si="23"/>
        <v>GUARDIAN</v>
      </c>
    </row>
    <row r="1774" spans="1:9" x14ac:dyDescent="0.3">
      <c r="A1774" t="str">
        <f>""</f>
        <v/>
      </c>
      <c r="F1774" t="str">
        <f>""</f>
        <v/>
      </c>
      <c r="G1774" t="str">
        <f>""</f>
        <v/>
      </c>
      <c r="I1774" t="str">
        <f t="shared" si="23"/>
        <v>GUARDIAN</v>
      </c>
    </row>
    <row r="1775" spans="1:9" x14ac:dyDescent="0.3">
      <c r="A1775" t="str">
        <f>""</f>
        <v/>
      </c>
      <c r="F1775" t="str">
        <f>""</f>
        <v/>
      </c>
      <c r="G1775" t="str">
        <f>""</f>
        <v/>
      </c>
      <c r="I1775" t="str">
        <f t="shared" ref="I1775:I1838" si="24">"GUARDIAN"</f>
        <v>GUARDIAN</v>
      </c>
    </row>
    <row r="1776" spans="1:9" x14ac:dyDescent="0.3">
      <c r="A1776" t="str">
        <f>""</f>
        <v/>
      </c>
      <c r="F1776" t="str">
        <f>""</f>
        <v/>
      </c>
      <c r="G1776" t="str">
        <f>""</f>
        <v/>
      </c>
      <c r="I1776" t="str">
        <f t="shared" si="24"/>
        <v>GUARDIAN</v>
      </c>
    </row>
    <row r="1777" spans="1:9" x14ac:dyDescent="0.3">
      <c r="A1777" t="str">
        <f>""</f>
        <v/>
      </c>
      <c r="F1777" t="str">
        <f>""</f>
        <v/>
      </c>
      <c r="G1777" t="str">
        <f>""</f>
        <v/>
      </c>
      <c r="I1777" t="str">
        <f t="shared" si="24"/>
        <v>GUARDIAN</v>
      </c>
    </row>
    <row r="1778" spans="1:9" x14ac:dyDescent="0.3">
      <c r="A1778" t="str">
        <f>""</f>
        <v/>
      </c>
      <c r="F1778" t="str">
        <f>""</f>
        <v/>
      </c>
      <c r="G1778" t="str">
        <f>""</f>
        <v/>
      </c>
      <c r="I1778" t="str">
        <f t="shared" si="24"/>
        <v>GUARDIAN</v>
      </c>
    </row>
    <row r="1779" spans="1:9" x14ac:dyDescent="0.3">
      <c r="A1779" t="str">
        <f>""</f>
        <v/>
      </c>
      <c r="F1779" t="str">
        <f>""</f>
        <v/>
      </c>
      <c r="G1779" t="str">
        <f>""</f>
        <v/>
      </c>
      <c r="I1779" t="str">
        <f t="shared" si="24"/>
        <v>GUARDIAN</v>
      </c>
    </row>
    <row r="1780" spans="1:9" x14ac:dyDescent="0.3">
      <c r="A1780" t="str">
        <f>""</f>
        <v/>
      </c>
      <c r="F1780" t="str">
        <f>""</f>
        <v/>
      </c>
      <c r="G1780" t="str">
        <f>""</f>
        <v/>
      </c>
      <c r="I1780" t="str">
        <f t="shared" si="24"/>
        <v>GUARDIAN</v>
      </c>
    </row>
    <row r="1781" spans="1:9" x14ac:dyDescent="0.3">
      <c r="A1781" t="str">
        <f>""</f>
        <v/>
      </c>
      <c r="F1781" t="str">
        <f>""</f>
        <v/>
      </c>
      <c r="G1781" t="str">
        <f>""</f>
        <v/>
      </c>
      <c r="I1781" t="str">
        <f t="shared" si="24"/>
        <v>GUARDIAN</v>
      </c>
    </row>
    <row r="1782" spans="1:9" x14ac:dyDescent="0.3">
      <c r="A1782" t="str">
        <f>""</f>
        <v/>
      </c>
      <c r="F1782" t="str">
        <f>""</f>
        <v/>
      </c>
      <c r="G1782" t="str">
        <f>""</f>
        <v/>
      </c>
      <c r="I1782" t="str">
        <f t="shared" si="24"/>
        <v>GUARDIAN</v>
      </c>
    </row>
    <row r="1783" spans="1:9" x14ac:dyDescent="0.3">
      <c r="A1783" t="str">
        <f>""</f>
        <v/>
      </c>
      <c r="F1783" t="str">
        <f>""</f>
        <v/>
      </c>
      <c r="G1783" t="str">
        <f>""</f>
        <v/>
      </c>
      <c r="I1783" t="str">
        <f t="shared" si="24"/>
        <v>GUARDIAN</v>
      </c>
    </row>
    <row r="1784" spans="1:9" x14ac:dyDescent="0.3">
      <c r="A1784" t="str">
        <f>""</f>
        <v/>
      </c>
      <c r="F1784" t="str">
        <f>""</f>
        <v/>
      </c>
      <c r="G1784" t="str">
        <f>""</f>
        <v/>
      </c>
      <c r="I1784" t="str">
        <f t="shared" si="24"/>
        <v>GUARDIAN</v>
      </c>
    </row>
    <row r="1785" spans="1:9" x14ac:dyDescent="0.3">
      <c r="A1785" t="str">
        <f>""</f>
        <v/>
      </c>
      <c r="F1785" t="str">
        <f>""</f>
        <v/>
      </c>
      <c r="G1785" t="str">
        <f>""</f>
        <v/>
      </c>
      <c r="I1785" t="str">
        <f t="shared" si="24"/>
        <v>GUARDIAN</v>
      </c>
    </row>
    <row r="1786" spans="1:9" x14ac:dyDescent="0.3">
      <c r="A1786" t="str">
        <f>""</f>
        <v/>
      </c>
      <c r="F1786" t="str">
        <f>"GDC201710185811"</f>
        <v>GDC201710185811</v>
      </c>
      <c r="G1786" t="str">
        <f>"GUARDIAN"</f>
        <v>GUARDIAN</v>
      </c>
      <c r="H1786" s="2">
        <v>97.95</v>
      </c>
      <c r="I1786" t="str">
        <f t="shared" si="24"/>
        <v>GUARDIAN</v>
      </c>
    </row>
    <row r="1787" spans="1:9" x14ac:dyDescent="0.3">
      <c r="A1787" t="str">
        <f>""</f>
        <v/>
      </c>
      <c r="F1787" t="str">
        <f>""</f>
        <v/>
      </c>
      <c r="G1787" t="str">
        <f>""</f>
        <v/>
      </c>
      <c r="I1787" t="str">
        <f t="shared" si="24"/>
        <v>GUARDIAN</v>
      </c>
    </row>
    <row r="1788" spans="1:9" x14ac:dyDescent="0.3">
      <c r="A1788" t="str">
        <f>""</f>
        <v/>
      </c>
      <c r="F1788" t="str">
        <f>"GDE201710045386"</f>
        <v>GDE201710045386</v>
      </c>
      <c r="G1788" t="str">
        <f>"GUARDIAN"</f>
        <v>GUARDIAN</v>
      </c>
      <c r="H1788" s="2">
        <v>3714.8</v>
      </c>
      <c r="I1788" t="str">
        <f t="shared" si="24"/>
        <v>GUARDIAN</v>
      </c>
    </row>
    <row r="1789" spans="1:9" x14ac:dyDescent="0.3">
      <c r="A1789" t="str">
        <f>""</f>
        <v/>
      </c>
      <c r="F1789" t="str">
        <f>""</f>
        <v/>
      </c>
      <c r="G1789" t="str">
        <f>""</f>
        <v/>
      </c>
      <c r="I1789" t="str">
        <f t="shared" si="24"/>
        <v>GUARDIAN</v>
      </c>
    </row>
    <row r="1790" spans="1:9" x14ac:dyDescent="0.3">
      <c r="A1790" t="str">
        <f>""</f>
        <v/>
      </c>
      <c r="F1790" t="str">
        <f>""</f>
        <v/>
      </c>
      <c r="G1790" t="str">
        <f>""</f>
        <v/>
      </c>
      <c r="I1790" t="str">
        <f t="shared" si="24"/>
        <v>GUARDIAN</v>
      </c>
    </row>
    <row r="1791" spans="1:9" x14ac:dyDescent="0.3">
      <c r="A1791" t="str">
        <f>""</f>
        <v/>
      </c>
      <c r="F1791" t="str">
        <f>""</f>
        <v/>
      </c>
      <c r="G1791" t="str">
        <f>""</f>
        <v/>
      </c>
      <c r="I1791" t="str">
        <f t="shared" si="24"/>
        <v>GUARDIAN</v>
      </c>
    </row>
    <row r="1792" spans="1:9" x14ac:dyDescent="0.3">
      <c r="A1792" t="str">
        <f>""</f>
        <v/>
      </c>
      <c r="F1792" t="str">
        <f>""</f>
        <v/>
      </c>
      <c r="G1792" t="str">
        <f>""</f>
        <v/>
      </c>
      <c r="I1792" t="str">
        <f t="shared" si="24"/>
        <v>GUARDIAN</v>
      </c>
    </row>
    <row r="1793" spans="1:9" x14ac:dyDescent="0.3">
      <c r="A1793" t="str">
        <f>""</f>
        <v/>
      </c>
      <c r="F1793" t="str">
        <f>""</f>
        <v/>
      </c>
      <c r="G1793" t="str">
        <f>""</f>
        <v/>
      </c>
      <c r="I1793" t="str">
        <f t="shared" si="24"/>
        <v>GUARDIAN</v>
      </c>
    </row>
    <row r="1794" spans="1:9" x14ac:dyDescent="0.3">
      <c r="A1794" t="str">
        <f>""</f>
        <v/>
      </c>
      <c r="F1794" t="str">
        <f>""</f>
        <v/>
      </c>
      <c r="G1794" t="str">
        <f>""</f>
        <v/>
      </c>
      <c r="I1794" t="str">
        <f t="shared" si="24"/>
        <v>GUARDIAN</v>
      </c>
    </row>
    <row r="1795" spans="1:9" x14ac:dyDescent="0.3">
      <c r="A1795" t="str">
        <f>""</f>
        <v/>
      </c>
      <c r="F1795" t="str">
        <f>""</f>
        <v/>
      </c>
      <c r="G1795" t="str">
        <f>""</f>
        <v/>
      </c>
      <c r="I1795" t="str">
        <f t="shared" si="24"/>
        <v>GUARDIAN</v>
      </c>
    </row>
    <row r="1796" spans="1:9" x14ac:dyDescent="0.3">
      <c r="A1796" t="str">
        <f>""</f>
        <v/>
      </c>
      <c r="F1796" t="str">
        <f>""</f>
        <v/>
      </c>
      <c r="G1796" t="str">
        <f>""</f>
        <v/>
      </c>
      <c r="I1796" t="str">
        <f t="shared" si="24"/>
        <v>GUARDIAN</v>
      </c>
    </row>
    <row r="1797" spans="1:9" x14ac:dyDescent="0.3">
      <c r="A1797" t="str">
        <f>""</f>
        <v/>
      </c>
      <c r="F1797" t="str">
        <f>""</f>
        <v/>
      </c>
      <c r="G1797" t="str">
        <f>""</f>
        <v/>
      </c>
      <c r="I1797" t="str">
        <f t="shared" si="24"/>
        <v>GUARDIAN</v>
      </c>
    </row>
    <row r="1798" spans="1:9" x14ac:dyDescent="0.3">
      <c r="A1798" t="str">
        <f>""</f>
        <v/>
      </c>
      <c r="F1798" t="str">
        <f>""</f>
        <v/>
      </c>
      <c r="G1798" t="str">
        <f>""</f>
        <v/>
      </c>
      <c r="I1798" t="str">
        <f t="shared" si="24"/>
        <v>GUARDIAN</v>
      </c>
    </row>
    <row r="1799" spans="1:9" x14ac:dyDescent="0.3">
      <c r="A1799" t="str">
        <f>""</f>
        <v/>
      </c>
      <c r="F1799" t="str">
        <f>""</f>
        <v/>
      </c>
      <c r="G1799" t="str">
        <f>""</f>
        <v/>
      </c>
      <c r="I1799" t="str">
        <f t="shared" si="24"/>
        <v>GUARDIAN</v>
      </c>
    </row>
    <row r="1800" spans="1:9" x14ac:dyDescent="0.3">
      <c r="A1800" t="str">
        <f>""</f>
        <v/>
      </c>
      <c r="F1800" t="str">
        <f>""</f>
        <v/>
      </c>
      <c r="G1800" t="str">
        <f>""</f>
        <v/>
      </c>
      <c r="I1800" t="str">
        <f t="shared" si="24"/>
        <v>GUARDIAN</v>
      </c>
    </row>
    <row r="1801" spans="1:9" x14ac:dyDescent="0.3">
      <c r="A1801" t="str">
        <f>""</f>
        <v/>
      </c>
      <c r="F1801" t="str">
        <f>""</f>
        <v/>
      </c>
      <c r="G1801" t="str">
        <f>""</f>
        <v/>
      </c>
      <c r="I1801" t="str">
        <f t="shared" si="24"/>
        <v>GUARDIAN</v>
      </c>
    </row>
    <row r="1802" spans="1:9" x14ac:dyDescent="0.3">
      <c r="A1802" t="str">
        <f>""</f>
        <v/>
      </c>
      <c r="F1802" t="str">
        <f>""</f>
        <v/>
      </c>
      <c r="G1802" t="str">
        <f>""</f>
        <v/>
      </c>
      <c r="I1802" t="str">
        <f t="shared" si="24"/>
        <v>GUARDIAN</v>
      </c>
    </row>
    <row r="1803" spans="1:9" x14ac:dyDescent="0.3">
      <c r="A1803" t="str">
        <f>""</f>
        <v/>
      </c>
      <c r="F1803" t="str">
        <f>""</f>
        <v/>
      </c>
      <c r="G1803" t="str">
        <f>""</f>
        <v/>
      </c>
      <c r="I1803" t="str">
        <f t="shared" si="24"/>
        <v>GUARDIAN</v>
      </c>
    </row>
    <row r="1804" spans="1:9" x14ac:dyDescent="0.3">
      <c r="A1804" t="str">
        <f>""</f>
        <v/>
      </c>
      <c r="F1804" t="str">
        <f>""</f>
        <v/>
      </c>
      <c r="G1804" t="str">
        <f>""</f>
        <v/>
      </c>
      <c r="I1804" t="str">
        <f t="shared" si="24"/>
        <v>GUARDIAN</v>
      </c>
    </row>
    <row r="1805" spans="1:9" x14ac:dyDescent="0.3">
      <c r="A1805" t="str">
        <f>""</f>
        <v/>
      </c>
      <c r="F1805" t="str">
        <f>""</f>
        <v/>
      </c>
      <c r="G1805" t="str">
        <f>""</f>
        <v/>
      </c>
      <c r="I1805" t="str">
        <f t="shared" si="24"/>
        <v>GUARDIAN</v>
      </c>
    </row>
    <row r="1806" spans="1:9" x14ac:dyDescent="0.3">
      <c r="A1806" t="str">
        <f>""</f>
        <v/>
      </c>
      <c r="F1806" t="str">
        <f>""</f>
        <v/>
      </c>
      <c r="G1806" t="str">
        <f>""</f>
        <v/>
      </c>
      <c r="I1806" t="str">
        <f t="shared" si="24"/>
        <v>GUARDIAN</v>
      </c>
    </row>
    <row r="1807" spans="1:9" x14ac:dyDescent="0.3">
      <c r="A1807" t="str">
        <f>""</f>
        <v/>
      </c>
      <c r="F1807" t="str">
        <f>""</f>
        <v/>
      </c>
      <c r="G1807" t="str">
        <f>""</f>
        <v/>
      </c>
      <c r="I1807" t="str">
        <f t="shared" si="24"/>
        <v>GUARDIAN</v>
      </c>
    </row>
    <row r="1808" spans="1:9" x14ac:dyDescent="0.3">
      <c r="A1808" t="str">
        <f>""</f>
        <v/>
      </c>
      <c r="F1808" t="str">
        <f>""</f>
        <v/>
      </c>
      <c r="G1808" t="str">
        <f>""</f>
        <v/>
      </c>
      <c r="I1808" t="str">
        <f t="shared" si="24"/>
        <v>GUARDIAN</v>
      </c>
    </row>
    <row r="1809" spans="1:9" x14ac:dyDescent="0.3">
      <c r="A1809" t="str">
        <f>""</f>
        <v/>
      </c>
      <c r="F1809" t="str">
        <f>""</f>
        <v/>
      </c>
      <c r="G1809" t="str">
        <f>""</f>
        <v/>
      </c>
      <c r="I1809" t="str">
        <f t="shared" si="24"/>
        <v>GUARDIAN</v>
      </c>
    </row>
    <row r="1810" spans="1:9" x14ac:dyDescent="0.3">
      <c r="A1810" t="str">
        <f>""</f>
        <v/>
      </c>
      <c r="F1810" t="str">
        <f>""</f>
        <v/>
      </c>
      <c r="G1810" t="str">
        <f>""</f>
        <v/>
      </c>
      <c r="I1810" t="str">
        <f t="shared" si="24"/>
        <v>GUARDIAN</v>
      </c>
    </row>
    <row r="1811" spans="1:9" x14ac:dyDescent="0.3">
      <c r="A1811" t="str">
        <f>""</f>
        <v/>
      </c>
      <c r="F1811" t="str">
        <f>""</f>
        <v/>
      </c>
      <c r="G1811" t="str">
        <f>""</f>
        <v/>
      </c>
      <c r="I1811" t="str">
        <f t="shared" si="24"/>
        <v>GUARDIAN</v>
      </c>
    </row>
    <row r="1812" spans="1:9" x14ac:dyDescent="0.3">
      <c r="A1812" t="str">
        <f>""</f>
        <v/>
      </c>
      <c r="F1812" t="str">
        <f>""</f>
        <v/>
      </c>
      <c r="G1812" t="str">
        <f>""</f>
        <v/>
      </c>
      <c r="I1812" t="str">
        <f t="shared" si="24"/>
        <v>GUARDIAN</v>
      </c>
    </row>
    <row r="1813" spans="1:9" x14ac:dyDescent="0.3">
      <c r="A1813" t="str">
        <f>""</f>
        <v/>
      </c>
      <c r="F1813" t="str">
        <f>""</f>
        <v/>
      </c>
      <c r="G1813" t="str">
        <f>""</f>
        <v/>
      </c>
      <c r="I1813" t="str">
        <f t="shared" si="24"/>
        <v>GUARDIAN</v>
      </c>
    </row>
    <row r="1814" spans="1:9" x14ac:dyDescent="0.3">
      <c r="A1814" t="str">
        <f>""</f>
        <v/>
      </c>
      <c r="F1814" t="str">
        <f>""</f>
        <v/>
      </c>
      <c r="G1814" t="str">
        <f>""</f>
        <v/>
      </c>
      <c r="I1814" t="str">
        <f t="shared" si="24"/>
        <v>GUARDIAN</v>
      </c>
    </row>
    <row r="1815" spans="1:9" x14ac:dyDescent="0.3">
      <c r="A1815" t="str">
        <f>""</f>
        <v/>
      </c>
      <c r="F1815" t="str">
        <f>""</f>
        <v/>
      </c>
      <c r="G1815" t="str">
        <f>""</f>
        <v/>
      </c>
      <c r="I1815" t="str">
        <f t="shared" si="24"/>
        <v>GUARDIAN</v>
      </c>
    </row>
    <row r="1816" spans="1:9" x14ac:dyDescent="0.3">
      <c r="A1816" t="str">
        <f>""</f>
        <v/>
      </c>
      <c r="F1816" t="str">
        <f>""</f>
        <v/>
      </c>
      <c r="G1816" t="str">
        <f>""</f>
        <v/>
      </c>
      <c r="I1816" t="str">
        <f t="shared" si="24"/>
        <v>GUARDIAN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 t="shared" si="24"/>
        <v>GUARDIAN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 t="shared" si="24"/>
        <v>GUARDIAN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 t="shared" si="24"/>
        <v>GUARDIAN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 t="shared" si="24"/>
        <v>GUARDIAN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 t="shared" si="24"/>
        <v>GUARDIAN</v>
      </c>
    </row>
    <row r="1822" spans="1:9" x14ac:dyDescent="0.3">
      <c r="A1822" t="str">
        <f>""</f>
        <v/>
      </c>
      <c r="F1822" t="str">
        <f>""</f>
        <v/>
      </c>
      <c r="G1822" t="str">
        <f>""</f>
        <v/>
      </c>
      <c r="I1822" t="str">
        <f t="shared" si="24"/>
        <v>GUARDIAN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 t="shared" si="24"/>
        <v>GUARDIAN</v>
      </c>
    </row>
    <row r="1824" spans="1:9" x14ac:dyDescent="0.3">
      <c r="A1824" t="str">
        <f>""</f>
        <v/>
      </c>
      <c r="F1824" t="str">
        <f>""</f>
        <v/>
      </c>
      <c r="G1824" t="str">
        <f>""</f>
        <v/>
      </c>
      <c r="I1824" t="str">
        <f t="shared" si="24"/>
        <v>GUARDIAN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 t="shared" si="24"/>
        <v>GUARDIAN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 t="shared" si="24"/>
        <v>GUARDIAN</v>
      </c>
    </row>
    <row r="1827" spans="1:9" x14ac:dyDescent="0.3">
      <c r="A1827" t="str">
        <f>""</f>
        <v/>
      </c>
      <c r="F1827" t="str">
        <f>""</f>
        <v/>
      </c>
      <c r="G1827" t="str">
        <f>""</f>
        <v/>
      </c>
      <c r="I1827" t="str">
        <f t="shared" si="24"/>
        <v>GUARDIAN</v>
      </c>
    </row>
    <row r="1828" spans="1:9" x14ac:dyDescent="0.3">
      <c r="A1828" t="str">
        <f>""</f>
        <v/>
      </c>
      <c r="F1828" t="str">
        <f>""</f>
        <v/>
      </c>
      <c r="G1828" t="str">
        <f>""</f>
        <v/>
      </c>
      <c r="I1828" t="str">
        <f t="shared" si="24"/>
        <v>GUARDIAN</v>
      </c>
    </row>
    <row r="1829" spans="1:9" x14ac:dyDescent="0.3">
      <c r="A1829" t="str">
        <f>""</f>
        <v/>
      </c>
      <c r="F1829" t="str">
        <f>"GDE201710045387"</f>
        <v>GDE201710045387</v>
      </c>
      <c r="G1829" t="str">
        <f>"GUARDIAN"</f>
        <v>GUARDIAN</v>
      </c>
      <c r="H1829" s="2">
        <v>148</v>
      </c>
      <c r="I1829" t="str">
        <f t="shared" si="24"/>
        <v>GUARDIAN</v>
      </c>
    </row>
    <row r="1830" spans="1:9" x14ac:dyDescent="0.3">
      <c r="A1830" t="str">
        <f>""</f>
        <v/>
      </c>
      <c r="F1830" t="str">
        <f>"GDE201710185808"</f>
        <v>GDE201710185808</v>
      </c>
      <c r="G1830" t="str">
        <f>"GUARDIAN"</f>
        <v>GUARDIAN</v>
      </c>
      <c r="H1830" s="2">
        <v>3744.4</v>
      </c>
      <c r="I1830" t="str">
        <f t="shared" si="24"/>
        <v>GUARDIAN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 t="shared" si="24"/>
        <v>GUARDIAN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 t="shared" si="24"/>
        <v>GUARDIAN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 t="shared" si="24"/>
        <v>GUARDIAN</v>
      </c>
    </row>
    <row r="1834" spans="1:9" x14ac:dyDescent="0.3">
      <c r="A1834" t="str">
        <f>""</f>
        <v/>
      </c>
      <c r="F1834" t="str">
        <f>""</f>
        <v/>
      </c>
      <c r="G1834" t="str">
        <f>""</f>
        <v/>
      </c>
      <c r="I1834" t="str">
        <f t="shared" si="24"/>
        <v>GUARDIAN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 t="shared" si="24"/>
        <v>GUARDIAN</v>
      </c>
    </row>
    <row r="1836" spans="1:9" x14ac:dyDescent="0.3">
      <c r="A1836" t="str">
        <f>""</f>
        <v/>
      </c>
      <c r="F1836" t="str">
        <f>""</f>
        <v/>
      </c>
      <c r="G1836" t="str">
        <f>""</f>
        <v/>
      </c>
      <c r="I1836" t="str">
        <f t="shared" si="24"/>
        <v>GUARDIAN</v>
      </c>
    </row>
    <row r="1837" spans="1:9" x14ac:dyDescent="0.3">
      <c r="A1837" t="str">
        <f>""</f>
        <v/>
      </c>
      <c r="F1837" t="str">
        <f>""</f>
        <v/>
      </c>
      <c r="G1837" t="str">
        <f>""</f>
        <v/>
      </c>
      <c r="I1837" t="str">
        <f t="shared" si="24"/>
        <v>GUARDIAN</v>
      </c>
    </row>
    <row r="1838" spans="1:9" x14ac:dyDescent="0.3">
      <c r="A1838" t="str">
        <f>""</f>
        <v/>
      </c>
      <c r="F1838" t="str">
        <f>""</f>
        <v/>
      </c>
      <c r="G1838" t="str">
        <f>""</f>
        <v/>
      </c>
      <c r="I1838" t="str">
        <f t="shared" si="24"/>
        <v>GUARDIAN</v>
      </c>
    </row>
    <row r="1839" spans="1:9" x14ac:dyDescent="0.3">
      <c r="A1839" t="str">
        <f>""</f>
        <v/>
      </c>
      <c r="F1839" t="str">
        <f>""</f>
        <v/>
      </c>
      <c r="G1839" t="str">
        <f>""</f>
        <v/>
      </c>
      <c r="I1839" t="str">
        <f t="shared" ref="I1839:I1902" si="25">"GUARDIAN"</f>
        <v>GUARDIAN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 t="shared" si="25"/>
        <v>GUARDIAN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 t="shared" si="25"/>
        <v>GUARDIAN</v>
      </c>
    </row>
    <row r="1842" spans="1:9" x14ac:dyDescent="0.3">
      <c r="A1842" t="str">
        <f>""</f>
        <v/>
      </c>
      <c r="F1842" t="str">
        <f>""</f>
        <v/>
      </c>
      <c r="G1842" t="str">
        <f>""</f>
        <v/>
      </c>
      <c r="I1842" t="str">
        <f t="shared" si="25"/>
        <v>GUARDIAN</v>
      </c>
    </row>
    <row r="1843" spans="1:9" x14ac:dyDescent="0.3">
      <c r="A1843" t="str">
        <f>""</f>
        <v/>
      </c>
      <c r="F1843" t="str">
        <f>""</f>
        <v/>
      </c>
      <c r="G1843" t="str">
        <f>""</f>
        <v/>
      </c>
      <c r="I1843" t="str">
        <f t="shared" si="25"/>
        <v>GUARDIAN</v>
      </c>
    </row>
    <row r="1844" spans="1:9" x14ac:dyDescent="0.3">
      <c r="A1844" t="str">
        <f>""</f>
        <v/>
      </c>
      <c r="F1844" t="str">
        <f>""</f>
        <v/>
      </c>
      <c r="G1844" t="str">
        <f>""</f>
        <v/>
      </c>
      <c r="I1844" t="str">
        <f t="shared" si="25"/>
        <v>GUARDIAN</v>
      </c>
    </row>
    <row r="1845" spans="1:9" x14ac:dyDescent="0.3">
      <c r="A1845" t="str">
        <f>""</f>
        <v/>
      </c>
      <c r="F1845" t="str">
        <f>""</f>
        <v/>
      </c>
      <c r="G1845" t="str">
        <f>""</f>
        <v/>
      </c>
      <c r="I1845" t="str">
        <f t="shared" si="25"/>
        <v>GUARDIAN</v>
      </c>
    </row>
    <row r="1846" spans="1:9" x14ac:dyDescent="0.3">
      <c r="A1846" t="str">
        <f>""</f>
        <v/>
      </c>
      <c r="F1846" t="str">
        <f>""</f>
        <v/>
      </c>
      <c r="G1846" t="str">
        <f>""</f>
        <v/>
      </c>
      <c r="I1846" t="str">
        <f t="shared" si="25"/>
        <v>GUARDIAN</v>
      </c>
    </row>
    <row r="1847" spans="1:9" x14ac:dyDescent="0.3">
      <c r="A1847" t="str">
        <f>""</f>
        <v/>
      </c>
      <c r="F1847" t="str">
        <f>""</f>
        <v/>
      </c>
      <c r="G1847" t="str">
        <f>""</f>
        <v/>
      </c>
      <c r="I1847" t="str">
        <f t="shared" si="25"/>
        <v>GUARDIAN</v>
      </c>
    </row>
    <row r="1848" spans="1:9" x14ac:dyDescent="0.3">
      <c r="A1848" t="str">
        <f>""</f>
        <v/>
      </c>
      <c r="F1848" t="str">
        <f>""</f>
        <v/>
      </c>
      <c r="G1848" t="str">
        <f>""</f>
        <v/>
      </c>
      <c r="I1848" t="str">
        <f t="shared" si="25"/>
        <v>GUARDIAN</v>
      </c>
    </row>
    <row r="1849" spans="1:9" x14ac:dyDescent="0.3">
      <c r="A1849" t="str">
        <f>""</f>
        <v/>
      </c>
      <c r="F1849" t="str">
        <f>""</f>
        <v/>
      </c>
      <c r="G1849" t="str">
        <f>""</f>
        <v/>
      </c>
      <c r="I1849" t="str">
        <f t="shared" si="25"/>
        <v>GUARDIAN</v>
      </c>
    </row>
    <row r="1850" spans="1:9" x14ac:dyDescent="0.3">
      <c r="A1850" t="str">
        <f>""</f>
        <v/>
      </c>
      <c r="F1850" t="str">
        <f>""</f>
        <v/>
      </c>
      <c r="G1850" t="str">
        <f>""</f>
        <v/>
      </c>
      <c r="I1850" t="str">
        <f t="shared" si="25"/>
        <v>GUARDIAN</v>
      </c>
    </row>
    <row r="1851" spans="1:9" x14ac:dyDescent="0.3">
      <c r="A1851" t="str">
        <f>""</f>
        <v/>
      </c>
      <c r="F1851" t="str">
        <f>""</f>
        <v/>
      </c>
      <c r="G1851" t="str">
        <f>""</f>
        <v/>
      </c>
      <c r="I1851" t="str">
        <f t="shared" si="25"/>
        <v>GUARDIAN</v>
      </c>
    </row>
    <row r="1852" spans="1:9" x14ac:dyDescent="0.3">
      <c r="A1852" t="str">
        <f>""</f>
        <v/>
      </c>
      <c r="F1852" t="str">
        <f>""</f>
        <v/>
      </c>
      <c r="G1852" t="str">
        <f>""</f>
        <v/>
      </c>
      <c r="I1852" t="str">
        <f t="shared" si="25"/>
        <v>GUARDIAN</v>
      </c>
    </row>
    <row r="1853" spans="1:9" x14ac:dyDescent="0.3">
      <c r="A1853" t="str">
        <f>""</f>
        <v/>
      </c>
      <c r="F1853" t="str">
        <f>""</f>
        <v/>
      </c>
      <c r="G1853" t="str">
        <f>""</f>
        <v/>
      </c>
      <c r="I1853" t="str">
        <f t="shared" si="25"/>
        <v>GUARDIAN</v>
      </c>
    </row>
    <row r="1854" spans="1:9" x14ac:dyDescent="0.3">
      <c r="A1854" t="str">
        <f>""</f>
        <v/>
      </c>
      <c r="F1854" t="str">
        <f>""</f>
        <v/>
      </c>
      <c r="G1854" t="str">
        <f>""</f>
        <v/>
      </c>
      <c r="I1854" t="str">
        <f t="shared" si="25"/>
        <v>GUARDIAN</v>
      </c>
    </row>
    <row r="1855" spans="1:9" x14ac:dyDescent="0.3">
      <c r="A1855" t="str">
        <f>""</f>
        <v/>
      </c>
      <c r="F1855" t="str">
        <f>""</f>
        <v/>
      </c>
      <c r="G1855" t="str">
        <f>""</f>
        <v/>
      </c>
      <c r="I1855" t="str">
        <f t="shared" si="25"/>
        <v>GUARDIAN</v>
      </c>
    </row>
    <row r="1856" spans="1:9" x14ac:dyDescent="0.3">
      <c r="A1856" t="str">
        <f>""</f>
        <v/>
      </c>
      <c r="F1856" t="str">
        <f>""</f>
        <v/>
      </c>
      <c r="G1856" t="str">
        <f>""</f>
        <v/>
      </c>
      <c r="I1856" t="str">
        <f t="shared" si="25"/>
        <v>GUARDIAN</v>
      </c>
    </row>
    <row r="1857" spans="1:9" x14ac:dyDescent="0.3">
      <c r="A1857" t="str">
        <f>""</f>
        <v/>
      </c>
      <c r="F1857" t="str">
        <f>""</f>
        <v/>
      </c>
      <c r="G1857" t="str">
        <f>""</f>
        <v/>
      </c>
      <c r="I1857" t="str">
        <f t="shared" si="25"/>
        <v>GUARDIAN</v>
      </c>
    </row>
    <row r="1858" spans="1:9" x14ac:dyDescent="0.3">
      <c r="A1858" t="str">
        <f>""</f>
        <v/>
      </c>
      <c r="F1858" t="str">
        <f>""</f>
        <v/>
      </c>
      <c r="G1858" t="str">
        <f>""</f>
        <v/>
      </c>
      <c r="I1858" t="str">
        <f t="shared" si="25"/>
        <v>GUARDIAN</v>
      </c>
    </row>
    <row r="1859" spans="1:9" x14ac:dyDescent="0.3">
      <c r="A1859" t="str">
        <f>""</f>
        <v/>
      </c>
      <c r="F1859" t="str">
        <f>""</f>
        <v/>
      </c>
      <c r="G1859" t="str">
        <f>""</f>
        <v/>
      </c>
      <c r="I1859" t="str">
        <f t="shared" si="25"/>
        <v>GUARDIAN</v>
      </c>
    </row>
    <row r="1860" spans="1:9" x14ac:dyDescent="0.3">
      <c r="A1860" t="str">
        <f>""</f>
        <v/>
      </c>
      <c r="F1860" t="str">
        <f>""</f>
        <v/>
      </c>
      <c r="G1860" t="str">
        <f>""</f>
        <v/>
      </c>
      <c r="I1860" t="str">
        <f t="shared" si="25"/>
        <v>GUARDIAN</v>
      </c>
    </row>
    <row r="1861" spans="1:9" x14ac:dyDescent="0.3">
      <c r="A1861" t="str">
        <f>""</f>
        <v/>
      </c>
      <c r="F1861" t="str">
        <f>""</f>
        <v/>
      </c>
      <c r="G1861" t="str">
        <f>""</f>
        <v/>
      </c>
      <c r="I1861" t="str">
        <f t="shared" si="25"/>
        <v>GUARDIAN</v>
      </c>
    </row>
    <row r="1862" spans="1:9" x14ac:dyDescent="0.3">
      <c r="A1862" t="str">
        <f>""</f>
        <v/>
      </c>
      <c r="F1862" t="str">
        <f>""</f>
        <v/>
      </c>
      <c r="G1862" t="str">
        <f>""</f>
        <v/>
      </c>
      <c r="I1862" t="str">
        <f t="shared" si="25"/>
        <v>GUARDIAN</v>
      </c>
    </row>
    <row r="1863" spans="1:9" x14ac:dyDescent="0.3">
      <c r="A1863" t="str">
        <f>""</f>
        <v/>
      </c>
      <c r="F1863" t="str">
        <f>""</f>
        <v/>
      </c>
      <c r="G1863" t="str">
        <f>""</f>
        <v/>
      </c>
      <c r="I1863" t="str">
        <f t="shared" si="25"/>
        <v>GUARDIAN</v>
      </c>
    </row>
    <row r="1864" spans="1:9" x14ac:dyDescent="0.3">
      <c r="A1864" t="str">
        <f>""</f>
        <v/>
      </c>
      <c r="F1864" t="str">
        <f>""</f>
        <v/>
      </c>
      <c r="G1864" t="str">
        <f>""</f>
        <v/>
      </c>
      <c r="I1864" t="str">
        <f t="shared" si="25"/>
        <v>GUARDIAN</v>
      </c>
    </row>
    <row r="1865" spans="1:9" x14ac:dyDescent="0.3">
      <c r="A1865" t="str">
        <f>""</f>
        <v/>
      </c>
      <c r="F1865" t="str">
        <f>""</f>
        <v/>
      </c>
      <c r="G1865" t="str">
        <f>""</f>
        <v/>
      </c>
      <c r="I1865" t="str">
        <f t="shared" si="25"/>
        <v>GUARDIAN</v>
      </c>
    </row>
    <row r="1866" spans="1:9" x14ac:dyDescent="0.3">
      <c r="A1866" t="str">
        <f>""</f>
        <v/>
      </c>
      <c r="F1866" t="str">
        <f>""</f>
        <v/>
      </c>
      <c r="G1866" t="str">
        <f>""</f>
        <v/>
      </c>
      <c r="I1866" t="str">
        <f t="shared" si="25"/>
        <v>GUARDIAN</v>
      </c>
    </row>
    <row r="1867" spans="1:9" x14ac:dyDescent="0.3">
      <c r="A1867" t="str">
        <f>""</f>
        <v/>
      </c>
      <c r="F1867" t="str">
        <f>""</f>
        <v/>
      </c>
      <c r="G1867" t="str">
        <f>""</f>
        <v/>
      </c>
      <c r="I1867" t="str">
        <f t="shared" si="25"/>
        <v>GUARDIAN</v>
      </c>
    </row>
    <row r="1868" spans="1:9" x14ac:dyDescent="0.3">
      <c r="A1868" t="str">
        <f>""</f>
        <v/>
      </c>
      <c r="F1868" t="str">
        <f>""</f>
        <v/>
      </c>
      <c r="G1868" t="str">
        <f>""</f>
        <v/>
      </c>
      <c r="I1868" t="str">
        <f t="shared" si="25"/>
        <v>GUARDIAN</v>
      </c>
    </row>
    <row r="1869" spans="1:9" x14ac:dyDescent="0.3">
      <c r="A1869" t="str">
        <f>""</f>
        <v/>
      </c>
      <c r="F1869" t="str">
        <f>""</f>
        <v/>
      </c>
      <c r="G1869" t="str">
        <f>""</f>
        <v/>
      </c>
      <c r="I1869" t="str">
        <f t="shared" si="25"/>
        <v>GUARDIAN</v>
      </c>
    </row>
    <row r="1870" spans="1:9" x14ac:dyDescent="0.3">
      <c r="A1870" t="str">
        <f>""</f>
        <v/>
      </c>
      <c r="F1870" t="str">
        <f>"GDE201710185811"</f>
        <v>GDE201710185811</v>
      </c>
      <c r="G1870" t="str">
        <f>"GUARDIAN"</f>
        <v>GUARDIAN</v>
      </c>
      <c r="H1870" s="2">
        <v>148</v>
      </c>
      <c r="I1870" t="str">
        <f t="shared" si="25"/>
        <v>GUARDIAN</v>
      </c>
    </row>
    <row r="1871" spans="1:9" x14ac:dyDescent="0.3">
      <c r="A1871" t="str">
        <f>""</f>
        <v/>
      </c>
      <c r="F1871" t="str">
        <f>"GDF201710045386"</f>
        <v>GDF201710045386</v>
      </c>
      <c r="G1871" t="str">
        <f>"GUARDIAN"</f>
        <v>GUARDIAN</v>
      </c>
      <c r="H1871" s="2">
        <v>2269.16</v>
      </c>
      <c r="I1871" t="str">
        <f t="shared" si="25"/>
        <v>GUARDIAN</v>
      </c>
    </row>
    <row r="1872" spans="1:9" x14ac:dyDescent="0.3">
      <c r="A1872" t="str">
        <f>""</f>
        <v/>
      </c>
      <c r="F1872" t="str">
        <f>""</f>
        <v/>
      </c>
      <c r="G1872" t="str">
        <f>""</f>
        <v/>
      </c>
      <c r="I1872" t="str">
        <f t="shared" si="25"/>
        <v>GUARDIAN</v>
      </c>
    </row>
    <row r="1873" spans="1:9" x14ac:dyDescent="0.3">
      <c r="A1873" t="str">
        <f>""</f>
        <v/>
      </c>
      <c r="F1873" t="str">
        <f>""</f>
        <v/>
      </c>
      <c r="G1873" t="str">
        <f>""</f>
        <v/>
      </c>
      <c r="I1873" t="str">
        <f t="shared" si="25"/>
        <v>GUARDIAN</v>
      </c>
    </row>
    <row r="1874" spans="1:9" x14ac:dyDescent="0.3">
      <c r="A1874" t="str">
        <f>""</f>
        <v/>
      </c>
      <c r="F1874" t="str">
        <f>""</f>
        <v/>
      </c>
      <c r="G1874" t="str">
        <f>""</f>
        <v/>
      </c>
      <c r="I1874" t="str">
        <f t="shared" si="25"/>
        <v>GUARDIAN</v>
      </c>
    </row>
    <row r="1875" spans="1:9" x14ac:dyDescent="0.3">
      <c r="A1875" t="str">
        <f>""</f>
        <v/>
      </c>
      <c r="F1875" t="str">
        <f>""</f>
        <v/>
      </c>
      <c r="G1875" t="str">
        <f>""</f>
        <v/>
      </c>
      <c r="I1875" t="str">
        <f t="shared" si="25"/>
        <v>GUARDIAN</v>
      </c>
    </row>
    <row r="1876" spans="1:9" x14ac:dyDescent="0.3">
      <c r="A1876" t="str">
        <f>""</f>
        <v/>
      </c>
      <c r="F1876" t="str">
        <f>""</f>
        <v/>
      </c>
      <c r="G1876" t="str">
        <f>""</f>
        <v/>
      </c>
      <c r="I1876" t="str">
        <f t="shared" si="25"/>
        <v>GUARDIAN</v>
      </c>
    </row>
    <row r="1877" spans="1:9" x14ac:dyDescent="0.3">
      <c r="A1877" t="str">
        <f>""</f>
        <v/>
      </c>
      <c r="F1877" t="str">
        <f>""</f>
        <v/>
      </c>
      <c r="G1877" t="str">
        <f>""</f>
        <v/>
      </c>
      <c r="I1877" t="str">
        <f t="shared" si="25"/>
        <v>GUARDIAN</v>
      </c>
    </row>
    <row r="1878" spans="1:9" x14ac:dyDescent="0.3">
      <c r="A1878" t="str">
        <f>""</f>
        <v/>
      </c>
      <c r="F1878" t="str">
        <f>""</f>
        <v/>
      </c>
      <c r="G1878" t="str">
        <f>""</f>
        <v/>
      </c>
      <c r="I1878" t="str">
        <f t="shared" si="25"/>
        <v>GUARDIAN</v>
      </c>
    </row>
    <row r="1879" spans="1:9" x14ac:dyDescent="0.3">
      <c r="A1879" t="str">
        <f>""</f>
        <v/>
      </c>
      <c r="F1879" t="str">
        <f>""</f>
        <v/>
      </c>
      <c r="G1879" t="str">
        <f>""</f>
        <v/>
      </c>
      <c r="I1879" t="str">
        <f t="shared" si="25"/>
        <v>GUARDIAN</v>
      </c>
    </row>
    <row r="1880" spans="1:9" x14ac:dyDescent="0.3">
      <c r="A1880" t="str">
        <f>""</f>
        <v/>
      </c>
      <c r="F1880" t="str">
        <f>""</f>
        <v/>
      </c>
      <c r="G1880" t="str">
        <f>""</f>
        <v/>
      </c>
      <c r="I1880" t="str">
        <f t="shared" si="25"/>
        <v>GUARDIAN</v>
      </c>
    </row>
    <row r="1881" spans="1:9" x14ac:dyDescent="0.3">
      <c r="A1881" t="str">
        <f>""</f>
        <v/>
      </c>
      <c r="F1881" t="str">
        <f>""</f>
        <v/>
      </c>
      <c r="G1881" t="str">
        <f>""</f>
        <v/>
      </c>
      <c r="I1881" t="str">
        <f t="shared" si="25"/>
        <v>GUARDIAN</v>
      </c>
    </row>
    <row r="1882" spans="1:9" x14ac:dyDescent="0.3">
      <c r="A1882" t="str">
        <f>""</f>
        <v/>
      </c>
      <c r="F1882" t="str">
        <f>""</f>
        <v/>
      </c>
      <c r="G1882" t="str">
        <f>""</f>
        <v/>
      </c>
      <c r="I1882" t="str">
        <f t="shared" si="25"/>
        <v>GUARDIAN</v>
      </c>
    </row>
    <row r="1883" spans="1:9" x14ac:dyDescent="0.3">
      <c r="A1883" t="str">
        <f>""</f>
        <v/>
      </c>
      <c r="F1883" t="str">
        <f>""</f>
        <v/>
      </c>
      <c r="G1883" t="str">
        <f>""</f>
        <v/>
      </c>
      <c r="I1883" t="str">
        <f t="shared" si="25"/>
        <v>GUARDIAN</v>
      </c>
    </row>
    <row r="1884" spans="1:9" x14ac:dyDescent="0.3">
      <c r="A1884" t="str">
        <f>""</f>
        <v/>
      </c>
      <c r="F1884" t="str">
        <f>""</f>
        <v/>
      </c>
      <c r="G1884" t="str">
        <f>""</f>
        <v/>
      </c>
      <c r="I1884" t="str">
        <f t="shared" si="25"/>
        <v>GUARDIAN</v>
      </c>
    </row>
    <row r="1885" spans="1:9" x14ac:dyDescent="0.3">
      <c r="A1885" t="str">
        <f>""</f>
        <v/>
      </c>
      <c r="F1885" t="str">
        <f>""</f>
        <v/>
      </c>
      <c r="G1885" t="str">
        <f>""</f>
        <v/>
      </c>
      <c r="I1885" t="str">
        <f t="shared" si="25"/>
        <v>GUARDIAN</v>
      </c>
    </row>
    <row r="1886" spans="1:9" x14ac:dyDescent="0.3">
      <c r="A1886" t="str">
        <f>""</f>
        <v/>
      </c>
      <c r="F1886" t="str">
        <f>""</f>
        <v/>
      </c>
      <c r="G1886" t="str">
        <f>""</f>
        <v/>
      </c>
      <c r="I1886" t="str">
        <f t="shared" si="25"/>
        <v>GUARDIAN</v>
      </c>
    </row>
    <row r="1887" spans="1:9" x14ac:dyDescent="0.3">
      <c r="A1887" t="str">
        <f>""</f>
        <v/>
      </c>
      <c r="F1887" t="str">
        <f>""</f>
        <v/>
      </c>
      <c r="G1887" t="str">
        <f>""</f>
        <v/>
      </c>
      <c r="I1887" t="str">
        <f t="shared" si="25"/>
        <v>GUARDIAN</v>
      </c>
    </row>
    <row r="1888" spans="1:9" x14ac:dyDescent="0.3">
      <c r="A1888" t="str">
        <f>""</f>
        <v/>
      </c>
      <c r="F1888" t="str">
        <f>""</f>
        <v/>
      </c>
      <c r="G1888" t="str">
        <f>""</f>
        <v/>
      </c>
      <c r="I1888" t="str">
        <f t="shared" si="25"/>
        <v>GUARDIAN</v>
      </c>
    </row>
    <row r="1889" spans="1:9" x14ac:dyDescent="0.3">
      <c r="A1889" t="str">
        <f>""</f>
        <v/>
      </c>
      <c r="F1889" t="str">
        <f>""</f>
        <v/>
      </c>
      <c r="G1889" t="str">
        <f>""</f>
        <v/>
      </c>
      <c r="I1889" t="str">
        <f t="shared" si="25"/>
        <v>GUARDIAN</v>
      </c>
    </row>
    <row r="1890" spans="1:9" x14ac:dyDescent="0.3">
      <c r="A1890" t="str">
        <f>""</f>
        <v/>
      </c>
      <c r="F1890" t="str">
        <f>""</f>
        <v/>
      </c>
      <c r="G1890" t="str">
        <f>""</f>
        <v/>
      </c>
      <c r="I1890" t="str">
        <f t="shared" si="25"/>
        <v>GUARDIAN</v>
      </c>
    </row>
    <row r="1891" spans="1:9" x14ac:dyDescent="0.3">
      <c r="A1891" t="str">
        <f>""</f>
        <v/>
      </c>
      <c r="F1891" t="str">
        <f>""</f>
        <v/>
      </c>
      <c r="G1891" t="str">
        <f>""</f>
        <v/>
      </c>
      <c r="I1891" t="str">
        <f t="shared" si="25"/>
        <v>GUARDIAN</v>
      </c>
    </row>
    <row r="1892" spans="1:9" x14ac:dyDescent="0.3">
      <c r="A1892" t="str">
        <f>""</f>
        <v/>
      </c>
      <c r="F1892" t="str">
        <f>""</f>
        <v/>
      </c>
      <c r="G1892" t="str">
        <f>""</f>
        <v/>
      </c>
      <c r="I1892" t="str">
        <f t="shared" si="25"/>
        <v>GUARDIAN</v>
      </c>
    </row>
    <row r="1893" spans="1:9" x14ac:dyDescent="0.3">
      <c r="A1893" t="str">
        <f>""</f>
        <v/>
      </c>
      <c r="F1893" t="str">
        <f>""</f>
        <v/>
      </c>
      <c r="G1893" t="str">
        <f>""</f>
        <v/>
      </c>
      <c r="I1893" t="str">
        <f t="shared" si="25"/>
        <v>GUARDIAN</v>
      </c>
    </row>
    <row r="1894" spans="1:9" x14ac:dyDescent="0.3">
      <c r="A1894" t="str">
        <f>""</f>
        <v/>
      </c>
      <c r="F1894" t="str">
        <f>""</f>
        <v/>
      </c>
      <c r="G1894" t="str">
        <f>""</f>
        <v/>
      </c>
      <c r="I1894" t="str">
        <f t="shared" si="25"/>
        <v>GUARDIAN</v>
      </c>
    </row>
    <row r="1895" spans="1:9" x14ac:dyDescent="0.3">
      <c r="A1895" t="str">
        <f>""</f>
        <v/>
      </c>
      <c r="F1895" t="str">
        <f>""</f>
        <v/>
      </c>
      <c r="G1895" t="str">
        <f>""</f>
        <v/>
      </c>
      <c r="I1895" t="str">
        <f t="shared" si="25"/>
        <v>GUARDIAN</v>
      </c>
    </row>
    <row r="1896" spans="1:9" x14ac:dyDescent="0.3">
      <c r="A1896" t="str">
        <f>""</f>
        <v/>
      </c>
      <c r="F1896" t="str">
        <f>"GDF201710045387"</f>
        <v>GDF201710045387</v>
      </c>
      <c r="G1896" t="str">
        <f>"GUARDIAN"</f>
        <v>GUARDIAN</v>
      </c>
      <c r="H1896" s="2">
        <v>96.56</v>
      </c>
      <c r="I1896" t="str">
        <f t="shared" si="25"/>
        <v>GUARDIAN</v>
      </c>
    </row>
    <row r="1897" spans="1:9" x14ac:dyDescent="0.3">
      <c r="A1897" t="str">
        <f>""</f>
        <v/>
      </c>
      <c r="F1897" t="str">
        <f>""</f>
        <v/>
      </c>
      <c r="G1897" t="str">
        <f>""</f>
        <v/>
      </c>
      <c r="I1897" t="str">
        <f t="shared" si="25"/>
        <v>GUARDIAN</v>
      </c>
    </row>
    <row r="1898" spans="1:9" x14ac:dyDescent="0.3">
      <c r="A1898" t="str">
        <f>""</f>
        <v/>
      </c>
      <c r="F1898" t="str">
        <f>"GDF201710185808"</f>
        <v>GDF201710185808</v>
      </c>
      <c r="G1898" t="str">
        <f>"GUARDIAN"</f>
        <v>GUARDIAN</v>
      </c>
      <c r="H1898" s="2">
        <v>2269.16</v>
      </c>
      <c r="I1898" t="str">
        <f t="shared" si="25"/>
        <v>GUARDIAN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 t="shared" si="25"/>
        <v>GUARDIAN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 t="shared" si="25"/>
        <v>GUARDIAN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 t="shared" si="25"/>
        <v>GUARDIAN</v>
      </c>
    </row>
    <row r="1902" spans="1:9" x14ac:dyDescent="0.3">
      <c r="A1902" t="str">
        <f>""</f>
        <v/>
      </c>
      <c r="F1902" t="str">
        <f>""</f>
        <v/>
      </c>
      <c r="G1902" t="str">
        <f>""</f>
        <v/>
      </c>
      <c r="I1902" t="str">
        <f t="shared" si="25"/>
        <v>GUARDIAN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 t="shared" ref="I1903:I1966" si="26">"GUARDIAN"</f>
        <v>GUARDIAN</v>
      </c>
    </row>
    <row r="1904" spans="1:9" x14ac:dyDescent="0.3">
      <c r="A1904" t="str">
        <f>""</f>
        <v/>
      </c>
      <c r="F1904" t="str">
        <f>""</f>
        <v/>
      </c>
      <c r="G1904" t="str">
        <f>""</f>
        <v/>
      </c>
      <c r="I1904" t="str">
        <f t="shared" si="26"/>
        <v>GUARDIAN</v>
      </c>
    </row>
    <row r="1905" spans="1:9" x14ac:dyDescent="0.3">
      <c r="A1905" t="str">
        <f>""</f>
        <v/>
      </c>
      <c r="F1905" t="str">
        <f>""</f>
        <v/>
      </c>
      <c r="G1905" t="str">
        <f>""</f>
        <v/>
      </c>
      <c r="I1905" t="str">
        <f t="shared" si="26"/>
        <v>GUARDIAN</v>
      </c>
    </row>
    <row r="1906" spans="1:9" x14ac:dyDescent="0.3">
      <c r="A1906" t="str">
        <f>""</f>
        <v/>
      </c>
      <c r="F1906" t="str">
        <f>""</f>
        <v/>
      </c>
      <c r="G1906" t="str">
        <f>""</f>
        <v/>
      </c>
      <c r="I1906" t="str">
        <f t="shared" si="26"/>
        <v>GUARDIAN</v>
      </c>
    </row>
    <row r="1907" spans="1:9" x14ac:dyDescent="0.3">
      <c r="A1907" t="str">
        <f>""</f>
        <v/>
      </c>
      <c r="F1907" t="str">
        <f>""</f>
        <v/>
      </c>
      <c r="G1907" t="str">
        <f>""</f>
        <v/>
      </c>
      <c r="I1907" t="str">
        <f t="shared" si="26"/>
        <v>GUARDIAN</v>
      </c>
    </row>
    <row r="1908" spans="1:9" x14ac:dyDescent="0.3">
      <c r="A1908" t="str">
        <f>""</f>
        <v/>
      </c>
      <c r="F1908" t="str">
        <f>""</f>
        <v/>
      </c>
      <c r="G1908" t="str">
        <f>""</f>
        <v/>
      </c>
      <c r="I1908" t="str">
        <f t="shared" si="26"/>
        <v>GUARDIAN</v>
      </c>
    </row>
    <row r="1909" spans="1:9" x14ac:dyDescent="0.3">
      <c r="A1909" t="str">
        <f>""</f>
        <v/>
      </c>
      <c r="F1909" t="str">
        <f>""</f>
        <v/>
      </c>
      <c r="G1909" t="str">
        <f>""</f>
        <v/>
      </c>
      <c r="I1909" t="str">
        <f t="shared" si="26"/>
        <v>GUARDIAN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 t="shared" si="26"/>
        <v>GUARDIAN</v>
      </c>
    </row>
    <row r="1911" spans="1:9" x14ac:dyDescent="0.3">
      <c r="A1911" t="str">
        <f>""</f>
        <v/>
      </c>
      <c r="F1911" t="str">
        <f>""</f>
        <v/>
      </c>
      <c r="G1911" t="str">
        <f>""</f>
        <v/>
      </c>
      <c r="I1911" t="str">
        <f t="shared" si="26"/>
        <v>GUARDIAN</v>
      </c>
    </row>
    <row r="1912" spans="1:9" x14ac:dyDescent="0.3">
      <c r="A1912" t="str">
        <f>""</f>
        <v/>
      </c>
      <c r="F1912" t="str">
        <f>""</f>
        <v/>
      </c>
      <c r="G1912" t="str">
        <f>""</f>
        <v/>
      </c>
      <c r="I1912" t="str">
        <f t="shared" si="26"/>
        <v>GUARDIAN</v>
      </c>
    </row>
    <row r="1913" spans="1:9" x14ac:dyDescent="0.3">
      <c r="A1913" t="str">
        <f>""</f>
        <v/>
      </c>
      <c r="F1913" t="str">
        <f>""</f>
        <v/>
      </c>
      <c r="G1913" t="str">
        <f>""</f>
        <v/>
      </c>
      <c r="I1913" t="str">
        <f t="shared" si="26"/>
        <v>GUARDIAN</v>
      </c>
    </row>
    <row r="1914" spans="1:9" x14ac:dyDescent="0.3">
      <c r="A1914" t="str">
        <f>""</f>
        <v/>
      </c>
      <c r="F1914" t="str">
        <f>""</f>
        <v/>
      </c>
      <c r="G1914" t="str">
        <f>""</f>
        <v/>
      </c>
      <c r="I1914" t="str">
        <f t="shared" si="26"/>
        <v>GUARDIAN</v>
      </c>
    </row>
    <row r="1915" spans="1:9" x14ac:dyDescent="0.3">
      <c r="A1915" t="str">
        <f>""</f>
        <v/>
      </c>
      <c r="F1915" t="str">
        <f>""</f>
        <v/>
      </c>
      <c r="G1915" t="str">
        <f>""</f>
        <v/>
      </c>
      <c r="I1915" t="str">
        <f t="shared" si="26"/>
        <v>GUARDIAN</v>
      </c>
    </row>
    <row r="1916" spans="1:9" x14ac:dyDescent="0.3">
      <c r="A1916" t="str">
        <f>""</f>
        <v/>
      </c>
      <c r="F1916" t="str">
        <f>""</f>
        <v/>
      </c>
      <c r="G1916" t="str">
        <f>""</f>
        <v/>
      </c>
      <c r="I1916" t="str">
        <f t="shared" si="26"/>
        <v>GUARDIAN</v>
      </c>
    </row>
    <row r="1917" spans="1:9" x14ac:dyDescent="0.3">
      <c r="A1917" t="str">
        <f>""</f>
        <v/>
      </c>
      <c r="F1917" t="str">
        <f>""</f>
        <v/>
      </c>
      <c r="G1917" t="str">
        <f>""</f>
        <v/>
      </c>
      <c r="I1917" t="str">
        <f t="shared" si="26"/>
        <v>GUARDIAN</v>
      </c>
    </row>
    <row r="1918" spans="1:9" x14ac:dyDescent="0.3">
      <c r="A1918" t="str">
        <f>""</f>
        <v/>
      </c>
      <c r="F1918" t="str">
        <f>""</f>
        <v/>
      </c>
      <c r="G1918" t="str">
        <f>""</f>
        <v/>
      </c>
      <c r="I1918" t="str">
        <f t="shared" si="26"/>
        <v>GUARDIAN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 t="shared" si="26"/>
        <v>GUARDIAN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 t="shared" si="26"/>
        <v>GUARDIAN</v>
      </c>
    </row>
    <row r="1921" spans="1:9" x14ac:dyDescent="0.3">
      <c r="A1921" t="str">
        <f>""</f>
        <v/>
      </c>
      <c r="F1921" t="str">
        <f>""</f>
        <v/>
      </c>
      <c r="G1921" t="str">
        <f>""</f>
        <v/>
      </c>
      <c r="I1921" t="str">
        <f t="shared" si="26"/>
        <v>GUARDIAN</v>
      </c>
    </row>
    <row r="1922" spans="1:9" x14ac:dyDescent="0.3">
      <c r="A1922" t="str">
        <f>""</f>
        <v/>
      </c>
      <c r="F1922" t="str">
        <f>"GDF201710185811"</f>
        <v>GDF201710185811</v>
      </c>
      <c r="G1922" t="str">
        <f>"GUARDIAN"</f>
        <v>GUARDIAN</v>
      </c>
      <c r="H1922" s="2">
        <v>96.56</v>
      </c>
      <c r="I1922" t="str">
        <f t="shared" si="26"/>
        <v>GUARDIAN</v>
      </c>
    </row>
    <row r="1923" spans="1:9" x14ac:dyDescent="0.3">
      <c r="A1923" t="str">
        <f>""</f>
        <v/>
      </c>
      <c r="F1923" t="str">
        <f>""</f>
        <v/>
      </c>
      <c r="G1923" t="str">
        <f>""</f>
        <v/>
      </c>
      <c r="I1923" t="str">
        <f t="shared" si="26"/>
        <v>GUARDIAN</v>
      </c>
    </row>
    <row r="1924" spans="1:9" x14ac:dyDescent="0.3">
      <c r="A1924" t="str">
        <f>""</f>
        <v/>
      </c>
      <c r="F1924" t="str">
        <f>"GDS201710045386"</f>
        <v>GDS201710045386</v>
      </c>
      <c r="G1924" t="str">
        <f>"GUARDIAN"</f>
        <v>GUARDIAN</v>
      </c>
      <c r="H1924" s="2">
        <v>1759.38</v>
      </c>
      <c r="I1924" t="str">
        <f t="shared" si="26"/>
        <v>GUARDIAN</v>
      </c>
    </row>
    <row r="1925" spans="1:9" x14ac:dyDescent="0.3">
      <c r="A1925" t="str">
        <f>""</f>
        <v/>
      </c>
      <c r="F1925" t="str">
        <f>""</f>
        <v/>
      </c>
      <c r="G1925" t="str">
        <f>""</f>
        <v/>
      </c>
      <c r="I1925" t="str">
        <f t="shared" si="26"/>
        <v>GUARDIAN</v>
      </c>
    </row>
    <row r="1926" spans="1:9" x14ac:dyDescent="0.3">
      <c r="A1926" t="str">
        <f>""</f>
        <v/>
      </c>
      <c r="F1926" t="str">
        <f>""</f>
        <v/>
      </c>
      <c r="G1926" t="str">
        <f>""</f>
        <v/>
      </c>
      <c r="I1926" t="str">
        <f t="shared" si="26"/>
        <v>GUARDIAN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26"/>
        <v>GUARDIAN</v>
      </c>
    </row>
    <row r="1928" spans="1:9" x14ac:dyDescent="0.3">
      <c r="A1928" t="str">
        <f>""</f>
        <v/>
      </c>
      <c r="F1928" t="str">
        <f>""</f>
        <v/>
      </c>
      <c r="G1928" t="str">
        <f>""</f>
        <v/>
      </c>
      <c r="I1928" t="str">
        <f t="shared" si="26"/>
        <v>GUARDIAN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26"/>
        <v>GUARDIAN</v>
      </c>
    </row>
    <row r="1930" spans="1:9" x14ac:dyDescent="0.3">
      <c r="A1930" t="str">
        <f>""</f>
        <v/>
      </c>
      <c r="F1930" t="str">
        <f>""</f>
        <v/>
      </c>
      <c r="G1930" t="str">
        <f>""</f>
        <v/>
      </c>
      <c r="I1930" t="str">
        <f t="shared" si="26"/>
        <v>GUARDIAN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26"/>
        <v>GUARDIAN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26"/>
        <v>GUARDIAN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26"/>
        <v>GUARDIAN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26"/>
        <v>GUARDIAN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26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26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26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26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26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26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26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26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26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26"/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26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26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26"/>
        <v>GUARDIAN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26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26"/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26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26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26"/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26"/>
        <v>GUARDIAN</v>
      </c>
    </row>
    <row r="1954" spans="1:9" x14ac:dyDescent="0.3">
      <c r="A1954" t="str">
        <f>""</f>
        <v/>
      </c>
      <c r="F1954" t="str">
        <f>"GDS201710045387"</f>
        <v>GDS201710045387</v>
      </c>
      <c r="G1954" t="str">
        <f>"GUARDIAN"</f>
        <v>GUARDIAN</v>
      </c>
      <c r="H1954" s="2">
        <v>29.82</v>
      </c>
      <c r="I1954" t="str">
        <f t="shared" si="26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26"/>
        <v>GUARDIAN</v>
      </c>
    </row>
    <row r="1956" spans="1:9" x14ac:dyDescent="0.3">
      <c r="A1956" t="str">
        <f>""</f>
        <v/>
      </c>
      <c r="F1956" t="str">
        <f>"GDS201710185808"</f>
        <v>GDS201710185808</v>
      </c>
      <c r="G1956" t="str">
        <f>"GUARDIAN"</f>
        <v>GUARDIAN</v>
      </c>
      <c r="H1956" s="2">
        <v>1759.38</v>
      </c>
      <c r="I1956" t="str">
        <f t="shared" si="26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26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26"/>
        <v>GUARDIAN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26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26"/>
        <v>GUARDIAN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26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26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26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26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26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26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ref="I1967:I1987" si="27">"GUARDIAN"</f>
        <v>GUARDIAN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 t="shared" si="27"/>
        <v>GUARDIAN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27"/>
        <v>GUARDIAN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 t="shared" si="27"/>
        <v>GUARDIAN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27"/>
        <v>GUARDIAN</v>
      </c>
    </row>
    <row r="1972" spans="1:9" x14ac:dyDescent="0.3">
      <c r="A1972" t="str">
        <f>""</f>
        <v/>
      </c>
      <c r="F1972" t="str">
        <f>""</f>
        <v/>
      </c>
      <c r="G1972" t="str">
        <f>""</f>
        <v/>
      </c>
      <c r="I1972" t="str">
        <f t="shared" si="27"/>
        <v>GUARDIAN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27"/>
        <v>GUARDIAN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27"/>
        <v>GUARDIAN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27"/>
        <v>GUARDIAN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27"/>
        <v>GUARDIAN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27"/>
        <v>GUARDIAN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27"/>
        <v>GUARDIAN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27"/>
        <v>GUARDIAN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27"/>
        <v>GUARDIAN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27"/>
        <v>GUARDIAN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27"/>
        <v>GUARDIAN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27"/>
        <v>GUARDIAN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27"/>
        <v>GUARDIAN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27"/>
        <v>GUARDIAN</v>
      </c>
    </row>
    <row r="1986" spans="1:9" x14ac:dyDescent="0.3">
      <c r="A1986" t="str">
        <f>""</f>
        <v/>
      </c>
      <c r="F1986" t="str">
        <f>"GDS201710185811"</f>
        <v>GDS201710185811</v>
      </c>
      <c r="G1986" t="str">
        <f>"GUARDIAN"</f>
        <v>GUARDIAN</v>
      </c>
      <c r="H1986" s="2">
        <v>29.82</v>
      </c>
      <c r="I1986" t="str">
        <f t="shared" si="27"/>
        <v>GUARDIAN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27"/>
        <v>GUARDIAN</v>
      </c>
    </row>
    <row r="1988" spans="1:9" x14ac:dyDescent="0.3">
      <c r="A1988" t="str">
        <f>""</f>
        <v/>
      </c>
      <c r="F1988" t="str">
        <f>"GV1201710045386"</f>
        <v>GV1201710045386</v>
      </c>
      <c r="G1988" t="str">
        <f>"GUARDIAN VISION"</f>
        <v>GUARDIAN VISION</v>
      </c>
      <c r="H1988" s="2">
        <v>369.6</v>
      </c>
      <c r="I1988" t="str">
        <f>"GUARDIAN VISION"</f>
        <v>GUARDIAN VISION</v>
      </c>
    </row>
    <row r="1989" spans="1:9" x14ac:dyDescent="0.3">
      <c r="A1989" t="str">
        <f>""</f>
        <v/>
      </c>
      <c r="F1989" t="str">
        <f>"GV1201710045387"</f>
        <v>GV1201710045387</v>
      </c>
      <c r="G1989" t="str">
        <f>"GUARDIAN VISION"</f>
        <v>GUARDIAN VISION</v>
      </c>
      <c r="H1989" s="2">
        <v>5.6</v>
      </c>
      <c r="I1989" t="str">
        <f>"GUARDIAN VISION"</f>
        <v>GUARDIAN VISION</v>
      </c>
    </row>
    <row r="1990" spans="1:9" x14ac:dyDescent="0.3">
      <c r="A1990" t="str">
        <f>""</f>
        <v/>
      </c>
      <c r="F1990" t="str">
        <f>"GV1201710185808"</f>
        <v>GV1201710185808</v>
      </c>
      <c r="G1990" t="str">
        <f>"GUARDIAN VISION"</f>
        <v>GUARDIAN VISION</v>
      </c>
      <c r="H1990" s="2">
        <v>369.6</v>
      </c>
      <c r="I1990" t="str">
        <f>"GUARDIAN VISION"</f>
        <v>GUARDIAN VISION</v>
      </c>
    </row>
    <row r="1991" spans="1:9" x14ac:dyDescent="0.3">
      <c r="A1991" t="str">
        <f>""</f>
        <v/>
      </c>
      <c r="F1991" t="str">
        <f>"GV1201710185811"</f>
        <v>GV1201710185811</v>
      </c>
      <c r="G1991" t="str">
        <f>"GUARDIAN VISION"</f>
        <v>GUARDIAN VISION</v>
      </c>
      <c r="H1991" s="2">
        <v>5.6</v>
      </c>
      <c r="I1991" t="str">
        <f>"GUARDIAN VISION"</f>
        <v>GUARDIAN VISION</v>
      </c>
    </row>
    <row r="1992" spans="1:9" x14ac:dyDescent="0.3">
      <c r="A1992" t="str">
        <f>""</f>
        <v/>
      </c>
      <c r="F1992" t="str">
        <f>"GVE201710045386"</f>
        <v>GVE201710045386</v>
      </c>
      <c r="G1992" t="str">
        <f>"GUARDIAN VISION VENDOR"</f>
        <v>GUARDIAN VISION VENDOR</v>
      </c>
      <c r="H1992" s="2">
        <v>494.46</v>
      </c>
      <c r="I1992" t="str">
        <f>"GUARDIAN VISION VENDOR"</f>
        <v>GUARDIAN VISION VENDOR</v>
      </c>
    </row>
    <row r="1993" spans="1:9" x14ac:dyDescent="0.3">
      <c r="A1993" t="str">
        <f>""</f>
        <v/>
      </c>
      <c r="F1993" t="str">
        <f>"GVE201710045387"</f>
        <v>GVE201710045387</v>
      </c>
      <c r="G1993" t="str">
        <f>"GUARDIAN VISION VENDOR"</f>
        <v>GUARDIAN VISION VENDOR</v>
      </c>
      <c r="H1993" s="2">
        <v>25.83</v>
      </c>
      <c r="I1993" t="str">
        <f>"GUARDIAN VISION VENDOR"</f>
        <v>GUARDIAN VISION VENDOR</v>
      </c>
    </row>
    <row r="1994" spans="1:9" x14ac:dyDescent="0.3">
      <c r="A1994" t="str">
        <f>""</f>
        <v/>
      </c>
      <c r="F1994" t="str">
        <f>"GVE201710185808"</f>
        <v>GVE201710185808</v>
      </c>
      <c r="G1994" t="str">
        <f>"GUARDIAN VISION VENDOR"</f>
        <v>GUARDIAN VISION VENDOR</v>
      </c>
      <c r="H1994" s="2">
        <v>501.84</v>
      </c>
      <c r="I1994" t="str">
        <f>"GUARDIAN VISION VENDOR"</f>
        <v>GUARDIAN VISION VENDOR</v>
      </c>
    </row>
    <row r="1995" spans="1:9" x14ac:dyDescent="0.3">
      <c r="A1995" t="str">
        <f>""</f>
        <v/>
      </c>
      <c r="F1995" t="str">
        <f>"GVE201710185811"</f>
        <v>GVE201710185811</v>
      </c>
      <c r="G1995" t="str">
        <f>"GUARDIAN VISION VENDOR"</f>
        <v>GUARDIAN VISION VENDOR</v>
      </c>
      <c r="H1995" s="2">
        <v>25.83</v>
      </c>
      <c r="I1995" t="str">
        <f>"GUARDIAN VISION VENDOR"</f>
        <v>GUARDIAN VISION VENDOR</v>
      </c>
    </row>
    <row r="1996" spans="1:9" x14ac:dyDescent="0.3">
      <c r="A1996" t="str">
        <f>""</f>
        <v/>
      </c>
      <c r="F1996" t="str">
        <f>"GVF201710045386"</f>
        <v>GVF201710045386</v>
      </c>
      <c r="G1996" t="str">
        <f>"GUARDIAN VISION"</f>
        <v>GUARDIAN VISION</v>
      </c>
      <c r="H1996" s="2">
        <v>472.8</v>
      </c>
      <c r="I1996" t="str">
        <f>"GUARDIAN VISION"</f>
        <v>GUARDIAN VISION</v>
      </c>
    </row>
    <row r="1997" spans="1:9" x14ac:dyDescent="0.3">
      <c r="A1997" t="str">
        <f>""</f>
        <v/>
      </c>
      <c r="F1997" t="str">
        <f>"GVF201710045387"</f>
        <v>GVF201710045387</v>
      </c>
      <c r="G1997" t="str">
        <f>"GUARDIAN VISION VENDOR"</f>
        <v>GUARDIAN VISION VENDOR</v>
      </c>
      <c r="H1997" s="2">
        <v>19.7</v>
      </c>
      <c r="I1997" t="str">
        <f>"GUARDIAN VISION VENDOR"</f>
        <v>GUARDIAN VISION VENDOR</v>
      </c>
    </row>
    <row r="1998" spans="1:9" x14ac:dyDescent="0.3">
      <c r="A1998" t="str">
        <f>""</f>
        <v/>
      </c>
      <c r="F1998" t="str">
        <f>"GVF201710185808"</f>
        <v>GVF201710185808</v>
      </c>
      <c r="G1998" t="str">
        <f>"GUARDIAN VISION"</f>
        <v>GUARDIAN VISION</v>
      </c>
      <c r="H1998" s="2">
        <v>472.8</v>
      </c>
      <c r="I1998" t="str">
        <f>"GUARDIAN VISION"</f>
        <v>GUARDIAN VISION</v>
      </c>
    </row>
    <row r="1999" spans="1:9" x14ac:dyDescent="0.3">
      <c r="A1999" t="str">
        <f>""</f>
        <v/>
      </c>
      <c r="F1999" t="str">
        <f>"GVF201710185811"</f>
        <v>GVF201710185811</v>
      </c>
      <c r="G1999" t="str">
        <f>"GUARDIAN VISION VENDOR"</f>
        <v>GUARDIAN VISION VENDOR</v>
      </c>
      <c r="H1999" s="2">
        <v>19.7</v>
      </c>
      <c r="I1999" t="str">
        <f>"GUARDIAN VISION VENDOR"</f>
        <v>GUARDIAN VISION VENDOR</v>
      </c>
    </row>
    <row r="2000" spans="1:9" x14ac:dyDescent="0.3">
      <c r="A2000" t="str">
        <f>""</f>
        <v/>
      </c>
      <c r="F2000" t="str">
        <f>"LIA201710045386"</f>
        <v>LIA201710045386</v>
      </c>
      <c r="G2000" t="str">
        <f>"GUARDIAN"</f>
        <v>GUARDIAN</v>
      </c>
      <c r="H2000" s="2">
        <v>131.51</v>
      </c>
      <c r="I2000" t="str">
        <f t="shared" ref="I2000:I2031" si="28">"GUARDIAN"</f>
        <v>GUARDIAN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28"/>
        <v>GUARDIAN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28"/>
        <v>GUARDIAN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28"/>
        <v>GUARDIAN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28"/>
        <v>GUARDIAN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28"/>
        <v>GUARDIAN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28"/>
        <v>GUARDIAN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28"/>
        <v>GUARDIAN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28"/>
        <v>GUARDIAN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28"/>
        <v>GUARDIAN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28"/>
        <v>GUARDIAN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28"/>
        <v>GUARDIAN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28"/>
        <v>GUARDIAN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28"/>
        <v>GUARDIAN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28"/>
        <v>GUARDIAN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28"/>
        <v>GUARDIAN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28"/>
        <v>GUARDIAN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28"/>
        <v>GUARDIAN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28"/>
        <v>GUARDIAN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28"/>
        <v>GUARDIAN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28"/>
        <v>GUARDIAN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28"/>
        <v>GUARDIAN</v>
      </c>
    </row>
    <row r="2022" spans="1:9" x14ac:dyDescent="0.3">
      <c r="A2022" t="str">
        <f>""</f>
        <v/>
      </c>
      <c r="F2022" t="str">
        <f>"LIA201710185808"</f>
        <v>LIA201710185808</v>
      </c>
      <c r="G2022" t="str">
        <f>"GUARDIAN"</f>
        <v>GUARDIAN</v>
      </c>
      <c r="H2022" s="2">
        <v>131.51</v>
      </c>
      <c r="I2022" t="str">
        <f t="shared" si="28"/>
        <v>GUARDIAN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28"/>
        <v>GUARDIAN</v>
      </c>
    </row>
    <row r="2024" spans="1:9" x14ac:dyDescent="0.3">
      <c r="A2024" t="str">
        <f>""</f>
        <v/>
      </c>
      <c r="F2024" t="str">
        <f>""</f>
        <v/>
      </c>
      <c r="G2024" t="str">
        <f>""</f>
        <v/>
      </c>
      <c r="I2024" t="str">
        <f t="shared" si="28"/>
        <v>GUARDIAN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28"/>
        <v>GUARDIAN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 t="shared" si="28"/>
        <v>GUARDIAN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28"/>
        <v>GUARDIAN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28"/>
        <v>GUARDIAN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28"/>
        <v>GUARDIAN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28"/>
        <v>GUARDIAN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28"/>
        <v>GUARDIAN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ref="I2032:I2063" si="29">"GUARDIAN"</f>
        <v>GUARDIAN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29"/>
        <v>GUARDIAN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29"/>
        <v>GUARDIAN</v>
      </c>
    </row>
    <row r="2035" spans="1:9" x14ac:dyDescent="0.3">
      <c r="A2035" t="str">
        <f>""</f>
        <v/>
      </c>
      <c r="F2035" t="str">
        <f>""</f>
        <v/>
      </c>
      <c r="G2035" t="str">
        <f>""</f>
        <v/>
      </c>
      <c r="I2035" t="str">
        <f t="shared" si="29"/>
        <v>GUARDIAN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29"/>
        <v>GUARDIAN</v>
      </c>
    </row>
    <row r="2037" spans="1:9" x14ac:dyDescent="0.3">
      <c r="A2037" t="str">
        <f>""</f>
        <v/>
      </c>
      <c r="F2037" t="str">
        <f>""</f>
        <v/>
      </c>
      <c r="G2037" t="str">
        <f>""</f>
        <v/>
      </c>
      <c r="I2037" t="str">
        <f t="shared" si="29"/>
        <v>GUARDIAN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29"/>
        <v>GUARDIAN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29"/>
        <v>GUARDIAN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29"/>
        <v>GUARDIAN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29"/>
        <v>GUARDIAN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29"/>
        <v>GUARDIAN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29"/>
        <v>GUARDIAN</v>
      </c>
    </row>
    <row r="2044" spans="1:9" x14ac:dyDescent="0.3">
      <c r="A2044" t="str">
        <f>""</f>
        <v/>
      </c>
      <c r="F2044" t="str">
        <f>"LIC201710045386"</f>
        <v>LIC201710045386</v>
      </c>
      <c r="G2044" t="str">
        <f>"GUARDIAN"</f>
        <v>GUARDIAN</v>
      </c>
      <c r="H2044" s="2">
        <v>36.07</v>
      </c>
      <c r="I2044" t="str">
        <f t="shared" si="29"/>
        <v>GUARDIAN</v>
      </c>
    </row>
    <row r="2045" spans="1:9" x14ac:dyDescent="0.3">
      <c r="A2045" t="str">
        <f>""</f>
        <v/>
      </c>
      <c r="F2045" t="str">
        <f>"LIC201710045387"</f>
        <v>LIC201710045387</v>
      </c>
      <c r="G2045" t="str">
        <f>"GUARDIAN"</f>
        <v>GUARDIAN</v>
      </c>
      <c r="H2045" s="2">
        <v>1.05</v>
      </c>
      <c r="I2045" t="str">
        <f t="shared" si="29"/>
        <v>GUARDIAN</v>
      </c>
    </row>
    <row r="2046" spans="1:9" x14ac:dyDescent="0.3">
      <c r="A2046" t="str">
        <f>""</f>
        <v/>
      </c>
      <c r="F2046" t="str">
        <f>"LIC201710185808"</f>
        <v>LIC201710185808</v>
      </c>
      <c r="G2046" t="str">
        <f>"GUARDIAN"</f>
        <v>GUARDIAN</v>
      </c>
      <c r="H2046" s="2">
        <v>36.770000000000003</v>
      </c>
      <c r="I2046" t="str">
        <f t="shared" si="29"/>
        <v>GUARDIAN</v>
      </c>
    </row>
    <row r="2047" spans="1:9" x14ac:dyDescent="0.3">
      <c r="A2047" t="str">
        <f>""</f>
        <v/>
      </c>
      <c r="F2047" t="str">
        <f>"LIC201710185811"</f>
        <v>LIC201710185811</v>
      </c>
      <c r="G2047" t="str">
        <f>"GUARDIAN"</f>
        <v>GUARDIAN</v>
      </c>
      <c r="H2047" s="2">
        <v>1.05</v>
      </c>
      <c r="I2047" t="str">
        <f t="shared" si="29"/>
        <v>GUARDIAN</v>
      </c>
    </row>
    <row r="2048" spans="1:9" x14ac:dyDescent="0.3">
      <c r="A2048" t="str">
        <f>""</f>
        <v/>
      </c>
      <c r="F2048" t="str">
        <f>"LIE201710045386"</f>
        <v>LIE201710045386</v>
      </c>
      <c r="G2048" t="str">
        <f>"GUARDIAN"</f>
        <v>GUARDIAN</v>
      </c>
      <c r="H2048" s="2">
        <v>3240.4</v>
      </c>
      <c r="I2048" t="str">
        <f t="shared" si="29"/>
        <v>GUARDIAN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29"/>
        <v>GUARDIAN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29"/>
        <v>GUARDIAN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29"/>
        <v>GUARDIAN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29"/>
        <v>GUARDIAN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29"/>
        <v>GUARDIAN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29"/>
        <v>GUARDIAN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29"/>
        <v>GUARDIAN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29"/>
        <v>GUARDIAN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29"/>
        <v>GUARDIAN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29"/>
        <v>GUARDIAN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29"/>
        <v>GUARDIAN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29"/>
        <v>GUARDIAN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29"/>
        <v>GUARDIAN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29"/>
        <v>GUARDIAN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29"/>
        <v>GUARDIAN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ref="I2064:I2095" si="30">"GUARDIAN"</f>
        <v>GUARDIAN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30"/>
        <v>GUARDIAN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30"/>
        <v>GUARDIAN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30"/>
        <v>GUARDIAN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30"/>
        <v>GUARDIAN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30"/>
        <v>GUARDIAN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30"/>
        <v>GUARDIAN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30"/>
        <v>GUARDIAN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30"/>
        <v>GUARDIAN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30"/>
        <v>GUARDIAN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30"/>
        <v>GUARDIAN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30"/>
        <v>GUARDIAN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30"/>
        <v>GUARDIAN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30"/>
        <v>GUARDIAN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30"/>
        <v>GUARDIAN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30"/>
        <v>GUARDIAN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30"/>
        <v>GUARDIAN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30"/>
        <v>GUARDIAN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30"/>
        <v>GUARDIAN</v>
      </c>
    </row>
    <row r="2083" spans="1:9" x14ac:dyDescent="0.3">
      <c r="A2083" t="str">
        <f>""</f>
        <v/>
      </c>
      <c r="F2083" t="str">
        <f>""</f>
        <v/>
      </c>
      <c r="G2083" t="str">
        <f>""</f>
        <v/>
      </c>
      <c r="I2083" t="str">
        <f t="shared" si="30"/>
        <v>GUARDIAN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30"/>
        <v>GUARDIAN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30"/>
        <v>GUARDIAN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30"/>
        <v>GUARDIAN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30"/>
        <v>GUARDIAN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30"/>
        <v>GUARDIAN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30"/>
        <v>GUARDIAN</v>
      </c>
    </row>
    <row r="2090" spans="1:9" x14ac:dyDescent="0.3">
      <c r="A2090" t="str">
        <f>""</f>
        <v/>
      </c>
      <c r="F2090" t="str">
        <f>""</f>
        <v/>
      </c>
      <c r="G2090" t="str">
        <f>""</f>
        <v/>
      </c>
      <c r="I2090" t="str">
        <f t="shared" si="30"/>
        <v>GUARDIAN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30"/>
        <v>GUARDIAN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30"/>
        <v>GUARDIAN</v>
      </c>
    </row>
    <row r="2093" spans="1:9" x14ac:dyDescent="0.3">
      <c r="A2093" t="str">
        <f>""</f>
        <v/>
      </c>
      <c r="F2093" t="str">
        <f>""</f>
        <v/>
      </c>
      <c r="G2093" t="str">
        <f>""</f>
        <v/>
      </c>
      <c r="I2093" t="str">
        <f t="shared" si="30"/>
        <v>GUARDIAN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30"/>
        <v>GUARDIAN</v>
      </c>
    </row>
    <row r="2095" spans="1:9" x14ac:dyDescent="0.3">
      <c r="A2095" t="str">
        <f>""</f>
        <v/>
      </c>
      <c r="F2095" t="str">
        <f>""</f>
        <v/>
      </c>
      <c r="G2095" t="str">
        <f>""</f>
        <v/>
      </c>
      <c r="I2095" t="str">
        <f t="shared" si="30"/>
        <v>GUARDIAN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ref="I2096:I2127" si="31">"GUARDIAN"</f>
        <v>GUARDIAN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31"/>
        <v>GUARDIAN</v>
      </c>
    </row>
    <row r="2098" spans="1:9" x14ac:dyDescent="0.3">
      <c r="A2098" t="str">
        <f>""</f>
        <v/>
      </c>
      <c r="F2098" t="str">
        <f>"LIE201710045387"</f>
        <v>LIE201710045387</v>
      </c>
      <c r="G2098" t="str">
        <f>"GUARDIAN"</f>
        <v>GUARDIAN</v>
      </c>
      <c r="H2098" s="2">
        <v>127.95</v>
      </c>
      <c r="I2098" t="str">
        <f t="shared" si="31"/>
        <v>GUARDIAN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31"/>
        <v>GUARDIAN</v>
      </c>
    </row>
    <row r="2100" spans="1:9" x14ac:dyDescent="0.3">
      <c r="A2100" t="str">
        <f>""</f>
        <v/>
      </c>
      <c r="F2100" t="str">
        <f>"LIE201710185808"</f>
        <v>LIE201710185808</v>
      </c>
      <c r="G2100" t="str">
        <f>"GUARDIAN"</f>
        <v>GUARDIAN</v>
      </c>
      <c r="H2100" s="2">
        <v>3226.4</v>
      </c>
      <c r="I2100" t="str">
        <f t="shared" si="31"/>
        <v>GUARDIAN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31"/>
        <v>GUARDIAN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31"/>
        <v>GUARDIAN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31"/>
        <v>GUARDIAN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31"/>
        <v>GUARDIAN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31"/>
        <v>GUARDIAN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31"/>
        <v>GUARDIAN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31"/>
        <v>GUARDIAN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31"/>
        <v>GUARDIAN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31"/>
        <v>GUARDIAN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31"/>
        <v>GUARDIAN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31"/>
        <v>GUARDIAN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31"/>
        <v>GUARDIAN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31"/>
        <v>GUARDIAN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31"/>
        <v>GUARDIAN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31"/>
        <v>GUARDIAN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31"/>
        <v>GUARDIAN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31"/>
        <v>GUARDIAN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31"/>
        <v>GUARDIAN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31"/>
        <v>GUARDIAN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31"/>
        <v>GUARDIAN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31"/>
        <v>GUARDIAN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31"/>
        <v>GUARDIAN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31"/>
        <v>GUARDIAN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31"/>
        <v>GUARDIAN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31"/>
        <v>GUARDIAN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31"/>
        <v>GUARDIAN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31"/>
        <v>GUARDIAN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ref="I2128:I2161" si="32">"GUARDIAN"</f>
        <v>GUARDIAN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32"/>
        <v>GUARDIAN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32"/>
        <v>GUARDIAN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32"/>
        <v>GUARDIAN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32"/>
        <v>GUARDIAN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32"/>
        <v>GUARDIAN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32"/>
        <v>GUARDIAN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32"/>
        <v>GUARDIAN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32"/>
        <v>GUARDIAN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32"/>
        <v>GUARDIAN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32"/>
        <v>GUARDIAN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32"/>
        <v>GUARDIAN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32"/>
        <v>GUARDIAN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32"/>
        <v>GUARDIAN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32"/>
        <v>GUARDIAN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32"/>
        <v>GUARDIAN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32"/>
        <v>GUARDIAN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32"/>
        <v>GUARDIAN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32"/>
        <v>GUARDIAN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32"/>
        <v>GUARDIAN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32"/>
        <v>GUARDIAN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32"/>
        <v>GUARDIAN</v>
      </c>
    </row>
    <row r="2150" spans="1:9" x14ac:dyDescent="0.3">
      <c r="A2150" t="str">
        <f>""</f>
        <v/>
      </c>
      <c r="F2150" t="str">
        <f>"LIE201710185811"</f>
        <v>LIE201710185811</v>
      </c>
      <c r="G2150" t="str">
        <f>"GUARDIAN"</f>
        <v>GUARDIAN</v>
      </c>
      <c r="H2150" s="2">
        <v>127.95</v>
      </c>
      <c r="I2150" t="str">
        <f t="shared" si="32"/>
        <v>GUARDIAN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32"/>
        <v>GUARDIAN</v>
      </c>
    </row>
    <row r="2152" spans="1:9" x14ac:dyDescent="0.3">
      <c r="A2152" t="str">
        <f>""</f>
        <v/>
      </c>
      <c r="F2152" t="str">
        <f>"LIS201710045386"</f>
        <v>LIS201710045386</v>
      </c>
      <c r="G2152" t="str">
        <f t="shared" ref="G2152:G2161" si="33">"GUARDIAN"</f>
        <v>GUARDIAN</v>
      </c>
      <c r="H2152" s="2">
        <v>435.22</v>
      </c>
      <c r="I2152" t="str">
        <f t="shared" si="32"/>
        <v>GUARDIAN</v>
      </c>
    </row>
    <row r="2153" spans="1:9" x14ac:dyDescent="0.3">
      <c r="A2153" t="str">
        <f>""</f>
        <v/>
      </c>
      <c r="F2153" t="str">
        <f>"LIS201710045387"</f>
        <v>LIS201710045387</v>
      </c>
      <c r="G2153" t="str">
        <f t="shared" si="33"/>
        <v>GUARDIAN</v>
      </c>
      <c r="H2153" s="2">
        <v>36.700000000000003</v>
      </c>
      <c r="I2153" t="str">
        <f t="shared" si="32"/>
        <v>GUARDIAN</v>
      </c>
    </row>
    <row r="2154" spans="1:9" x14ac:dyDescent="0.3">
      <c r="A2154" t="str">
        <f>""</f>
        <v/>
      </c>
      <c r="F2154" t="str">
        <f>"LIS201710185808"</f>
        <v>LIS201710185808</v>
      </c>
      <c r="G2154" t="str">
        <f t="shared" si="33"/>
        <v>GUARDIAN</v>
      </c>
      <c r="H2154" s="2">
        <v>435.22</v>
      </c>
      <c r="I2154" t="str">
        <f t="shared" si="32"/>
        <v>GUARDIAN</v>
      </c>
    </row>
    <row r="2155" spans="1:9" x14ac:dyDescent="0.3">
      <c r="A2155" t="str">
        <f>""</f>
        <v/>
      </c>
      <c r="F2155" t="str">
        <f>"LIS201710185811"</f>
        <v>LIS201710185811</v>
      </c>
      <c r="G2155" t="str">
        <f t="shared" si="33"/>
        <v>GUARDIAN</v>
      </c>
      <c r="H2155" s="2">
        <v>36.700000000000003</v>
      </c>
      <c r="I2155" t="str">
        <f t="shared" si="32"/>
        <v>GUARDIAN</v>
      </c>
    </row>
    <row r="2156" spans="1:9" x14ac:dyDescent="0.3">
      <c r="A2156" t="str">
        <f>""</f>
        <v/>
      </c>
      <c r="F2156" t="str">
        <f>"LTD201710045386"</f>
        <v>LTD201710045386</v>
      </c>
      <c r="G2156" t="str">
        <f t="shared" si="33"/>
        <v>GUARDIAN</v>
      </c>
      <c r="H2156" s="2">
        <v>731.52</v>
      </c>
      <c r="I2156" t="str">
        <f t="shared" si="32"/>
        <v>GUARDIAN</v>
      </c>
    </row>
    <row r="2157" spans="1:9" x14ac:dyDescent="0.3">
      <c r="A2157" t="str">
        <f>""</f>
        <v/>
      </c>
      <c r="F2157" t="str">
        <f>"LTD201710185808"</f>
        <v>LTD201710185808</v>
      </c>
      <c r="G2157" t="str">
        <f t="shared" si="33"/>
        <v>GUARDIAN</v>
      </c>
      <c r="H2157" s="2">
        <v>731.52</v>
      </c>
      <c r="I2157" t="str">
        <f t="shared" si="32"/>
        <v>GUARDIAN</v>
      </c>
    </row>
    <row r="2158" spans="1:9" x14ac:dyDescent="0.3">
      <c r="A2158" t="str">
        <f>"GUARDI"</f>
        <v>GUARDI</v>
      </c>
      <c r="B2158" t="s">
        <v>517</v>
      </c>
      <c r="C2158">
        <v>0</v>
      </c>
      <c r="D2158" s="2">
        <v>119.32</v>
      </c>
      <c r="E2158" s="1">
        <v>43035</v>
      </c>
      <c r="F2158" t="str">
        <f>"AEG201710045386"</f>
        <v>AEG201710045386</v>
      </c>
      <c r="G2158" t="str">
        <f t="shared" si="33"/>
        <v>GUARDIAN</v>
      </c>
      <c r="H2158" s="2">
        <v>9.51</v>
      </c>
      <c r="I2158" t="str">
        <f t="shared" si="32"/>
        <v>GUARDIAN</v>
      </c>
    </row>
    <row r="2159" spans="1:9" x14ac:dyDescent="0.3">
      <c r="A2159" t="str">
        <f>""</f>
        <v/>
      </c>
      <c r="F2159" t="str">
        <f>"AEG201710185808"</f>
        <v>AEG201710185808</v>
      </c>
      <c r="G2159" t="str">
        <f t="shared" si="33"/>
        <v>GUARDIAN</v>
      </c>
      <c r="H2159" s="2">
        <v>9.51</v>
      </c>
      <c r="I2159" t="str">
        <f t="shared" si="32"/>
        <v>GUARDIAN</v>
      </c>
    </row>
    <row r="2160" spans="1:9" x14ac:dyDescent="0.3">
      <c r="A2160" t="str">
        <f>""</f>
        <v/>
      </c>
      <c r="F2160" t="str">
        <f>"AFG201710045386"</f>
        <v>AFG201710045386</v>
      </c>
      <c r="G2160" t="str">
        <f t="shared" si="33"/>
        <v>GUARDIAN</v>
      </c>
      <c r="H2160" s="2">
        <v>50.15</v>
      </c>
      <c r="I2160" t="str">
        <f t="shared" si="32"/>
        <v>GUARDIAN</v>
      </c>
    </row>
    <row r="2161" spans="1:9" x14ac:dyDescent="0.3">
      <c r="A2161" t="str">
        <f>""</f>
        <v/>
      </c>
      <c r="F2161" t="str">
        <f>"AFG201710185808"</f>
        <v>AFG201710185808</v>
      </c>
      <c r="G2161" t="str">
        <f t="shared" si="33"/>
        <v>GUARDIAN</v>
      </c>
      <c r="H2161" s="2">
        <v>50.15</v>
      </c>
      <c r="I2161" t="str">
        <f t="shared" si="32"/>
        <v>GUARDIAN</v>
      </c>
    </row>
    <row r="2162" spans="1:9" x14ac:dyDescent="0.3">
      <c r="A2162" t="str">
        <f>"IRSACS"</f>
        <v>IRSACS</v>
      </c>
      <c r="B2162" t="s">
        <v>518</v>
      </c>
      <c r="C2162">
        <v>45898</v>
      </c>
      <c r="D2162" s="2">
        <v>238.43</v>
      </c>
      <c r="E2162" s="1">
        <v>43014</v>
      </c>
      <c r="F2162" t="str">
        <f>"IJ2201710045386"</f>
        <v>IJ2201710045386</v>
      </c>
      <c r="G2162" t="str">
        <f>"LISA JACKSON 2 IRS LEVY"</f>
        <v>LISA JACKSON 2 IRS LEVY</v>
      </c>
      <c r="H2162" s="2">
        <v>238.43</v>
      </c>
      <c r="I2162" t="str">
        <f>"LISA JACKSON 2 IRS LEVY"</f>
        <v>LISA JACKSON 2 IRS LEVY</v>
      </c>
    </row>
    <row r="2163" spans="1:9" x14ac:dyDescent="0.3">
      <c r="A2163" t="str">
        <f>"IRSACS"</f>
        <v>IRSACS</v>
      </c>
      <c r="B2163" t="s">
        <v>518</v>
      </c>
      <c r="C2163">
        <v>45922</v>
      </c>
      <c r="D2163" s="2">
        <v>238.43</v>
      </c>
      <c r="E2163" s="1">
        <v>43028</v>
      </c>
      <c r="F2163" t="str">
        <f>"IJ2201710185808"</f>
        <v>IJ2201710185808</v>
      </c>
      <c r="G2163" t="str">
        <f>"LISA JACKSON 2 IRS LEVY"</f>
        <v>LISA JACKSON 2 IRS LEVY</v>
      </c>
      <c r="H2163" s="2">
        <v>238.43</v>
      </c>
      <c r="I2163" t="str">
        <f>"LISA JACKSON 2 IRS LEVY"</f>
        <v>LISA JACKSON 2 IRS LEVY</v>
      </c>
    </row>
    <row r="2164" spans="1:9" x14ac:dyDescent="0.3">
      <c r="A2164" t="str">
        <f>"IRSPY"</f>
        <v>IRSPY</v>
      </c>
      <c r="B2164" t="s">
        <v>519</v>
      </c>
      <c r="C2164">
        <v>0</v>
      </c>
      <c r="D2164" s="2">
        <v>211311.6</v>
      </c>
      <c r="E2164" s="1">
        <v>43014</v>
      </c>
      <c r="F2164" t="str">
        <f>"T1 201710045386"</f>
        <v>T1 201710045386</v>
      </c>
      <c r="G2164" t="str">
        <f>"FEDERAL WITHHOLDING"</f>
        <v>FEDERAL WITHHOLDING</v>
      </c>
      <c r="H2164" s="2">
        <v>75876.89</v>
      </c>
      <c r="I2164" t="str">
        <f>"FEDERAL WITHHOLDING"</f>
        <v>FEDERAL WITHHOLDING</v>
      </c>
    </row>
    <row r="2165" spans="1:9" x14ac:dyDescent="0.3">
      <c r="A2165" t="str">
        <f>""</f>
        <v/>
      </c>
      <c r="F2165" t="str">
        <f>"T1 201710045387"</f>
        <v>T1 201710045387</v>
      </c>
      <c r="G2165" t="str">
        <f>"FEDERAL WITHHOLDING"</f>
        <v>FEDERAL WITHHOLDING</v>
      </c>
      <c r="H2165" s="2">
        <v>3422.23</v>
      </c>
      <c r="I2165" t="str">
        <f>"FEDERAL WITHHOLDING"</f>
        <v>FEDERAL WITHHOLDING</v>
      </c>
    </row>
    <row r="2166" spans="1:9" x14ac:dyDescent="0.3">
      <c r="A2166" t="str">
        <f>""</f>
        <v/>
      </c>
      <c r="F2166" t="str">
        <f>"T1 201710045388"</f>
        <v>T1 201710045388</v>
      </c>
      <c r="G2166" t="str">
        <f>"FEDERAL WITHHOLDING"</f>
        <v>FEDERAL WITHHOLDING</v>
      </c>
      <c r="H2166" s="2">
        <v>4416.8999999999996</v>
      </c>
      <c r="I2166" t="str">
        <f>"FEDERAL WITHHOLDING"</f>
        <v>FEDERAL WITHHOLDING</v>
      </c>
    </row>
    <row r="2167" spans="1:9" x14ac:dyDescent="0.3">
      <c r="A2167" t="str">
        <f>""</f>
        <v/>
      </c>
      <c r="F2167" t="str">
        <f>"T3 201710045386"</f>
        <v>T3 201710045386</v>
      </c>
      <c r="G2167" t="str">
        <f>"SOCIAL SECURITY TAXES"</f>
        <v>SOCIAL SECURITY TAXES</v>
      </c>
      <c r="H2167" s="2">
        <v>94174.14</v>
      </c>
      <c r="I2167" t="str">
        <f t="shared" ref="I2167:I2198" si="34">"SOCIAL SECURITY TAXES"</f>
        <v>SOCIAL SECURITY TAXES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34"/>
        <v>SOCIAL SECURITY TAXES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34"/>
        <v>SOCIAL SECURITY TAXES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34"/>
        <v>SOCIAL SECURITY TAXES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34"/>
        <v>SOCIAL SECURITY TAXES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34"/>
        <v>SOCIAL SECURITY TAXES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34"/>
        <v>SOCIAL SECURITY TAXES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34"/>
        <v>SOCIAL SECURITY TAXES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34"/>
        <v>SOCIAL SECURITY TAXES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34"/>
        <v>SOCIAL SECURITY TAXES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34"/>
        <v>SOCIAL SECURITY TAXES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34"/>
        <v>SOCIAL SECURITY TAXES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34"/>
        <v>SOCIAL SECURITY TAXES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34"/>
        <v>SOCIAL SECURITY TAXES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34"/>
        <v>SOCIAL SECURITY TAXES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34"/>
        <v>SOCIAL SECURITY TAXES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34"/>
        <v>SOCIAL SECURITY TAXES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34"/>
        <v>SOCIAL SECURITY TAXES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34"/>
        <v>SOCIAL SECURITY TAXES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34"/>
        <v>SOCIAL SECURITY TAXES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34"/>
        <v>SOCIAL SECURITY TAXES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34"/>
        <v>SOCIAL SECURITY TAXES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34"/>
        <v>SOCIAL SECURITY TAXES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34"/>
        <v>SOCIAL SECURITY TAXES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34"/>
        <v>SOCIAL SECURITY TAXES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34"/>
        <v>SOCIAL SECURITY TAXES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34"/>
        <v>SOCIAL SECURITY TAXES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34"/>
        <v>SOCIAL SECURITY TAXES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34"/>
        <v>SOCIAL SECURITY TAXES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34"/>
        <v>SOCIAL SECURITY TAXES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34"/>
        <v>SOCIAL SECURITY TAXES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34"/>
        <v>SOCIAL SECURITY TAXES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ref="I2199:I2222" si="35">"SOCIAL SECURITY TAXES"</f>
        <v>SOCIAL SECURITY TAXES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35"/>
        <v>SOCIAL SECURITY TAXES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35"/>
        <v>SOCIAL SECURITY TAXES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35"/>
        <v>SOCIAL SECURITY TAXES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35"/>
        <v>SOCIAL SECURITY TAXES</v>
      </c>
    </row>
    <row r="2204" spans="1:9" x14ac:dyDescent="0.3">
      <c r="A2204" t="str">
        <f>""</f>
        <v/>
      </c>
      <c r="F2204" t="str">
        <f>""</f>
        <v/>
      </c>
      <c r="G2204" t="str">
        <f>""</f>
        <v/>
      </c>
      <c r="I2204" t="str">
        <f t="shared" si="35"/>
        <v>SOCIAL SECURITY TAXES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35"/>
        <v>SOCIAL SECURITY TAXES</v>
      </c>
    </row>
    <row r="2206" spans="1:9" x14ac:dyDescent="0.3">
      <c r="A2206" t="str">
        <f>""</f>
        <v/>
      </c>
      <c r="F2206" t="str">
        <f>""</f>
        <v/>
      </c>
      <c r="G2206" t="str">
        <f>""</f>
        <v/>
      </c>
      <c r="I2206" t="str">
        <f t="shared" si="35"/>
        <v>SOCIAL SECURITY TAXES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35"/>
        <v>SOCIAL SECURITY TAXES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35"/>
        <v>SOCIAL SECURITY TAXES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35"/>
        <v>SOCIAL SECURITY TAXES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35"/>
        <v>SOCIAL SECURITY TAXES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35"/>
        <v>SOCIAL SECURITY TAXES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35"/>
        <v>SOCIAL SECURITY TAXES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35"/>
        <v>SOCIAL SECURITY TAXES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35"/>
        <v>SOCIAL SECURITY TAXES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35"/>
        <v>SOCIAL SECURITY TAXES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35"/>
        <v>SOCIAL SECURITY TAXES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35"/>
        <v>SOCIAL SECURITY TAXES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35"/>
        <v>SOCIAL SECURITY TAXES</v>
      </c>
    </row>
    <row r="2219" spans="1:9" x14ac:dyDescent="0.3">
      <c r="A2219" t="str">
        <f>""</f>
        <v/>
      </c>
      <c r="F2219" t="str">
        <f>"T3 201710045387"</f>
        <v>T3 201710045387</v>
      </c>
      <c r="G2219" t="str">
        <f>"SOCIAL SECURITY TAXES"</f>
        <v>SOCIAL SECURITY TAXES</v>
      </c>
      <c r="H2219" s="2">
        <v>3813.34</v>
      </c>
      <c r="I2219" t="str">
        <f t="shared" si="35"/>
        <v>SOCIAL SECURITY TAXES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35"/>
        <v>SOCIAL SECURITY TAXES</v>
      </c>
    </row>
    <row r="2221" spans="1:9" x14ac:dyDescent="0.3">
      <c r="A2221" t="str">
        <f>""</f>
        <v/>
      </c>
      <c r="F2221" t="str">
        <f>"T3 201710045388"</f>
        <v>T3 201710045388</v>
      </c>
      <c r="G2221" t="str">
        <f>"SOCIAL SECURITY TAXES"</f>
        <v>SOCIAL SECURITY TAXES</v>
      </c>
      <c r="H2221" s="2">
        <v>5423.2</v>
      </c>
      <c r="I2221" t="str">
        <f t="shared" si="35"/>
        <v>SOCIAL SECURITY TAXES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35"/>
        <v>SOCIAL SECURITY TAXES</v>
      </c>
    </row>
    <row r="2223" spans="1:9" x14ac:dyDescent="0.3">
      <c r="A2223" t="str">
        <f>""</f>
        <v/>
      </c>
      <c r="F2223" t="str">
        <f>"T4 201710045386"</f>
        <v>T4 201710045386</v>
      </c>
      <c r="G2223" t="str">
        <f>"MEDICARE TAXES"</f>
        <v>MEDICARE TAXES</v>
      </c>
      <c r="H2223" s="2">
        <v>22024.720000000001</v>
      </c>
      <c r="I2223" t="str">
        <f t="shared" ref="I2223:I2254" si="36">"MEDICARE TAXES"</f>
        <v>MEDICARE TAXES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36"/>
        <v>MEDICARE TAXES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si="36"/>
        <v>MEDICARE TAXES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36"/>
        <v>MEDICARE TAXES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36"/>
        <v>MEDICARE TAXES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36"/>
        <v>MEDICARE TAXES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36"/>
        <v>MEDICARE TAXES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36"/>
        <v>MEDICARE TAXES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36"/>
        <v>MEDICARE TAXES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36"/>
        <v>MEDICARE TAXES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36"/>
        <v>MEDICARE TAXES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36"/>
        <v>MEDICARE TAXES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36"/>
        <v>MEDICARE TAXES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36"/>
        <v>MEDICARE TAXES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36"/>
        <v>MEDICARE TAXES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36"/>
        <v>MEDICARE TAXES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36"/>
        <v>MEDICARE TAXES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36"/>
        <v>MEDICARE TAXES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36"/>
        <v>MEDICARE TAXES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36"/>
        <v>MEDICARE TAXES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36"/>
        <v>MEDICARE TAXES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36"/>
        <v>MEDICARE TAXES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36"/>
        <v>MEDICARE TAXES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36"/>
        <v>MEDICARE TAXES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36"/>
        <v>MEDICARE TAXES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36"/>
        <v>MEDICARE TAXES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36"/>
        <v>MEDICARE TAXES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36"/>
        <v>MEDICARE TAXES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36"/>
        <v>MEDICARE TAXES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36"/>
        <v>MEDICARE TAXES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36"/>
        <v>MEDICARE TAXES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36"/>
        <v>MEDICARE TAXES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ref="I2255:I2278" si="37">"MEDICARE TAXES"</f>
        <v>MEDICARE TAXES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37"/>
        <v>MEDICARE TAXES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37"/>
        <v>MEDICARE TAXES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37"/>
        <v>MEDICARE TAXES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37"/>
        <v>MEDICARE TAXES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37"/>
        <v>MEDICARE TAXES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37"/>
        <v>MEDICARE TAXES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37"/>
        <v>MEDICARE TAXES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37"/>
        <v>MEDICARE TAXES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37"/>
        <v>MEDICARE TAXES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37"/>
        <v>MEDICARE TAXES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37"/>
        <v>MEDICARE TAXES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37"/>
        <v>MEDICARE TAXES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37"/>
        <v>MEDICARE TAXES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37"/>
        <v>MEDICARE TAXES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37"/>
        <v>MEDICARE TAXES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37"/>
        <v>MEDICARE TAXES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37"/>
        <v>MEDICARE TAXES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37"/>
        <v>MEDICARE TAXES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37"/>
        <v>MEDICARE TAXES</v>
      </c>
    </row>
    <row r="2275" spans="1:9" x14ac:dyDescent="0.3">
      <c r="A2275" t="str">
        <f>""</f>
        <v/>
      </c>
      <c r="F2275" t="str">
        <f>"T4 201710045387"</f>
        <v>T4 201710045387</v>
      </c>
      <c r="G2275" t="str">
        <f>"MEDICARE TAXES"</f>
        <v>MEDICARE TAXES</v>
      </c>
      <c r="H2275" s="2">
        <v>891.82</v>
      </c>
      <c r="I2275" t="str">
        <f t="shared" si="37"/>
        <v>MEDICARE TAXES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37"/>
        <v>MEDICARE TAXES</v>
      </c>
    </row>
    <row r="2277" spans="1:9" x14ac:dyDescent="0.3">
      <c r="A2277" t="str">
        <f>""</f>
        <v/>
      </c>
      <c r="F2277" t="str">
        <f>"T4 201710045388"</f>
        <v>T4 201710045388</v>
      </c>
      <c r="G2277" t="str">
        <f>"MEDICARE TAXES"</f>
        <v>MEDICARE TAXES</v>
      </c>
      <c r="H2277" s="2">
        <v>1268.3599999999999</v>
      </c>
      <c r="I2277" t="str">
        <f t="shared" si="37"/>
        <v>MEDICARE TAXES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37"/>
        <v>MEDICARE TAXES</v>
      </c>
    </row>
    <row r="2279" spans="1:9" x14ac:dyDescent="0.3">
      <c r="A2279" t="str">
        <f>"IRSPY"</f>
        <v>IRSPY</v>
      </c>
      <c r="B2279" t="s">
        <v>519</v>
      </c>
      <c r="C2279">
        <v>0</v>
      </c>
      <c r="D2279" s="2">
        <v>219160.41</v>
      </c>
      <c r="E2279" s="1">
        <v>43028</v>
      </c>
      <c r="F2279" t="str">
        <f>"T1 201710185808"</f>
        <v>T1 201710185808</v>
      </c>
      <c r="G2279" t="str">
        <f>"FEDERAL WITHHOLDING"</f>
        <v>FEDERAL WITHHOLDING</v>
      </c>
      <c r="H2279" s="2">
        <v>79501.919999999998</v>
      </c>
      <c r="I2279" t="str">
        <f>"FEDERAL WITHHOLDING"</f>
        <v>FEDERAL WITHHOLDING</v>
      </c>
    </row>
    <row r="2280" spans="1:9" x14ac:dyDescent="0.3">
      <c r="A2280" t="str">
        <f>""</f>
        <v/>
      </c>
      <c r="F2280" t="str">
        <f>"T1 201710185811"</f>
        <v>T1 201710185811</v>
      </c>
      <c r="G2280" t="str">
        <f>"FEDERAL WITHHOLDING"</f>
        <v>FEDERAL WITHHOLDING</v>
      </c>
      <c r="H2280" s="2">
        <v>3438.05</v>
      </c>
      <c r="I2280" t="str">
        <f>"FEDERAL WITHHOLDING"</f>
        <v>FEDERAL WITHHOLDING</v>
      </c>
    </row>
    <row r="2281" spans="1:9" x14ac:dyDescent="0.3">
      <c r="A2281" t="str">
        <f>""</f>
        <v/>
      </c>
      <c r="F2281" t="str">
        <f>"T1 201710185812"</f>
        <v>T1 201710185812</v>
      </c>
      <c r="G2281" t="str">
        <f>"FEDERAL WITHHOLDING"</f>
        <v>FEDERAL WITHHOLDING</v>
      </c>
      <c r="H2281" s="2">
        <v>4642.92</v>
      </c>
      <c r="I2281" t="str">
        <f>"FEDERAL WITHHOLDING"</f>
        <v>FEDERAL WITHHOLDING</v>
      </c>
    </row>
    <row r="2282" spans="1:9" x14ac:dyDescent="0.3">
      <c r="A2282" t="str">
        <f>""</f>
        <v/>
      </c>
      <c r="F2282" t="str">
        <f>"T3 201710185808"</f>
        <v>T3 201710185808</v>
      </c>
      <c r="G2282" t="str">
        <f>"SOCIAL SECURITY TAXES"</f>
        <v>SOCIAL SECURITY TAXES</v>
      </c>
      <c r="H2282" s="2">
        <v>97244.58</v>
      </c>
      <c r="I2282" t="str">
        <f t="shared" ref="I2282:I2313" si="38">"SOCIAL SECURITY TAXES"</f>
        <v>SOCIAL SECURITY TAXES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38"/>
        <v>SOCIAL SECURITY TAXES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38"/>
        <v>SOCIAL SECURITY TAXES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38"/>
        <v>SOCIAL SECURITY TAXES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38"/>
        <v>SOCIAL SECURITY TAXES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38"/>
        <v>SOCIAL SECURITY TAXES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38"/>
        <v>SOCIAL SECURITY TAXES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38"/>
        <v>SOCIAL SECURITY TAXES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38"/>
        <v>SOCIAL SECURITY TAXES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38"/>
        <v>SOCIAL SECURITY TAXES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38"/>
        <v>SOCIAL SECURITY TAXES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38"/>
        <v>SOCIAL SECURITY TAXES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38"/>
        <v>SOCIAL SECURITY TAXES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38"/>
        <v>SOCIAL SECURITY TAXES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38"/>
        <v>SOCIAL SECURITY TAXES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38"/>
        <v>SOCIAL SECURITY TAXES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38"/>
        <v>SOCIAL SECURITY TAXES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38"/>
        <v>SOCIAL SECURITY TAXES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38"/>
        <v>SOCIAL SECURITY TAXES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38"/>
        <v>SOCIAL SECURITY TAXES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38"/>
        <v>SOCIAL SECURITY TAXES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38"/>
        <v>SOCIAL SECURITY TAXES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38"/>
        <v>SOCIAL SECURITY TAXES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38"/>
        <v>SOCIAL SECURITY TAXES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38"/>
        <v>SOCIAL SECURITY TAXES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38"/>
        <v>SOCIAL SECURITY TAXES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38"/>
        <v>SOCIAL SECURITY TAXES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38"/>
        <v>SOCIAL SECURITY TAXES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38"/>
        <v>SOCIAL SECURITY TAXES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38"/>
        <v>SOCIAL SECURITY TAXES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38"/>
        <v>SOCIAL SECURITY TAXES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38"/>
        <v>SOCIAL SECURITY TAXES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ref="I2314:I2337" si="39">"SOCIAL SECURITY TAXES"</f>
        <v>SOCIAL SECURITY TAXES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39"/>
        <v>SOCIAL SECURITY TAXES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39"/>
        <v>SOCIAL SECURITY TAXES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39"/>
        <v>SOCIAL SECURITY TAXES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39"/>
        <v>SOCIAL SECURITY TAXES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39"/>
        <v>SOCIAL SECURITY TAXES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39"/>
        <v>SOCIAL SECURITY TAXES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39"/>
        <v>SOCIAL SECURITY TAXES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39"/>
        <v>SOCIAL SECURITY TAXES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39"/>
        <v>SOCIAL SECURITY TAXES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39"/>
        <v>SOCIAL SECURITY TAXES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39"/>
        <v>SOCIAL SECURITY TAXES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39"/>
        <v>SOCIAL SECURITY TAXES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39"/>
        <v>SOCIAL SECURITY TAXES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39"/>
        <v>SOCIAL SECURITY TAXES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39"/>
        <v>SOCIAL SECURITY TAXES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39"/>
        <v>SOCIAL SECURITY TAXES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39"/>
        <v>SOCIAL SECURITY TAXES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39"/>
        <v>SOCIAL SECURITY TAXES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39"/>
        <v>SOCIAL SECURITY TAXES</v>
      </c>
    </row>
    <row r="2334" spans="1:9" x14ac:dyDescent="0.3">
      <c r="A2334" t="str">
        <f>""</f>
        <v/>
      </c>
      <c r="F2334" t="str">
        <f>"T3 201710185811"</f>
        <v>T3 201710185811</v>
      </c>
      <c r="G2334" t="str">
        <f>"SOCIAL SECURITY TAXES"</f>
        <v>SOCIAL SECURITY TAXES</v>
      </c>
      <c r="H2334" s="2">
        <v>3820.08</v>
      </c>
      <c r="I2334" t="str">
        <f t="shared" si="39"/>
        <v>SOCIAL SECURITY TAXES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39"/>
        <v>SOCIAL SECURITY TAXES</v>
      </c>
    </row>
    <row r="2336" spans="1:9" x14ac:dyDescent="0.3">
      <c r="A2336" t="str">
        <f>""</f>
        <v/>
      </c>
      <c r="F2336" t="str">
        <f>"T3 201710185812"</f>
        <v>T3 201710185812</v>
      </c>
      <c r="G2336" t="str">
        <f>"SOCIAL SECURITY TAXES"</f>
        <v>SOCIAL SECURITY TAXES</v>
      </c>
      <c r="H2336" s="2">
        <v>5573.34</v>
      </c>
      <c r="I2336" t="str">
        <f t="shared" si="39"/>
        <v>SOCIAL SECURITY TAXES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39"/>
        <v>SOCIAL SECURITY TAXES</v>
      </c>
    </row>
    <row r="2338" spans="1:9" x14ac:dyDescent="0.3">
      <c r="A2338" t="str">
        <f>""</f>
        <v/>
      </c>
      <c r="F2338" t="str">
        <f>"T4 201710185808"</f>
        <v>T4 201710185808</v>
      </c>
      <c r="G2338" t="str">
        <f>"MEDICARE TAXES"</f>
        <v>MEDICARE TAXES</v>
      </c>
      <c r="H2338" s="2">
        <v>22742.639999999999</v>
      </c>
      <c r="I2338" t="str">
        <f t="shared" ref="I2338:I2369" si="40">"MEDICARE TAXES"</f>
        <v>MEDICARE TAXES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40"/>
        <v>MEDICARE TAXES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40"/>
        <v>MEDICARE TAXES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40"/>
        <v>MEDICARE TAXES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40"/>
        <v>MEDICARE TAXES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40"/>
        <v>MEDICARE TAXES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40"/>
        <v>MEDICARE TAXES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40"/>
        <v>MEDICARE TAXES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40"/>
        <v>MEDICARE TAXES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40"/>
        <v>MEDICARE TAXES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40"/>
        <v>MEDICARE TAXES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40"/>
        <v>MEDICARE TAXES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40"/>
        <v>MEDICARE TAXES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40"/>
        <v>MEDICARE TAXES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40"/>
        <v>MEDICARE TAXES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40"/>
        <v>MEDICARE TAXES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40"/>
        <v>MEDICARE TAXES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40"/>
        <v>MEDICARE TAXES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40"/>
        <v>MEDICARE TAXES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40"/>
        <v>MEDICARE TAXES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40"/>
        <v>MEDICARE TAXES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si="40"/>
        <v>MEDICARE TAXES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40"/>
        <v>MEDICARE TAXES</v>
      </c>
    </row>
    <row r="2361" spans="1:9" x14ac:dyDescent="0.3">
      <c r="A2361" t="str">
        <f>""</f>
        <v/>
      </c>
      <c r="F2361" t="str">
        <f>""</f>
        <v/>
      </c>
      <c r="G2361" t="str">
        <f>""</f>
        <v/>
      </c>
      <c r="I2361" t="str">
        <f t="shared" si="40"/>
        <v>MEDICARE TAXES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40"/>
        <v>MEDICARE TAXES</v>
      </c>
    </row>
    <row r="2363" spans="1:9" x14ac:dyDescent="0.3">
      <c r="A2363" t="str">
        <f>""</f>
        <v/>
      </c>
      <c r="F2363" t="str">
        <f>""</f>
        <v/>
      </c>
      <c r="G2363" t="str">
        <f>""</f>
        <v/>
      </c>
      <c r="I2363" t="str">
        <f t="shared" si="40"/>
        <v>MEDICARE TAXES</v>
      </c>
    </row>
    <row r="2364" spans="1:9" x14ac:dyDescent="0.3">
      <c r="A2364" t="str">
        <f>""</f>
        <v/>
      </c>
      <c r="F2364" t="str">
        <f>""</f>
        <v/>
      </c>
      <c r="G2364" t="str">
        <f>""</f>
        <v/>
      </c>
      <c r="I2364" t="str">
        <f t="shared" si="40"/>
        <v>MEDICARE TAXES</v>
      </c>
    </row>
    <row r="2365" spans="1:9" x14ac:dyDescent="0.3">
      <c r="A2365" t="str">
        <f>""</f>
        <v/>
      </c>
      <c r="F2365" t="str">
        <f>""</f>
        <v/>
      </c>
      <c r="G2365" t="str">
        <f>""</f>
        <v/>
      </c>
      <c r="I2365" t="str">
        <f t="shared" si="40"/>
        <v>MEDICARE TAXES</v>
      </c>
    </row>
    <row r="2366" spans="1:9" x14ac:dyDescent="0.3">
      <c r="A2366" t="str">
        <f>""</f>
        <v/>
      </c>
      <c r="F2366" t="str">
        <f>""</f>
        <v/>
      </c>
      <c r="G2366" t="str">
        <f>""</f>
        <v/>
      </c>
      <c r="I2366" t="str">
        <f t="shared" si="40"/>
        <v>MEDICARE TAXES</v>
      </c>
    </row>
    <row r="2367" spans="1:9" x14ac:dyDescent="0.3">
      <c r="A2367" t="str">
        <f>""</f>
        <v/>
      </c>
      <c r="F2367" t="str">
        <f>""</f>
        <v/>
      </c>
      <c r="G2367" t="str">
        <f>""</f>
        <v/>
      </c>
      <c r="I2367" t="str">
        <f t="shared" si="40"/>
        <v>MEDICARE TAXES</v>
      </c>
    </row>
    <row r="2368" spans="1:9" x14ac:dyDescent="0.3">
      <c r="A2368" t="str">
        <f>""</f>
        <v/>
      </c>
      <c r="F2368" t="str">
        <f>""</f>
        <v/>
      </c>
      <c r="G2368" t="str">
        <f>""</f>
        <v/>
      </c>
      <c r="I2368" t="str">
        <f t="shared" si="40"/>
        <v>MEDICARE TAXES</v>
      </c>
    </row>
    <row r="2369" spans="1:9" x14ac:dyDescent="0.3">
      <c r="A2369" t="str">
        <f>""</f>
        <v/>
      </c>
      <c r="F2369" t="str">
        <f>""</f>
        <v/>
      </c>
      <c r="G2369" t="str">
        <f>""</f>
        <v/>
      </c>
      <c r="I2369" t="str">
        <f t="shared" si="40"/>
        <v>MEDICARE TAXES</v>
      </c>
    </row>
    <row r="2370" spans="1:9" x14ac:dyDescent="0.3">
      <c r="A2370" t="str">
        <f>""</f>
        <v/>
      </c>
      <c r="F2370" t="str">
        <f>""</f>
        <v/>
      </c>
      <c r="G2370" t="str">
        <f>""</f>
        <v/>
      </c>
      <c r="I2370" t="str">
        <f t="shared" ref="I2370:I2393" si="41">"MEDICARE TAXES"</f>
        <v>MEDICARE TAXES</v>
      </c>
    </row>
    <row r="2371" spans="1:9" x14ac:dyDescent="0.3">
      <c r="A2371" t="str">
        <f>""</f>
        <v/>
      </c>
      <c r="F2371" t="str">
        <f>""</f>
        <v/>
      </c>
      <c r="G2371" t="str">
        <f>""</f>
        <v/>
      </c>
      <c r="I2371" t="str">
        <f t="shared" si="41"/>
        <v>MEDICARE TAXES</v>
      </c>
    </row>
    <row r="2372" spans="1:9" x14ac:dyDescent="0.3">
      <c r="A2372" t="str">
        <f>""</f>
        <v/>
      </c>
      <c r="F2372" t="str">
        <f>""</f>
        <v/>
      </c>
      <c r="G2372" t="str">
        <f>""</f>
        <v/>
      </c>
      <c r="I2372" t="str">
        <f t="shared" si="41"/>
        <v>MEDICARE TAXES</v>
      </c>
    </row>
    <row r="2373" spans="1:9" x14ac:dyDescent="0.3">
      <c r="A2373" t="str">
        <f>""</f>
        <v/>
      </c>
      <c r="F2373" t="str">
        <f>""</f>
        <v/>
      </c>
      <c r="G2373" t="str">
        <f>""</f>
        <v/>
      </c>
      <c r="I2373" t="str">
        <f t="shared" si="41"/>
        <v>MEDICARE TAXES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41"/>
        <v>MEDICARE TAXES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41"/>
        <v>MEDICARE TAXES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41"/>
        <v>MEDICARE TAXES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41"/>
        <v>MEDICARE TAXES</v>
      </c>
    </row>
    <row r="2378" spans="1:9" x14ac:dyDescent="0.3">
      <c r="A2378" t="str">
        <f>""</f>
        <v/>
      </c>
      <c r="F2378" t="str">
        <f>""</f>
        <v/>
      </c>
      <c r="G2378" t="str">
        <f>""</f>
        <v/>
      </c>
      <c r="I2378" t="str">
        <f t="shared" si="41"/>
        <v>MEDICARE TAXES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41"/>
        <v>MEDICARE TAXES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41"/>
        <v>MEDICARE TAXES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41"/>
        <v>MEDICARE TAXES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41"/>
        <v>MEDICARE TAXES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41"/>
        <v>MEDICARE TAXES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41"/>
        <v>MEDICARE TAXES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41"/>
        <v>MEDICARE TAXES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41"/>
        <v>MEDICARE TAXES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41"/>
        <v>MEDICARE TAXES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41"/>
        <v>MEDICARE TAXES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41"/>
        <v>MEDICARE TAXES</v>
      </c>
    </row>
    <row r="2390" spans="1:9" x14ac:dyDescent="0.3">
      <c r="A2390" t="str">
        <f>""</f>
        <v/>
      </c>
      <c r="F2390" t="str">
        <f>"T4 201710185811"</f>
        <v>T4 201710185811</v>
      </c>
      <c r="G2390" t="str">
        <f>"MEDICARE TAXES"</f>
        <v>MEDICARE TAXES</v>
      </c>
      <c r="H2390" s="2">
        <v>893.4</v>
      </c>
      <c r="I2390" t="str">
        <f t="shared" si="41"/>
        <v>MEDICARE TAXES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41"/>
        <v>MEDICARE TAXES</v>
      </c>
    </row>
    <row r="2392" spans="1:9" x14ac:dyDescent="0.3">
      <c r="A2392" t="str">
        <f>""</f>
        <v/>
      </c>
      <c r="F2392" t="str">
        <f>"T4 201710185812"</f>
        <v>T4 201710185812</v>
      </c>
      <c r="G2392" t="str">
        <f>"MEDICARE TAXES"</f>
        <v>MEDICARE TAXES</v>
      </c>
      <c r="H2392" s="2">
        <v>1303.48</v>
      </c>
      <c r="I2392" t="str">
        <f t="shared" si="41"/>
        <v>MEDICARE TAXES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41"/>
        <v>MEDICARE TAXES</v>
      </c>
    </row>
    <row r="2394" spans="1:9" x14ac:dyDescent="0.3">
      <c r="A2394" t="str">
        <f>"004638"</f>
        <v>004638</v>
      </c>
      <c r="B2394" t="s">
        <v>520</v>
      </c>
      <c r="C2394">
        <v>45897</v>
      </c>
      <c r="D2394" s="2">
        <v>72.41</v>
      </c>
      <c r="E2394" s="1">
        <v>43014</v>
      </c>
      <c r="F2394" t="str">
        <f>"C64201710045386"</f>
        <v>C64201710045386</v>
      </c>
      <c r="G2394" t="str">
        <f>"CASE #912745322"</f>
        <v>CASE #912745322</v>
      </c>
      <c r="H2394" s="2">
        <v>72.41</v>
      </c>
      <c r="I2394" t="str">
        <f>"CASE #912745322"</f>
        <v>CASE #912745322</v>
      </c>
    </row>
    <row r="2395" spans="1:9" x14ac:dyDescent="0.3">
      <c r="A2395" t="str">
        <f>"004638"</f>
        <v>004638</v>
      </c>
      <c r="B2395" t="s">
        <v>520</v>
      </c>
      <c r="C2395">
        <v>45921</v>
      </c>
      <c r="D2395" s="2">
        <v>72.41</v>
      </c>
      <c r="E2395" s="1">
        <v>43028</v>
      </c>
      <c r="F2395" t="str">
        <f>"C64201710185808"</f>
        <v>C64201710185808</v>
      </c>
      <c r="G2395" t="str">
        <f>"CASE #912745322"</f>
        <v>CASE #912745322</v>
      </c>
      <c r="H2395" s="2">
        <v>72.41</v>
      </c>
      <c r="I2395" t="str">
        <f>"CASE #912745322"</f>
        <v>CASE #912745322</v>
      </c>
    </row>
    <row r="2396" spans="1:9" x14ac:dyDescent="0.3">
      <c r="A2396" t="str">
        <f>"001507"</f>
        <v>001507</v>
      </c>
      <c r="B2396" t="s">
        <v>521</v>
      </c>
      <c r="C2396">
        <v>0</v>
      </c>
      <c r="D2396" s="2">
        <v>27275.360000000001</v>
      </c>
      <c r="E2396" s="1">
        <v>43035</v>
      </c>
      <c r="F2396" t="str">
        <f>"201710265999"</f>
        <v>201710265999</v>
      </c>
      <c r="G2396" t="str">
        <f>"MONUMENTAL LIFE INS CO"</f>
        <v>MONUMENTAL LIFE INS CO</v>
      </c>
      <c r="H2396" s="2">
        <v>27275.360000000001</v>
      </c>
      <c r="I2396" t="str">
        <f>"MONUMENTAL LIFE INS CO"</f>
        <v>MONUMENTAL LIFE INS CO</v>
      </c>
    </row>
    <row r="2397" spans="1:9" x14ac:dyDescent="0.3">
      <c r="A2397" t="str">
        <f>"002456"</f>
        <v>002456</v>
      </c>
      <c r="B2397" t="s">
        <v>522</v>
      </c>
      <c r="C2397">
        <v>0</v>
      </c>
      <c r="D2397" s="2">
        <v>731.02</v>
      </c>
      <c r="E2397" s="1">
        <v>43035</v>
      </c>
      <c r="F2397" t="str">
        <f>"LIX201710045386"</f>
        <v>LIX201710045386</v>
      </c>
      <c r="G2397" t="str">
        <f>"TEXAS LIFE/OLIVO GROUP"</f>
        <v>TEXAS LIFE/OLIVO GROUP</v>
      </c>
      <c r="H2397" s="2">
        <v>365.51</v>
      </c>
      <c r="I2397" t="str">
        <f>"TEXAS LIFE/OLIVO GROUP"</f>
        <v>TEXAS LIFE/OLIVO GROUP</v>
      </c>
    </row>
    <row r="2398" spans="1:9" x14ac:dyDescent="0.3">
      <c r="A2398" t="str">
        <f>""</f>
        <v/>
      </c>
      <c r="F2398" t="str">
        <f>"LIX201710185808"</f>
        <v>LIX201710185808</v>
      </c>
      <c r="G2398" t="str">
        <f>"TEXAS LIFE/OLIVO GROUP"</f>
        <v>TEXAS LIFE/OLIVO GROUP</v>
      </c>
      <c r="H2398" s="2">
        <v>365.51</v>
      </c>
      <c r="I2398" t="str">
        <f>"TEXAS LIFE/OLIVO GROUP"</f>
        <v>TEXAS LIFE/OLIVO GROUP</v>
      </c>
    </row>
    <row r="2399" spans="1:9" x14ac:dyDescent="0.3">
      <c r="A2399" t="str">
        <f>"TACHEB"</f>
        <v>TACHEB</v>
      </c>
      <c r="B2399" t="s">
        <v>523</v>
      </c>
      <c r="C2399">
        <v>45927</v>
      </c>
      <c r="D2399" s="2">
        <v>326921.52</v>
      </c>
      <c r="E2399" s="1">
        <v>43035</v>
      </c>
      <c r="F2399" t="str">
        <f>"201710265996"</f>
        <v>201710265996</v>
      </c>
      <c r="G2399" t="str">
        <f>"TAC HEALTH BENEFITS POOL"</f>
        <v>TAC HEALTH BENEFITS POOL</v>
      </c>
      <c r="H2399" s="2">
        <v>-0.62</v>
      </c>
      <c r="I2399" t="str">
        <f>"TAC HEALTH BENEFITS POOL"</f>
        <v>TAC HEALTH BENEFITS POOL</v>
      </c>
    </row>
    <row r="2400" spans="1:9" x14ac:dyDescent="0.3">
      <c r="A2400" t="str">
        <f>""</f>
        <v/>
      </c>
      <c r="F2400" t="str">
        <f>"201710265995"</f>
        <v>201710265995</v>
      </c>
      <c r="G2400" t="str">
        <f>"Retiree October 2017"</f>
        <v>Retiree October 2017</v>
      </c>
      <c r="H2400" s="2">
        <v>15116.16</v>
      </c>
      <c r="I2400" t="str">
        <f>"TAC HEALTH BENEFITS POOL"</f>
        <v>TAC HEALTH BENEFITS POOL</v>
      </c>
    </row>
    <row r="2401" spans="1:9" x14ac:dyDescent="0.3">
      <c r="A2401" t="str">
        <f>""</f>
        <v/>
      </c>
      <c r="F2401" t="str">
        <f>"2EC201710045386"</f>
        <v>2EC201710045386</v>
      </c>
      <c r="G2401" t="str">
        <f>"BCBS PAYABLE"</f>
        <v>BCBS PAYABLE</v>
      </c>
      <c r="H2401" s="2">
        <v>45329.81</v>
      </c>
      <c r="I2401" t="str">
        <f t="shared" ref="I2401:I2432" si="42">"BCBS PAYABLE"</f>
        <v>BCBS PAYABLE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42"/>
        <v>BCBS PAYABLE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42"/>
        <v>BCBS PAYABLE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42"/>
        <v>BCBS PAYABLE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42"/>
        <v>BCBS PAYABLE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42"/>
        <v>BCBS PAYABLE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42"/>
        <v>BCBS PAYABLE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42"/>
        <v>BCBS PAYABLE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42"/>
        <v>BCBS PAYABLE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42"/>
        <v>BCBS PAYABLE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42"/>
        <v>BCBS PAYABLE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42"/>
        <v>BCBS PAYABLE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42"/>
        <v>BCBS PAYABLE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42"/>
        <v>BCBS PAYABLE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42"/>
        <v>BCBS PAYABLE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42"/>
        <v>BCBS PAYABLE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42"/>
        <v>BCBS PAYABLE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42"/>
        <v>BCBS PAYABLE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42"/>
        <v>BCBS PAYABLE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42"/>
        <v>BCBS PAYABLE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42"/>
        <v>BCBS PAYABLE</v>
      </c>
    </row>
    <row r="2422" spans="1:9" x14ac:dyDescent="0.3">
      <c r="A2422" t="str">
        <f>""</f>
        <v/>
      </c>
      <c r="F2422" t="str">
        <f>""</f>
        <v/>
      </c>
      <c r="G2422" t="str">
        <f>""</f>
        <v/>
      </c>
      <c r="I2422" t="str">
        <f t="shared" si="42"/>
        <v>BCBS PAYABLE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42"/>
        <v>BCBS PAYABLE</v>
      </c>
    </row>
    <row r="2424" spans="1:9" x14ac:dyDescent="0.3">
      <c r="A2424" t="str">
        <f>""</f>
        <v/>
      </c>
      <c r="F2424" t="str">
        <f>""</f>
        <v/>
      </c>
      <c r="G2424" t="str">
        <f>""</f>
        <v/>
      </c>
      <c r="I2424" t="str">
        <f t="shared" si="42"/>
        <v>BCBS PAYABLE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42"/>
        <v>BCBS PAYABLE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42"/>
        <v>BCBS PAYABLE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42"/>
        <v>BCBS PAYABLE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42"/>
        <v>BCBS PAYABLE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42"/>
        <v>BCBS PAYABLE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42"/>
        <v>BCBS PAYABLE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42"/>
        <v>BCBS PAYABLE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42"/>
        <v>BCBS PAYABLE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ref="I2433:I2464" si="43">"BCBS PAYABLE"</f>
        <v>BCBS PAYABLE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43"/>
        <v>BCBS PAYABLE</v>
      </c>
    </row>
    <row r="2435" spans="1:9" x14ac:dyDescent="0.3">
      <c r="A2435" t="str">
        <f>""</f>
        <v/>
      </c>
      <c r="F2435" t="str">
        <f>"2EC201710045387"</f>
        <v>2EC201710045387</v>
      </c>
      <c r="G2435" t="str">
        <f>"BCBS PAYABLE"</f>
        <v>BCBS PAYABLE</v>
      </c>
      <c r="H2435" s="2">
        <v>1795.24</v>
      </c>
      <c r="I2435" t="str">
        <f t="shared" si="43"/>
        <v>BCBS PAYABLE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43"/>
        <v>BCBS PAYABLE</v>
      </c>
    </row>
    <row r="2437" spans="1:9" x14ac:dyDescent="0.3">
      <c r="A2437" t="str">
        <f>""</f>
        <v/>
      </c>
      <c r="F2437" t="str">
        <f>"2EC201710185808"</f>
        <v>2EC201710185808</v>
      </c>
      <c r="G2437" t="str">
        <f>"BCBS PAYABLE"</f>
        <v>BCBS PAYABLE</v>
      </c>
      <c r="H2437" s="2">
        <v>44432.19</v>
      </c>
      <c r="I2437" t="str">
        <f t="shared" si="43"/>
        <v>BCBS PAYABLE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43"/>
        <v>BCBS PAYABLE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43"/>
        <v>BCBS PAYABLE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43"/>
        <v>BCBS PAYABLE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43"/>
        <v>BCBS PAYABLE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43"/>
        <v>BCBS PAYABLE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43"/>
        <v>BCBS PAYABLE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43"/>
        <v>BCBS PAYABLE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43"/>
        <v>BCBS PAYABLE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43"/>
        <v>BCBS PAYABLE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43"/>
        <v>BCBS PAYABLE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43"/>
        <v>BCBS PAYABLE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43"/>
        <v>BCBS PAYABLE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43"/>
        <v>BCBS PAYABLE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43"/>
        <v>BCBS PAYABLE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43"/>
        <v>BCBS PAYABLE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43"/>
        <v>BCBS PAYABLE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43"/>
        <v>BCBS PAYABLE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43"/>
        <v>BCBS PAYABLE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43"/>
        <v>BCBS PAYABLE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43"/>
        <v>BCBS PAYABLE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43"/>
        <v>BCBS PAYABLE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43"/>
        <v>BCBS PAYABLE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43"/>
        <v>BCBS PAYABLE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43"/>
        <v>BCBS PAYABLE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43"/>
        <v>BCBS PAYABLE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43"/>
        <v>BCBS PAYABLE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43"/>
        <v>BCBS PAYABLE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ref="I2465:I2496" si="44">"BCBS PAYABLE"</f>
        <v>BCBS PAYABLE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44"/>
        <v>BCBS PAYABLE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44"/>
        <v>BCBS PAYABLE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44"/>
        <v>BCBS PAYABLE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44"/>
        <v>BCBS PAYABLE</v>
      </c>
    </row>
    <row r="2470" spans="1:9" x14ac:dyDescent="0.3">
      <c r="A2470" t="str">
        <f>""</f>
        <v/>
      </c>
      <c r="F2470" t="str">
        <f>"2EC201710185811"</f>
        <v>2EC201710185811</v>
      </c>
      <c r="G2470" t="str">
        <f>"BCBS PAYABLE"</f>
        <v>BCBS PAYABLE</v>
      </c>
      <c r="H2470" s="2">
        <v>1795.24</v>
      </c>
      <c r="I2470" t="str">
        <f t="shared" si="44"/>
        <v>BCBS PAYABLE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44"/>
        <v>BCBS PAYABLE</v>
      </c>
    </row>
    <row r="2472" spans="1:9" x14ac:dyDescent="0.3">
      <c r="A2472" t="str">
        <f>""</f>
        <v/>
      </c>
      <c r="F2472" t="str">
        <f>"2EF201710045386"</f>
        <v>2EF201710045386</v>
      </c>
      <c r="G2472" t="str">
        <f>"BCBS PAYABLE"</f>
        <v>BCBS PAYABLE</v>
      </c>
      <c r="H2472" s="2">
        <v>2675.61</v>
      </c>
      <c r="I2472" t="str">
        <f t="shared" si="44"/>
        <v>BCBS PAYABLE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44"/>
        <v>BCBS PAYABLE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44"/>
        <v>BCBS PAYABLE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44"/>
        <v>BCBS PAYABLE</v>
      </c>
    </row>
    <row r="2476" spans="1:9" x14ac:dyDescent="0.3">
      <c r="A2476" t="str">
        <f>""</f>
        <v/>
      </c>
      <c r="F2476" t="str">
        <f>"2EF201710185808"</f>
        <v>2EF201710185808</v>
      </c>
      <c r="G2476" t="str">
        <f>"BCBS PAYABLE"</f>
        <v>BCBS PAYABLE</v>
      </c>
      <c r="H2476" s="2">
        <v>2675.61</v>
      </c>
      <c r="I2476" t="str">
        <f t="shared" si="44"/>
        <v>BCBS PAYABLE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44"/>
        <v>BCBS PAYABLE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44"/>
        <v>BCBS PAYABLE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44"/>
        <v>BCBS PAYABLE</v>
      </c>
    </row>
    <row r="2480" spans="1:9" x14ac:dyDescent="0.3">
      <c r="A2480" t="str">
        <f>""</f>
        <v/>
      </c>
      <c r="F2480" t="str">
        <f>"2EO201710045386"</f>
        <v>2EO201710045386</v>
      </c>
      <c r="G2480" t="str">
        <f>"BCBS PAYABLE"</f>
        <v>BCBS PAYABLE</v>
      </c>
      <c r="H2480" s="2">
        <v>86530.45</v>
      </c>
      <c r="I2480" t="str">
        <f t="shared" si="44"/>
        <v>BCBS PAYABLE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44"/>
        <v>BCBS PAYABLE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44"/>
        <v>BCBS PAYABLE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44"/>
        <v>BCBS PAYABLE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44"/>
        <v>BCBS PAYABLE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44"/>
        <v>BCBS PAYABLE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44"/>
        <v>BCBS PAYABLE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44"/>
        <v>BCBS PAYABLE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44"/>
        <v>BCBS PAYABLE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44"/>
        <v>BCBS PAYABLE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44"/>
        <v>BCBS PAYABLE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44"/>
        <v>BCBS PAYABLE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44"/>
        <v>BCBS PAYABLE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44"/>
        <v>BCBS PAYABLE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44"/>
        <v>BCBS PAYABLE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44"/>
        <v>BCBS PAYABLE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44"/>
        <v>BCBS PAYABLE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ref="I2497:I2528" si="45">"BCBS PAYABLE"</f>
        <v>BCBS PAYABLE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45"/>
        <v>BCBS PAYABLE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45"/>
        <v>BCBS PAYABLE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45"/>
        <v>BCBS PAYABLE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45"/>
        <v>BCBS PAYABLE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45"/>
        <v>BCBS PAYABLE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45"/>
        <v>BCBS PAYABLE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45"/>
        <v>BCBS PAYABLE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45"/>
        <v>BCBS PAYABLE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45"/>
        <v>BCBS PAYABLE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45"/>
        <v>BCBS PAYABLE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45"/>
        <v>BCBS PAYABLE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45"/>
        <v>BCBS PAYABLE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45"/>
        <v>BCBS PAYABLE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45"/>
        <v>BCBS PAYABLE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45"/>
        <v>BCBS PAYABLE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45"/>
        <v>BCBS PAYABLE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45"/>
        <v>BCBS PAYABLE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45"/>
        <v>BCBS PAYABLE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45"/>
        <v>BCBS PAYABLE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45"/>
        <v>BCBS PAYABLE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45"/>
        <v>BCBS PAYABLE</v>
      </c>
    </row>
    <row r="2519" spans="1:9" x14ac:dyDescent="0.3">
      <c r="A2519" t="str">
        <f>""</f>
        <v/>
      </c>
      <c r="F2519" t="str">
        <f>"2EO201710045387"</f>
        <v>2EO201710045387</v>
      </c>
      <c r="G2519" t="str">
        <f>"BCBS PAYABLE"</f>
        <v>BCBS PAYABLE</v>
      </c>
      <c r="H2519" s="2">
        <v>3591.83</v>
      </c>
      <c r="I2519" t="str">
        <f t="shared" si="45"/>
        <v>BCBS PAYABLE</v>
      </c>
    </row>
    <row r="2520" spans="1:9" x14ac:dyDescent="0.3">
      <c r="A2520" t="str">
        <f>""</f>
        <v/>
      </c>
      <c r="F2520" t="str">
        <f>"2EO201710185808"</f>
        <v>2EO201710185808</v>
      </c>
      <c r="G2520" t="str">
        <f>"BCBS PAYABLE"</f>
        <v>BCBS PAYABLE</v>
      </c>
      <c r="H2520" s="2">
        <v>87183.51</v>
      </c>
      <c r="I2520" t="str">
        <f t="shared" si="45"/>
        <v>BCBS PAYABLE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45"/>
        <v>BCBS PAYABLE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45"/>
        <v>BCBS PAYABLE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45"/>
        <v>BCBS PAYABLE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45"/>
        <v>BCBS PAYABLE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45"/>
        <v>BCBS PAYABLE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45"/>
        <v>BCBS PAYABLE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45"/>
        <v>BCBS PAYABLE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45"/>
        <v>BCBS PAYABLE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ref="I2529:I2560" si="46">"BCBS PAYABLE"</f>
        <v>BCBS PAYABLE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46"/>
        <v>BCBS PAYABLE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46"/>
        <v>BCBS PAYABLE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46"/>
        <v>BCBS PAYABLE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46"/>
        <v>BCBS PAYABLE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46"/>
        <v>BCBS PAYABLE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46"/>
        <v>BCBS PAYABLE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46"/>
        <v>BCBS PAYABLE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46"/>
        <v>BCBS PAYABLE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46"/>
        <v>BCBS PAYABLE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46"/>
        <v>BCBS PAYABLE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46"/>
        <v>BCBS PAYABLE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46"/>
        <v>BCBS PAYABLE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46"/>
        <v>BCBS PAYABLE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46"/>
        <v>BCBS PAYABLE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46"/>
        <v>BCBS PAYABLE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46"/>
        <v>BCBS PAYABLE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46"/>
        <v>BCBS PAYABLE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46"/>
        <v>BCBS PAYABLE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46"/>
        <v>BCBS PAYABLE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46"/>
        <v>BCBS PAYABLE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46"/>
        <v>BCBS PAYABLE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46"/>
        <v>BCBS PAYABLE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46"/>
        <v>BCBS PAYABLE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46"/>
        <v>BCBS PAYABLE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46"/>
        <v>BCBS PAYABLE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46"/>
        <v>BCBS PAYABLE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46"/>
        <v>BCBS PAYABLE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46"/>
        <v>BCBS PAYABLE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46"/>
        <v>BCBS PAYABLE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46"/>
        <v>BCBS PAYABLE</v>
      </c>
    </row>
    <row r="2560" spans="1:9" x14ac:dyDescent="0.3">
      <c r="A2560" t="str">
        <f>""</f>
        <v/>
      </c>
      <c r="F2560" t="str">
        <f>"2EO201710185811"</f>
        <v>2EO201710185811</v>
      </c>
      <c r="G2560" t="str">
        <f>"BCBS PAYABLE"</f>
        <v>BCBS PAYABLE</v>
      </c>
      <c r="H2560" s="2">
        <v>3591.83</v>
      </c>
      <c r="I2560" t="str">
        <f t="shared" si="46"/>
        <v>BCBS PAYABLE</v>
      </c>
    </row>
    <row r="2561" spans="1:9" x14ac:dyDescent="0.3">
      <c r="A2561" t="str">
        <f>""</f>
        <v/>
      </c>
      <c r="F2561" t="str">
        <f>"2ES201710045386"</f>
        <v>2ES201710045386</v>
      </c>
      <c r="G2561" t="str">
        <f>"BCBS PAYABLE"</f>
        <v>BCBS PAYABLE</v>
      </c>
      <c r="H2561" s="2">
        <v>16102.33</v>
      </c>
      <c r="I2561" t="str">
        <f t="shared" ref="I2561:I2592" si="47">"BCBS PAYABLE"</f>
        <v>BCBS PAYABLE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47"/>
        <v>BCBS PAYABLE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47"/>
        <v>BCBS PAYABLE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47"/>
        <v>BCBS PAYABLE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47"/>
        <v>BCBS PAYABLE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47"/>
        <v>BCBS PAYABLE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47"/>
        <v>BCBS PAYABLE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47"/>
        <v>BCBS PAYABLE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47"/>
        <v>BCBS PAYABLE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47"/>
        <v>BCBS PAYABLE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47"/>
        <v>BCBS PAYABLE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47"/>
        <v>BCBS PAYABLE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47"/>
        <v>BCBS PAYABLE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47"/>
        <v>BCBS PAYABLE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47"/>
        <v>BCBS PAYABLE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47"/>
        <v>BCBS PAYABLE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47"/>
        <v>BCBS PAYABLE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47"/>
        <v>BCBS PAYABLE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47"/>
        <v>BCBS PAYABLE</v>
      </c>
    </row>
    <row r="2580" spans="1:9" x14ac:dyDescent="0.3">
      <c r="A2580" t="str">
        <f>""</f>
        <v/>
      </c>
      <c r="F2580" t="str">
        <f>"2ES201710185808"</f>
        <v>2ES201710185808</v>
      </c>
      <c r="G2580" t="str">
        <f>"BCBS PAYABLE"</f>
        <v>BCBS PAYABLE</v>
      </c>
      <c r="H2580" s="2">
        <v>16102.33</v>
      </c>
      <c r="I2580" t="str">
        <f t="shared" si="47"/>
        <v>BCBS PAYABLE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47"/>
        <v>BCBS PAYABLE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47"/>
        <v>BCBS PAYABLE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47"/>
        <v>BCBS PAYABLE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47"/>
        <v>BCBS PAYABLE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47"/>
        <v>BCBS PAYABLE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47"/>
        <v>BCBS PAYABLE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47"/>
        <v>BCBS PAYABLE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47"/>
        <v>BCBS PAYABLE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47"/>
        <v>BCBS PAYABLE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47"/>
        <v>BCBS PAYABLE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47"/>
        <v>BCBS PAYABLE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47"/>
        <v>BCBS PAYABLE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ref="I2593:I2598" si="48">"BCBS PAYABLE"</f>
        <v>BCBS PAYABLE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48"/>
        <v>BCBS PAYABLE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si="48"/>
        <v>BCBS PAYABLE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48"/>
        <v>BCBS PAYABLE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48"/>
        <v>BCBS PAYABLE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48"/>
        <v>BCBS PAYABLE</v>
      </c>
    </row>
    <row r="2599" spans="1:9" x14ac:dyDescent="0.3">
      <c r="A2599" t="str">
        <f>"TAGO"</f>
        <v>TAGO</v>
      </c>
      <c r="B2599" t="s">
        <v>524</v>
      </c>
      <c r="C2599">
        <v>0</v>
      </c>
      <c r="D2599" s="2">
        <v>4023.6</v>
      </c>
      <c r="E2599" s="1">
        <v>43014</v>
      </c>
      <c r="F2599" t="str">
        <f>"C18201710045387"</f>
        <v>C18201710045387</v>
      </c>
      <c r="G2599" t="str">
        <f>"CAUSE# 0011635329"</f>
        <v>CAUSE# 0011635329</v>
      </c>
      <c r="H2599" s="2">
        <v>603.23</v>
      </c>
      <c r="I2599" t="str">
        <f>"CAUSE# 0011635329"</f>
        <v>CAUSE# 0011635329</v>
      </c>
    </row>
    <row r="2600" spans="1:9" x14ac:dyDescent="0.3">
      <c r="A2600" t="str">
        <f>""</f>
        <v/>
      </c>
      <c r="F2600" t="str">
        <f>"C2 201710045387"</f>
        <v>C2 201710045387</v>
      </c>
      <c r="G2600" t="str">
        <f>"0012982132CCL7445"</f>
        <v>0012982132CCL7445</v>
      </c>
      <c r="H2600" s="2">
        <v>692.31</v>
      </c>
      <c r="I2600" t="str">
        <f>"0012982132CCL7445"</f>
        <v>0012982132CCL7445</v>
      </c>
    </row>
    <row r="2601" spans="1:9" x14ac:dyDescent="0.3">
      <c r="A2601" t="str">
        <f>""</f>
        <v/>
      </c>
      <c r="F2601" t="str">
        <f>"C20201710045386"</f>
        <v>C20201710045386</v>
      </c>
      <c r="G2601" t="str">
        <f>"001003981107-12252"</f>
        <v>001003981107-12252</v>
      </c>
      <c r="H2601" s="2">
        <v>115.39</v>
      </c>
      <c r="I2601" t="str">
        <f>"001003981107-12252"</f>
        <v>001003981107-12252</v>
      </c>
    </row>
    <row r="2602" spans="1:9" x14ac:dyDescent="0.3">
      <c r="A2602" t="str">
        <f>""</f>
        <v/>
      </c>
      <c r="F2602" t="str">
        <f>"C39201710045386"</f>
        <v>C39201710045386</v>
      </c>
      <c r="G2602" t="str">
        <f>"0012352184423-1520"</f>
        <v>0012352184423-1520</v>
      </c>
      <c r="H2602" s="2">
        <v>273.23</v>
      </c>
      <c r="I2602" t="str">
        <f>"0012352184423-1520"</f>
        <v>0012352184423-1520</v>
      </c>
    </row>
    <row r="2603" spans="1:9" x14ac:dyDescent="0.3">
      <c r="A2603" t="str">
        <f>""</f>
        <v/>
      </c>
      <c r="F2603" t="str">
        <f>"C42201710045386"</f>
        <v>C42201710045386</v>
      </c>
      <c r="G2603" t="str">
        <f>"001236769211-14410"</f>
        <v>001236769211-14410</v>
      </c>
      <c r="H2603" s="2">
        <v>230.31</v>
      </c>
      <c r="I2603" t="str">
        <f>"001236769211-14410"</f>
        <v>001236769211-14410</v>
      </c>
    </row>
    <row r="2604" spans="1:9" x14ac:dyDescent="0.3">
      <c r="A2604" t="str">
        <f>""</f>
        <v/>
      </c>
      <c r="F2604" t="str">
        <f>"C46201710045386"</f>
        <v>C46201710045386</v>
      </c>
      <c r="G2604" t="str">
        <f>"CAUSE# 11-14911"</f>
        <v>CAUSE# 11-14911</v>
      </c>
      <c r="H2604" s="2">
        <v>238.62</v>
      </c>
      <c r="I2604" t="str">
        <f>"CAUSE# 11-14911"</f>
        <v>CAUSE# 11-14911</v>
      </c>
    </row>
    <row r="2605" spans="1:9" x14ac:dyDescent="0.3">
      <c r="A2605" t="str">
        <f>""</f>
        <v/>
      </c>
      <c r="F2605" t="str">
        <f>"C53201710045386"</f>
        <v>C53201710045386</v>
      </c>
      <c r="G2605" t="str">
        <f>"0012453366"</f>
        <v>0012453366</v>
      </c>
      <c r="H2605" s="2">
        <v>207.69</v>
      </c>
      <c r="I2605" t="str">
        <f>"0012453366"</f>
        <v>0012453366</v>
      </c>
    </row>
    <row r="2606" spans="1:9" x14ac:dyDescent="0.3">
      <c r="A2606" t="str">
        <f>""</f>
        <v/>
      </c>
      <c r="F2606" t="str">
        <f>"C59201710045386"</f>
        <v>C59201710045386</v>
      </c>
      <c r="G2606" t="str">
        <f>"0012936495140043"</f>
        <v>0012936495140043</v>
      </c>
      <c r="H2606" s="2">
        <v>226.15</v>
      </c>
      <c r="I2606" t="str">
        <f>"0012936495140043"</f>
        <v>0012936495140043</v>
      </c>
    </row>
    <row r="2607" spans="1:9" x14ac:dyDescent="0.3">
      <c r="A2607" t="str">
        <f>""</f>
        <v/>
      </c>
      <c r="F2607" t="str">
        <f>"C60201710045386"</f>
        <v>C60201710045386</v>
      </c>
      <c r="G2607" t="str">
        <f>"00130730762012V300"</f>
        <v>00130730762012V300</v>
      </c>
      <c r="H2607" s="2">
        <v>399.32</v>
      </c>
      <c r="I2607" t="str">
        <f>"00130730762012V300"</f>
        <v>00130730762012V300</v>
      </c>
    </row>
    <row r="2608" spans="1:9" x14ac:dyDescent="0.3">
      <c r="A2608" t="str">
        <f>""</f>
        <v/>
      </c>
      <c r="F2608" t="str">
        <f>"C61201710045386"</f>
        <v>C61201710045386</v>
      </c>
      <c r="G2608" t="str">
        <f>"001174398213713"</f>
        <v>001174398213713</v>
      </c>
      <c r="H2608" s="2">
        <v>6.42</v>
      </c>
      <c r="I2608" t="str">
        <f>"001174398213713"</f>
        <v>001174398213713</v>
      </c>
    </row>
    <row r="2609" spans="1:9" x14ac:dyDescent="0.3">
      <c r="A2609" t="str">
        <f>""</f>
        <v/>
      </c>
      <c r="F2609" t="str">
        <f>"C62201710045386"</f>
        <v>C62201710045386</v>
      </c>
      <c r="G2609" t="str">
        <f>"# 0012128865"</f>
        <v># 0012128865</v>
      </c>
      <c r="H2609" s="2">
        <v>243.23</v>
      </c>
      <c r="I2609" t="str">
        <f>"# 0012128865"</f>
        <v># 0012128865</v>
      </c>
    </row>
    <row r="2610" spans="1:9" x14ac:dyDescent="0.3">
      <c r="A2610" t="str">
        <f>""</f>
        <v/>
      </c>
      <c r="F2610" t="str">
        <f>"C63201710045386"</f>
        <v>C63201710045386</v>
      </c>
      <c r="G2610" t="str">
        <f>"00132751231517246"</f>
        <v>00132751231517246</v>
      </c>
      <c r="H2610" s="2">
        <v>46.15</v>
      </c>
      <c r="I2610" t="str">
        <f>"00132751231517246"</f>
        <v>00132751231517246</v>
      </c>
    </row>
    <row r="2611" spans="1:9" x14ac:dyDescent="0.3">
      <c r="A2611" t="str">
        <f>""</f>
        <v/>
      </c>
      <c r="F2611" t="str">
        <f>"C65201710045386"</f>
        <v>C65201710045386</v>
      </c>
      <c r="G2611" t="str">
        <f>"12-14956"</f>
        <v>12-14956</v>
      </c>
      <c r="H2611" s="2">
        <v>411.1</v>
      </c>
      <c r="I2611" t="str">
        <f>"12-14956"</f>
        <v>12-14956</v>
      </c>
    </row>
    <row r="2612" spans="1:9" x14ac:dyDescent="0.3">
      <c r="A2612" t="str">
        <f>""</f>
        <v/>
      </c>
      <c r="F2612" t="str">
        <f>"C66201710045386"</f>
        <v>C66201710045386</v>
      </c>
      <c r="G2612" t="str">
        <f>"# 0012871801"</f>
        <v># 0012871801</v>
      </c>
      <c r="H2612" s="2">
        <v>90</v>
      </c>
      <c r="I2612" t="str">
        <f>"# 0012871801"</f>
        <v># 0012871801</v>
      </c>
    </row>
    <row r="2613" spans="1:9" x14ac:dyDescent="0.3">
      <c r="A2613" t="str">
        <f>""</f>
        <v/>
      </c>
      <c r="F2613" t="str">
        <f>"C66201710045388"</f>
        <v>C66201710045388</v>
      </c>
      <c r="G2613" t="str">
        <f>"CAUSE#D1FM13007058"</f>
        <v>CAUSE#D1FM13007058</v>
      </c>
      <c r="H2613" s="2">
        <v>138.46</v>
      </c>
      <c r="I2613" t="str">
        <f>"CAUSE#D1FM13007058"</f>
        <v>CAUSE#D1FM13007058</v>
      </c>
    </row>
    <row r="2614" spans="1:9" x14ac:dyDescent="0.3">
      <c r="A2614" t="str">
        <f>""</f>
        <v/>
      </c>
      <c r="F2614" t="str">
        <f>"C67201710045386"</f>
        <v>C67201710045386</v>
      </c>
      <c r="G2614" t="str">
        <f>"13154657"</f>
        <v>13154657</v>
      </c>
      <c r="H2614" s="2">
        <v>101.99</v>
      </c>
      <c r="I2614" t="str">
        <f>"13154657"</f>
        <v>13154657</v>
      </c>
    </row>
    <row r="2615" spans="1:9" x14ac:dyDescent="0.3">
      <c r="A2615" t="str">
        <f>"TAGO"</f>
        <v>TAGO</v>
      </c>
      <c r="B2615" t="s">
        <v>524</v>
      </c>
      <c r="C2615">
        <v>0</v>
      </c>
      <c r="D2615" s="2">
        <v>4023.6</v>
      </c>
      <c r="E2615" s="1">
        <v>43028</v>
      </c>
      <c r="F2615" t="str">
        <f>"C18201710185811"</f>
        <v>C18201710185811</v>
      </c>
      <c r="G2615" t="str">
        <f>"CAUSE# 0011635329"</f>
        <v>CAUSE# 0011635329</v>
      </c>
      <c r="H2615" s="2">
        <v>603.23</v>
      </c>
      <c r="I2615" t="str">
        <f>"CAUSE# 0011635329"</f>
        <v>CAUSE# 0011635329</v>
      </c>
    </row>
    <row r="2616" spans="1:9" x14ac:dyDescent="0.3">
      <c r="A2616" t="str">
        <f>""</f>
        <v/>
      </c>
      <c r="F2616" t="str">
        <f>"C2 201710185811"</f>
        <v>C2 201710185811</v>
      </c>
      <c r="G2616" t="str">
        <f>"0012982132CCL7445"</f>
        <v>0012982132CCL7445</v>
      </c>
      <c r="H2616" s="2">
        <v>692.31</v>
      </c>
      <c r="I2616" t="str">
        <f>"0012982132CCL7445"</f>
        <v>0012982132CCL7445</v>
      </c>
    </row>
    <row r="2617" spans="1:9" x14ac:dyDescent="0.3">
      <c r="A2617" t="str">
        <f>""</f>
        <v/>
      </c>
      <c r="F2617" t="str">
        <f>"C20201710185808"</f>
        <v>C20201710185808</v>
      </c>
      <c r="G2617" t="str">
        <f>"001003981107-12252"</f>
        <v>001003981107-12252</v>
      </c>
      <c r="H2617" s="2">
        <v>115.39</v>
      </c>
      <c r="I2617" t="str">
        <f>"001003981107-12252"</f>
        <v>001003981107-12252</v>
      </c>
    </row>
    <row r="2618" spans="1:9" x14ac:dyDescent="0.3">
      <c r="A2618" t="str">
        <f>""</f>
        <v/>
      </c>
      <c r="F2618" t="str">
        <f>"C39201710185808"</f>
        <v>C39201710185808</v>
      </c>
      <c r="G2618" t="str">
        <f>"0012352184423-1520"</f>
        <v>0012352184423-1520</v>
      </c>
      <c r="H2618" s="2">
        <v>273.23</v>
      </c>
      <c r="I2618" t="str">
        <f>"0012352184423-1520"</f>
        <v>0012352184423-1520</v>
      </c>
    </row>
    <row r="2619" spans="1:9" x14ac:dyDescent="0.3">
      <c r="A2619" t="str">
        <f>""</f>
        <v/>
      </c>
      <c r="F2619" t="str">
        <f>"C42201710185808"</f>
        <v>C42201710185808</v>
      </c>
      <c r="G2619" t="str">
        <f>"001236769211-14410"</f>
        <v>001236769211-14410</v>
      </c>
      <c r="H2619" s="2">
        <v>230.31</v>
      </c>
      <c r="I2619" t="str">
        <f>"001236769211-14410"</f>
        <v>001236769211-14410</v>
      </c>
    </row>
    <row r="2620" spans="1:9" x14ac:dyDescent="0.3">
      <c r="A2620" t="str">
        <f>""</f>
        <v/>
      </c>
      <c r="F2620" t="str">
        <f>"C46201710185808"</f>
        <v>C46201710185808</v>
      </c>
      <c r="G2620" t="str">
        <f>"CAUSE# 11-14911"</f>
        <v>CAUSE# 11-14911</v>
      </c>
      <c r="H2620" s="2">
        <v>238.62</v>
      </c>
      <c r="I2620" t="str">
        <f>"CAUSE# 11-14911"</f>
        <v>CAUSE# 11-14911</v>
      </c>
    </row>
    <row r="2621" spans="1:9" x14ac:dyDescent="0.3">
      <c r="A2621" t="str">
        <f>""</f>
        <v/>
      </c>
      <c r="F2621" t="str">
        <f>"C53201710185808"</f>
        <v>C53201710185808</v>
      </c>
      <c r="G2621" t="str">
        <f>"0012453366"</f>
        <v>0012453366</v>
      </c>
      <c r="H2621" s="2">
        <v>207.69</v>
      </c>
      <c r="I2621" t="str">
        <f>"0012453366"</f>
        <v>0012453366</v>
      </c>
    </row>
    <row r="2622" spans="1:9" x14ac:dyDescent="0.3">
      <c r="A2622" t="str">
        <f>""</f>
        <v/>
      </c>
      <c r="F2622" t="str">
        <f>"C59201710185808"</f>
        <v>C59201710185808</v>
      </c>
      <c r="G2622" t="str">
        <f>"0012936495140043"</f>
        <v>0012936495140043</v>
      </c>
      <c r="H2622" s="2">
        <v>226.15</v>
      </c>
      <c r="I2622" t="str">
        <f>"0012936495140043"</f>
        <v>0012936495140043</v>
      </c>
    </row>
    <row r="2623" spans="1:9" x14ac:dyDescent="0.3">
      <c r="A2623" t="str">
        <f>""</f>
        <v/>
      </c>
      <c r="F2623" t="str">
        <f>"C60201710185808"</f>
        <v>C60201710185808</v>
      </c>
      <c r="G2623" t="str">
        <f>"00130730762012V300"</f>
        <v>00130730762012V300</v>
      </c>
      <c r="H2623" s="2">
        <v>399.32</v>
      </c>
      <c r="I2623" t="str">
        <f>"00130730762012V300"</f>
        <v>00130730762012V300</v>
      </c>
    </row>
    <row r="2624" spans="1:9" x14ac:dyDescent="0.3">
      <c r="A2624" t="str">
        <f>""</f>
        <v/>
      </c>
      <c r="F2624" t="str">
        <f>"C61201710185808"</f>
        <v>C61201710185808</v>
      </c>
      <c r="G2624" t="str">
        <f>"001174398213713"</f>
        <v>001174398213713</v>
      </c>
      <c r="H2624" s="2">
        <v>6.42</v>
      </c>
      <c r="I2624" t="str">
        <f>"001174398213713"</f>
        <v>001174398213713</v>
      </c>
    </row>
    <row r="2625" spans="1:9" x14ac:dyDescent="0.3">
      <c r="A2625" t="str">
        <f>""</f>
        <v/>
      </c>
      <c r="F2625" t="str">
        <f>"C62201710185808"</f>
        <v>C62201710185808</v>
      </c>
      <c r="G2625" t="str">
        <f>"# 0012128865"</f>
        <v># 0012128865</v>
      </c>
      <c r="H2625" s="2">
        <v>243.23</v>
      </c>
      <c r="I2625" t="str">
        <f>"# 0012128865"</f>
        <v># 0012128865</v>
      </c>
    </row>
    <row r="2626" spans="1:9" x14ac:dyDescent="0.3">
      <c r="A2626" t="str">
        <f>""</f>
        <v/>
      </c>
      <c r="F2626" t="str">
        <f>"C63201710185808"</f>
        <v>C63201710185808</v>
      </c>
      <c r="G2626" t="str">
        <f>"00132751231517246"</f>
        <v>00132751231517246</v>
      </c>
      <c r="H2626" s="2">
        <v>46.15</v>
      </c>
      <c r="I2626" t="str">
        <f>"00132751231517246"</f>
        <v>00132751231517246</v>
      </c>
    </row>
    <row r="2627" spans="1:9" x14ac:dyDescent="0.3">
      <c r="A2627" t="str">
        <f>""</f>
        <v/>
      </c>
      <c r="F2627" t="str">
        <f>"C65201710185808"</f>
        <v>C65201710185808</v>
      </c>
      <c r="G2627" t="str">
        <f>"12-14956"</f>
        <v>12-14956</v>
      </c>
      <c r="H2627" s="2">
        <v>411.1</v>
      </c>
      <c r="I2627" t="str">
        <f>"12-14956"</f>
        <v>12-14956</v>
      </c>
    </row>
    <row r="2628" spans="1:9" x14ac:dyDescent="0.3">
      <c r="A2628" t="str">
        <f>""</f>
        <v/>
      </c>
      <c r="F2628" t="str">
        <f>"C66201710185808"</f>
        <v>C66201710185808</v>
      </c>
      <c r="G2628" t="str">
        <f>"# 0012871801"</f>
        <v># 0012871801</v>
      </c>
      <c r="H2628" s="2">
        <v>90</v>
      </c>
      <c r="I2628" t="str">
        <f>"# 0012871801"</f>
        <v># 0012871801</v>
      </c>
    </row>
    <row r="2629" spans="1:9" x14ac:dyDescent="0.3">
      <c r="A2629" t="str">
        <f>""</f>
        <v/>
      </c>
      <c r="F2629" t="str">
        <f>"C66201710185812"</f>
        <v>C66201710185812</v>
      </c>
      <c r="G2629" t="str">
        <f>"CAUSE#D1FM13007058"</f>
        <v>CAUSE#D1FM13007058</v>
      </c>
      <c r="H2629" s="2">
        <v>138.46</v>
      </c>
      <c r="I2629" t="str">
        <f>"CAUSE#D1FM13007058"</f>
        <v>CAUSE#D1FM13007058</v>
      </c>
    </row>
    <row r="2630" spans="1:9" x14ac:dyDescent="0.3">
      <c r="A2630" t="str">
        <f>""</f>
        <v/>
      </c>
      <c r="F2630" t="str">
        <f>"C67201710185808"</f>
        <v>C67201710185808</v>
      </c>
      <c r="G2630" t="str">
        <f>"13154657"</f>
        <v>13154657</v>
      </c>
      <c r="H2630" s="2">
        <v>101.99</v>
      </c>
      <c r="I2630" t="str">
        <f>"13154657"</f>
        <v>13154657</v>
      </c>
    </row>
    <row r="2631" spans="1:9" x14ac:dyDescent="0.3">
      <c r="A2631" t="str">
        <f>"TCDRS"</f>
        <v>TCDRS</v>
      </c>
      <c r="B2631" t="s">
        <v>525</v>
      </c>
      <c r="C2631">
        <v>0</v>
      </c>
      <c r="D2631" s="2">
        <v>301087.51</v>
      </c>
      <c r="E2631" s="1">
        <v>43028</v>
      </c>
      <c r="F2631" t="str">
        <f>"RET201710045386"</f>
        <v>RET201710045386</v>
      </c>
      <c r="G2631" t="str">
        <f>"TEXAS COUNTY &amp; DISTRICT RET"</f>
        <v>TEXAS COUNTY &amp; DISTRICT RET</v>
      </c>
      <c r="H2631" s="2">
        <v>134845.67000000001</v>
      </c>
      <c r="I2631" t="str">
        <f t="shared" ref="I2631:I2662" si="49">"TEXAS COUNTY &amp; DISTRICT RET"</f>
        <v>TEXAS COUNTY &amp; DISTRICT RET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49"/>
        <v>TEXAS COUNTY &amp; DISTRICT RET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49"/>
        <v>TEXAS COUNTY &amp; DISTRICT RET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49"/>
        <v>TEXAS COUNTY &amp; DISTRICT RET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49"/>
        <v>TEXAS COUNTY &amp; DISTRICT RET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49"/>
        <v>TEXAS COUNTY &amp; DISTRICT RET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49"/>
        <v>TEXAS COUNTY &amp; DISTRICT RET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49"/>
        <v>TEXAS COUNTY &amp; DISTRICT RET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49"/>
        <v>TEXAS COUNTY &amp; DISTRICT RET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49"/>
        <v>TEXAS COUNTY &amp; DISTRICT RET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49"/>
        <v>TEXAS COUNTY &amp; DISTRICT RET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49"/>
        <v>TEXAS COUNTY &amp; DISTRICT RET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49"/>
        <v>TEXAS COUNTY &amp; DISTRICT RET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49"/>
        <v>TEXAS COUNTY &amp; DISTRICT RET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49"/>
        <v>TEXAS COUNTY &amp; DISTRICT RET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49"/>
        <v>TEXAS COUNTY &amp; DISTRICT RET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49"/>
        <v>TEXAS COUNTY &amp; DISTRICT RET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49"/>
        <v>TEXAS COUNTY &amp; DISTRICT RET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49"/>
        <v>TEXAS COUNTY &amp; DISTRICT RET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49"/>
        <v>TEXAS COUNTY &amp; DISTRICT RET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49"/>
        <v>TEXAS COUNTY &amp; DISTRICT RET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49"/>
        <v>TEXAS COUNTY &amp; DISTRICT RET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49"/>
        <v>TEXAS COUNTY &amp; DISTRICT RET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49"/>
        <v>TEXAS COUNTY &amp; DISTRICT RET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49"/>
        <v>TEXAS COUNTY &amp; DISTRICT RET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49"/>
        <v>TEXAS COUNTY &amp; DISTRICT RET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49"/>
        <v>TEXAS COUNTY &amp; DISTRICT RET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49"/>
        <v>TEXAS COUNTY &amp; DISTRICT RET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49"/>
        <v>TEXAS COUNTY &amp; DISTRICT RET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49"/>
        <v>TEXAS COUNTY &amp; DISTRICT RET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49"/>
        <v>TEXAS COUNTY &amp; DISTRICT RET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49"/>
        <v>TEXAS COUNTY &amp; DISTRICT RET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ref="I2663:I2681" si="50">"TEXAS COUNTY &amp; DISTRICT RET"</f>
        <v>TEXAS COUNTY &amp; DISTRICT RET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50"/>
        <v>TEXAS COUNTY &amp; DISTRICT RET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50"/>
        <v>TEXAS COUNTY &amp; DISTRICT RET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50"/>
        <v>TEXAS COUNTY &amp; DISTRICT RET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50"/>
        <v>TEXAS COUNTY &amp; DISTRICT RET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si="50"/>
        <v>TEXAS COUNTY &amp; DISTRICT RET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50"/>
        <v>TEXAS COUNTY &amp; DISTRICT RET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50"/>
        <v>TEXAS COUNTY &amp; DISTRICT RET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50"/>
        <v>TEXAS COUNTY &amp; DISTRICT RET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50"/>
        <v>TEXAS COUNTY &amp; DISTRICT RET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50"/>
        <v>TEXAS COUNTY &amp; DISTRICT RET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50"/>
        <v>TEXAS COUNTY &amp; DISTRICT RET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50"/>
        <v>TEXAS COUNTY &amp; DISTRICT RET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50"/>
        <v>TEXAS COUNTY &amp; DISTRICT RET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50"/>
        <v>TEXAS COUNTY &amp; DISTRICT RET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50"/>
        <v>TEXAS COUNTY &amp; DISTRICT RET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50"/>
        <v>TEXAS COUNTY &amp; DISTRICT RET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50"/>
        <v>TEXAS COUNTY &amp; DISTRICT RET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50"/>
        <v>TEXAS COUNTY &amp; DISTRICT RET</v>
      </c>
    </row>
    <row r="2682" spans="1:9" x14ac:dyDescent="0.3">
      <c r="A2682" t="str">
        <f>""</f>
        <v/>
      </c>
      <c r="F2682" t="str">
        <f>"RET201710045387"</f>
        <v>RET201710045387</v>
      </c>
      <c r="G2682" t="str">
        <f>"TEXAS COUNTY  DISTRICT RET"</f>
        <v>TEXAS COUNTY  DISTRICT RET</v>
      </c>
      <c r="H2682" s="2">
        <v>5474.69</v>
      </c>
      <c r="I2682" t="str">
        <f>"TEXAS COUNTY  DISTRICT RET"</f>
        <v>TEXAS COUNTY  DISTRICT RET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>"TEXAS COUNTY  DISTRICT RET"</f>
        <v>TEXAS COUNTY  DISTRICT RET</v>
      </c>
    </row>
    <row r="2684" spans="1:9" x14ac:dyDescent="0.3">
      <c r="A2684" t="str">
        <f>""</f>
        <v/>
      </c>
      <c r="F2684" t="str">
        <f>"RET201710045388"</f>
        <v>RET201710045388</v>
      </c>
      <c r="G2684" t="str">
        <f>"TEXAS COUNTY &amp; DISTRICT RET"</f>
        <v>TEXAS COUNTY &amp; DISTRICT RET</v>
      </c>
      <c r="H2684" s="2">
        <v>7778.37</v>
      </c>
      <c r="I2684" t="str">
        <f t="shared" ref="I2684:I2715" si="51">"TEXAS COUNTY &amp; DISTRICT RET"</f>
        <v>TEXAS COUNTY &amp; DISTRICT RET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51"/>
        <v>TEXAS COUNTY &amp; DISTRICT RET</v>
      </c>
    </row>
    <row r="2686" spans="1:9" x14ac:dyDescent="0.3">
      <c r="A2686" t="str">
        <f>""</f>
        <v/>
      </c>
      <c r="F2686" t="str">
        <f>"RET201710185808"</f>
        <v>RET201710185808</v>
      </c>
      <c r="G2686" t="str">
        <f>"TEXAS COUNTY &amp; DISTRICT RET"</f>
        <v>TEXAS COUNTY &amp; DISTRICT RET</v>
      </c>
      <c r="H2686" s="2">
        <v>139379.10999999999</v>
      </c>
      <c r="I2686" t="str">
        <f t="shared" si="51"/>
        <v>TEXAS COUNTY &amp; DISTRICT RET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51"/>
        <v>TEXAS COUNTY &amp; DISTRICT RET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51"/>
        <v>TEXAS COUNTY &amp; DISTRICT RET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51"/>
        <v>TEXAS COUNTY &amp; DISTRICT RET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51"/>
        <v>TEXAS COUNTY &amp; DISTRICT RET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51"/>
        <v>TEXAS COUNTY &amp; DISTRICT RET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51"/>
        <v>TEXAS COUNTY &amp; DISTRICT RET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51"/>
        <v>TEXAS COUNTY &amp; DISTRICT RET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51"/>
        <v>TEXAS COUNTY &amp; DISTRICT RET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si="51"/>
        <v>TEXAS COUNTY &amp; DISTRICT RET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51"/>
        <v>TEXAS COUNTY &amp; DISTRICT RET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51"/>
        <v>TEXAS COUNTY &amp; DISTRICT RET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51"/>
        <v>TEXAS COUNTY &amp; DISTRICT RET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51"/>
        <v>TEXAS COUNTY &amp; DISTRICT RET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51"/>
        <v>TEXAS COUNTY &amp; DISTRICT RET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51"/>
        <v>TEXAS COUNTY &amp; DISTRICT RET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51"/>
        <v>TEXAS COUNTY &amp; DISTRICT RET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51"/>
        <v>TEXAS COUNTY &amp; DISTRICT RET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51"/>
        <v>TEXAS COUNTY &amp; DISTRICT RET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51"/>
        <v>TEXAS COUNTY &amp; DISTRICT RET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51"/>
        <v>TEXAS COUNTY &amp; DISTRICT RET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51"/>
        <v>TEXAS COUNTY &amp; DISTRICT RET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51"/>
        <v>TEXAS COUNTY &amp; DISTRICT RET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51"/>
        <v>TEXAS COUNTY &amp; DISTRICT RET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51"/>
        <v>TEXAS COUNTY &amp; DISTRICT RET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51"/>
        <v>TEXAS COUNTY &amp; DISTRICT RET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51"/>
        <v>TEXAS COUNTY &amp; DISTRICT RET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51"/>
        <v>TEXAS COUNTY &amp; DISTRICT RET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51"/>
        <v>TEXAS COUNTY &amp; DISTRICT RET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51"/>
        <v>TEXAS COUNTY &amp; DISTRICT RET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ref="I2716:I2736" si="52">"TEXAS COUNTY &amp; DISTRICT RET"</f>
        <v>TEXAS COUNTY &amp; DISTRICT RET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52"/>
        <v>TEXAS COUNTY &amp; DISTRICT RET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52"/>
        <v>TEXAS COUNTY &amp; DISTRICT RET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52"/>
        <v>TEXAS COUNTY &amp; DISTRICT RET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52"/>
        <v>TEXAS COUNTY &amp; DISTRICT RET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52"/>
        <v>TEXAS COUNTY &amp; DISTRICT RET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52"/>
        <v>TEXAS COUNTY &amp; DISTRICT RET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52"/>
        <v>TEXAS COUNTY &amp; DISTRICT RET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52"/>
        <v>TEXAS COUNTY &amp; DISTRICT RET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52"/>
        <v>TEXAS COUNTY &amp; DISTRICT RET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52"/>
        <v>TEXAS COUNTY &amp; DISTRICT RET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52"/>
        <v>TEXAS COUNTY &amp; DISTRICT RET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52"/>
        <v>TEXAS COUNTY &amp; DISTRICT RET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52"/>
        <v>TEXAS COUNTY &amp; DISTRICT RET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52"/>
        <v>TEXAS COUNTY &amp; DISTRICT RET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52"/>
        <v>TEXAS COUNTY &amp; DISTRICT RET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52"/>
        <v>TEXAS COUNTY &amp; DISTRICT RET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52"/>
        <v>TEXAS COUNTY &amp; DISTRICT RET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52"/>
        <v>TEXAS COUNTY &amp; DISTRICT RET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52"/>
        <v>TEXAS COUNTY &amp; DISTRICT RET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52"/>
        <v>TEXAS COUNTY &amp; DISTRICT RET</v>
      </c>
    </row>
    <row r="2737" spans="1:9" x14ac:dyDescent="0.3">
      <c r="A2737" t="str">
        <f>""</f>
        <v/>
      </c>
      <c r="F2737" t="str">
        <f>"RET201710185811"</f>
        <v>RET201710185811</v>
      </c>
      <c r="G2737" t="str">
        <f>"TEXAS COUNTY  DISTRICT RET"</f>
        <v>TEXAS COUNTY  DISTRICT RET</v>
      </c>
      <c r="H2737" s="2">
        <v>5483.97</v>
      </c>
      <c r="I2737" t="str">
        <f>"TEXAS COUNTY  DISTRICT RET"</f>
        <v>TEXAS COUNTY  DISTRICT RET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>"TEXAS COUNTY  DISTRICT RET"</f>
        <v>TEXAS COUNTY  DISTRICT RET</v>
      </c>
    </row>
    <row r="2739" spans="1:9" x14ac:dyDescent="0.3">
      <c r="A2739" t="str">
        <f>""</f>
        <v/>
      </c>
      <c r="F2739" t="str">
        <f>"RET201710185812"</f>
        <v>RET201710185812</v>
      </c>
      <c r="G2739" t="str">
        <f>"TEXAS COUNTY &amp; DISTRICT RET"</f>
        <v>TEXAS COUNTY &amp; DISTRICT RET</v>
      </c>
      <c r="H2739" s="2">
        <v>8125.7</v>
      </c>
      <c r="I2739" t="str">
        <f>"TEXAS COUNTY &amp; DISTRICT RET"</f>
        <v>TEXAS COUNTY &amp; DISTRICT RET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>"TEXAS COUNTY &amp; DISTRICT RET"</f>
        <v>TEXAS COUNTY &amp; DISTRICT RET</v>
      </c>
    </row>
    <row r="2741" spans="1:9" x14ac:dyDescent="0.3">
      <c r="A2741" t="str">
        <f>"002457"</f>
        <v>002457</v>
      </c>
      <c r="B2741" t="s">
        <v>526</v>
      </c>
      <c r="C2741">
        <v>45926</v>
      </c>
      <c r="D2741" s="2">
        <v>1060</v>
      </c>
      <c r="E2741" s="1">
        <v>43035</v>
      </c>
      <c r="F2741" t="str">
        <f>"201710265997"</f>
        <v>201710265997</v>
      </c>
      <c r="G2741" t="str">
        <f>"Sue Cooper ded $15 need $20"</f>
        <v>Sue Cooper ded $15 need $20</v>
      </c>
      <c r="H2741" s="2">
        <v>5</v>
      </c>
      <c r="I2741" t="str">
        <f>"TEXAS LEGAL PROTECTION PLAN IN"</f>
        <v>TEXAS LEGAL PROTECTION PLAN IN</v>
      </c>
    </row>
    <row r="2742" spans="1:9" x14ac:dyDescent="0.3">
      <c r="A2742" t="str">
        <f>""</f>
        <v/>
      </c>
      <c r="F2742" t="str">
        <f>"201710265998"</f>
        <v>201710265998</v>
      </c>
      <c r="G2742" t="str">
        <f>"Michael Flores $15 need $20"</f>
        <v>Michael Flores $15 need $20</v>
      </c>
      <c r="H2742" s="2">
        <v>5</v>
      </c>
      <c r="I2742" t="str">
        <f>"TEXAS LEGAL PROTECTION PLAN IN"</f>
        <v>TEXAS LEGAL PROTECTION PLAN IN</v>
      </c>
    </row>
    <row r="2743" spans="1:9" x14ac:dyDescent="0.3">
      <c r="A2743" t="str">
        <f>""</f>
        <v/>
      </c>
      <c r="F2743" t="str">
        <f>"LEG201710045386"</f>
        <v>LEG201710045386</v>
      </c>
      <c r="G2743" t="str">
        <f>"TEXAS LEGAL PROTECTION PLAN"</f>
        <v>TEXAS LEGAL PROTECTION PLAN</v>
      </c>
      <c r="H2743" s="2">
        <v>535</v>
      </c>
      <c r="I2743" t="str">
        <f>"TEXAS LEGAL PROTECTION PLAN"</f>
        <v>TEXAS LEGAL PROTECTION PLAN</v>
      </c>
    </row>
    <row r="2744" spans="1:9" x14ac:dyDescent="0.3">
      <c r="A2744" t="str">
        <f>""</f>
        <v/>
      </c>
      <c r="F2744" t="str">
        <f>"LEG201710185808"</f>
        <v>LEG201710185808</v>
      </c>
      <c r="G2744" t="str">
        <f>"TEXAS LEGAL PROTECTION PLAN"</f>
        <v>TEXAS LEGAL PROTECTION PLAN</v>
      </c>
      <c r="H2744" s="2">
        <v>515</v>
      </c>
      <c r="I2744" t="str">
        <f>"TEXAS LEGAL PROTECTION PLAN"</f>
        <v>TEXAS LEGAL PROTECTION PLAN</v>
      </c>
    </row>
    <row r="2745" spans="1:9" x14ac:dyDescent="0.3">
      <c r="A2745" t="str">
        <f>"T14362"</f>
        <v>T14362</v>
      </c>
      <c r="B2745" t="s">
        <v>527</v>
      </c>
      <c r="C2745">
        <v>45901</v>
      </c>
      <c r="D2745" s="2">
        <v>186</v>
      </c>
      <c r="E2745" s="1">
        <v>43014</v>
      </c>
      <c r="F2745" t="str">
        <f>"SL6201710045386"</f>
        <v>SL6201710045386</v>
      </c>
      <c r="G2745" t="str">
        <f>"TG STUDENT LOAN - P CROUCH"</f>
        <v>TG STUDENT LOAN - P CROUCH</v>
      </c>
      <c r="H2745" s="2">
        <v>186</v>
      </c>
      <c r="I2745" t="str">
        <f>"TG STUDENT LOAN - P CROUCH"</f>
        <v>TG STUDENT LOAN - P CROUCH</v>
      </c>
    </row>
    <row r="2746" spans="1:9" x14ac:dyDescent="0.3">
      <c r="A2746" t="str">
        <f>"T14362"</f>
        <v>T14362</v>
      </c>
      <c r="B2746" t="s">
        <v>527</v>
      </c>
      <c r="C2746">
        <v>45925</v>
      </c>
      <c r="D2746" s="2">
        <v>186</v>
      </c>
      <c r="E2746" s="1">
        <v>43028</v>
      </c>
      <c r="F2746" t="str">
        <f>"SL6201710185808"</f>
        <v>SL6201710185808</v>
      </c>
      <c r="G2746" t="str">
        <f>"TG STUDENT LOAN - P CROUCH"</f>
        <v>TG STUDENT LOAN - P CROUCH</v>
      </c>
      <c r="H2746" s="2">
        <v>186</v>
      </c>
      <c r="I2746" t="str">
        <f>"TG STUDENT LOAN - P CROUCH"</f>
        <v>TG STUDENT LOAN - P CROUCH</v>
      </c>
    </row>
    <row r="2747" spans="1:9" x14ac:dyDescent="0.3">
      <c r="A2747" t="str">
        <f>"T10887"</f>
        <v>T10887</v>
      </c>
      <c r="B2747" t="s">
        <v>528</v>
      </c>
      <c r="C2747">
        <v>45900</v>
      </c>
      <c r="D2747" s="2">
        <v>212.65</v>
      </c>
      <c r="E2747" s="1">
        <v>43014</v>
      </c>
      <c r="F2747" t="str">
        <f>"SL9201710045386"</f>
        <v>SL9201710045386</v>
      </c>
      <c r="G2747" t="str">
        <f>"STUDENT LOAN"</f>
        <v>STUDENT LOAN</v>
      </c>
      <c r="H2747" s="2">
        <v>212.65</v>
      </c>
      <c r="I2747" t="str">
        <f>"STUDENT LOAN"</f>
        <v>STUDENT LOAN</v>
      </c>
    </row>
    <row r="2748" spans="1:9" x14ac:dyDescent="0.3">
      <c r="A2748" t="str">
        <f>"T10887"</f>
        <v>T10887</v>
      </c>
      <c r="B2748" t="s">
        <v>528</v>
      </c>
      <c r="C2748">
        <v>45924</v>
      </c>
      <c r="D2748" s="2">
        <v>212.65</v>
      </c>
      <c r="E2748" s="1">
        <v>43028</v>
      </c>
      <c r="F2748" t="str">
        <f>"SL9201710185808"</f>
        <v>SL9201710185808</v>
      </c>
      <c r="G2748" t="str">
        <f>"STUDENT LOAN"</f>
        <v>STUDENT LOAN</v>
      </c>
      <c r="H2748" s="2">
        <v>212.65</v>
      </c>
      <c r="I2748" t="str">
        <f>"STUDENT LOAN"</f>
        <v>STUDENT LOAN</v>
      </c>
    </row>
    <row r="2749" spans="1:9" x14ac:dyDescent="0.3">
      <c r="A2749" t="str">
        <f>"004767"</f>
        <v>004767</v>
      </c>
      <c r="B2749" t="s">
        <v>480</v>
      </c>
      <c r="C2749">
        <v>0</v>
      </c>
      <c r="D2749" s="2">
        <v>177365.59</v>
      </c>
      <c r="E2749" s="1">
        <v>43014</v>
      </c>
      <c r="F2749" t="str">
        <f>"201710065585"</f>
        <v>201710065585</v>
      </c>
      <c r="G2749" t="str">
        <f>"WAGEWORKS INC  FSA/HSA"</f>
        <v>WAGEWORKS INC  FSA/HSA</v>
      </c>
      <c r="H2749" s="2">
        <v>158777.79999999999</v>
      </c>
      <c r="I2749" t="str">
        <f>"WAGEWORKS INC  FSA/HSA"</f>
        <v>WAGEWORKS INC  FSA/HSA</v>
      </c>
    </row>
    <row r="2750" spans="1:9" x14ac:dyDescent="0.3">
      <c r="A2750" t="str">
        <f>""</f>
        <v/>
      </c>
      <c r="F2750" t="str">
        <f>"FSA201710045386"</f>
        <v>FSA201710045386</v>
      </c>
      <c r="G2750" t="str">
        <f>"WAGEWORKS PP 10/6/17"</f>
        <v>WAGEWORKS PP 10/6/17</v>
      </c>
      <c r="H2750" s="2">
        <v>8937.57</v>
      </c>
      <c r="I2750" t="str">
        <f>"VERITY NAT 125 VENDOR"</f>
        <v>VERITY NAT 125 VENDOR</v>
      </c>
    </row>
    <row r="2751" spans="1:9" x14ac:dyDescent="0.3">
      <c r="A2751" t="str">
        <f>""</f>
        <v/>
      </c>
      <c r="F2751" t="str">
        <f>"FSA201710045387"</f>
        <v>FSA201710045387</v>
      </c>
      <c r="G2751" t="str">
        <f>"WAGEWORKS"</f>
        <v>WAGEWORKS</v>
      </c>
      <c r="H2751" s="2">
        <v>574</v>
      </c>
      <c r="I2751" t="str">
        <f>"VERITY NAT 125 VENDOR"</f>
        <v>VERITY NAT 125 VENDOR</v>
      </c>
    </row>
    <row r="2752" spans="1:9" x14ac:dyDescent="0.3">
      <c r="A2752" t="str">
        <f>""</f>
        <v/>
      </c>
      <c r="F2752" t="str">
        <f>"FSC201710045386"</f>
        <v>FSC201710045386</v>
      </c>
      <c r="G2752" t="str">
        <f>"WAGEWORKS DEP CARE"</f>
        <v>WAGEWORKS DEP CARE</v>
      </c>
      <c r="H2752" s="2">
        <v>1141.08</v>
      </c>
      <c r="I2752" t="str">
        <f t="shared" ref="I2752:I2771" si="53">"VERITY NAT 125 DEP CARE"</f>
        <v>VERITY NAT 125 DEP CARE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53"/>
        <v>VERITY NAT 125 DEP CARE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53"/>
        <v>VERITY NAT 125 DEP CARE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53"/>
        <v>VERITY NAT 125 DEP CARE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53"/>
        <v>VERITY NAT 125 DEP CARE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53"/>
        <v>VERITY NAT 125 DEP CARE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53"/>
        <v>VERITY NAT 125 DEP CARE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53"/>
        <v>VERITY NAT 125 DEP CARE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53"/>
        <v>VERITY NAT 125 DEP CARE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53"/>
        <v>VERITY NAT 125 DEP CARE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53"/>
        <v>VERITY NAT 125 DEP CARE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53"/>
        <v>VERITY NAT 125 DEP CARE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53"/>
        <v>VERITY NAT 125 DEP CARE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53"/>
        <v>VERITY NAT 125 DEP CARE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53"/>
        <v>VERITY NAT 125 DEP CARE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53"/>
        <v>VERITY NAT 125 DEP CARE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53"/>
        <v>VERITY NAT 125 DEP CARE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53"/>
        <v>VERITY NAT 125 DEP CARE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53"/>
        <v>VERITY NAT 125 DEP CARE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53"/>
        <v>VERITY NAT 125 DEP CARE</v>
      </c>
    </row>
    <row r="2772" spans="1:9" x14ac:dyDescent="0.3">
      <c r="A2772" t="str">
        <f>""</f>
        <v/>
      </c>
      <c r="F2772" t="str">
        <f>"FSF201710045386"</f>
        <v>FSF201710045386</v>
      </c>
      <c r="G2772" t="str">
        <f>"WAGEWORKS VENDOR"</f>
        <v>WAGEWORKS VENDOR</v>
      </c>
      <c r="H2772" s="2">
        <v>577.5</v>
      </c>
      <c r="I2772" t="str">
        <f t="shared" ref="I2772:I2811" si="54">"VERITY NAT 125 VENDOR"</f>
        <v>VERITY NAT 125 VENDOR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54"/>
        <v>VERITY NAT 125 VENDOR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54"/>
        <v>VERITY NAT 125 VENDOR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54"/>
        <v>VERITY NAT 125 VENDOR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54"/>
        <v>VERITY NAT 125 VENDOR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54"/>
        <v>VERITY NAT 125 VENDOR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54"/>
        <v>VERITY NAT 125 VENDOR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54"/>
        <v>VERITY NAT 125 VENDOR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54"/>
        <v>VERITY NAT 125 VENDOR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54"/>
        <v>VERITY NAT 125 VENDOR</v>
      </c>
    </row>
    <row r="2782" spans="1:9" x14ac:dyDescent="0.3">
      <c r="A2782" t="str">
        <f>""</f>
        <v/>
      </c>
      <c r="F2782" t="str">
        <f>""</f>
        <v/>
      </c>
      <c r="G2782" t="str">
        <f>""</f>
        <v/>
      </c>
      <c r="I2782" t="str">
        <f t="shared" si="54"/>
        <v>VERITY NAT 125 VENDOR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 t="shared" si="54"/>
        <v>VERITY NAT 125 VENDOR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54"/>
        <v>VERITY NAT 125 VENDOR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si="54"/>
        <v>VERITY NAT 125 VENDOR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54"/>
        <v>VERITY NAT 125 VENDOR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54"/>
        <v>VERITY NAT 125 VENDOR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54"/>
        <v>VERITY NAT 125 VENDOR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54"/>
        <v>VERITY NAT 125 VENDOR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54"/>
        <v>VERITY NAT 125 VENDOR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54"/>
        <v>VERITY NAT 125 VENDOR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54"/>
        <v>VERITY NAT 125 VENDOR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54"/>
        <v>VERITY NAT 125 VENDOR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54"/>
        <v>VERITY NAT 125 VENDOR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54"/>
        <v>VERITY NAT 125 VENDOR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54"/>
        <v>VERITY NAT 125 VENDOR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54"/>
        <v>VERITY NAT 125 VENDOR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54"/>
        <v>VERITY NAT 125 VENDOR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54"/>
        <v>VERITY NAT 125 VENDOR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54"/>
        <v>VERITY NAT 125 VENDOR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54"/>
        <v>VERITY NAT 125 VENDOR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54"/>
        <v>VERITY NAT 125 VENDOR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54"/>
        <v>VERITY NAT 125 VENDOR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54"/>
        <v>VERITY NAT 125 VENDOR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54"/>
        <v>VERITY NAT 125 VENDOR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54"/>
        <v>VERITY NAT 125 VENDOR</v>
      </c>
    </row>
    <row r="2807" spans="1:9" x14ac:dyDescent="0.3">
      <c r="A2807" t="str">
        <f>""</f>
        <v/>
      </c>
      <c r="F2807" t="str">
        <f>""</f>
        <v/>
      </c>
      <c r="G2807" t="str">
        <f>""</f>
        <v/>
      </c>
      <c r="I2807" t="str">
        <f t="shared" si="54"/>
        <v>VERITY NAT 125 VENDOR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 t="shared" si="54"/>
        <v>VERITY NAT 125 VENDOR</v>
      </c>
    </row>
    <row r="2809" spans="1:9" x14ac:dyDescent="0.3">
      <c r="A2809" t="str">
        <f>""</f>
        <v/>
      </c>
      <c r="F2809" t="str">
        <f>""</f>
        <v/>
      </c>
      <c r="G2809" t="str">
        <f>""</f>
        <v/>
      </c>
      <c r="I2809" t="str">
        <f t="shared" si="54"/>
        <v>VERITY NAT 125 VENDOR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 t="shared" si="54"/>
        <v>VERITY NAT 125 VENDOR</v>
      </c>
    </row>
    <row r="2811" spans="1:9" x14ac:dyDescent="0.3">
      <c r="A2811" t="str">
        <f>""</f>
        <v/>
      </c>
      <c r="F2811" t="str">
        <f>"FSF201710045387"</f>
        <v>FSF201710045387</v>
      </c>
      <c r="G2811" t="str">
        <f>"WAGEWORKS VENDOR"</f>
        <v>WAGEWORKS VENDOR</v>
      </c>
      <c r="H2811" s="2">
        <v>26.25</v>
      </c>
      <c r="I2811" t="str">
        <f t="shared" si="54"/>
        <v>VERITY NAT 125 VENDOR</v>
      </c>
    </row>
    <row r="2812" spans="1:9" x14ac:dyDescent="0.3">
      <c r="A2812" t="str">
        <f>""</f>
        <v/>
      </c>
      <c r="F2812" t="str">
        <f>"FSO201710045386"</f>
        <v>FSO201710045386</v>
      </c>
      <c r="G2812" t="str">
        <f>"WAGEWORKS FSA ONLY FEE"</f>
        <v>WAGEWORKS FSA ONLY FEE</v>
      </c>
      <c r="H2812" s="2">
        <v>13.16</v>
      </c>
      <c r="I2812" t="str">
        <f t="shared" ref="I2812:I2819" si="55">"VERITY FSA ONLY FEE"</f>
        <v>VERITY FSA ONLY FEE</v>
      </c>
    </row>
    <row r="2813" spans="1:9" x14ac:dyDescent="0.3">
      <c r="A2813" t="str">
        <f>""</f>
        <v/>
      </c>
      <c r="F2813" t="str">
        <f>""</f>
        <v/>
      </c>
      <c r="G2813" t="str">
        <f>""</f>
        <v/>
      </c>
      <c r="I2813" t="str">
        <f t="shared" si="55"/>
        <v>VERITY FSA ONLY FEE</v>
      </c>
    </row>
    <row r="2814" spans="1:9" x14ac:dyDescent="0.3">
      <c r="A2814" t="str">
        <f>""</f>
        <v/>
      </c>
      <c r="F2814" t="str">
        <f>""</f>
        <v/>
      </c>
      <c r="G2814" t="str">
        <f>""</f>
        <v/>
      </c>
      <c r="I2814" t="str">
        <f t="shared" si="55"/>
        <v>VERITY FSA ONLY FEE</v>
      </c>
    </row>
    <row r="2815" spans="1:9" x14ac:dyDescent="0.3">
      <c r="A2815" t="str">
        <f>""</f>
        <v/>
      </c>
      <c r="F2815" t="str">
        <f>""</f>
        <v/>
      </c>
      <c r="G2815" t="str">
        <f>""</f>
        <v/>
      </c>
      <c r="I2815" t="str">
        <f t="shared" si="55"/>
        <v>VERITY FSA ONLY FEE</v>
      </c>
    </row>
    <row r="2816" spans="1:9" x14ac:dyDescent="0.3">
      <c r="A2816" t="str">
        <f>""</f>
        <v/>
      </c>
      <c r="F2816" t="str">
        <f>""</f>
        <v/>
      </c>
      <c r="G2816" t="str">
        <f>""</f>
        <v/>
      </c>
      <c r="I2816" t="str">
        <f t="shared" si="55"/>
        <v>VERITY FSA ONLY FEE</v>
      </c>
    </row>
    <row r="2817" spans="1:9" x14ac:dyDescent="0.3">
      <c r="A2817" t="str">
        <f>""</f>
        <v/>
      </c>
      <c r="F2817" t="str">
        <f>""</f>
        <v/>
      </c>
      <c r="G2817" t="str">
        <f>""</f>
        <v/>
      </c>
      <c r="I2817" t="str">
        <f t="shared" si="55"/>
        <v>VERITY FSA ONLY FEE</v>
      </c>
    </row>
    <row r="2818" spans="1:9" x14ac:dyDescent="0.3">
      <c r="A2818" t="str">
        <f>""</f>
        <v/>
      </c>
      <c r="F2818" t="str">
        <f>""</f>
        <v/>
      </c>
      <c r="G2818" t="str">
        <f>""</f>
        <v/>
      </c>
      <c r="I2818" t="str">
        <f t="shared" si="55"/>
        <v>VERITY FSA ONLY FEE</v>
      </c>
    </row>
    <row r="2819" spans="1:9" x14ac:dyDescent="0.3">
      <c r="A2819" t="str">
        <f>""</f>
        <v/>
      </c>
      <c r="F2819" t="str">
        <f>""</f>
        <v/>
      </c>
      <c r="G2819" t="str">
        <f>""</f>
        <v/>
      </c>
      <c r="I2819" t="str">
        <f t="shared" si="55"/>
        <v>VERITY FSA ONLY FEE</v>
      </c>
    </row>
    <row r="2820" spans="1:9" x14ac:dyDescent="0.3">
      <c r="A2820" t="str">
        <f>""</f>
        <v/>
      </c>
      <c r="F2820" t="str">
        <f>"FSO201710045387"</f>
        <v>FSO201710045387</v>
      </c>
      <c r="G2820" t="str">
        <f>"WAGEWORKS FSA ONLY"</f>
        <v>WAGEWORKS FSA ONLY</v>
      </c>
      <c r="H2820" s="2">
        <v>1.88</v>
      </c>
      <c r="I2820" t="str">
        <f>"VERITY FSA ONLY"</f>
        <v>VERITY FSA ONLY</v>
      </c>
    </row>
    <row r="2821" spans="1:9" x14ac:dyDescent="0.3">
      <c r="A2821" t="str">
        <f>""</f>
        <v/>
      </c>
      <c r="F2821" t="str">
        <f>"HRA201710045386"</f>
        <v>HRA201710045386</v>
      </c>
      <c r="G2821" t="str">
        <f>"WAGEWORKS HRA FEES"</f>
        <v>WAGEWORKS HRA FEES</v>
      </c>
      <c r="H2821" s="2">
        <v>6651.33</v>
      </c>
      <c r="I2821" t="str">
        <f t="shared" ref="I2821:I2852" si="56">"VERITY HRA FEES"</f>
        <v>VERITY HRA FEES</v>
      </c>
    </row>
    <row r="2822" spans="1:9" x14ac:dyDescent="0.3">
      <c r="A2822" t="str">
        <f>""</f>
        <v/>
      </c>
      <c r="F2822" t="str">
        <f>""</f>
        <v/>
      </c>
      <c r="G2822" t="str">
        <f>""</f>
        <v/>
      </c>
      <c r="I2822" t="str">
        <f t="shared" si="56"/>
        <v>VERITY HRA FEES</v>
      </c>
    </row>
    <row r="2823" spans="1:9" x14ac:dyDescent="0.3">
      <c r="A2823" t="str">
        <f>""</f>
        <v/>
      </c>
      <c r="F2823" t="str">
        <f>""</f>
        <v/>
      </c>
      <c r="G2823" t="str">
        <f>""</f>
        <v/>
      </c>
      <c r="I2823" t="str">
        <f t="shared" si="56"/>
        <v>VERITY HRA FEES</v>
      </c>
    </row>
    <row r="2824" spans="1:9" x14ac:dyDescent="0.3">
      <c r="A2824" t="str">
        <f>""</f>
        <v/>
      </c>
      <c r="F2824" t="str">
        <f>""</f>
        <v/>
      </c>
      <c r="G2824" t="str">
        <f>""</f>
        <v/>
      </c>
      <c r="I2824" t="str">
        <f t="shared" si="56"/>
        <v>VERITY HRA FEES</v>
      </c>
    </row>
    <row r="2825" spans="1:9" x14ac:dyDescent="0.3">
      <c r="A2825" t="str">
        <f>""</f>
        <v/>
      </c>
      <c r="F2825" t="str">
        <f>""</f>
        <v/>
      </c>
      <c r="G2825" t="str">
        <f>""</f>
        <v/>
      </c>
      <c r="I2825" t="str">
        <f t="shared" si="56"/>
        <v>VERITY HRA FEES</v>
      </c>
    </row>
    <row r="2826" spans="1:9" x14ac:dyDescent="0.3">
      <c r="A2826" t="str">
        <f>""</f>
        <v/>
      </c>
      <c r="F2826" t="str">
        <f>""</f>
        <v/>
      </c>
      <c r="G2826" t="str">
        <f>""</f>
        <v/>
      </c>
      <c r="I2826" t="str">
        <f t="shared" si="56"/>
        <v>VERITY HRA FEES</v>
      </c>
    </row>
    <row r="2827" spans="1:9" x14ac:dyDescent="0.3">
      <c r="A2827" t="str">
        <f>""</f>
        <v/>
      </c>
      <c r="F2827" t="str">
        <f>""</f>
        <v/>
      </c>
      <c r="G2827" t="str">
        <f>""</f>
        <v/>
      </c>
      <c r="I2827" t="str">
        <f t="shared" si="56"/>
        <v>VERITY HRA FEES</v>
      </c>
    </row>
    <row r="2828" spans="1:9" x14ac:dyDescent="0.3">
      <c r="A2828" t="str">
        <f>""</f>
        <v/>
      </c>
      <c r="F2828" t="str">
        <f>""</f>
        <v/>
      </c>
      <c r="G2828" t="str">
        <f>""</f>
        <v/>
      </c>
      <c r="I2828" t="str">
        <f t="shared" si="56"/>
        <v>VERITY HRA FEES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56"/>
        <v>VERITY HRA FEES</v>
      </c>
    </row>
    <row r="2830" spans="1:9" x14ac:dyDescent="0.3">
      <c r="A2830" t="str">
        <f>""</f>
        <v/>
      </c>
      <c r="F2830" t="str">
        <f>""</f>
        <v/>
      </c>
      <c r="G2830" t="str">
        <f>""</f>
        <v/>
      </c>
      <c r="I2830" t="str">
        <f t="shared" si="56"/>
        <v>VERITY HRA FEES</v>
      </c>
    </row>
    <row r="2831" spans="1:9" x14ac:dyDescent="0.3">
      <c r="A2831" t="str">
        <f>""</f>
        <v/>
      </c>
      <c r="F2831" t="str">
        <f>""</f>
        <v/>
      </c>
      <c r="G2831" t="str">
        <f>""</f>
        <v/>
      </c>
      <c r="I2831" t="str">
        <f t="shared" si="56"/>
        <v>VERITY HRA FEES</v>
      </c>
    </row>
    <row r="2832" spans="1:9" x14ac:dyDescent="0.3">
      <c r="A2832" t="str">
        <f>""</f>
        <v/>
      </c>
      <c r="F2832" t="str">
        <f>""</f>
        <v/>
      </c>
      <c r="G2832" t="str">
        <f>""</f>
        <v/>
      </c>
      <c r="I2832" t="str">
        <f t="shared" si="56"/>
        <v>VERITY HRA FEES</v>
      </c>
    </row>
    <row r="2833" spans="1:9" x14ac:dyDescent="0.3">
      <c r="A2833" t="str">
        <f>""</f>
        <v/>
      </c>
      <c r="F2833" t="str">
        <f>""</f>
        <v/>
      </c>
      <c r="G2833" t="str">
        <f>""</f>
        <v/>
      </c>
      <c r="I2833" t="str">
        <f t="shared" si="56"/>
        <v>VERITY HRA FEES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56"/>
        <v>VERITY HRA FEES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56"/>
        <v>VERITY HRA FEES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56"/>
        <v>VERITY HRA FEES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56"/>
        <v>VERITY HRA FEES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56"/>
        <v>VERITY HRA FEES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56"/>
        <v>VERITY HRA FEES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56"/>
        <v>VERITY HRA FEES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56"/>
        <v>VERITY HRA FEES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56"/>
        <v>VERITY HRA FEES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56"/>
        <v>VERITY HRA FEES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56"/>
        <v>VERITY HRA FEES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56"/>
        <v>VERITY HRA FEES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56"/>
        <v>VERITY HRA FEES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56"/>
        <v>VERITY HRA FEES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56"/>
        <v>VERITY HRA FEES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56"/>
        <v>VERITY HRA FEES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56"/>
        <v>VERITY HRA FEES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56"/>
        <v>VERITY HRA FEES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56"/>
        <v>VERITY HRA FEES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ref="I2853:I2869" si="57">"VERITY HRA FEES"</f>
        <v>VERITY HRA FEES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57"/>
        <v>VERITY HRA FEES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57"/>
        <v>VERITY HRA FEES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57"/>
        <v>VERITY HRA FEES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si="57"/>
        <v>VERITY HRA FEES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57"/>
        <v>VERITY HRA FEES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57"/>
        <v>VERITY HRA FEES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57"/>
        <v>VERITY HRA FEES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57"/>
        <v>VERITY HRA FEES</v>
      </c>
    </row>
    <row r="2862" spans="1:9" x14ac:dyDescent="0.3">
      <c r="A2862" t="str">
        <f>""</f>
        <v/>
      </c>
      <c r="F2862" t="str">
        <f>""</f>
        <v/>
      </c>
      <c r="G2862" t="str">
        <f>""</f>
        <v/>
      </c>
      <c r="I2862" t="str">
        <f t="shared" si="57"/>
        <v>VERITY HRA FEES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57"/>
        <v>VERITY HRA FEES</v>
      </c>
    </row>
    <row r="2864" spans="1:9" x14ac:dyDescent="0.3">
      <c r="A2864" t="str">
        <f>""</f>
        <v/>
      </c>
      <c r="F2864" t="str">
        <f>""</f>
        <v/>
      </c>
      <c r="G2864" t="str">
        <f>""</f>
        <v/>
      </c>
      <c r="I2864" t="str">
        <f t="shared" si="57"/>
        <v>VERITY HRA FEES</v>
      </c>
    </row>
    <row r="2865" spans="1:9" x14ac:dyDescent="0.3">
      <c r="A2865" t="str">
        <f>""</f>
        <v/>
      </c>
      <c r="F2865" t="str">
        <f>""</f>
        <v/>
      </c>
      <c r="G2865" t="str">
        <f>""</f>
        <v/>
      </c>
      <c r="I2865" t="str">
        <f t="shared" si="57"/>
        <v>VERITY HRA FEES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57"/>
        <v>VERITY HRA FEES</v>
      </c>
    </row>
    <row r="2867" spans="1:9" x14ac:dyDescent="0.3">
      <c r="A2867" t="str">
        <f>""</f>
        <v/>
      </c>
      <c r="F2867" t="str">
        <f>""</f>
        <v/>
      </c>
      <c r="G2867" t="str">
        <f>""</f>
        <v/>
      </c>
      <c r="I2867" t="str">
        <f t="shared" si="57"/>
        <v>VERITY HRA FEES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57"/>
        <v>VERITY HRA FEES</v>
      </c>
    </row>
    <row r="2869" spans="1:9" x14ac:dyDescent="0.3">
      <c r="A2869" t="str">
        <f>""</f>
        <v/>
      </c>
      <c r="F2869" t="str">
        <f>"HRA201710045387"</f>
        <v>HRA201710045387</v>
      </c>
      <c r="G2869" t="str">
        <f>"WAGEWORKS HRA FEES"</f>
        <v>WAGEWORKS HRA FEES</v>
      </c>
      <c r="H2869" s="2">
        <v>187.5</v>
      </c>
      <c r="I2869" t="str">
        <f t="shared" si="57"/>
        <v>VERITY HRA FEES</v>
      </c>
    </row>
    <row r="2870" spans="1:9" x14ac:dyDescent="0.3">
      <c r="A2870" t="str">
        <f>""</f>
        <v/>
      </c>
      <c r="F2870" t="str">
        <f>"HRF201710045386"</f>
        <v>HRF201710045386</v>
      </c>
      <c r="G2870" t="str">
        <f>"WAGEWORKS HRA FEE"</f>
        <v>WAGEWORKS HRA FEE</v>
      </c>
      <c r="H2870" s="2">
        <v>462.48</v>
      </c>
      <c r="I2870" t="str">
        <f t="shared" ref="I2870:I2908" si="58">"VERITY HRA FEE"</f>
        <v>VERITY HRA FEE</v>
      </c>
    </row>
    <row r="2871" spans="1:9" x14ac:dyDescent="0.3">
      <c r="A2871" t="str">
        <f>""</f>
        <v/>
      </c>
      <c r="F2871" t="str">
        <f>""</f>
        <v/>
      </c>
      <c r="G2871" t="str">
        <f>""</f>
        <v/>
      </c>
      <c r="I2871" t="str">
        <f t="shared" si="58"/>
        <v>VERITY HRA FEE</v>
      </c>
    </row>
    <row r="2872" spans="1:9" x14ac:dyDescent="0.3">
      <c r="A2872" t="str">
        <f>""</f>
        <v/>
      </c>
      <c r="F2872" t="str">
        <f>""</f>
        <v/>
      </c>
      <c r="G2872" t="str">
        <f>""</f>
        <v/>
      </c>
      <c r="I2872" t="str">
        <f t="shared" si="58"/>
        <v>VERITY HRA FEE</v>
      </c>
    </row>
    <row r="2873" spans="1:9" x14ac:dyDescent="0.3">
      <c r="A2873" t="str">
        <f>""</f>
        <v/>
      </c>
      <c r="F2873" t="str">
        <f>""</f>
        <v/>
      </c>
      <c r="G2873" t="str">
        <f>""</f>
        <v/>
      </c>
      <c r="I2873" t="str">
        <f t="shared" si="58"/>
        <v>VERITY HRA FEE</v>
      </c>
    </row>
    <row r="2874" spans="1:9" x14ac:dyDescent="0.3">
      <c r="A2874" t="str">
        <f>""</f>
        <v/>
      </c>
      <c r="F2874" t="str">
        <f>""</f>
        <v/>
      </c>
      <c r="G2874" t="str">
        <f>""</f>
        <v/>
      </c>
      <c r="I2874" t="str">
        <f t="shared" si="58"/>
        <v>VERITY HRA FEE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 t="shared" si="58"/>
        <v>VERITY HRA FEE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 t="shared" si="58"/>
        <v>VERITY HRA FEE</v>
      </c>
    </row>
    <row r="2877" spans="1:9" x14ac:dyDescent="0.3">
      <c r="A2877" t="str">
        <f>""</f>
        <v/>
      </c>
      <c r="F2877" t="str">
        <f>""</f>
        <v/>
      </c>
      <c r="G2877" t="str">
        <f>""</f>
        <v/>
      </c>
      <c r="I2877" t="str">
        <f t="shared" si="58"/>
        <v>VERITY HRA FEE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 t="shared" si="58"/>
        <v>VERITY HRA FEE</v>
      </c>
    </row>
    <row r="2879" spans="1:9" x14ac:dyDescent="0.3">
      <c r="A2879" t="str">
        <f>""</f>
        <v/>
      </c>
      <c r="F2879" t="str">
        <f>""</f>
        <v/>
      </c>
      <c r="G2879" t="str">
        <f>""</f>
        <v/>
      </c>
      <c r="I2879" t="str">
        <f t="shared" si="58"/>
        <v>VERITY HRA FEE</v>
      </c>
    </row>
    <row r="2880" spans="1:9" x14ac:dyDescent="0.3">
      <c r="A2880" t="str">
        <f>""</f>
        <v/>
      </c>
      <c r="F2880" t="str">
        <f>""</f>
        <v/>
      </c>
      <c r="G2880" t="str">
        <f>""</f>
        <v/>
      </c>
      <c r="I2880" t="str">
        <f t="shared" si="58"/>
        <v>VERITY HRA FEE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58"/>
        <v>VERITY HRA FEE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58"/>
        <v>VERITY HRA FEE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58"/>
        <v>VERITY HRA FEE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58"/>
        <v>VERITY HRA FEE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58"/>
        <v>VERITY HRA FEE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58"/>
        <v>VERITY HRA FEE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58"/>
        <v>VERITY HRA FEE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58"/>
        <v>VERITY HRA FEE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58"/>
        <v>VERITY HRA FEE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58"/>
        <v>VERITY HRA FEE</v>
      </c>
    </row>
    <row r="2891" spans="1:9" x14ac:dyDescent="0.3">
      <c r="A2891" t="str">
        <f>""</f>
        <v/>
      </c>
      <c r="F2891" t="str">
        <f>""</f>
        <v/>
      </c>
      <c r="G2891" t="str">
        <f>""</f>
        <v/>
      </c>
      <c r="I2891" t="str">
        <f t="shared" si="58"/>
        <v>VERITY HRA FEE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 t="shared" si="58"/>
        <v>VERITY HRA FEE</v>
      </c>
    </row>
    <row r="2893" spans="1:9" x14ac:dyDescent="0.3">
      <c r="A2893" t="str">
        <f>""</f>
        <v/>
      </c>
      <c r="F2893" t="str">
        <f>""</f>
        <v/>
      </c>
      <c r="G2893" t="str">
        <f>""</f>
        <v/>
      </c>
      <c r="I2893" t="str">
        <f t="shared" si="58"/>
        <v>VERITY HRA FEE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58"/>
        <v>VERITY HRA FEE</v>
      </c>
    </row>
    <row r="2895" spans="1:9" x14ac:dyDescent="0.3">
      <c r="A2895" t="str">
        <f>""</f>
        <v/>
      </c>
      <c r="F2895" t="str">
        <f>""</f>
        <v/>
      </c>
      <c r="G2895" t="str">
        <f>""</f>
        <v/>
      </c>
      <c r="I2895" t="str">
        <f t="shared" si="58"/>
        <v>VERITY HRA FEE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58"/>
        <v>VERITY HRA FEE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58"/>
        <v>VERITY HRA FEE</v>
      </c>
    </row>
    <row r="2898" spans="1:9" x14ac:dyDescent="0.3">
      <c r="A2898" t="str">
        <f>""</f>
        <v/>
      </c>
      <c r="F2898" t="str">
        <f>""</f>
        <v/>
      </c>
      <c r="G2898" t="str">
        <f>""</f>
        <v/>
      </c>
      <c r="I2898" t="str">
        <f t="shared" si="58"/>
        <v>VERITY HRA FEE</v>
      </c>
    </row>
    <row r="2899" spans="1:9" x14ac:dyDescent="0.3">
      <c r="A2899" t="str">
        <f>""</f>
        <v/>
      </c>
      <c r="F2899" t="str">
        <f>""</f>
        <v/>
      </c>
      <c r="G2899" t="str">
        <f>""</f>
        <v/>
      </c>
      <c r="I2899" t="str">
        <f t="shared" si="58"/>
        <v>VERITY HRA FEE</v>
      </c>
    </row>
    <row r="2900" spans="1:9" x14ac:dyDescent="0.3">
      <c r="A2900" t="str">
        <f>""</f>
        <v/>
      </c>
      <c r="F2900" t="str">
        <f>""</f>
        <v/>
      </c>
      <c r="G2900" t="str">
        <f>""</f>
        <v/>
      </c>
      <c r="I2900" t="str">
        <f t="shared" si="58"/>
        <v>VERITY HRA FEE</v>
      </c>
    </row>
    <row r="2901" spans="1:9" x14ac:dyDescent="0.3">
      <c r="A2901" t="str">
        <f>""</f>
        <v/>
      </c>
      <c r="F2901" t="str">
        <f>""</f>
        <v/>
      </c>
      <c r="G2901" t="str">
        <f>""</f>
        <v/>
      </c>
      <c r="I2901" t="str">
        <f t="shared" si="58"/>
        <v>VERITY HRA FEE</v>
      </c>
    </row>
    <row r="2902" spans="1:9" x14ac:dyDescent="0.3">
      <c r="A2902" t="str">
        <f>""</f>
        <v/>
      </c>
      <c r="F2902" t="str">
        <f>""</f>
        <v/>
      </c>
      <c r="G2902" t="str">
        <f>""</f>
        <v/>
      </c>
      <c r="I2902" t="str">
        <f t="shared" si="58"/>
        <v>VERITY HRA FEE</v>
      </c>
    </row>
    <row r="2903" spans="1:9" x14ac:dyDescent="0.3">
      <c r="A2903" t="str">
        <f>""</f>
        <v/>
      </c>
      <c r="F2903" t="str">
        <f>""</f>
        <v/>
      </c>
      <c r="G2903" t="str">
        <f>""</f>
        <v/>
      </c>
      <c r="I2903" t="str">
        <f t="shared" si="58"/>
        <v>VERITY HRA FEE</v>
      </c>
    </row>
    <row r="2904" spans="1:9" x14ac:dyDescent="0.3">
      <c r="A2904" t="str">
        <f>""</f>
        <v/>
      </c>
      <c r="F2904" t="str">
        <f>""</f>
        <v/>
      </c>
      <c r="G2904" t="str">
        <f>""</f>
        <v/>
      </c>
      <c r="I2904" t="str">
        <f t="shared" si="58"/>
        <v>VERITY HRA FEE</v>
      </c>
    </row>
    <row r="2905" spans="1:9" x14ac:dyDescent="0.3">
      <c r="A2905" t="str">
        <f>""</f>
        <v/>
      </c>
      <c r="F2905" t="str">
        <f>""</f>
        <v/>
      </c>
      <c r="G2905" t="str">
        <f>""</f>
        <v/>
      </c>
      <c r="I2905" t="str">
        <f t="shared" si="58"/>
        <v>VERITY HRA FEE</v>
      </c>
    </row>
    <row r="2906" spans="1:9" x14ac:dyDescent="0.3">
      <c r="A2906" t="str">
        <f>""</f>
        <v/>
      </c>
      <c r="F2906" t="str">
        <f>""</f>
        <v/>
      </c>
      <c r="G2906" t="str">
        <f>""</f>
        <v/>
      </c>
      <c r="I2906" t="str">
        <f t="shared" si="58"/>
        <v>VERITY HRA FEE</v>
      </c>
    </row>
    <row r="2907" spans="1:9" x14ac:dyDescent="0.3">
      <c r="A2907" t="str">
        <f>""</f>
        <v/>
      </c>
      <c r="F2907" t="str">
        <f>""</f>
        <v/>
      </c>
      <c r="G2907" t="str">
        <f>""</f>
        <v/>
      </c>
      <c r="I2907" t="str">
        <f t="shared" si="58"/>
        <v>VERITY HRA FEE</v>
      </c>
    </row>
    <row r="2908" spans="1:9" x14ac:dyDescent="0.3">
      <c r="A2908" t="str">
        <f>""</f>
        <v/>
      </c>
      <c r="F2908" t="str">
        <f>"HRF201710045387"</f>
        <v>HRF201710045387</v>
      </c>
      <c r="G2908" t="str">
        <f>"WAGEWORKS HRA FEE"</f>
        <v>WAGEWORKS HRA FEE</v>
      </c>
      <c r="H2908" s="2">
        <v>15.04</v>
      </c>
      <c r="I2908" t="str">
        <f t="shared" si="58"/>
        <v>VERITY HRA FEE</v>
      </c>
    </row>
    <row r="2909" spans="1:9" x14ac:dyDescent="0.3">
      <c r="A2909" t="str">
        <f>"004767"</f>
        <v>004767</v>
      </c>
      <c r="B2909" t="s">
        <v>480</v>
      </c>
      <c r="C2909">
        <v>0</v>
      </c>
      <c r="D2909" s="2">
        <v>11805.4</v>
      </c>
      <c r="E2909" s="1">
        <v>43028</v>
      </c>
      <c r="F2909" t="str">
        <f>"FSA201710185808"</f>
        <v>FSA201710185808</v>
      </c>
      <c r="G2909" t="str">
        <f>"WAGE WORKS"</f>
        <v>WAGE WORKS</v>
      </c>
      <c r="H2909" s="2">
        <v>8995.91</v>
      </c>
      <c r="I2909" t="str">
        <f t="shared" ref="I2909:I2940" si="59">"WAGE WORKS"</f>
        <v>WAGE WORKS</v>
      </c>
    </row>
    <row r="2910" spans="1:9" x14ac:dyDescent="0.3">
      <c r="A2910" t="str">
        <f>""</f>
        <v/>
      </c>
      <c r="F2910" t="str">
        <f>"FSA201710185811"</f>
        <v>FSA201710185811</v>
      </c>
      <c r="G2910" t="str">
        <f>"WAGE WORKS"</f>
        <v>WAGE WORKS</v>
      </c>
      <c r="H2910" s="2">
        <v>574</v>
      </c>
      <c r="I2910" t="str">
        <f t="shared" si="59"/>
        <v>WAGE WORKS</v>
      </c>
    </row>
    <row r="2911" spans="1:9" x14ac:dyDescent="0.3">
      <c r="A2911" t="str">
        <f>""</f>
        <v/>
      </c>
      <c r="F2911" t="str">
        <f>"FSC201710185808"</f>
        <v>FSC201710185808</v>
      </c>
      <c r="G2911" t="str">
        <f>"WAGE WORKS"</f>
        <v>WAGE WORKS</v>
      </c>
      <c r="H2911" s="2">
        <v>1133.56</v>
      </c>
      <c r="I2911" t="str">
        <f t="shared" si="59"/>
        <v>WAGE WORKS</v>
      </c>
    </row>
    <row r="2912" spans="1:9" x14ac:dyDescent="0.3">
      <c r="A2912" t="str">
        <f>""</f>
        <v/>
      </c>
      <c r="F2912" t="str">
        <f>""</f>
        <v/>
      </c>
      <c r="G2912" t="str">
        <f>""</f>
        <v/>
      </c>
      <c r="I2912" t="str">
        <f t="shared" si="59"/>
        <v>WAGE WORKS</v>
      </c>
    </row>
    <row r="2913" spans="1:9" x14ac:dyDescent="0.3">
      <c r="A2913" t="str">
        <f>""</f>
        <v/>
      </c>
      <c r="F2913" t="str">
        <f>""</f>
        <v/>
      </c>
      <c r="G2913" t="str">
        <f>""</f>
        <v/>
      </c>
      <c r="I2913" t="str">
        <f t="shared" si="59"/>
        <v>WAGE WORKS</v>
      </c>
    </row>
    <row r="2914" spans="1:9" x14ac:dyDescent="0.3">
      <c r="A2914" t="str">
        <f>""</f>
        <v/>
      </c>
      <c r="F2914" t="str">
        <f>""</f>
        <v/>
      </c>
      <c r="G2914" t="str">
        <f>""</f>
        <v/>
      </c>
      <c r="I2914" t="str">
        <f t="shared" si="59"/>
        <v>WAGE WORKS</v>
      </c>
    </row>
    <row r="2915" spans="1:9" x14ac:dyDescent="0.3">
      <c r="A2915" t="str">
        <f>""</f>
        <v/>
      </c>
      <c r="F2915" t="str">
        <f>""</f>
        <v/>
      </c>
      <c r="G2915" t="str">
        <f>""</f>
        <v/>
      </c>
      <c r="I2915" t="str">
        <f t="shared" si="59"/>
        <v>WAGE WORKS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59"/>
        <v>WAGE WORKS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59"/>
        <v>WAGE WORKS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59"/>
        <v>WAGE WORKS</v>
      </c>
    </row>
    <row r="2919" spans="1:9" x14ac:dyDescent="0.3">
      <c r="A2919" t="str">
        <f>""</f>
        <v/>
      </c>
      <c r="F2919" t="str">
        <f>""</f>
        <v/>
      </c>
      <c r="G2919" t="str">
        <f>""</f>
        <v/>
      </c>
      <c r="I2919" t="str">
        <f t="shared" si="59"/>
        <v>WAGE WORKS</v>
      </c>
    </row>
    <row r="2920" spans="1:9" x14ac:dyDescent="0.3">
      <c r="A2920" t="str">
        <f>""</f>
        <v/>
      </c>
      <c r="F2920" t="str">
        <f>""</f>
        <v/>
      </c>
      <c r="G2920" t="str">
        <f>""</f>
        <v/>
      </c>
      <c r="I2920" t="str">
        <f t="shared" si="59"/>
        <v>WAGE WORKS</v>
      </c>
    </row>
    <row r="2921" spans="1:9" x14ac:dyDescent="0.3">
      <c r="A2921" t="str">
        <f>""</f>
        <v/>
      </c>
      <c r="F2921" t="str">
        <f>"FSF201710185808"</f>
        <v>FSF201710185808</v>
      </c>
      <c r="G2921" t="str">
        <f>"WAGE WORKS"</f>
        <v>WAGE WORKS</v>
      </c>
      <c r="H2921" s="2">
        <v>585</v>
      </c>
      <c r="I2921" t="str">
        <f t="shared" si="59"/>
        <v>WAGE WORKS</v>
      </c>
    </row>
    <row r="2922" spans="1:9" x14ac:dyDescent="0.3">
      <c r="A2922" t="str">
        <f>""</f>
        <v/>
      </c>
      <c r="F2922" t="str">
        <f>""</f>
        <v/>
      </c>
      <c r="G2922" t="str">
        <f>""</f>
        <v/>
      </c>
      <c r="I2922" t="str">
        <f t="shared" si="59"/>
        <v>WAGE WORKS</v>
      </c>
    </row>
    <row r="2923" spans="1:9" x14ac:dyDescent="0.3">
      <c r="A2923" t="str">
        <f>""</f>
        <v/>
      </c>
      <c r="F2923" t="str">
        <f>""</f>
        <v/>
      </c>
      <c r="G2923" t="str">
        <f>""</f>
        <v/>
      </c>
      <c r="I2923" t="str">
        <f t="shared" si="59"/>
        <v>WAGE WORKS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59"/>
        <v>WAGE WORKS</v>
      </c>
    </row>
    <row r="2925" spans="1:9" x14ac:dyDescent="0.3">
      <c r="A2925" t="str">
        <f>""</f>
        <v/>
      </c>
      <c r="F2925" t="str">
        <f>""</f>
        <v/>
      </c>
      <c r="G2925" t="str">
        <f>""</f>
        <v/>
      </c>
      <c r="I2925" t="str">
        <f t="shared" si="59"/>
        <v>WAGE WORKS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 t="shared" si="59"/>
        <v>WAGE WORKS</v>
      </c>
    </row>
    <row r="2927" spans="1:9" x14ac:dyDescent="0.3">
      <c r="A2927" t="str">
        <f>""</f>
        <v/>
      </c>
      <c r="F2927" t="str">
        <f>""</f>
        <v/>
      </c>
      <c r="G2927" t="str">
        <f>""</f>
        <v/>
      </c>
      <c r="I2927" t="str">
        <f t="shared" si="59"/>
        <v>WAGE WORKS</v>
      </c>
    </row>
    <row r="2928" spans="1:9" x14ac:dyDescent="0.3">
      <c r="A2928" t="str">
        <f>""</f>
        <v/>
      </c>
      <c r="F2928" t="str">
        <f>""</f>
        <v/>
      </c>
      <c r="G2928" t="str">
        <f>""</f>
        <v/>
      </c>
      <c r="I2928" t="str">
        <f t="shared" si="59"/>
        <v>WAGE WORKS</v>
      </c>
    </row>
    <row r="2929" spans="1:9" x14ac:dyDescent="0.3">
      <c r="A2929" t="str">
        <f>""</f>
        <v/>
      </c>
      <c r="F2929" t="str">
        <f>""</f>
        <v/>
      </c>
      <c r="G2929" t="str">
        <f>""</f>
        <v/>
      </c>
      <c r="I2929" t="str">
        <f t="shared" si="59"/>
        <v>WAGE WORKS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59"/>
        <v>WAGE WORKS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59"/>
        <v>WAGE WORKS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59"/>
        <v>WAGE WORKS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59"/>
        <v>WAGE WORKS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59"/>
        <v>WAGE WORKS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59"/>
        <v>WAGE WORKS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59"/>
        <v>WAGE WORKS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59"/>
        <v>WAGE WORKS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59"/>
        <v>WAGE WORKS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59"/>
        <v>WAGE WORKS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59"/>
        <v>WAGE WORKS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ref="I2941:I2972" si="60">"WAGE WORKS"</f>
        <v>WAGE WORKS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60"/>
        <v>WAGE WORKS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60"/>
        <v>WAGE WORKS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60"/>
        <v>WAGE WORKS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60"/>
        <v>WAGE WORKS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60"/>
        <v>WAGE WORKS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si="60"/>
        <v>WAGE WORKS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60"/>
        <v>WAGE WORKS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60"/>
        <v>WAGE WORKS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60"/>
        <v>WAGE WORKS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60"/>
        <v>WAGE WORKS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60"/>
        <v>WAGE WORKS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60"/>
        <v>WAGE WORKS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60"/>
        <v>WAGE WORKS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60"/>
        <v>WAGE WORKS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60"/>
        <v>WAGE WORKS</v>
      </c>
    </row>
    <row r="2957" spans="1:9" x14ac:dyDescent="0.3">
      <c r="A2957" t="str">
        <f>""</f>
        <v/>
      </c>
      <c r="F2957" t="str">
        <f>""</f>
        <v/>
      </c>
      <c r="G2957" t="str">
        <f>""</f>
        <v/>
      </c>
      <c r="I2957" t="str">
        <f t="shared" si="60"/>
        <v>WAGE WORKS</v>
      </c>
    </row>
    <row r="2958" spans="1:9" x14ac:dyDescent="0.3">
      <c r="A2958" t="str">
        <f>""</f>
        <v/>
      </c>
      <c r="F2958" t="str">
        <f>""</f>
        <v/>
      </c>
      <c r="G2958" t="str">
        <f>""</f>
        <v/>
      </c>
      <c r="I2958" t="str">
        <f t="shared" si="60"/>
        <v>WAGE WORKS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60"/>
        <v>WAGE WORKS</v>
      </c>
    </row>
    <row r="2960" spans="1:9" x14ac:dyDescent="0.3">
      <c r="A2960" t="str">
        <f>""</f>
        <v/>
      </c>
      <c r="F2960" t="str">
        <f>"FSF201710185811"</f>
        <v>FSF201710185811</v>
      </c>
      <c r="G2960" t="str">
        <f>"WAGE WORKS"</f>
        <v>WAGE WORKS</v>
      </c>
      <c r="H2960" s="2">
        <v>26.25</v>
      </c>
      <c r="I2960" t="str">
        <f t="shared" si="60"/>
        <v>WAGE WORKS</v>
      </c>
    </row>
    <row r="2961" spans="1:9" x14ac:dyDescent="0.3">
      <c r="A2961" t="str">
        <f>""</f>
        <v/>
      </c>
      <c r="F2961" t="str">
        <f>"FSO201710185808"</f>
        <v>FSO201710185808</v>
      </c>
      <c r="G2961" t="str">
        <f>"WAGE WORKS"</f>
        <v>WAGE WORKS</v>
      </c>
      <c r="H2961" s="2">
        <v>13.16</v>
      </c>
      <c r="I2961" t="str">
        <f t="shared" si="60"/>
        <v>WAGE WORKS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60"/>
        <v>WAGE WORKS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60"/>
        <v>WAGE WORKS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60"/>
        <v>WAGE WORKS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60"/>
        <v>WAGE WORKS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60"/>
        <v>WAGE WORKS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60"/>
        <v>WAGE WORKS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60"/>
        <v>WAGE WORKS</v>
      </c>
    </row>
    <row r="2969" spans="1:9" x14ac:dyDescent="0.3">
      <c r="A2969" t="str">
        <f>""</f>
        <v/>
      </c>
      <c r="F2969" t="str">
        <f>"FSO201710185811"</f>
        <v>FSO201710185811</v>
      </c>
      <c r="G2969" t="str">
        <f>"WAGE WORKS"</f>
        <v>WAGE WORKS</v>
      </c>
      <c r="H2969" s="2">
        <v>1.88</v>
      </c>
      <c r="I2969" t="str">
        <f t="shared" si="60"/>
        <v>WAGE WORKS</v>
      </c>
    </row>
    <row r="2970" spans="1:9" x14ac:dyDescent="0.3">
      <c r="A2970" t="str">
        <f>""</f>
        <v/>
      </c>
      <c r="F2970" t="str">
        <f>"HRF201710185808"</f>
        <v>HRF201710185808</v>
      </c>
      <c r="G2970" t="str">
        <f>"WAGE WORKS"</f>
        <v>WAGE WORKS</v>
      </c>
      <c r="H2970" s="2">
        <v>460.6</v>
      </c>
      <c r="I2970" t="str">
        <f t="shared" si="60"/>
        <v>WAGE WORKS</v>
      </c>
    </row>
    <row r="2971" spans="1:9" x14ac:dyDescent="0.3">
      <c r="A2971" t="str">
        <f>""</f>
        <v/>
      </c>
      <c r="F2971" t="str">
        <f>""</f>
        <v/>
      </c>
      <c r="G2971" t="str">
        <f>""</f>
        <v/>
      </c>
      <c r="I2971" t="str">
        <f t="shared" si="60"/>
        <v>WAGE WORKS</v>
      </c>
    </row>
    <row r="2972" spans="1:9" x14ac:dyDescent="0.3">
      <c r="A2972" t="str">
        <f>""</f>
        <v/>
      </c>
      <c r="F2972" t="str">
        <f>""</f>
        <v/>
      </c>
      <c r="G2972" t="str">
        <f>""</f>
        <v/>
      </c>
      <c r="I2972" t="str">
        <f t="shared" si="60"/>
        <v>WAGE WORKS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ref="I2973:I3004" si="61">"WAGE WORKS"</f>
        <v>WAGE WORKS</v>
      </c>
    </row>
    <row r="2974" spans="1:9" x14ac:dyDescent="0.3">
      <c r="A2974" t="str">
        <f>""</f>
        <v/>
      </c>
      <c r="F2974" t="str">
        <f>""</f>
        <v/>
      </c>
      <c r="G2974" t="str">
        <f>""</f>
        <v/>
      </c>
      <c r="I2974" t="str">
        <f t="shared" si="61"/>
        <v>WAGE WORKS</v>
      </c>
    </row>
    <row r="2975" spans="1:9" x14ac:dyDescent="0.3">
      <c r="A2975" t="str">
        <f>""</f>
        <v/>
      </c>
      <c r="F2975" t="str">
        <f>""</f>
        <v/>
      </c>
      <c r="G2975" t="str">
        <f>""</f>
        <v/>
      </c>
      <c r="I2975" t="str">
        <f t="shared" si="61"/>
        <v>WAGE WORKS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61"/>
        <v>WAGE WORKS</v>
      </c>
    </row>
    <row r="2977" spans="1:9" x14ac:dyDescent="0.3">
      <c r="A2977" t="str">
        <f>""</f>
        <v/>
      </c>
      <c r="F2977" t="str">
        <f>""</f>
        <v/>
      </c>
      <c r="G2977" t="str">
        <f>""</f>
        <v/>
      </c>
      <c r="I2977" t="str">
        <f t="shared" si="61"/>
        <v>WAGE WORKS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61"/>
        <v>WAGE WORKS</v>
      </c>
    </row>
    <row r="2979" spans="1:9" x14ac:dyDescent="0.3">
      <c r="A2979" t="str">
        <f>""</f>
        <v/>
      </c>
      <c r="F2979" t="str">
        <f>""</f>
        <v/>
      </c>
      <c r="G2979" t="str">
        <f>""</f>
        <v/>
      </c>
      <c r="I2979" t="str">
        <f t="shared" si="61"/>
        <v>WAGE WORKS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61"/>
        <v>WAGE WORKS</v>
      </c>
    </row>
    <row r="2981" spans="1:9" x14ac:dyDescent="0.3">
      <c r="A2981" t="str">
        <f>""</f>
        <v/>
      </c>
      <c r="F2981" t="str">
        <f>""</f>
        <v/>
      </c>
      <c r="G2981" t="str">
        <f>""</f>
        <v/>
      </c>
      <c r="I2981" t="str">
        <f t="shared" si="61"/>
        <v>WAGE WORKS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 t="shared" si="61"/>
        <v>WAGE WORKS</v>
      </c>
    </row>
    <row r="2983" spans="1:9" x14ac:dyDescent="0.3">
      <c r="A2983" t="str">
        <f>""</f>
        <v/>
      </c>
      <c r="F2983" t="str">
        <f>""</f>
        <v/>
      </c>
      <c r="G2983" t="str">
        <f>""</f>
        <v/>
      </c>
      <c r="I2983" t="str">
        <f t="shared" si="61"/>
        <v>WAGE WORKS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61"/>
        <v>WAGE WORKS</v>
      </c>
    </row>
    <row r="2985" spans="1:9" x14ac:dyDescent="0.3">
      <c r="A2985" t="str">
        <f>""</f>
        <v/>
      </c>
      <c r="F2985" t="str">
        <f>""</f>
        <v/>
      </c>
      <c r="G2985" t="str">
        <f>""</f>
        <v/>
      </c>
      <c r="I2985" t="str">
        <f t="shared" si="61"/>
        <v>WAGE WORKS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61"/>
        <v>WAGE WORKS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61"/>
        <v>WAGE WORKS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61"/>
        <v>WAGE WORKS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61"/>
        <v>WAGE WORKS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61"/>
        <v>WAGE WORKS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61"/>
        <v>WAGE WORKS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61"/>
        <v>WAGE WORKS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61"/>
        <v>WAGE WORKS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61"/>
        <v>WAGE WORKS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61"/>
        <v>WAGE WORKS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61"/>
        <v>WAGE WORKS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61"/>
        <v>WAGE WORKS</v>
      </c>
    </row>
    <row r="2998" spans="1:9" x14ac:dyDescent="0.3">
      <c r="A2998" t="str">
        <f>""</f>
        <v/>
      </c>
      <c r="F2998" t="str">
        <f>""</f>
        <v/>
      </c>
      <c r="G2998" t="str">
        <f>""</f>
        <v/>
      </c>
      <c r="I2998" t="str">
        <f t="shared" si="61"/>
        <v>WAGE WORKS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si="61"/>
        <v>WAGE WORKS</v>
      </c>
    </row>
    <row r="3000" spans="1:9" x14ac:dyDescent="0.3">
      <c r="A3000" t="str">
        <f>""</f>
        <v/>
      </c>
      <c r="F3000" t="str">
        <f>""</f>
        <v/>
      </c>
      <c r="G3000" t="str">
        <f>""</f>
        <v/>
      </c>
      <c r="I3000" t="str">
        <f t="shared" si="61"/>
        <v>WAGE WORKS</v>
      </c>
    </row>
    <row r="3001" spans="1:9" x14ac:dyDescent="0.3">
      <c r="A3001" t="str">
        <f>""</f>
        <v/>
      </c>
      <c r="F3001" t="str">
        <f>""</f>
        <v/>
      </c>
      <c r="G3001" t="str">
        <f>""</f>
        <v/>
      </c>
      <c r="I3001" t="str">
        <f t="shared" si="61"/>
        <v>WAGE WORKS</v>
      </c>
    </row>
    <row r="3002" spans="1:9" x14ac:dyDescent="0.3">
      <c r="A3002" t="str">
        <f>""</f>
        <v/>
      </c>
      <c r="F3002" t="str">
        <f>""</f>
        <v/>
      </c>
      <c r="G3002" t="str">
        <f>""</f>
        <v/>
      </c>
      <c r="I3002" t="str">
        <f t="shared" si="61"/>
        <v>WAGE WORKS</v>
      </c>
    </row>
    <row r="3003" spans="1:9" x14ac:dyDescent="0.3">
      <c r="A3003" t="str">
        <f>""</f>
        <v/>
      </c>
      <c r="F3003" t="str">
        <f>""</f>
        <v/>
      </c>
      <c r="G3003" t="str">
        <f>""</f>
        <v/>
      </c>
      <c r="I3003" t="str">
        <f t="shared" si="61"/>
        <v>WAGE WORKS</v>
      </c>
    </row>
    <row r="3004" spans="1:9" x14ac:dyDescent="0.3">
      <c r="A3004" t="str">
        <f>""</f>
        <v/>
      </c>
      <c r="F3004" t="str">
        <f>""</f>
        <v/>
      </c>
      <c r="G3004" t="str">
        <f>""</f>
        <v/>
      </c>
      <c r="I3004" t="str">
        <f t="shared" si="61"/>
        <v>WAGE WORKS</v>
      </c>
    </row>
    <row r="3005" spans="1:9" x14ac:dyDescent="0.3">
      <c r="A3005" t="str">
        <f>""</f>
        <v/>
      </c>
      <c r="F3005" t="str">
        <f>""</f>
        <v/>
      </c>
      <c r="G3005" t="str">
        <f>""</f>
        <v/>
      </c>
      <c r="I3005" t="str">
        <f t="shared" ref="I3005:I3036" si="62">"WAGE WORKS"</f>
        <v>WAGE WORKS</v>
      </c>
    </row>
    <row r="3006" spans="1:9" x14ac:dyDescent="0.3">
      <c r="A3006" t="str">
        <f>""</f>
        <v/>
      </c>
      <c r="F3006" t="str">
        <f>""</f>
        <v/>
      </c>
      <c r="G3006" t="str">
        <f>""</f>
        <v/>
      </c>
      <c r="I3006" t="str">
        <f t="shared" si="62"/>
        <v>WAGE WORKS</v>
      </c>
    </row>
    <row r="3007" spans="1:9" x14ac:dyDescent="0.3">
      <c r="A3007" t="str">
        <f>""</f>
        <v/>
      </c>
      <c r="F3007" t="str">
        <f>""</f>
        <v/>
      </c>
      <c r="G3007" t="str">
        <f>""</f>
        <v/>
      </c>
      <c r="I3007" t="str">
        <f t="shared" si="62"/>
        <v>WAGE WORKS</v>
      </c>
    </row>
    <row r="3008" spans="1:9" x14ac:dyDescent="0.3">
      <c r="A3008" t="str">
        <f>""</f>
        <v/>
      </c>
      <c r="F3008" t="str">
        <f>""</f>
        <v/>
      </c>
      <c r="G3008" t="str">
        <f>""</f>
        <v/>
      </c>
      <c r="I3008" t="str">
        <f t="shared" si="62"/>
        <v>WAGE WORKS</v>
      </c>
    </row>
    <row r="3009" spans="1:9" x14ac:dyDescent="0.3">
      <c r="A3009" t="str">
        <f>""</f>
        <v/>
      </c>
      <c r="F3009" t="str">
        <f>"HRF201710185811"</f>
        <v>HRF201710185811</v>
      </c>
      <c r="G3009" t="str">
        <f>"WAGE WORKS"</f>
        <v>WAGE WORKS</v>
      </c>
      <c r="H3009" s="2">
        <v>15.04</v>
      </c>
      <c r="I3009" t="str">
        <f t="shared" si="62"/>
        <v>WAGE WORKS</v>
      </c>
    </row>
    <row r="3010" spans="1:9" x14ac:dyDescent="0.3">
      <c r="A3010" t="str">
        <f>"004767"</f>
        <v>004767</v>
      </c>
      <c r="B3010" t="s">
        <v>480</v>
      </c>
      <c r="C3010">
        <v>0</v>
      </c>
      <c r="D3010" s="2">
        <v>159161.17000000001</v>
      </c>
      <c r="E3010" s="1">
        <v>43035</v>
      </c>
      <c r="F3010" t="str">
        <f>"HRA201710276049"</f>
        <v>HRA201710276049</v>
      </c>
      <c r="G3010" t="str">
        <f>"WAGE WORKS"</f>
        <v>WAGE WORKS</v>
      </c>
      <c r="H3010" s="2">
        <v>153348.67000000001</v>
      </c>
      <c r="I3010" t="str">
        <f t="shared" si="62"/>
        <v>WAGE WORKS</v>
      </c>
    </row>
    <row r="3011" spans="1:9" x14ac:dyDescent="0.3">
      <c r="A3011" t="str">
        <f>""</f>
        <v/>
      </c>
      <c r="F3011" t="str">
        <f>""</f>
        <v/>
      </c>
      <c r="G3011" t="str">
        <f>""</f>
        <v/>
      </c>
      <c r="I3011" t="str">
        <f t="shared" si="62"/>
        <v>WAGE WORKS</v>
      </c>
    </row>
    <row r="3012" spans="1:9" x14ac:dyDescent="0.3">
      <c r="A3012" t="str">
        <f>""</f>
        <v/>
      </c>
      <c r="F3012" t="str">
        <f>""</f>
        <v/>
      </c>
      <c r="G3012" t="str">
        <f>""</f>
        <v/>
      </c>
      <c r="I3012" t="str">
        <f t="shared" si="62"/>
        <v>WAGE WORKS</v>
      </c>
    </row>
    <row r="3013" spans="1:9" x14ac:dyDescent="0.3">
      <c r="A3013" t="str">
        <f>""</f>
        <v/>
      </c>
      <c r="F3013" t="str">
        <f>""</f>
        <v/>
      </c>
      <c r="G3013" t="str">
        <f>""</f>
        <v/>
      </c>
      <c r="I3013" t="str">
        <f t="shared" si="62"/>
        <v>WAGE WORKS</v>
      </c>
    </row>
    <row r="3014" spans="1:9" x14ac:dyDescent="0.3">
      <c r="A3014" t="str">
        <f>""</f>
        <v/>
      </c>
      <c r="F3014" t="str">
        <f>""</f>
        <v/>
      </c>
      <c r="G3014" t="str">
        <f>""</f>
        <v/>
      </c>
      <c r="I3014" t="str">
        <f t="shared" si="62"/>
        <v>WAGE WORKS</v>
      </c>
    </row>
    <row r="3015" spans="1:9" x14ac:dyDescent="0.3">
      <c r="A3015" t="str">
        <f>""</f>
        <v/>
      </c>
      <c r="F3015" t="str">
        <f>""</f>
        <v/>
      </c>
      <c r="G3015" t="str">
        <f>""</f>
        <v/>
      </c>
      <c r="I3015" t="str">
        <f t="shared" si="62"/>
        <v>WAGE WORKS</v>
      </c>
    </row>
    <row r="3016" spans="1:9" x14ac:dyDescent="0.3">
      <c r="A3016" t="str">
        <f>""</f>
        <v/>
      </c>
      <c r="F3016" t="str">
        <f>""</f>
        <v/>
      </c>
      <c r="G3016" t="str">
        <f>""</f>
        <v/>
      </c>
      <c r="I3016" t="str">
        <f t="shared" si="62"/>
        <v>WAGE WORKS</v>
      </c>
    </row>
    <row r="3017" spans="1:9" x14ac:dyDescent="0.3">
      <c r="A3017" t="str">
        <f>""</f>
        <v/>
      </c>
      <c r="F3017" t="str">
        <f>""</f>
        <v/>
      </c>
      <c r="G3017" t="str">
        <f>""</f>
        <v/>
      </c>
      <c r="I3017" t="str">
        <f t="shared" si="62"/>
        <v>WAGE WORKS</v>
      </c>
    </row>
    <row r="3018" spans="1:9" x14ac:dyDescent="0.3">
      <c r="A3018" t="str">
        <f>""</f>
        <v/>
      </c>
      <c r="F3018" t="str">
        <f>""</f>
        <v/>
      </c>
      <c r="G3018" t="str">
        <f>""</f>
        <v/>
      </c>
      <c r="I3018" t="str">
        <f t="shared" si="62"/>
        <v>WAGE WORKS</v>
      </c>
    </row>
    <row r="3019" spans="1:9" x14ac:dyDescent="0.3">
      <c r="A3019" t="str">
        <f>""</f>
        <v/>
      </c>
      <c r="F3019" t="str">
        <f>""</f>
        <v/>
      </c>
      <c r="G3019" t="str">
        <f>""</f>
        <v/>
      </c>
      <c r="I3019" t="str">
        <f t="shared" si="62"/>
        <v>WAGE WORKS</v>
      </c>
    </row>
    <row r="3020" spans="1:9" x14ac:dyDescent="0.3">
      <c r="A3020" t="str">
        <f>""</f>
        <v/>
      </c>
      <c r="F3020" t="str">
        <f>""</f>
        <v/>
      </c>
      <c r="G3020" t="str">
        <f>""</f>
        <v/>
      </c>
      <c r="I3020" t="str">
        <f t="shared" si="62"/>
        <v>WAGE WORKS</v>
      </c>
    </row>
    <row r="3021" spans="1:9" x14ac:dyDescent="0.3">
      <c r="A3021" t="str">
        <f>""</f>
        <v/>
      </c>
      <c r="F3021" t="str">
        <f>""</f>
        <v/>
      </c>
      <c r="G3021" t="str">
        <f>""</f>
        <v/>
      </c>
      <c r="I3021" t="str">
        <f t="shared" si="62"/>
        <v>WAGE WORKS</v>
      </c>
    </row>
    <row r="3022" spans="1:9" x14ac:dyDescent="0.3">
      <c r="A3022" t="str">
        <f>""</f>
        <v/>
      </c>
      <c r="F3022" t="str">
        <f>""</f>
        <v/>
      </c>
      <c r="G3022" t="str">
        <f>""</f>
        <v/>
      </c>
      <c r="I3022" t="str">
        <f t="shared" si="62"/>
        <v>WAGE WORKS</v>
      </c>
    </row>
    <row r="3023" spans="1:9" x14ac:dyDescent="0.3">
      <c r="A3023" t="str">
        <f>""</f>
        <v/>
      </c>
      <c r="F3023" t="str">
        <f>""</f>
        <v/>
      </c>
      <c r="G3023" t="str">
        <f>""</f>
        <v/>
      </c>
      <c r="I3023" t="str">
        <f t="shared" si="62"/>
        <v>WAGE WORKS</v>
      </c>
    </row>
    <row r="3024" spans="1:9" x14ac:dyDescent="0.3">
      <c r="A3024" t="str">
        <f>""</f>
        <v/>
      </c>
      <c r="F3024" t="str">
        <f>""</f>
        <v/>
      </c>
      <c r="G3024" t="str">
        <f>""</f>
        <v/>
      </c>
      <c r="I3024" t="str">
        <f t="shared" si="62"/>
        <v>WAGE WORKS</v>
      </c>
    </row>
    <row r="3025" spans="1:9" x14ac:dyDescent="0.3">
      <c r="A3025" t="str">
        <f>""</f>
        <v/>
      </c>
      <c r="F3025" t="str">
        <f>""</f>
        <v/>
      </c>
      <c r="G3025" t="str">
        <f>""</f>
        <v/>
      </c>
      <c r="I3025" t="str">
        <f t="shared" si="62"/>
        <v>WAGE WORKS</v>
      </c>
    </row>
    <row r="3026" spans="1:9" x14ac:dyDescent="0.3">
      <c r="A3026" t="str">
        <f>""</f>
        <v/>
      </c>
      <c r="F3026" t="str">
        <f>""</f>
        <v/>
      </c>
      <c r="G3026" t="str">
        <f>""</f>
        <v/>
      </c>
      <c r="I3026" t="str">
        <f t="shared" si="62"/>
        <v>WAGE WORKS</v>
      </c>
    </row>
    <row r="3027" spans="1:9" x14ac:dyDescent="0.3">
      <c r="A3027" t="str">
        <f>""</f>
        <v/>
      </c>
      <c r="F3027" t="str">
        <f>""</f>
        <v/>
      </c>
      <c r="G3027" t="str">
        <f>""</f>
        <v/>
      </c>
      <c r="I3027" t="str">
        <f t="shared" si="62"/>
        <v>WAGE WORKS</v>
      </c>
    </row>
    <row r="3028" spans="1:9" x14ac:dyDescent="0.3">
      <c r="A3028" t="str">
        <f>""</f>
        <v/>
      </c>
      <c r="F3028" t="str">
        <f>""</f>
        <v/>
      </c>
      <c r="G3028" t="str">
        <f>""</f>
        <v/>
      </c>
      <c r="I3028" t="str">
        <f t="shared" si="62"/>
        <v>WAGE WORKS</v>
      </c>
    </row>
    <row r="3029" spans="1:9" x14ac:dyDescent="0.3">
      <c r="A3029" t="str">
        <f>""</f>
        <v/>
      </c>
      <c r="F3029" t="str">
        <f>""</f>
        <v/>
      </c>
      <c r="G3029" t="str">
        <f>""</f>
        <v/>
      </c>
      <c r="I3029" t="str">
        <f t="shared" si="62"/>
        <v>WAGE WORKS</v>
      </c>
    </row>
    <row r="3030" spans="1:9" x14ac:dyDescent="0.3">
      <c r="A3030" t="str">
        <f>""</f>
        <v/>
      </c>
      <c r="F3030" t="str">
        <f>""</f>
        <v/>
      </c>
      <c r="G3030" t="str">
        <f>""</f>
        <v/>
      </c>
      <c r="I3030" t="str">
        <f t="shared" si="62"/>
        <v>WAGE WORKS</v>
      </c>
    </row>
    <row r="3031" spans="1:9" x14ac:dyDescent="0.3">
      <c r="A3031" t="str">
        <f>""</f>
        <v/>
      </c>
      <c r="F3031" t="str">
        <f>""</f>
        <v/>
      </c>
      <c r="G3031" t="str">
        <f>""</f>
        <v/>
      </c>
      <c r="I3031" t="str">
        <f t="shared" si="62"/>
        <v>WAGE WORKS</v>
      </c>
    </row>
    <row r="3032" spans="1:9" x14ac:dyDescent="0.3">
      <c r="A3032" t="str">
        <f>""</f>
        <v/>
      </c>
      <c r="F3032" t="str">
        <f>""</f>
        <v/>
      </c>
      <c r="G3032" t="str">
        <f>""</f>
        <v/>
      </c>
      <c r="I3032" t="str">
        <f t="shared" si="62"/>
        <v>WAGE WORKS</v>
      </c>
    </row>
    <row r="3033" spans="1:9" x14ac:dyDescent="0.3">
      <c r="A3033" t="str">
        <f>""</f>
        <v/>
      </c>
      <c r="F3033" t="str">
        <f>""</f>
        <v/>
      </c>
      <c r="G3033" t="str">
        <f>""</f>
        <v/>
      </c>
      <c r="I3033" t="str">
        <f t="shared" si="62"/>
        <v>WAGE WORKS</v>
      </c>
    </row>
    <row r="3034" spans="1:9" x14ac:dyDescent="0.3">
      <c r="A3034" t="str">
        <f>""</f>
        <v/>
      </c>
      <c r="F3034" t="str">
        <f>""</f>
        <v/>
      </c>
      <c r="G3034" t="str">
        <f>""</f>
        <v/>
      </c>
      <c r="I3034" t="str">
        <f t="shared" si="62"/>
        <v>WAGE WORKS</v>
      </c>
    </row>
    <row r="3035" spans="1:9" x14ac:dyDescent="0.3">
      <c r="A3035" t="str">
        <f>""</f>
        <v/>
      </c>
      <c r="F3035" t="str">
        <f>""</f>
        <v/>
      </c>
      <c r="G3035" t="str">
        <f>""</f>
        <v/>
      </c>
      <c r="I3035" t="str">
        <f t="shared" si="62"/>
        <v>WAGE WORKS</v>
      </c>
    </row>
    <row r="3036" spans="1:9" x14ac:dyDescent="0.3">
      <c r="A3036" t="str">
        <f>""</f>
        <v/>
      </c>
      <c r="F3036" t="str">
        <f>""</f>
        <v/>
      </c>
      <c r="G3036" t="str">
        <f>""</f>
        <v/>
      </c>
      <c r="I3036" t="str">
        <f t="shared" si="62"/>
        <v>WAGE WORKS</v>
      </c>
    </row>
    <row r="3037" spans="1:9" x14ac:dyDescent="0.3">
      <c r="A3037" t="str">
        <f>""</f>
        <v/>
      </c>
      <c r="F3037" t="str">
        <f>""</f>
        <v/>
      </c>
      <c r="G3037" t="str">
        <f>""</f>
        <v/>
      </c>
      <c r="I3037" t="str">
        <f t="shared" ref="I3037:I3054" si="63">"WAGE WORKS"</f>
        <v>WAGE WORKS</v>
      </c>
    </row>
    <row r="3038" spans="1:9" x14ac:dyDescent="0.3">
      <c r="A3038" t="str">
        <f>""</f>
        <v/>
      </c>
      <c r="F3038" t="str">
        <f>""</f>
        <v/>
      </c>
      <c r="G3038" t="str">
        <f>""</f>
        <v/>
      </c>
      <c r="I3038" t="str">
        <f t="shared" si="63"/>
        <v>WAGE WORKS</v>
      </c>
    </row>
    <row r="3039" spans="1:9" x14ac:dyDescent="0.3">
      <c r="A3039" t="str">
        <f>""</f>
        <v/>
      </c>
      <c r="F3039" t="str">
        <f>""</f>
        <v/>
      </c>
      <c r="G3039" t="str">
        <f>""</f>
        <v/>
      </c>
      <c r="I3039" t="str">
        <f t="shared" si="63"/>
        <v>WAGE WORKS</v>
      </c>
    </row>
    <row r="3040" spans="1:9" x14ac:dyDescent="0.3">
      <c r="A3040" t="str">
        <f>""</f>
        <v/>
      </c>
      <c r="F3040" t="str">
        <f>""</f>
        <v/>
      </c>
      <c r="G3040" t="str">
        <f>""</f>
        <v/>
      </c>
      <c r="I3040" t="str">
        <f t="shared" si="63"/>
        <v>WAGE WORKS</v>
      </c>
    </row>
    <row r="3041" spans="1:9" x14ac:dyDescent="0.3">
      <c r="A3041" t="str">
        <f>""</f>
        <v/>
      </c>
      <c r="F3041" t="str">
        <f>""</f>
        <v/>
      </c>
      <c r="G3041" t="str">
        <f>""</f>
        <v/>
      </c>
      <c r="I3041" t="str">
        <f t="shared" si="63"/>
        <v>WAGE WORKS</v>
      </c>
    </row>
    <row r="3042" spans="1:9" x14ac:dyDescent="0.3">
      <c r="A3042" t="str">
        <f>""</f>
        <v/>
      </c>
      <c r="F3042" t="str">
        <f>""</f>
        <v/>
      </c>
      <c r="G3042" t="str">
        <f>""</f>
        <v/>
      </c>
      <c r="I3042" t="str">
        <f t="shared" si="63"/>
        <v>WAGE WORKS</v>
      </c>
    </row>
    <row r="3043" spans="1:9" x14ac:dyDescent="0.3">
      <c r="A3043" t="str">
        <f>""</f>
        <v/>
      </c>
      <c r="F3043" t="str">
        <f>""</f>
        <v/>
      </c>
      <c r="G3043" t="str">
        <f>""</f>
        <v/>
      </c>
      <c r="I3043" t="str">
        <f t="shared" si="63"/>
        <v>WAGE WORKS</v>
      </c>
    </row>
    <row r="3044" spans="1:9" x14ac:dyDescent="0.3">
      <c r="A3044" t="str">
        <f>""</f>
        <v/>
      </c>
      <c r="F3044" t="str">
        <f>""</f>
        <v/>
      </c>
      <c r="G3044" t="str">
        <f>""</f>
        <v/>
      </c>
      <c r="I3044" t="str">
        <f t="shared" si="63"/>
        <v>WAGE WORKS</v>
      </c>
    </row>
    <row r="3045" spans="1:9" x14ac:dyDescent="0.3">
      <c r="A3045" t="str">
        <f>""</f>
        <v/>
      </c>
      <c r="F3045" t="str">
        <f>""</f>
        <v/>
      </c>
      <c r="G3045" t="str">
        <f>""</f>
        <v/>
      </c>
      <c r="I3045" t="str">
        <f t="shared" si="63"/>
        <v>WAGE WORKS</v>
      </c>
    </row>
    <row r="3046" spans="1:9" x14ac:dyDescent="0.3">
      <c r="A3046" t="str">
        <f>""</f>
        <v/>
      </c>
      <c r="F3046" t="str">
        <f>""</f>
        <v/>
      </c>
      <c r="G3046" t="str">
        <f>""</f>
        <v/>
      </c>
      <c r="I3046" t="str">
        <f t="shared" si="63"/>
        <v>WAGE WORKS</v>
      </c>
    </row>
    <row r="3047" spans="1:9" x14ac:dyDescent="0.3">
      <c r="A3047" t="str">
        <f>""</f>
        <v/>
      </c>
      <c r="F3047" t="str">
        <f>""</f>
        <v/>
      </c>
      <c r="G3047" t="str">
        <f>""</f>
        <v/>
      </c>
      <c r="I3047" t="str">
        <f t="shared" si="63"/>
        <v>WAGE WORKS</v>
      </c>
    </row>
    <row r="3048" spans="1:9" x14ac:dyDescent="0.3">
      <c r="A3048" t="str">
        <f>""</f>
        <v/>
      </c>
      <c r="F3048" t="str">
        <f>""</f>
        <v/>
      </c>
      <c r="G3048" t="str">
        <f>""</f>
        <v/>
      </c>
      <c r="I3048" t="str">
        <f t="shared" si="63"/>
        <v>WAGE WORKS</v>
      </c>
    </row>
    <row r="3049" spans="1:9" x14ac:dyDescent="0.3">
      <c r="A3049" t="str">
        <f>""</f>
        <v/>
      </c>
      <c r="F3049" t="str">
        <f>""</f>
        <v/>
      </c>
      <c r="G3049" t="str">
        <f>""</f>
        <v/>
      </c>
      <c r="I3049" t="str">
        <f t="shared" si="63"/>
        <v>WAGE WORKS</v>
      </c>
    </row>
    <row r="3050" spans="1:9" x14ac:dyDescent="0.3">
      <c r="A3050" t="str">
        <f>""</f>
        <v/>
      </c>
      <c r="F3050" t="str">
        <f>""</f>
        <v/>
      </c>
      <c r="G3050" t="str">
        <f>""</f>
        <v/>
      </c>
      <c r="I3050" t="str">
        <f t="shared" si="63"/>
        <v>WAGE WORKS</v>
      </c>
    </row>
    <row r="3051" spans="1:9" x14ac:dyDescent="0.3">
      <c r="A3051" t="str">
        <f>""</f>
        <v/>
      </c>
      <c r="F3051" t="str">
        <f>""</f>
        <v/>
      </c>
      <c r="G3051" t="str">
        <f>""</f>
        <v/>
      </c>
      <c r="I3051" t="str">
        <f t="shared" si="63"/>
        <v>WAGE WORKS</v>
      </c>
    </row>
    <row r="3052" spans="1:9" x14ac:dyDescent="0.3">
      <c r="A3052" t="str">
        <f>""</f>
        <v/>
      </c>
      <c r="F3052" t="str">
        <f>""</f>
        <v/>
      </c>
      <c r="G3052" t="str">
        <f>""</f>
        <v/>
      </c>
      <c r="I3052" t="str">
        <f t="shared" si="63"/>
        <v>WAGE WORKS</v>
      </c>
    </row>
    <row r="3053" spans="1:9" x14ac:dyDescent="0.3">
      <c r="A3053" t="str">
        <f>""</f>
        <v/>
      </c>
      <c r="F3053" t="str">
        <f>""</f>
        <v/>
      </c>
      <c r="G3053" t="str">
        <f>""</f>
        <v/>
      </c>
      <c r="I3053" t="str">
        <f t="shared" si="63"/>
        <v>WAGE WORKS</v>
      </c>
    </row>
    <row r="3054" spans="1:9" x14ac:dyDescent="0.3">
      <c r="A3054" t="str">
        <f>""</f>
        <v/>
      </c>
      <c r="C3054" s="3" t="s">
        <v>529</v>
      </c>
      <c r="D3054" s="2">
        <f>SUM(D2:D3053)</f>
        <v>4475073.7400000012</v>
      </c>
      <c r="F3054" t="str">
        <f>"HRA201710276055"</f>
        <v>HRA201710276055</v>
      </c>
      <c r="G3054" t="str">
        <f>"WAGE WORKS"</f>
        <v>WAGE WORKS</v>
      </c>
      <c r="H3054" s="2">
        <v>5812.5</v>
      </c>
      <c r="I3054" t="str">
        <f t="shared" si="63"/>
        <v>WAGE WORKS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2018-05-01T14:52:26Z</dcterms:created>
  <dcterms:modified xsi:type="dcterms:W3CDTF">2018-06-28T14:25:27Z</dcterms:modified>
</cp:coreProperties>
</file>