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9140" windowHeight="6888"/>
  </bookViews>
  <sheets>
    <sheet name="AP-CHK-RPT-20180629" sheetId="1" r:id="rId1"/>
  </sheets>
  <calcPr calcId="0"/>
</workbook>
</file>

<file path=xl/calcChain.xml><?xml version="1.0" encoding="utf-8"?>
<calcChain xmlns="http://schemas.openxmlformats.org/spreadsheetml/2006/main">
  <c r="D3012" i="1" l="1"/>
  <c r="A2" i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H48" i="1"/>
  <c r="I48" i="1"/>
  <c r="J48" i="1"/>
  <c r="A49" i="1"/>
  <c r="H49" i="1"/>
  <c r="I49" i="1"/>
  <c r="J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F54" i="1"/>
  <c r="G54" i="1"/>
  <c r="I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I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F87" i="1"/>
  <c r="G87" i="1"/>
  <c r="I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A233" i="1"/>
  <c r="F233" i="1"/>
  <c r="G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H239" i="1"/>
  <c r="I239" i="1"/>
  <c r="J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F260" i="1"/>
  <c r="G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G293" i="1"/>
  <c r="I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I302" i="1"/>
  <c r="A303" i="1"/>
  <c r="F303" i="1"/>
  <c r="G303" i="1"/>
  <c r="I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H416" i="1"/>
  <c r="I416" i="1"/>
  <c r="J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H428" i="1"/>
  <c r="I428" i="1"/>
  <c r="J428" i="1"/>
  <c r="A429" i="1"/>
  <c r="H429" i="1"/>
  <c r="I429" i="1"/>
  <c r="J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H547" i="1"/>
  <c r="I547" i="1"/>
  <c r="J547" i="1"/>
  <c r="A548" i="1"/>
  <c r="H548" i="1"/>
  <c r="I548" i="1"/>
  <c r="J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H575" i="1"/>
  <c r="I575" i="1"/>
  <c r="J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F587" i="1"/>
  <c r="G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I605" i="1"/>
  <c r="A606" i="1"/>
  <c r="F606" i="1"/>
  <c r="G606" i="1"/>
  <c r="I606" i="1"/>
  <c r="A607" i="1"/>
  <c r="F607" i="1"/>
  <c r="G607" i="1"/>
  <c r="I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H631" i="1"/>
  <c r="I631" i="1"/>
  <c r="J631" i="1"/>
  <c r="A632" i="1"/>
  <c r="F632" i="1"/>
  <c r="G632" i="1"/>
  <c r="I632" i="1"/>
  <c r="A633" i="1"/>
  <c r="F633" i="1"/>
  <c r="G633" i="1"/>
  <c r="I633" i="1"/>
  <c r="A634" i="1"/>
  <c r="H634" i="1"/>
  <c r="I634" i="1"/>
  <c r="J634" i="1"/>
  <c r="A635" i="1"/>
  <c r="H635" i="1"/>
  <c r="I635" i="1"/>
  <c r="J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F680" i="1"/>
  <c r="G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F689" i="1"/>
  <c r="G689" i="1"/>
  <c r="I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H718" i="1"/>
  <c r="I718" i="1"/>
  <c r="J718" i="1"/>
  <c r="A719" i="1"/>
  <c r="F719" i="1"/>
  <c r="G719" i="1"/>
  <c r="I719" i="1"/>
  <c r="A720" i="1"/>
  <c r="F720" i="1"/>
  <c r="G720" i="1"/>
  <c r="I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H745" i="1"/>
  <c r="I745" i="1"/>
  <c r="J745" i="1"/>
  <c r="A746" i="1"/>
  <c r="H746" i="1"/>
  <c r="I746" i="1"/>
  <c r="J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H759" i="1"/>
  <c r="I759" i="1"/>
  <c r="J759" i="1"/>
  <c r="A760" i="1"/>
  <c r="F760" i="1"/>
  <c r="G760" i="1"/>
  <c r="I760" i="1"/>
  <c r="A761" i="1"/>
  <c r="H761" i="1"/>
  <c r="I761" i="1"/>
  <c r="J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F800" i="1"/>
  <c r="G800" i="1"/>
  <c r="I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F807" i="1"/>
  <c r="G807" i="1"/>
  <c r="I807" i="1"/>
  <c r="A808" i="1"/>
  <c r="F808" i="1"/>
  <c r="G808" i="1"/>
  <c r="I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F824" i="1"/>
  <c r="G824" i="1"/>
  <c r="I824" i="1"/>
  <c r="A825" i="1"/>
  <c r="F825" i="1"/>
  <c r="G825" i="1"/>
  <c r="I825" i="1"/>
  <c r="A826" i="1"/>
  <c r="F826" i="1"/>
  <c r="G826" i="1"/>
  <c r="I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F843" i="1"/>
  <c r="G843" i="1"/>
  <c r="I843" i="1"/>
  <c r="A844" i="1"/>
  <c r="F844" i="1"/>
  <c r="G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F850" i="1"/>
  <c r="G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H877" i="1"/>
  <c r="I877" i="1"/>
  <c r="J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F897" i="1"/>
  <c r="G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F902" i="1"/>
  <c r="G902" i="1"/>
  <c r="I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F950" i="1"/>
  <c r="G950" i="1"/>
  <c r="I950" i="1"/>
  <c r="A951" i="1"/>
  <c r="F951" i="1"/>
  <c r="G951" i="1"/>
  <c r="I951" i="1"/>
  <c r="A952" i="1"/>
  <c r="F952" i="1"/>
  <c r="G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F980" i="1"/>
  <c r="G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I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F1002" i="1"/>
  <c r="G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I1147" i="1"/>
  <c r="A1148" i="1"/>
  <c r="F1148" i="1"/>
  <c r="G1148" i="1"/>
  <c r="I1148" i="1"/>
  <c r="A1149" i="1"/>
  <c r="F1149" i="1"/>
  <c r="G1149" i="1"/>
  <c r="I1149" i="1"/>
  <c r="A1150" i="1"/>
  <c r="F1150" i="1"/>
  <c r="G1150" i="1"/>
  <c r="I1150" i="1"/>
  <c r="A1151" i="1"/>
  <c r="F1151" i="1"/>
  <c r="G1151" i="1"/>
  <c r="I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H1156" i="1"/>
  <c r="I1156" i="1"/>
  <c r="J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F1200" i="1"/>
  <c r="G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F1296" i="1"/>
  <c r="G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F1305" i="1"/>
  <c r="G1305" i="1"/>
  <c r="I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H1322" i="1"/>
  <c r="I1322" i="1"/>
  <c r="J1322" i="1"/>
  <c r="A1323" i="1"/>
  <c r="H1323" i="1"/>
  <c r="I1323" i="1"/>
  <c r="J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F1340" i="1"/>
  <c r="G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H1434" i="1"/>
  <c r="I1434" i="1"/>
  <c r="J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H1452" i="1"/>
  <c r="I1452" i="1"/>
  <c r="J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I1583" i="1"/>
  <c r="A1584" i="1"/>
  <c r="F1584" i="1"/>
  <c r="G1584" i="1"/>
  <c r="I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G1606" i="1"/>
  <c r="I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F1653" i="1"/>
  <c r="G1653" i="1"/>
  <c r="I1653" i="1"/>
  <c r="A1654" i="1"/>
  <c r="F1654" i="1"/>
  <c r="G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I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I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  <c r="A2886" i="1"/>
  <c r="F2886" i="1"/>
  <c r="G2886" i="1"/>
  <c r="I2886" i="1"/>
  <c r="A2887" i="1"/>
  <c r="F2887" i="1"/>
  <c r="G2887" i="1"/>
  <c r="I2887" i="1"/>
  <c r="A2888" i="1"/>
  <c r="F2888" i="1"/>
  <c r="G2888" i="1"/>
  <c r="I2888" i="1"/>
  <c r="A2889" i="1"/>
  <c r="F2889" i="1"/>
  <c r="G2889" i="1"/>
  <c r="I2889" i="1"/>
  <c r="A2890" i="1"/>
  <c r="F2890" i="1"/>
  <c r="G2890" i="1"/>
  <c r="I2890" i="1"/>
  <c r="A2891" i="1"/>
  <c r="F2891" i="1"/>
  <c r="G2891" i="1"/>
  <c r="I2891" i="1"/>
  <c r="A2892" i="1"/>
  <c r="F2892" i="1"/>
  <c r="G2892" i="1"/>
  <c r="I2892" i="1"/>
  <c r="A2893" i="1"/>
  <c r="F2893" i="1"/>
  <c r="G2893" i="1"/>
  <c r="I2893" i="1"/>
  <c r="A2894" i="1"/>
  <c r="F2894" i="1"/>
  <c r="G2894" i="1"/>
  <c r="I2894" i="1"/>
  <c r="A2895" i="1"/>
  <c r="F2895" i="1"/>
  <c r="G2895" i="1"/>
  <c r="I2895" i="1"/>
  <c r="A2896" i="1"/>
  <c r="F2896" i="1"/>
  <c r="G2896" i="1"/>
  <c r="I2896" i="1"/>
  <c r="A2897" i="1"/>
  <c r="F2897" i="1"/>
  <c r="G2897" i="1"/>
  <c r="I2897" i="1"/>
  <c r="A2898" i="1"/>
  <c r="F2898" i="1"/>
  <c r="G2898" i="1"/>
  <c r="I2898" i="1"/>
  <c r="A2899" i="1"/>
  <c r="F2899" i="1"/>
  <c r="G2899" i="1"/>
  <c r="I2899" i="1"/>
  <c r="A2900" i="1"/>
  <c r="F2900" i="1"/>
  <c r="G2900" i="1"/>
  <c r="I2900" i="1"/>
  <c r="A2901" i="1"/>
  <c r="F2901" i="1"/>
  <c r="G2901" i="1"/>
  <c r="I2901" i="1"/>
  <c r="A2902" i="1"/>
  <c r="F2902" i="1"/>
  <c r="G2902" i="1"/>
  <c r="I2902" i="1"/>
  <c r="A2903" i="1"/>
  <c r="F2903" i="1"/>
  <c r="G2903" i="1"/>
  <c r="I2903" i="1"/>
  <c r="A2904" i="1"/>
  <c r="F2904" i="1"/>
  <c r="G2904" i="1"/>
  <c r="I2904" i="1"/>
  <c r="A2905" i="1"/>
  <c r="F2905" i="1"/>
  <c r="G2905" i="1"/>
  <c r="I2905" i="1"/>
  <c r="A2906" i="1"/>
  <c r="F2906" i="1"/>
  <c r="G2906" i="1"/>
  <c r="I2906" i="1"/>
  <c r="A2907" i="1"/>
  <c r="F2907" i="1"/>
  <c r="G2907" i="1"/>
  <c r="I2907" i="1"/>
  <c r="A2908" i="1"/>
  <c r="F2908" i="1"/>
  <c r="G2908" i="1"/>
  <c r="I2908" i="1"/>
  <c r="A2909" i="1"/>
  <c r="F2909" i="1"/>
  <c r="G2909" i="1"/>
  <c r="I2909" i="1"/>
  <c r="A2910" i="1"/>
  <c r="F2910" i="1"/>
  <c r="G2910" i="1"/>
  <c r="I2910" i="1"/>
  <c r="A2911" i="1"/>
  <c r="F2911" i="1"/>
  <c r="G2911" i="1"/>
  <c r="I2911" i="1"/>
  <c r="A2912" i="1"/>
  <c r="F2912" i="1"/>
  <c r="G2912" i="1"/>
  <c r="I2912" i="1"/>
  <c r="A2913" i="1"/>
  <c r="F2913" i="1"/>
  <c r="G2913" i="1"/>
  <c r="I2913" i="1"/>
  <c r="A2914" i="1"/>
  <c r="F2914" i="1"/>
  <c r="G2914" i="1"/>
  <c r="I2914" i="1"/>
  <c r="A2915" i="1"/>
  <c r="F2915" i="1"/>
  <c r="G2915" i="1"/>
  <c r="I2915" i="1"/>
  <c r="A2916" i="1"/>
  <c r="F2916" i="1"/>
  <c r="G2916" i="1"/>
  <c r="I2916" i="1"/>
  <c r="A2917" i="1"/>
  <c r="F2917" i="1"/>
  <c r="G2917" i="1"/>
  <c r="I2917" i="1"/>
  <c r="A2918" i="1"/>
  <c r="F2918" i="1"/>
  <c r="G2918" i="1"/>
  <c r="I2918" i="1"/>
  <c r="A2919" i="1"/>
  <c r="F2919" i="1"/>
  <c r="G2919" i="1"/>
  <c r="I2919" i="1"/>
  <c r="A2920" i="1"/>
  <c r="F2920" i="1"/>
  <c r="G2920" i="1"/>
  <c r="I2920" i="1"/>
  <c r="A2921" i="1"/>
  <c r="F2921" i="1"/>
  <c r="G2921" i="1"/>
  <c r="I2921" i="1"/>
  <c r="A2922" i="1"/>
  <c r="F2922" i="1"/>
  <c r="G2922" i="1"/>
  <c r="I2922" i="1"/>
  <c r="A2923" i="1"/>
  <c r="F2923" i="1"/>
  <c r="G2923" i="1"/>
  <c r="I2923" i="1"/>
  <c r="A2924" i="1"/>
  <c r="F2924" i="1"/>
  <c r="G2924" i="1"/>
  <c r="I2924" i="1"/>
  <c r="A2925" i="1"/>
  <c r="F2925" i="1"/>
  <c r="G2925" i="1"/>
  <c r="I2925" i="1"/>
  <c r="A2926" i="1"/>
  <c r="F2926" i="1"/>
  <c r="G2926" i="1"/>
  <c r="I2926" i="1"/>
  <c r="A2927" i="1"/>
  <c r="F2927" i="1"/>
  <c r="G2927" i="1"/>
  <c r="I2927" i="1"/>
  <c r="A2928" i="1"/>
  <c r="F2928" i="1"/>
  <c r="G2928" i="1"/>
  <c r="I2928" i="1"/>
  <c r="A2929" i="1"/>
  <c r="F2929" i="1"/>
  <c r="G2929" i="1"/>
  <c r="I2929" i="1"/>
  <c r="A2930" i="1"/>
  <c r="F2930" i="1"/>
  <c r="G2930" i="1"/>
  <c r="I2930" i="1"/>
  <c r="A2931" i="1"/>
  <c r="F2931" i="1"/>
  <c r="G2931" i="1"/>
  <c r="I2931" i="1"/>
  <c r="A2932" i="1"/>
  <c r="F2932" i="1"/>
  <c r="G2932" i="1"/>
  <c r="I2932" i="1"/>
  <c r="A2933" i="1"/>
  <c r="F2933" i="1"/>
  <c r="G2933" i="1"/>
  <c r="I2933" i="1"/>
  <c r="A2934" i="1"/>
  <c r="F2934" i="1"/>
  <c r="G2934" i="1"/>
  <c r="I2934" i="1"/>
  <c r="A2935" i="1"/>
  <c r="F2935" i="1"/>
  <c r="G2935" i="1"/>
  <c r="I2935" i="1"/>
  <c r="A2936" i="1"/>
  <c r="F2936" i="1"/>
  <c r="G2936" i="1"/>
  <c r="I2936" i="1"/>
  <c r="A2937" i="1"/>
  <c r="F2937" i="1"/>
  <c r="G2937" i="1"/>
  <c r="I2937" i="1"/>
  <c r="A2938" i="1"/>
  <c r="F2938" i="1"/>
  <c r="G2938" i="1"/>
  <c r="I2938" i="1"/>
  <c r="A2939" i="1"/>
  <c r="F2939" i="1"/>
  <c r="G2939" i="1"/>
  <c r="I2939" i="1"/>
  <c r="A2940" i="1"/>
  <c r="F2940" i="1"/>
  <c r="G2940" i="1"/>
  <c r="I2940" i="1"/>
  <c r="A2941" i="1"/>
  <c r="F2941" i="1"/>
  <c r="G2941" i="1"/>
  <c r="I2941" i="1"/>
  <c r="A2942" i="1"/>
  <c r="F2942" i="1"/>
  <c r="G2942" i="1"/>
  <c r="I2942" i="1"/>
  <c r="A2943" i="1"/>
  <c r="F2943" i="1"/>
  <c r="G2943" i="1"/>
  <c r="I2943" i="1"/>
  <c r="A2944" i="1"/>
  <c r="F2944" i="1"/>
  <c r="G2944" i="1"/>
  <c r="I2944" i="1"/>
  <c r="A2945" i="1"/>
  <c r="F2945" i="1"/>
  <c r="G2945" i="1"/>
  <c r="I2945" i="1"/>
  <c r="A2946" i="1"/>
  <c r="F2946" i="1"/>
  <c r="G2946" i="1"/>
  <c r="I2946" i="1"/>
  <c r="A2947" i="1"/>
  <c r="F2947" i="1"/>
  <c r="G2947" i="1"/>
  <c r="I2947" i="1"/>
  <c r="A2948" i="1"/>
  <c r="F2948" i="1"/>
  <c r="G2948" i="1"/>
  <c r="I2948" i="1"/>
  <c r="A2949" i="1"/>
  <c r="F2949" i="1"/>
  <c r="G2949" i="1"/>
  <c r="I2949" i="1"/>
  <c r="A2950" i="1"/>
  <c r="F2950" i="1"/>
  <c r="G2950" i="1"/>
  <c r="I2950" i="1"/>
  <c r="A2951" i="1"/>
  <c r="F2951" i="1"/>
  <c r="G2951" i="1"/>
  <c r="I2951" i="1"/>
  <c r="A2952" i="1"/>
  <c r="F2952" i="1"/>
  <c r="G2952" i="1"/>
  <c r="I2952" i="1"/>
  <c r="A2953" i="1"/>
  <c r="F2953" i="1"/>
  <c r="G2953" i="1"/>
  <c r="I2953" i="1"/>
  <c r="A2954" i="1"/>
  <c r="F2954" i="1"/>
  <c r="G2954" i="1"/>
  <c r="I2954" i="1"/>
  <c r="A2955" i="1"/>
  <c r="F2955" i="1"/>
  <c r="G2955" i="1"/>
  <c r="I2955" i="1"/>
  <c r="A2956" i="1"/>
  <c r="F2956" i="1"/>
  <c r="G2956" i="1"/>
  <c r="I2956" i="1"/>
  <c r="A2957" i="1"/>
  <c r="F2957" i="1"/>
  <c r="G2957" i="1"/>
  <c r="I2957" i="1"/>
  <c r="A2958" i="1"/>
  <c r="F2958" i="1"/>
  <c r="G2958" i="1"/>
  <c r="I2958" i="1"/>
  <c r="A2959" i="1"/>
  <c r="F2959" i="1"/>
  <c r="G2959" i="1"/>
  <c r="I2959" i="1"/>
  <c r="A2960" i="1"/>
  <c r="F2960" i="1"/>
  <c r="G2960" i="1"/>
  <c r="I2960" i="1"/>
  <c r="A2961" i="1"/>
  <c r="F2961" i="1"/>
  <c r="G2961" i="1"/>
  <c r="I2961" i="1"/>
  <c r="A2962" i="1"/>
  <c r="F2962" i="1"/>
  <c r="G2962" i="1"/>
  <c r="I2962" i="1"/>
  <c r="A2963" i="1"/>
  <c r="F2963" i="1"/>
  <c r="G2963" i="1"/>
  <c r="I2963" i="1"/>
  <c r="A2964" i="1"/>
  <c r="F2964" i="1"/>
  <c r="G2964" i="1"/>
  <c r="I2964" i="1"/>
  <c r="A2965" i="1"/>
  <c r="F2965" i="1"/>
  <c r="G2965" i="1"/>
  <c r="I2965" i="1"/>
  <c r="A2966" i="1"/>
  <c r="F2966" i="1"/>
  <c r="G2966" i="1"/>
  <c r="I2966" i="1"/>
  <c r="A2967" i="1"/>
  <c r="F2967" i="1"/>
  <c r="G2967" i="1"/>
  <c r="I2967" i="1"/>
  <c r="A2968" i="1"/>
  <c r="F2968" i="1"/>
  <c r="G2968" i="1"/>
  <c r="I2968" i="1"/>
  <c r="A2969" i="1"/>
  <c r="F2969" i="1"/>
  <c r="G2969" i="1"/>
  <c r="I2969" i="1"/>
  <c r="A2970" i="1"/>
  <c r="F2970" i="1"/>
  <c r="G2970" i="1"/>
  <c r="I2970" i="1"/>
  <c r="A2971" i="1"/>
  <c r="F2971" i="1"/>
  <c r="G2971" i="1"/>
  <c r="I2971" i="1"/>
  <c r="A2972" i="1"/>
  <c r="F2972" i="1"/>
  <c r="G2972" i="1"/>
  <c r="I2972" i="1"/>
  <c r="A2973" i="1"/>
  <c r="F2973" i="1"/>
  <c r="G2973" i="1"/>
  <c r="I2973" i="1"/>
  <c r="A2974" i="1"/>
  <c r="F2974" i="1"/>
  <c r="G2974" i="1"/>
  <c r="I2974" i="1"/>
  <c r="A2975" i="1"/>
  <c r="F2975" i="1"/>
  <c r="G2975" i="1"/>
  <c r="I2975" i="1"/>
  <c r="A2976" i="1"/>
  <c r="F2976" i="1"/>
  <c r="G2976" i="1"/>
  <c r="I2976" i="1"/>
  <c r="A2977" i="1"/>
  <c r="F2977" i="1"/>
  <c r="G2977" i="1"/>
  <c r="I2977" i="1"/>
  <c r="A2978" i="1"/>
  <c r="F2978" i="1"/>
  <c r="G2978" i="1"/>
  <c r="I2978" i="1"/>
  <c r="A2979" i="1"/>
  <c r="F2979" i="1"/>
  <c r="G2979" i="1"/>
  <c r="I2979" i="1"/>
  <c r="A2980" i="1"/>
  <c r="F2980" i="1"/>
  <c r="G2980" i="1"/>
  <c r="I2980" i="1"/>
  <c r="A2981" i="1"/>
  <c r="F2981" i="1"/>
  <c r="G2981" i="1"/>
  <c r="I2981" i="1"/>
  <c r="A2982" i="1"/>
  <c r="F2982" i="1"/>
  <c r="G2982" i="1"/>
  <c r="I2982" i="1"/>
  <c r="A2983" i="1"/>
  <c r="F2983" i="1"/>
  <c r="G2983" i="1"/>
  <c r="I2983" i="1"/>
  <c r="A2984" i="1"/>
  <c r="F2984" i="1"/>
  <c r="G2984" i="1"/>
  <c r="I2984" i="1"/>
  <c r="A2985" i="1"/>
  <c r="F2985" i="1"/>
  <c r="G2985" i="1"/>
  <c r="I2985" i="1"/>
  <c r="A2986" i="1"/>
  <c r="F2986" i="1"/>
  <c r="G2986" i="1"/>
  <c r="I2986" i="1"/>
  <c r="A2987" i="1"/>
  <c r="F2987" i="1"/>
  <c r="G2987" i="1"/>
  <c r="I2987" i="1"/>
  <c r="A2988" i="1"/>
  <c r="F2988" i="1"/>
  <c r="G2988" i="1"/>
  <c r="I2988" i="1"/>
  <c r="A2989" i="1"/>
  <c r="F2989" i="1"/>
  <c r="G2989" i="1"/>
  <c r="I2989" i="1"/>
  <c r="A2990" i="1"/>
  <c r="F2990" i="1"/>
  <c r="G2990" i="1"/>
  <c r="I2990" i="1"/>
  <c r="A2991" i="1"/>
  <c r="F2991" i="1"/>
  <c r="G2991" i="1"/>
  <c r="I2991" i="1"/>
  <c r="A2992" i="1"/>
  <c r="F2992" i="1"/>
  <c r="G2992" i="1"/>
  <c r="I2992" i="1"/>
  <c r="A2993" i="1"/>
  <c r="F2993" i="1"/>
  <c r="G2993" i="1"/>
  <c r="I2993" i="1"/>
  <c r="A2994" i="1"/>
  <c r="F2994" i="1"/>
  <c r="G2994" i="1"/>
  <c r="I2994" i="1"/>
  <c r="A2995" i="1"/>
  <c r="F2995" i="1"/>
  <c r="G2995" i="1"/>
  <c r="I2995" i="1"/>
  <c r="A2996" i="1"/>
  <c r="F2996" i="1"/>
  <c r="G2996" i="1"/>
  <c r="I2996" i="1"/>
  <c r="A2997" i="1"/>
  <c r="F2997" i="1"/>
  <c r="G2997" i="1"/>
  <c r="I2997" i="1"/>
  <c r="A2998" i="1"/>
  <c r="F2998" i="1"/>
  <c r="G2998" i="1"/>
  <c r="I2998" i="1"/>
  <c r="A2999" i="1"/>
  <c r="F2999" i="1"/>
  <c r="G2999" i="1"/>
  <c r="I2999" i="1"/>
  <c r="A3000" i="1"/>
  <c r="F3000" i="1"/>
  <c r="G3000" i="1"/>
  <c r="I3000" i="1"/>
  <c r="A3001" i="1"/>
  <c r="F3001" i="1"/>
  <c r="G3001" i="1"/>
  <c r="I3001" i="1"/>
  <c r="A3002" i="1"/>
  <c r="F3002" i="1"/>
  <c r="G3002" i="1"/>
  <c r="I3002" i="1"/>
  <c r="A3003" i="1"/>
  <c r="F3003" i="1"/>
  <c r="G3003" i="1"/>
  <c r="I3003" i="1"/>
  <c r="A3004" i="1"/>
  <c r="F3004" i="1"/>
  <c r="G3004" i="1"/>
  <c r="I3004" i="1"/>
  <c r="A3005" i="1"/>
  <c r="F3005" i="1"/>
  <c r="G3005" i="1"/>
  <c r="I3005" i="1"/>
  <c r="A3006" i="1"/>
  <c r="F3006" i="1"/>
  <c r="G3006" i="1"/>
  <c r="I3006" i="1"/>
  <c r="A3007" i="1"/>
  <c r="F3007" i="1"/>
  <c r="G3007" i="1"/>
  <c r="I3007" i="1"/>
  <c r="A3008" i="1"/>
  <c r="F3008" i="1"/>
  <c r="G3008" i="1"/>
  <c r="I3008" i="1"/>
  <c r="A3009" i="1"/>
  <c r="F3009" i="1"/>
  <c r="G3009" i="1"/>
  <c r="I3009" i="1"/>
  <c r="A3010" i="1"/>
  <c r="F3010" i="1"/>
  <c r="G3010" i="1"/>
  <c r="I3010" i="1"/>
  <c r="A3011" i="1"/>
  <c r="F3011" i="1"/>
  <c r="G3011" i="1"/>
  <c r="I3011" i="1"/>
  <c r="A3012" i="1"/>
  <c r="F3012" i="1"/>
  <c r="G3012" i="1"/>
  <c r="I3012" i="1"/>
</calcChain>
</file>

<file path=xl/sharedStrings.xml><?xml version="1.0" encoding="utf-8"?>
<sst xmlns="http://schemas.openxmlformats.org/spreadsheetml/2006/main" count="614" uniqueCount="455">
  <si>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</si>
  <si>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</si>
  <si>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</si>
  <si>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</si>
  <si>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</si>
  <si>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</si>
  <si>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</si>
  <si>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</si>
  <si>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</si>
  <si>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</si>
  <si>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973 MATERIALS  LLC</t>
  </si>
  <si>
    <t>A PLUS BAIL BONDS</t>
  </si>
  <si>
    <t>ARNOLD OIL COMPANY OF AUSTIN LP</t>
  </si>
  <si>
    <t>TIMOTHY HALL</t>
  </si>
  <si>
    <t>ACADIAN AMBULANCE SERVICE INC</t>
  </si>
  <si>
    <t>ACE MART RESTAURANT SUPPLY</t>
  </si>
  <si>
    <t>ADAM ROWINS</t>
  </si>
  <si>
    <t>ADENA LEWIS</t>
  </si>
  <si>
    <t>ALAMO  GROUP (TX)  INC</t>
  </si>
  <si>
    <t>ALBERT NEAL PFEIFFER</t>
  </si>
  <si>
    <t>ALLIED INSURANCE</t>
  </si>
  <si>
    <t>="15</t>
  </si>
  <si>
    <t>835  04/06/2018"</t>
  </si>
  <si>
    <t>835  05/10/18"</t>
  </si>
  <si>
    <t>ALLIED SALES CO.</t>
  </si>
  <si>
    <t>ALPHA CARD SYSTEM LLC</t>
  </si>
  <si>
    <t>S &amp; D PLUMBING-GIDDINGS LLC</t>
  </si>
  <si>
    <t>AMAZON CAPITAL SERVICES INC</t>
  </si>
  <si>
    <t>AMC SOLUTIONS</t>
  </si>
  <si>
    <t>AMERICAN ASSN OF NOTARIES</t>
  </si>
  <si>
    <t>AMERICAN TIRE DISTRIBUTORS INC</t>
  </si>
  <si>
    <t>AMERISOURCEBERGEN</t>
  </si>
  <si>
    <t>AMG PRINTING &amp; MAILING  LLC</t>
  </si>
  <si>
    <t>ANDERSON &amp; ANDERSON LAW FIRM PC</t>
  </si>
  <si>
    <t>ANDREW BAKER</t>
  </si>
  <si>
    <t>C APPLEMAN ENT INC</t>
  </si>
  <si>
    <t>APRIL KUCK</t>
  </si>
  <si>
    <t>AQUA BEVERAGE COMPANY/OZARKA</t>
  </si>
  <si>
    <t>AQUA WATER SUPPLY CORPORATION</t>
  </si>
  <si>
    <t>ARA IMAGING / ST.DAVIDS IMAGING LP</t>
  </si>
  <si>
    <t>ARSENAL ADVERTISING LLC</t>
  </si>
  <si>
    <t>AT &amp; T</t>
  </si>
  <si>
    <t>AT&amp;T</t>
  </si>
  <si>
    <t>AT&amp;T MOBILITY</t>
  </si>
  <si>
    <t>AT&amp;T MOBILITY-W&amp;M</t>
  </si>
  <si>
    <t>AUSTEX DUMPTERS LLC</t>
  </si>
  <si>
    <t>GRAND JUNCTION NEWSPAPERS INC</t>
  </si>
  <si>
    <t>AUSTIN ENDOSCOPY CENTER  II LP</t>
  </si>
  <si>
    <t>RALPH E BONNELL CIH</t>
  </si>
  <si>
    <t>AUSTIN GASTROENTERLOGY</t>
  </si>
  <si>
    <t>AUSTIN LLOYD</t>
  </si>
  <si>
    <t>PTL LAWN &amp; CLEANING SERVICE  INC</t>
  </si>
  <si>
    <t>AUSTIN RADIOLOGICAL ASSOC</t>
  </si>
  <si>
    <t>BARBARA GOMEZ</t>
  </si>
  <si>
    <t>MICHAEL OLDHAM TIRE INC</t>
  </si>
  <si>
    <t>EDUARDO BARRIENTOS</t>
  </si>
  <si>
    <t>BASTROP CENTRAL APPRAISAL DIST.</t>
  </si>
  <si>
    <t>BASTROP COMMUNITY CARES</t>
  </si>
  <si>
    <t>BASTROP COUNTY SHERIFF'S DEPT</t>
  </si>
  <si>
    <t>DANIEL L HEPKER</t>
  </si>
  <si>
    <t>BASTROP INDEPENDENT SCHOOL DISTRICT</t>
  </si>
  <si>
    <t>BASTROP MEDICAL CLINIC</t>
  </si>
  <si>
    <t>BASTROP OUTDOOR</t>
  </si>
  <si>
    <t>BASTROP PROVIDENCE FUNERAL HOME</t>
  </si>
  <si>
    <t>BASTROP TREE SERVICE  INC</t>
  </si>
  <si>
    <t>BASTROP VET. HOSPITAL  INC.</t>
  </si>
  <si>
    <t>DAVID H OUTON</t>
  </si>
  <si>
    <t>BEARD INTEGRATED SYSTEMS  INC.</t>
  </si>
  <si>
    <t>BEN E KEITH CO.</t>
  </si>
  <si>
    <t>BENJAMIN FOODS  LLC</t>
  </si>
  <si>
    <t>MULTI SERVICE CORP</t>
  </si>
  <si>
    <t>BEXAR COUNTY SHERIFF</t>
  </si>
  <si>
    <t>BIG WRENCH ROAD SERVICE INC</t>
  </si>
  <si>
    <t>BIMBO FOODS INC</t>
  </si>
  <si>
    <t>BLAS J. COY  JR.</t>
  </si>
  <si>
    <t>BSTS LLC</t>
  </si>
  <si>
    <t>BLUEBONNET AREA CRIME STOPPERS PROGRAM</t>
  </si>
  <si>
    <t>BLUEBONNET ELECTRIC COOPERATIVE  INC.</t>
  </si>
  <si>
    <t>BLUEBONNET ELECTRIC</t>
  </si>
  <si>
    <t>915  04/23/2018"</t>
  </si>
  <si>
    <t>BLUEBONNET TRAILS MHMR</t>
  </si>
  <si>
    <t>BOB BARKER COMPANY  INC.</t>
  </si>
  <si>
    <t>BOBBY BROWN</t>
  </si>
  <si>
    <t>BRAMS &amp; ASSOCIATES  INC.</t>
  </si>
  <si>
    <t>BRAUNTEX MATERIALS INC</t>
  </si>
  <si>
    <t>BROWNELLS INC</t>
  </si>
  <si>
    <t>LAW OFFICE OF BRYAN W. MCDANIEL  P.C.</t>
  </si>
  <si>
    <t>BTDI JV  LLP</t>
  </si>
  <si>
    <t>BUREAU OF VITAL STATISTICS</t>
  </si>
  <si>
    <t>CALLAHANS' GENERAL STORE</t>
  </si>
  <si>
    <t>CAMPBELL PET COMPANY</t>
  </si>
  <si>
    <t>CAPITAL CHAPTER OF TAAO</t>
  </si>
  <si>
    <t>CAPITOL BEARING SERVICE OF AUSTIN  INC.</t>
  </si>
  <si>
    <t>TIB-THE INDEPENDENT BANKERS BANK</t>
  </si>
  <si>
    <t>CECIL R REYNOLDS PHD</t>
  </si>
  <si>
    <t>CEN-TEX MARINE FABRICATORS INC</t>
  </si>
  <si>
    <t>CENTEX MATERIALS LLC</t>
  </si>
  <si>
    <t>CENTEX MECHANICAL INC</t>
  </si>
  <si>
    <t>CENTRAL TEXAS BARRICADES INC</t>
  </si>
  <si>
    <t>CENTRAL TEXAS AUTOPSY</t>
  </si>
  <si>
    <t>CHARLES W CARVER</t>
  </si>
  <si>
    <t>CHARM-TEX</t>
  </si>
  <si>
    <t>CHESTNUT STREET BONDING COMPANY</t>
  </si>
  <si>
    <t>CHRIS MATT DILLON</t>
  </si>
  <si>
    <t>CHRISTOPHER D  DUGGAN</t>
  </si>
  <si>
    <t>CINDYE WOLFORD</t>
  </si>
  <si>
    <t>CINTAS</t>
  </si>
  <si>
    <t>CINTAS CORPORATION</t>
  </si>
  <si>
    <t>CINTAS CORPORATION #86</t>
  </si>
  <si>
    <t>CISTERA NETWORKS INC</t>
  </si>
  <si>
    <t>CITY OF BASTROP</t>
  </si>
  <si>
    <t>="12</t>
  </si>
  <si>
    <t>756  04/04/2018"</t>
  </si>
  <si>
    <t>CITY OF SMITHVILLE</t>
  </si>
  <si>
    <t>CLIFFORD POWER SYSTEMS INC</t>
  </si>
  <si>
    <t>CLINICAL PATHOLOGY LABORATORIES INC</t>
  </si>
  <si>
    <t>CNA SURETY</t>
  </si>
  <si>
    <t>CONNIE SCHROEDER</t>
  </si>
  <si>
    <t>="13</t>
  </si>
  <si>
    <t>651  04/23/2018"</t>
  </si>
  <si>
    <t>651 05/25/18"</t>
  </si>
  <si>
    <t>CONTECH ENGINEERED SOLUTIONS INC</t>
  </si>
  <si>
    <t>CONVERGENCE CABLING  INC.</t>
  </si>
  <si>
    <t>COOPER EQUIPMENT CO.</t>
  </si>
  <si>
    <t>COUNTY OF CASS</t>
  </si>
  <si>
    <t>COVERT CHEVROLET-OLDS</t>
  </si>
  <si>
    <t>CRESSIDA EVELYN KWOLEK  PH. D.</t>
  </si>
  <si>
    <t>DFW COMMUNICATIONS  INC.</t>
  </si>
  <si>
    <t>MUNICIPAL SERVICES BUREAU</t>
  </si>
  <si>
    <t>CURTIS OLTMANN</t>
  </si>
  <si>
    <t>CUSTOM PRODUCTS CORPORATION</t>
  </si>
  <si>
    <t>CUSTOM TREE CARE  INC</t>
  </si>
  <si>
    <t>DAHILL INDUSTRIES  INC</t>
  </si>
  <si>
    <t>DALLAS COUNTY CONSTABLE PCT 1</t>
  </si>
  <si>
    <t>DAVID B BROOKS</t>
  </si>
  <si>
    <t>DAVID M COLLINS</t>
  </si>
  <si>
    <t>DELL</t>
  </si>
  <si>
    <t>DENTRUST DENTAL TX PC</t>
  </si>
  <si>
    <t>DICKENS LOCKSMITH INC</t>
  </si>
  <si>
    <t>DIRECTIONS TRAINING CENTER INC.</t>
  </si>
  <si>
    <t>DISTRICT 10 4-H AGENTS ASSOCIATION</t>
  </si>
  <si>
    <t>DOCK L JACKSON JR</t>
  </si>
  <si>
    <t>DOUBLE TUFF TRUCK TARPS INC</t>
  </si>
  <si>
    <t>DUNNE &amp; JUAREZ L.L.C.</t>
  </si>
  <si>
    <t>ECOLAB INC</t>
  </si>
  <si>
    <t>KATHRYN A. PEACE</t>
  </si>
  <si>
    <t>CITY OF ELGIN UTILITIES</t>
  </si>
  <si>
    <t>ELLIOTT ELECTRIC SUPPLY INC</t>
  </si>
  <si>
    <t>ENRIQUE PORTUGAL</t>
  </si>
  <si>
    <t>ERGON ASPHALT &amp; EMULSIONS INC</t>
  </si>
  <si>
    <t>ERIN NICKEL</t>
  </si>
  <si>
    <t>EWALD KUBOTA  INC.</t>
  </si>
  <si>
    <t>BASTROP COUNTY WOMEN'S SHELTER</t>
  </si>
  <si>
    <t>FBI-LEEDA INC</t>
  </si>
  <si>
    <t>FEDERAL EXPRESS</t>
  </si>
  <si>
    <t>FIRST NATIONAL BANK BASTROP</t>
  </si>
  <si>
    <t>="14</t>
  </si>
  <si>
    <t>861  04/23/2018"</t>
  </si>
  <si>
    <t>861 05/25/18"</t>
  </si>
  <si>
    <t>FLEET COR TECHNOLOGIES INC</t>
  </si>
  <si>
    <t>FLEETPRIDE</t>
  </si>
  <si>
    <t>FLO'S BAIL BONDS</t>
  </si>
  <si>
    <t>FOREMOST COUNTY MUTUAL INS CO</t>
  </si>
  <si>
    <t>347  04/30/18"</t>
  </si>
  <si>
    <t>FORREST L. SANDERSON</t>
  </si>
  <si>
    <t>FPC FINANCIAL f.s.b.</t>
  </si>
  <si>
    <t>FRED PRYOR SEMINARS</t>
  </si>
  <si>
    <t>AUSTIN TRUCK &amp; EQUIPMENT  LTD</t>
  </si>
  <si>
    <t>EUGENE W BRIGGS JR</t>
  </si>
  <si>
    <t>G &amp; K SERVICES</t>
  </si>
  <si>
    <t>GARLAND T MURLEY</t>
  </si>
  <si>
    <t>GERALD L. BYINGTON</t>
  </si>
  <si>
    <t>GIPSON PENDERGRASS PEOPLE'S MORTUARY LLC</t>
  </si>
  <si>
    <t>GOVERNMENT FORMS AND SUPPLIES LLC</t>
  </si>
  <si>
    <t>GRAINGER INC</t>
  </si>
  <si>
    <t>GRAND JUNCTION NEWSPAPERS</t>
  </si>
  <si>
    <t>GREG GILLELAND</t>
  </si>
  <si>
    <t>GT DISTRIBUTORS  INC.</t>
  </si>
  <si>
    <t>GULF COAST PAPER CO. INC.</t>
  </si>
  <si>
    <t>HAMILTON ELECTRIC WORKS  INC.</t>
  </si>
  <si>
    <t>HARRIS COUNTY CONSTABLE PCT 1</t>
  </si>
  <si>
    <t>HEB GROCERY COMPANY LP</t>
  </si>
  <si>
    <t>="10</t>
  </si>
  <si>
    <t>442"</t>
  </si>
  <si>
    <t>HENNA CHEVROLET</t>
  </si>
  <si>
    <t>HERSHCAP BACKHOE &amp; DITCHING  INC.</t>
  </si>
  <si>
    <t>658  04/16/18"</t>
  </si>
  <si>
    <t>658 05/14/18"</t>
  </si>
  <si>
    <t>BASCOM L HODGES JR</t>
  </si>
  <si>
    <t>HODGSON G ECKEL</t>
  </si>
  <si>
    <t>BD HOLT CO</t>
  </si>
  <si>
    <t>CITIBANK (SOUTH DAKOTA)N.A./THE HOME DEPOT</t>
  </si>
  <si>
    <t>HUDSON ENERGY CORP</t>
  </si>
  <si>
    <t>HYDRAULIC HOUSE INC</t>
  </si>
  <si>
    <t>ICS</t>
  </si>
  <si>
    <t>INDIGENT HEALTHCARE SOLUTIONS</t>
  </si>
  <si>
    <t>MICHAEL ALAN LINN</t>
  </si>
  <si>
    <t>J D LANGLEY</t>
  </si>
  <si>
    <t>JACO INDUSTRIAL SUPPLY  INC</t>
  </si>
  <si>
    <t>JAMES BATES</t>
  </si>
  <si>
    <t>JAMES O. BURKE</t>
  </si>
  <si>
    <t>JAN LANGER  DVM</t>
  </si>
  <si>
    <t>JENKINS &amp; JENKINS LLP</t>
  </si>
  <si>
    <t>JERRY HOFROCK</t>
  </si>
  <si>
    <t>505  05/03/18"</t>
  </si>
  <si>
    <t>JAMES MORGAN</t>
  </si>
  <si>
    <t>JIMMY SALAS RUIZ</t>
  </si>
  <si>
    <t>JOE W. FLY CO.  INC</t>
  </si>
  <si>
    <t>JOHN C KUHN</t>
  </si>
  <si>
    <t>JOSEPHINE MORALES</t>
  </si>
  <si>
    <t>204  04/03/18"</t>
  </si>
  <si>
    <t>204  04/27/18"</t>
  </si>
  <si>
    <t>JUSTIN MATTHEW FOHN</t>
  </si>
  <si>
    <t>KAMRON T SAUNDERS</t>
  </si>
  <si>
    <t>KAREN STARKS</t>
  </si>
  <si>
    <t>="8</t>
  </si>
  <si>
    <t>898  04/05/18"</t>
  </si>
  <si>
    <t>KATHERINE KNUDSEN</t>
  </si>
  <si>
    <t>KATHY REEVES</t>
  </si>
  <si>
    <t>393 05/25/18"</t>
  </si>
  <si>
    <t>KELLIE M. BAILEY</t>
  </si>
  <si>
    <t>KELLY-MOORE PAINT COMPANY  INC</t>
  </si>
  <si>
    <t>KEN'S BODY SHOP  LLC</t>
  </si>
  <si>
    <t>KENNETH LIMUEL</t>
  </si>
  <si>
    <t>KENT BROUSSARD TOWER RENTAL INC</t>
  </si>
  <si>
    <t>KEVIN BERRY</t>
  </si>
  <si>
    <t>KLEIBER FORD TRACTOR  INC.</t>
  </si>
  <si>
    <t>KOETTER FIRE PROTECTION OF AUSTIN  LLC</t>
  </si>
  <si>
    <t>LONGHORN INTERNATIONAL TRUCKS LTD</t>
  </si>
  <si>
    <t>THE LA GRANGE PARTS HOUSE INC</t>
  </si>
  <si>
    <t>MRAS 323 HOSPITALITY  LLC</t>
  </si>
  <si>
    <t>LABATT INSTITUTIONAL SUPPLY CO</t>
  </si>
  <si>
    <t>LAW ENFORCEMENT RISK MANAGEMENT GROUP  INC.</t>
  </si>
  <si>
    <t>LAW OFFICE OF HENRY G. STEEN  JR  PC</t>
  </si>
  <si>
    <t>LUCIO LEAL</t>
  </si>
  <si>
    <t>LEE COUNTY WATER SUPPLY CORP</t>
  </si>
  <si>
    <t>LEXISNEXIS RISK DATA MGMT INC</t>
  </si>
  <si>
    <t>LIN MARIE GARSEE</t>
  </si>
  <si>
    <t>LINDA HARMON-TAX ASSESSOR</t>
  </si>
  <si>
    <t>UNITED KWB COLLABORATIONS LLC</t>
  </si>
  <si>
    <t>LONGHORN EMERGENCY MEDICAL ASSOC PA</t>
  </si>
  <si>
    <t>LONNIE LAWRENCE DAVIS</t>
  </si>
  <si>
    <t>SCOTT BRYANT</t>
  </si>
  <si>
    <t>LOVELACE SCIENTIFIC RESOURCES  INC.</t>
  </si>
  <si>
    <t>LOWE'S</t>
  </si>
  <si>
    <t>LUSTRE-CAL CORP</t>
  </si>
  <si>
    <t>LYNN PEAVEY CO.</t>
  </si>
  <si>
    <t>MARIA ANFOSSO</t>
  </si>
  <si>
    <t>MARIA CELESTE COSTLEY</t>
  </si>
  <si>
    <t>MARIO GINTELLA</t>
  </si>
  <si>
    <t>MARK A RUMPLE</t>
  </si>
  <si>
    <t>MARK DOUGLAS CUNNINGHAM</t>
  </si>
  <si>
    <t>MARK E BOWLES</t>
  </si>
  <si>
    <t>MARK T MALONE M.D. P.A</t>
  </si>
  <si>
    <t>PIM HIGHLAND TRS CORPORATION</t>
  </si>
  <si>
    <t>MARY BETH SCOTT</t>
  </si>
  <si>
    <t>MATHESON TRI-GAS INC</t>
  </si>
  <si>
    <t>MAUREEN S BURROWS MD MPH</t>
  </si>
  <si>
    <t>McCOY'S BUILDING SUPPLY CENTER</t>
  </si>
  <si>
    <t>McCREARY  VESELKA  BRAGG &amp; ALLEN P</t>
  </si>
  <si>
    <t>MECHANICAL REPS INC</t>
  </si>
  <si>
    <t>MEDIMPACT HEALTHCARE SYSTEMS INC</t>
  </si>
  <si>
    <t>MELISSA A MEADOR</t>
  </si>
  <si>
    <t>MIDTEX MATERIALS</t>
  </si>
  <si>
    <t>GALLS  LLC</t>
  </si>
  <si>
    <t>JANA HOFFMAN MOORE</t>
  </si>
  <si>
    <t>SCOTT A SHIKE</t>
  </si>
  <si>
    <t>BRUCE ROBERT ALLYN</t>
  </si>
  <si>
    <t>DAVID KYLE BRUMMITT</t>
  </si>
  <si>
    <t>LAUREN N SCHECKTER</t>
  </si>
  <si>
    <t>JOSE ADRION FIGUEROA</t>
  </si>
  <si>
    <t>SARAH ELIZABETH-ANN EDSALL</t>
  </si>
  <si>
    <t>SYLVIA GONZALEZ WATSON</t>
  </si>
  <si>
    <t>LARRY GENE HANSEN</t>
  </si>
  <si>
    <t>BETHANY RENEE COOK</t>
  </si>
  <si>
    <t>NICOLASA AGUILAR BISHOP</t>
  </si>
  <si>
    <t>KATHRYN EVA ROGERS</t>
  </si>
  <si>
    <t>MISTY STUBBS</t>
  </si>
  <si>
    <t>MONARCH DISPOSAL  LLC</t>
  </si>
  <si>
    <t>MOORE CLEAN</t>
  </si>
  <si>
    <t>MOORE MEDICAL LLC</t>
  </si>
  <si>
    <t>MORSCO SUPPLY  LLC</t>
  </si>
  <si>
    <t>MOTOROLA INC</t>
  </si>
  <si>
    <t>NALCO COMPANY LLC</t>
  </si>
  <si>
    <t>NATIONAL FOOD GROUP INC</t>
  </si>
  <si>
    <t>NOLAN COUNTY SHERIFF</t>
  </si>
  <si>
    <t>O'REILLY AUTOMOTIVE  INC.</t>
  </si>
  <si>
    <t>SOUTHERN FOODS GROUP LP</t>
  </si>
  <si>
    <t>OFFICE DEPOT</t>
  </si>
  <si>
    <t>ON SITE SERVICES</t>
  </si>
  <si>
    <t>ORANGE COUNTY SHERIFF</t>
  </si>
  <si>
    <t>ROGER C. OSBORN</t>
  </si>
  <si>
    <t>OSKAR NISIMBLAT</t>
  </si>
  <si>
    <t>OPERATIONAL SUPPORT SERVICES INC</t>
  </si>
  <si>
    <t>PACESETTER K9 LLC</t>
  </si>
  <si>
    <t>PAIGE TRACTORS INC</t>
  </si>
  <si>
    <t>PATTERSON  VETERINARY SUPPLY INC</t>
  </si>
  <si>
    <t>PAULA BIRRAN</t>
  </si>
  <si>
    <t>PETHEALTH SERVICES(USA) INC.</t>
  </si>
  <si>
    <t>PHILIP R DUCLOUX</t>
  </si>
  <si>
    <t>PINEY CREEK AUTO SERVICE</t>
  </si>
  <si>
    <t>PITNEY BOWES GLOBAL FINANCIAL SERVICES</t>
  </si>
  <si>
    <t>PM WILSON &amp; ASSOCIATES PLLC</t>
  </si>
  <si>
    <t>POSTMASTER</t>
  </si>
  <si>
    <t>PRAXAIR DISTRIBUTION  INC.</t>
  </si>
  <si>
    <t>POPE PRO ENTERPRISES INC</t>
  </si>
  <si>
    <t>PRODUCTIVITY CENTER INC</t>
  </si>
  <si>
    <t>QUEST DIAGNOSTICS</t>
  </si>
  <si>
    <t>RACHEL A BAUER</t>
  </si>
  <si>
    <t>NESTLE WATERS N AMERICA INC</t>
  </si>
  <si>
    <t>RED ROCK GROCERY</t>
  </si>
  <si>
    <t>REPUBLIC SERVICES INC BFI WASTE SERVICE</t>
  </si>
  <si>
    <t>REPUBLIC TRUCK SALES   PARTS  &amp; REPAIRS LLC</t>
  </si>
  <si>
    <t>RESERVE ACCOUNT</t>
  </si>
  <si>
    <t>REYNOLDS &amp; KEINARTH</t>
  </si>
  <si>
    <t>EDDY RILEY</t>
  </si>
  <si>
    <t>RICOH USA INC</t>
  </si>
  <si>
    <t>RUNKLE ENTERPRISES</t>
  </si>
  <si>
    <t>ROADRUNNER RADIOLOGY EQUIP LLC</t>
  </si>
  <si>
    <t>ROBERT C. STEUBING</t>
  </si>
  <si>
    <t>ROBERT MADDEN INDUSTRIES LTD</t>
  </si>
  <si>
    <t>ROCIC</t>
  </si>
  <si>
    <t>ROOD AND RIDDLE VETERINARY HOSP</t>
  </si>
  <si>
    <t>ROSE PIETSCH COUNTY CLERK</t>
  </si>
  <si>
    <t>SAFELANE TRAFFIC SUPPLY LLC</t>
  </si>
  <si>
    <t>SALVADOR ABRERO</t>
  </si>
  <si>
    <t>SAMES BASTROP FORD INC</t>
  </si>
  <si>
    <t>SAMMY LERMA III MD</t>
  </si>
  <si>
    <t>SCOTT MERRIMAN INC</t>
  </si>
  <si>
    <t>SECRETARY OF STATE</t>
  </si>
  <si>
    <t>SEGUIN CANVAS &amp; AWNING LLC</t>
  </si>
  <si>
    <t>SETON HEALTHCARE SPONSORED PROJECTS</t>
  </si>
  <si>
    <t>SETON FAMILY OF HOSPITALS</t>
  </si>
  <si>
    <t>SHARON HANCOCK</t>
  </si>
  <si>
    <t>962  04/02/18"</t>
  </si>
  <si>
    <t>FERRELLGAS  LP</t>
  </si>
  <si>
    <t>SHI GOVERNMENT SOLUTIONS INC.</t>
  </si>
  <si>
    <t>SHIVPAAVAN PARTNERS LTD</t>
  </si>
  <si>
    <t>SHOPPA'S FARM SUPPLY</t>
  </si>
  <si>
    <t>SHRED-IT US HOLDCO  INC</t>
  </si>
  <si>
    <t>JANINE FEMINELLA</t>
  </si>
  <si>
    <t>SIGNATURE SMILES</t>
  </si>
  <si>
    <t>SKYLINE EQUIPMENT INC.</t>
  </si>
  <si>
    <t>SMITH STORES  INC.</t>
  </si>
  <si>
    <t>SMITHVILLE AUTO PARTS  INC</t>
  </si>
  <si>
    <t>SOUTHERN TIRE MART LLC</t>
  </si>
  <si>
    <t>DS WATERS OF AMERICA INC</t>
  </si>
  <si>
    <t>SPILLAR CUSTOM HITCHES INC</t>
  </si>
  <si>
    <t>SRIDHAR P REDDY MD PA</t>
  </si>
  <si>
    <t>ST.DAVID'S HEALTHCARE PARTNERSHIP</t>
  </si>
  <si>
    <t>STAPLES ADVANTAGE</t>
  </si>
  <si>
    <t>STATE OF TEXAS</t>
  </si>
  <si>
    <t>STATEWIDE MATERIALS TRANSPORT LTD</t>
  </si>
  <si>
    <t>STERICYCLE  INC.</t>
  </si>
  <si>
    <t>STEVE GRANADO</t>
  </si>
  <si>
    <t>MATTHEW LEE SULLINS</t>
  </si>
  <si>
    <t>TAB PRODUCTS CO LLC</t>
  </si>
  <si>
    <t>TAVCO SERVICES INC</t>
  </si>
  <si>
    <t>TAYLOR IRON MACHINE WORKS INC.</t>
  </si>
  <si>
    <t>TX COMM ON LAW ENFORCEMENT</t>
  </si>
  <si>
    <t>TEEX</t>
  </si>
  <si>
    <t>TEJAS ELEVATOR COMPANY</t>
  </si>
  <si>
    <t>TERRI  ROBASON</t>
  </si>
  <si>
    <t>TERRY FLENNIKEN</t>
  </si>
  <si>
    <t>TEX-CON OIL CO</t>
  </si>
  <si>
    <t>TEXAS AGGREGATES  LLC</t>
  </si>
  <si>
    <t>TEXAS ASSOCIATES INSURORS AGENCY</t>
  </si>
  <si>
    <t>TEXAS ASSOCIATION FOR COURT ADMINISTRATION</t>
  </si>
  <si>
    <t>TEXAS ASSOCIATION OF COUNTIES</t>
  </si>
  <si>
    <t>TEXAS BLACKLAND HARDWARE</t>
  </si>
  <si>
    <t>TEXAS CUTTING &amp; CORING L.P.</t>
  </si>
  <si>
    <t>TEXAS DEPT OF LICENSING &amp; REGULATION</t>
  </si>
  <si>
    <t>TEXAS DEPT OF PUBLIC SAFETY</t>
  </si>
  <si>
    <t>787  04/11/18"</t>
  </si>
  <si>
    <t>935"</t>
  </si>
  <si>
    <t>TEXAS MUNICIPAL COURT/</t>
  </si>
  <si>
    <t>TEXAS ONCOLOGY</t>
  </si>
  <si>
    <t>TEXAS PARKS &amp; WILDLIFE FUNDS</t>
  </si>
  <si>
    <t>HIGH COUNTRY AUTOMOTIVE  LLC</t>
  </si>
  <si>
    <t>TEXAS PRISONER TRANSPORTATION DIVISION LLC</t>
  </si>
  <si>
    <t>BUG MASTER EXTERMINATING SERVICES  LTD</t>
  </si>
  <si>
    <t>JAMES ANDREW CASEY</t>
  </si>
  <si>
    <t>SANDRA FAYE ROBINSON</t>
  </si>
  <si>
    <t>RICHARD NELSON MOORE</t>
  </si>
  <si>
    <t>TIM SPARKMAN</t>
  </si>
  <si>
    <t>TWE-ADVANCE/NEWHOUSE PARTNERSHIP</t>
  </si>
  <si>
    <t>TOWN PLACE SUITES</t>
  </si>
  <si>
    <t>TRAVIS CO CONSTABLE  PCT 5</t>
  </si>
  <si>
    <t>TRAVIS COUNTY CLERK</t>
  </si>
  <si>
    <t>TRAVIS COUNTY MEDICAL EXAMINER</t>
  </si>
  <si>
    <t>KAUFFMAN TIRE</t>
  </si>
  <si>
    <t>TRIPLE S FUELS</t>
  </si>
  <si>
    <t>TRACTOR SUPPLY CREDIT PLAN</t>
  </si>
  <si>
    <t>TULL FARLEY</t>
  </si>
  <si>
    <t>LINDA WALKER</t>
  </si>
  <si>
    <t>TX JUSTICE COURT JUDGES ASSN</t>
  </si>
  <si>
    <t>TYLER TECHNOLOGIES INC</t>
  </si>
  <si>
    <t>COUFAL-PRATER EQUIPMENT  LLC</t>
  </si>
  <si>
    <t>UNITED BUILT HOMES LLC</t>
  </si>
  <si>
    <t>UNITED REFRIGERATION INC</t>
  </si>
  <si>
    <t>UPS</t>
  </si>
  <si>
    <t>VIKING FENCE CO INC</t>
  </si>
  <si>
    <t>DEPARTMENT OF STATE HEALTH SERVICES</t>
  </si>
  <si>
    <t>MOUNTAIN WEST DERM-AUSTIN PLLC</t>
  </si>
  <si>
    <t>VULCAN CONSTRUCTION MATERIALS  LP</t>
  </si>
  <si>
    <t>VULCAN  INC.</t>
  </si>
  <si>
    <t>WAGEWORKS INC  FSA/HSA</t>
  </si>
  <si>
    <t>WAL-MART  BASTROP</t>
  </si>
  <si>
    <t>="11</t>
  </si>
  <si>
    <t>645  05/14/18"</t>
  </si>
  <si>
    <t>WALLER COUNTY ASPHALT INC</t>
  </si>
  <si>
    <t>WALMART COMMUNITY BRC</t>
  </si>
  <si>
    <t>WASHING EQUIPMENT OF TEXAS</t>
  </si>
  <si>
    <t>WASTE MANAGEMENT OF TEXAS INC</t>
  </si>
  <si>
    <t>WAYNE MEUTH</t>
  </si>
  <si>
    <t>911"</t>
  </si>
  <si>
    <t>WAYNE WOOD</t>
  </si>
  <si>
    <t>PROGRESSIVE WASTE SOLUTIONS OF TX. INC.</t>
  </si>
  <si>
    <t>WIND KNOT INCORPORATED</t>
  </si>
  <si>
    <t>COBRA EQUIPMENT RENTALS</t>
  </si>
  <si>
    <t>WEI-ANN LIN (REIMBURSEMENTS ONLY)</t>
  </si>
  <si>
    <t>WEI-ANN LIN  MD PA</t>
  </si>
  <si>
    <t>WEST PUBLISHING CORPORATION</t>
  </si>
  <si>
    <t>MAO PHARMACY INC</t>
  </si>
  <si>
    <t>WILLIAMSON COUNTY CONSTABLE #3</t>
  </si>
  <si>
    <t>WILLIAMSON COUNTY CONSTABLE #4</t>
  </si>
  <si>
    <t>WJC CONSTRUCTION LLC</t>
  </si>
  <si>
    <t>XEROX CORPORATION</t>
  </si>
  <si>
    <t>XMEDIUS SOLUTIONS INC.</t>
  </si>
  <si>
    <t>ZACHARY CARTER</t>
  </si>
  <si>
    <t>ZORO TOOLS INC</t>
  </si>
  <si>
    <t>304 CONSTRUCTION LLC</t>
  </si>
  <si>
    <t>ELBERT ESQUIVEL</t>
  </si>
  <si>
    <t>KIRKSEY ARCHITECTS  INC.</t>
  </si>
  <si>
    <t>MUSTANG MACHINERY COMPANY LTD</t>
  </si>
  <si>
    <t>TEXAS STATE UNIVERSITY</t>
  </si>
  <si>
    <t>THE BANK OF NEW YORK MELLON</t>
  </si>
  <si>
    <t>ALLSTATE-AMERICAN HERITAGE LIFE INS CO</t>
  </si>
  <si>
    <t>BASTROP CNTY ADULT PROBATION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</si>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</sst>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2"/>
  <sheetViews>
    <sheetView tabSelected="1" workbookViewId="0"/>
  </sheetViews>
  <sheetFormatPr defaultRowHeight="14.4" x14ac:dyDescent="0.3"/>
  <cols>
    <col min="1" max="1" width="8.77734375" bestFit="1" customWidth="1"/>
    <col min="2" max="2" width="46.77734375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21.109375" bestFit="1" customWidth="1"/>
    <col min="7" max="7" width="33.77734375" bestFit="1" customWidth="1"/>
    <col min="8" max="8" width="26.88671875" bestFit="1" customWidth="1"/>
    <col min="9" max="9" width="33.77734375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tr">
        <f>"003799"</f>
        <v>003799</v>
      </c>
      <c r="B2" t="s">
        <v>9</v>
      </c>
      <c r="C2">
        <v>77231</v>
      </c>
      <c r="D2" s="2">
        <v>75</v>
      </c>
      <c r="E2" s="1">
        <v>43276</v>
      </c>
      <c r="F2" t="str">
        <f>"201806191646"</f>
        <v>201806191646</v>
      </c>
      <c r="G2" t="str">
        <f>"REFUND COUPONS"</f>
        <v>REFUND COUPONS</v>
      </c>
      <c r="H2">
        <v>75</v>
      </c>
      <c r="I2" t="str">
        <f>"REFUND COUPONS"</f>
        <v>REFUND COUPONS</v>
      </c>
    </row>
    <row r="3" spans="1:9" x14ac:dyDescent="0.3">
      <c r="A3" t="str">
        <f>"000598"</f>
        <v>000598</v>
      </c>
      <c r="B3" t="s">
        <v>10</v>
      </c>
      <c r="C3">
        <v>77021</v>
      </c>
      <c r="D3" s="2">
        <v>22184.53</v>
      </c>
      <c r="E3" s="1">
        <v>43262</v>
      </c>
      <c r="F3" t="str">
        <f>"9725-001-100618"</f>
        <v>9725-001-100618</v>
      </c>
      <c r="G3" t="str">
        <f>"ACCT#9725-001/REC BASE/PCT#2"</f>
        <v>ACCT#9725-001/REC BASE/PCT#2</v>
      </c>
      <c r="H3">
        <v>200.81</v>
      </c>
      <c r="I3" t="str">
        <f>"ACCT#9725-001/REC BASE/PCT#2"</f>
        <v>ACCT#9725-001/REC BASE/PCT#2</v>
      </c>
    </row>
    <row r="4" spans="1:9" x14ac:dyDescent="0.3">
      <c r="A4" t="str">
        <f>""</f>
        <v/>
      </c>
      <c r="F4" t="str">
        <f>"9725-004-100634"</f>
        <v>9725-004-100634</v>
      </c>
      <c r="G4" t="str">
        <f>"ACCT#9725-004/REC BASE/PCT#1"</f>
        <v>ACCT#9725-004/REC BASE/PCT#1</v>
      </c>
      <c r="H4">
        <v>820.68</v>
      </c>
      <c r="I4" t="str">
        <f>"ACCT#9725-004/REC BASE/PCT#1"</f>
        <v>ACCT#9725-004/REC BASE/PCT#1</v>
      </c>
    </row>
    <row r="5" spans="1:9" x14ac:dyDescent="0.3">
      <c r="A5" t="str">
        <f>""</f>
        <v/>
      </c>
      <c r="F5" t="str">
        <f>"9725-004-100721"</f>
        <v>9725-004-100721</v>
      </c>
      <c r="G5" t="str">
        <f>"ACCT#9725-004/REC BASE/PCT#1"</f>
        <v>ACCT#9725-004/REC BASE/PCT#1</v>
      </c>
      <c r="H5">
        <v>1107.48</v>
      </c>
      <c r="I5" t="str">
        <f>"ACCT#9725-004/REC BASE/PCT#1"</f>
        <v>ACCT#9725-004/REC BASE/PCT#1</v>
      </c>
    </row>
    <row r="6" spans="1:9" x14ac:dyDescent="0.3">
      <c r="A6" t="str">
        <f>""</f>
        <v/>
      </c>
      <c r="F6" t="str">
        <f>"9725-004-100747"</f>
        <v>9725-004-100747</v>
      </c>
      <c r="G6" t="str">
        <f>"ACCT#9725-004/REC BASE/PCT#1"</f>
        <v>ACCT#9725-004/REC BASE/PCT#1</v>
      </c>
      <c r="H6">
        <v>52.15</v>
      </c>
      <c r="I6" t="str">
        <f>"ACCT#9725-004/REC BASE/PCT#1"</f>
        <v>ACCT#9725-004/REC BASE/PCT#1</v>
      </c>
    </row>
    <row r="7" spans="1:9" x14ac:dyDescent="0.3">
      <c r="A7" t="str">
        <f>""</f>
        <v/>
      </c>
      <c r="F7" t="str">
        <f>"9725-017-100426"</f>
        <v>9725-017-100426</v>
      </c>
      <c r="G7" t="str">
        <f t="shared" ref="G7:G26" si="0">"ACCT#9725-017/REC BASE/PCT#2"</f>
        <v>ACCT#9725-017/REC BASE/PCT#2</v>
      </c>
      <c r="H7">
        <v>2093.7199999999998</v>
      </c>
      <c r="I7" t="str">
        <f t="shared" ref="I7:I26" si="1">"ACCT#9725-017/REC BASE/PCT#2"</f>
        <v>ACCT#9725-017/REC BASE/PCT#2</v>
      </c>
    </row>
    <row r="8" spans="1:9" x14ac:dyDescent="0.3">
      <c r="A8" t="str">
        <f>""</f>
        <v/>
      </c>
      <c r="F8" t="str">
        <f>"9725-017-100462"</f>
        <v>9725-017-100462</v>
      </c>
      <c r="G8" t="str">
        <f t="shared" si="0"/>
        <v>ACCT#9725-017/REC BASE/PCT#2</v>
      </c>
      <c r="H8">
        <v>1059.0999999999999</v>
      </c>
      <c r="I8" t="str">
        <f t="shared" si="1"/>
        <v>ACCT#9725-017/REC BASE/PCT#2</v>
      </c>
    </row>
    <row r="9" spans="1:9" x14ac:dyDescent="0.3">
      <c r="A9" t="str">
        <f>""</f>
        <v/>
      </c>
      <c r="F9" t="str">
        <f>"9725-017-100493"</f>
        <v>9725-017-100493</v>
      </c>
      <c r="G9" t="str">
        <f t="shared" si="0"/>
        <v>ACCT#9725-017/REC BASE/PCT#2</v>
      </c>
      <c r="H9">
        <v>1082.56</v>
      </c>
      <c r="I9" t="str">
        <f t="shared" si="1"/>
        <v>ACCT#9725-017/REC BASE/PCT#2</v>
      </c>
    </row>
    <row r="10" spans="1:9" x14ac:dyDescent="0.3">
      <c r="A10" t="str">
        <f>""</f>
        <v/>
      </c>
      <c r="F10" t="str">
        <f>"9725-017-100531"</f>
        <v>9725-017-100531</v>
      </c>
      <c r="G10" t="str">
        <f t="shared" si="0"/>
        <v>ACCT#9725-017/REC BASE/PCT#2</v>
      </c>
      <c r="H10">
        <v>1091.1300000000001</v>
      </c>
      <c r="I10" t="str">
        <f t="shared" si="1"/>
        <v>ACCT#9725-017/REC BASE/PCT#2</v>
      </c>
    </row>
    <row r="11" spans="1:9" x14ac:dyDescent="0.3">
      <c r="A11" t="str">
        <f>""</f>
        <v/>
      </c>
      <c r="F11" t="str">
        <f>"9725-017-100564"</f>
        <v>9725-017-100564</v>
      </c>
      <c r="G11" t="str">
        <f t="shared" si="0"/>
        <v>ACCT#9725-017/REC BASE/PCT#2</v>
      </c>
      <c r="H11">
        <v>2127.5700000000002</v>
      </c>
      <c r="I11" t="str">
        <f t="shared" si="1"/>
        <v>ACCT#9725-017/REC BASE/PCT#2</v>
      </c>
    </row>
    <row r="12" spans="1:9" x14ac:dyDescent="0.3">
      <c r="A12" t="str">
        <f>""</f>
        <v/>
      </c>
      <c r="F12" t="str">
        <f>"9725-017-100604"</f>
        <v>9725-017-100604</v>
      </c>
      <c r="G12" t="str">
        <f t="shared" si="0"/>
        <v>ACCT#9725-017/REC BASE/PCT#2</v>
      </c>
      <c r="H12">
        <v>3270.51</v>
      </c>
      <c r="I12" t="str">
        <f t="shared" si="1"/>
        <v>ACCT#9725-017/REC BASE/PCT#2</v>
      </c>
    </row>
    <row r="13" spans="1:9" x14ac:dyDescent="0.3">
      <c r="A13" t="str">
        <f>""</f>
        <v/>
      </c>
      <c r="F13" t="str">
        <f>"9725-017-100640"</f>
        <v>9725-017-100640</v>
      </c>
      <c r="G13" t="str">
        <f t="shared" si="0"/>
        <v>ACCT#9725-017/REC BASE/PCT#2</v>
      </c>
      <c r="H13">
        <v>2320.09</v>
      </c>
      <c r="I13" t="str">
        <f t="shared" si="1"/>
        <v>ACCT#9725-017/REC BASE/PCT#2</v>
      </c>
    </row>
    <row r="14" spans="1:9" x14ac:dyDescent="0.3">
      <c r="A14" t="str">
        <f>""</f>
        <v/>
      </c>
      <c r="F14" t="str">
        <f>"9725-017-100668"</f>
        <v>9725-017-100668</v>
      </c>
      <c r="G14" t="str">
        <f t="shared" si="0"/>
        <v>ACCT#9725-017/REC BASE/PCT#2</v>
      </c>
      <c r="H14">
        <v>3892.02</v>
      </c>
      <c r="I14" t="str">
        <f t="shared" si="1"/>
        <v>ACCT#9725-017/REC BASE/PCT#2</v>
      </c>
    </row>
    <row r="15" spans="1:9" x14ac:dyDescent="0.3">
      <c r="A15" t="str">
        <f>""</f>
        <v/>
      </c>
      <c r="F15" t="str">
        <f>"9725-017-100701"</f>
        <v>9725-017-100701</v>
      </c>
      <c r="G15" t="str">
        <f t="shared" si="0"/>
        <v>ACCT#9725-017/REC BASE/PCT#2</v>
      </c>
      <c r="H15">
        <v>3066.71</v>
      </c>
      <c r="I15" t="str">
        <f t="shared" si="1"/>
        <v>ACCT#9725-017/REC BASE/PCT#2</v>
      </c>
    </row>
    <row r="16" spans="1:9" x14ac:dyDescent="0.3">
      <c r="A16" t="str">
        <f>"000598"</f>
        <v>000598</v>
      </c>
      <c r="B16" t="s">
        <v>10</v>
      </c>
      <c r="C16">
        <v>77232</v>
      </c>
      <c r="D16" s="2">
        <v>36655.71</v>
      </c>
      <c r="E16" s="1">
        <v>43276</v>
      </c>
      <c r="F16" t="str">
        <f>"9725-017-100725"</f>
        <v>9725-017-100725</v>
      </c>
      <c r="G16" t="str">
        <f t="shared" si="0"/>
        <v>ACCT#9725-017/REC BASE/PCT#2</v>
      </c>
      <c r="H16">
        <v>3331.07</v>
      </c>
      <c r="I16" t="str">
        <f t="shared" si="1"/>
        <v>ACCT#9725-017/REC BASE/PCT#2</v>
      </c>
    </row>
    <row r="17" spans="1:9" x14ac:dyDescent="0.3">
      <c r="A17" t="str">
        <f>""</f>
        <v/>
      </c>
      <c r="F17" t="str">
        <f>"9725-017-100761"</f>
        <v>9725-017-100761</v>
      </c>
      <c r="G17" t="str">
        <f t="shared" si="0"/>
        <v>ACCT#9725-017/REC BASE/PCT#2</v>
      </c>
      <c r="H17">
        <v>3499.42</v>
      </c>
      <c r="I17" t="str">
        <f t="shared" si="1"/>
        <v>ACCT#9725-017/REC BASE/PCT#2</v>
      </c>
    </row>
    <row r="18" spans="1:9" x14ac:dyDescent="0.3">
      <c r="A18" t="str">
        <f>""</f>
        <v/>
      </c>
      <c r="F18" t="str">
        <f>"9725-017-100797"</f>
        <v>9725-017-100797</v>
      </c>
      <c r="G18" t="str">
        <f t="shared" si="0"/>
        <v>ACCT#9725-017/REC BASE/PCT#2</v>
      </c>
      <c r="H18">
        <v>2974.23</v>
      </c>
      <c r="I18" t="str">
        <f t="shared" si="1"/>
        <v>ACCT#9725-017/REC BASE/PCT#2</v>
      </c>
    </row>
    <row r="19" spans="1:9" x14ac:dyDescent="0.3">
      <c r="A19" t="str">
        <f>""</f>
        <v/>
      </c>
      <c r="F19" t="str">
        <f>"9725-017-100821"</f>
        <v>9725-017-100821</v>
      </c>
      <c r="G19" t="str">
        <f t="shared" si="0"/>
        <v>ACCT#9725-017/REC BASE/PCT#2</v>
      </c>
      <c r="H19">
        <v>3592.16</v>
      </c>
      <c r="I19" t="str">
        <f t="shared" si="1"/>
        <v>ACCT#9725-017/REC BASE/PCT#2</v>
      </c>
    </row>
    <row r="20" spans="1:9" x14ac:dyDescent="0.3">
      <c r="A20" t="str">
        <f>""</f>
        <v/>
      </c>
      <c r="F20" t="str">
        <f>"9725-017-100849"</f>
        <v>9725-017-100849</v>
      </c>
      <c r="G20" t="str">
        <f t="shared" si="0"/>
        <v>ACCT#9725-017/REC BASE/PCT#2</v>
      </c>
      <c r="H20">
        <v>2221.38</v>
      </c>
      <c r="I20" t="str">
        <f t="shared" si="1"/>
        <v>ACCT#9725-017/REC BASE/PCT#2</v>
      </c>
    </row>
    <row r="21" spans="1:9" x14ac:dyDescent="0.3">
      <c r="A21" t="str">
        <f>""</f>
        <v/>
      </c>
      <c r="F21" t="str">
        <f>"9725-017-100882"</f>
        <v>9725-017-100882</v>
      </c>
      <c r="G21" t="str">
        <f t="shared" si="0"/>
        <v>ACCT#9725-017/REC BASE/PCT#2</v>
      </c>
      <c r="H21">
        <v>4125.82</v>
      </c>
      <c r="I21" t="str">
        <f t="shared" si="1"/>
        <v>ACCT#9725-017/REC BASE/PCT#2</v>
      </c>
    </row>
    <row r="22" spans="1:9" x14ac:dyDescent="0.3">
      <c r="A22" t="str">
        <f>""</f>
        <v/>
      </c>
      <c r="F22" t="str">
        <f>"9725-017-100919"</f>
        <v>9725-017-100919</v>
      </c>
      <c r="G22" t="str">
        <f t="shared" si="0"/>
        <v>ACCT#9725-017/REC BASE/PCT#2</v>
      </c>
      <c r="H22">
        <v>3246.88</v>
      </c>
      <c r="I22" t="str">
        <f t="shared" si="1"/>
        <v>ACCT#9725-017/REC BASE/PCT#2</v>
      </c>
    </row>
    <row r="23" spans="1:9" x14ac:dyDescent="0.3">
      <c r="A23" t="str">
        <f>""</f>
        <v/>
      </c>
      <c r="F23" t="str">
        <f>"9725-017-100945"</f>
        <v>9725-017-100945</v>
      </c>
      <c r="G23" t="str">
        <f t="shared" si="0"/>
        <v>ACCT#9725-017/REC BASE/PCT#2</v>
      </c>
      <c r="H23">
        <v>1641.95</v>
      </c>
      <c r="I23" t="str">
        <f t="shared" si="1"/>
        <v>ACCT#9725-017/REC BASE/PCT#2</v>
      </c>
    </row>
    <row r="24" spans="1:9" x14ac:dyDescent="0.3">
      <c r="A24" t="str">
        <f>""</f>
        <v/>
      </c>
      <c r="F24" t="str">
        <f>"9725-017-100972"</f>
        <v>9725-017-100972</v>
      </c>
      <c r="G24" t="str">
        <f t="shared" si="0"/>
        <v>ACCT#9725-017/REC BASE/PCT#2</v>
      </c>
      <c r="H24">
        <v>2541.5300000000002</v>
      </c>
      <c r="I24" t="str">
        <f t="shared" si="1"/>
        <v>ACCT#9725-017/REC BASE/PCT#2</v>
      </c>
    </row>
    <row r="25" spans="1:9" x14ac:dyDescent="0.3">
      <c r="A25" t="str">
        <f>""</f>
        <v/>
      </c>
      <c r="F25" t="str">
        <f>"9725-017-101001"</f>
        <v>9725-017-101001</v>
      </c>
      <c r="G25" t="str">
        <f t="shared" si="0"/>
        <v>ACCT#9725-017/REC BASE/PCT#2</v>
      </c>
      <c r="H25">
        <v>3585.5</v>
      </c>
      <c r="I25" t="str">
        <f t="shared" si="1"/>
        <v>ACCT#9725-017/REC BASE/PCT#2</v>
      </c>
    </row>
    <row r="26" spans="1:9" x14ac:dyDescent="0.3">
      <c r="A26" t="str">
        <f>""</f>
        <v/>
      </c>
      <c r="F26" t="str">
        <f>"9725-017-101037"</f>
        <v>9725-017-101037</v>
      </c>
      <c r="G26" t="str">
        <f t="shared" si="0"/>
        <v>ACCT#9725-017/REC BASE/PCT#2</v>
      </c>
      <c r="H26">
        <v>5895.77</v>
      </c>
      <c r="I26" t="str">
        <f t="shared" si="1"/>
        <v>ACCT#9725-017/REC BASE/PCT#2</v>
      </c>
    </row>
    <row r="27" spans="1:9" x14ac:dyDescent="0.3">
      <c r="A27" t="str">
        <f>"002656"</f>
        <v>002656</v>
      </c>
      <c r="B27" t="s">
        <v>11</v>
      </c>
      <c r="C27">
        <v>77022</v>
      </c>
      <c r="D27" s="2">
        <v>30</v>
      </c>
      <c r="E27" s="1">
        <v>43262</v>
      </c>
      <c r="F27" t="str">
        <f>"201806051274"</f>
        <v>201806051274</v>
      </c>
      <c r="G27" t="str">
        <f>"REFUND COUPONS"</f>
        <v>REFUND COUPONS</v>
      </c>
      <c r="H27">
        <v>30</v>
      </c>
      <c r="I27" t="str">
        <f>"REFUND COUPONS"</f>
        <v>REFUND COUPONS</v>
      </c>
    </row>
    <row r="28" spans="1:9" x14ac:dyDescent="0.3">
      <c r="A28" t="str">
        <f>"002656"</f>
        <v>002656</v>
      </c>
      <c r="B28" t="s">
        <v>11</v>
      </c>
      <c r="C28">
        <v>77233</v>
      </c>
      <c r="D28" s="2">
        <v>75</v>
      </c>
      <c r="E28" s="1">
        <v>43276</v>
      </c>
      <c r="F28" t="str">
        <f>"201806191645"</f>
        <v>201806191645</v>
      </c>
      <c r="G28" t="str">
        <f>"REFUND COUPONS"</f>
        <v>REFUND COUPONS</v>
      </c>
      <c r="H28">
        <v>75</v>
      </c>
      <c r="I28" t="str">
        <f>"REFUND COUPONS"</f>
        <v>REFUND COUPONS</v>
      </c>
    </row>
    <row r="29" spans="1:9" x14ac:dyDescent="0.3">
      <c r="A29" t="str">
        <f>"ALINE"</f>
        <v>ALINE</v>
      </c>
      <c r="B29" t="s">
        <v>12</v>
      </c>
      <c r="C29">
        <v>77023</v>
      </c>
      <c r="D29" s="2">
        <v>600.98</v>
      </c>
      <c r="E29" s="1">
        <v>43262</v>
      </c>
      <c r="F29" t="str">
        <f>"308363"</f>
        <v>308363</v>
      </c>
      <c r="G29" t="str">
        <f>"CUST#16500/PCT#4"</f>
        <v>CUST#16500/PCT#4</v>
      </c>
      <c r="H29">
        <v>600.98</v>
      </c>
      <c r="I29" t="str">
        <f>"CUST#16500/PCT#4"</f>
        <v>CUST#16500/PCT#4</v>
      </c>
    </row>
    <row r="30" spans="1:9" x14ac:dyDescent="0.3">
      <c r="A30" t="str">
        <f>"002048"</f>
        <v>002048</v>
      </c>
      <c r="B30" t="s">
        <v>13</v>
      </c>
      <c r="C30">
        <v>999999</v>
      </c>
      <c r="D30" s="2">
        <v>5426.56</v>
      </c>
      <c r="E30" s="1">
        <v>43263</v>
      </c>
      <c r="F30" t="str">
        <f>"201806051283"</f>
        <v>201806051283</v>
      </c>
      <c r="G30" t="str">
        <f>"HAULING EXPS 05/22-05/24/PCT#1"</f>
        <v>HAULING EXPS 05/22-05/24/PCT#1</v>
      </c>
      <c r="H30">
        <v>791.95</v>
      </c>
      <c r="I30" t="str">
        <f>"HAULING EXPS 05/22-05/24/PCT#1"</f>
        <v>HAULING EXPS 05/22-05/24/PCT#1</v>
      </c>
    </row>
    <row r="31" spans="1:9" x14ac:dyDescent="0.3">
      <c r="A31" t="str">
        <f>""</f>
        <v/>
      </c>
      <c r="F31" t="str">
        <f>"201806051289"</f>
        <v>201806051289</v>
      </c>
      <c r="G31" t="str">
        <f>"HAULING EXPS 05/22-05/29/PCT#4"</f>
        <v>HAULING EXPS 05/22-05/29/PCT#4</v>
      </c>
      <c r="H31">
        <v>4634.6099999999997</v>
      </c>
      <c r="I31" t="str">
        <f>"HAULING EXPS 05/22-05/29/PCT#4"</f>
        <v>HAULING EXPS 05/22-05/29/PCT#4</v>
      </c>
    </row>
    <row r="32" spans="1:9" x14ac:dyDescent="0.3">
      <c r="A32" t="str">
        <f>"002048"</f>
        <v>002048</v>
      </c>
      <c r="B32" t="s">
        <v>13</v>
      </c>
      <c r="C32">
        <v>999999</v>
      </c>
      <c r="D32" s="2">
        <v>17868.11</v>
      </c>
      <c r="E32" s="1">
        <v>43277</v>
      </c>
      <c r="F32" t="str">
        <f>"201806181634"</f>
        <v>201806181634</v>
      </c>
      <c r="G32" t="str">
        <f>"HAULING EXPS 6/6/18-6/15/18/P4"</f>
        <v>HAULING EXPS 6/6/18-6/15/18/P4</v>
      </c>
      <c r="H32">
        <v>17868.11</v>
      </c>
      <c r="I32" t="str">
        <f>"HAULING EXPS 6/6/18-6/15/18/P4"</f>
        <v>HAULING EXPS 6/6/18-6/15/18/P4</v>
      </c>
    </row>
    <row r="33" spans="1:10" x14ac:dyDescent="0.3">
      <c r="A33" t="str">
        <f>"004156"</f>
        <v>004156</v>
      </c>
      <c r="B33" t="s">
        <v>14</v>
      </c>
      <c r="C33">
        <v>77024</v>
      </c>
      <c r="D33" s="2">
        <v>1748.82</v>
      </c>
      <c r="E33" s="1">
        <v>43262</v>
      </c>
      <c r="F33" t="str">
        <f>"A4379459"</f>
        <v>A4379459</v>
      </c>
      <c r="G33" t="str">
        <f>"INV A4379459"</f>
        <v>INV A4379459</v>
      </c>
      <c r="H33">
        <v>1748.82</v>
      </c>
      <c r="I33" t="str">
        <f>"INV A4379459"</f>
        <v>INV A4379459</v>
      </c>
    </row>
    <row r="34" spans="1:10" x14ac:dyDescent="0.3">
      <c r="A34" t="str">
        <f>"000466"</f>
        <v>000466</v>
      </c>
      <c r="B34" t="s">
        <v>15</v>
      </c>
      <c r="C34">
        <v>77234</v>
      </c>
      <c r="D34" s="2">
        <v>467.46</v>
      </c>
      <c r="E34" s="1">
        <v>43276</v>
      </c>
      <c r="F34" t="str">
        <f>"21941792"</f>
        <v>21941792</v>
      </c>
      <c r="G34" t="str">
        <f>"INV 21941792"</f>
        <v>INV 21941792</v>
      </c>
      <c r="H34">
        <v>467.46</v>
      </c>
      <c r="I34" t="str">
        <f>"INV 21941792"</f>
        <v>INV 21941792</v>
      </c>
    </row>
    <row r="35" spans="1:10" x14ac:dyDescent="0.3">
      <c r="A35" t="str">
        <f>"000954"</f>
        <v>000954</v>
      </c>
      <c r="B35" t="s">
        <v>16</v>
      </c>
      <c r="C35">
        <v>77025</v>
      </c>
      <c r="D35" s="2">
        <v>1110</v>
      </c>
      <c r="E35" s="1">
        <v>43262</v>
      </c>
      <c r="F35" t="str">
        <f>"201806051305"</f>
        <v>201806051305</v>
      </c>
      <c r="G35" t="str">
        <f>"17-18788"</f>
        <v>17-18788</v>
      </c>
      <c r="H35">
        <v>557.5</v>
      </c>
      <c r="I35" t="str">
        <f>"17-18788"</f>
        <v>17-18788</v>
      </c>
    </row>
    <row r="36" spans="1:10" x14ac:dyDescent="0.3">
      <c r="A36" t="str">
        <f>""</f>
        <v/>
      </c>
      <c r="F36" t="str">
        <f>"201806051311"</f>
        <v>201806051311</v>
      </c>
      <c r="G36" t="str">
        <f>"17-18738"</f>
        <v>17-18738</v>
      </c>
      <c r="H36">
        <v>30</v>
      </c>
      <c r="I36" t="str">
        <f>"17-18738"</f>
        <v>17-18738</v>
      </c>
    </row>
    <row r="37" spans="1:10" x14ac:dyDescent="0.3">
      <c r="A37" t="str">
        <f>""</f>
        <v/>
      </c>
      <c r="F37" t="str">
        <f>"201806051312"</f>
        <v>201806051312</v>
      </c>
      <c r="G37" t="str">
        <f>"16-17709"</f>
        <v>16-17709</v>
      </c>
      <c r="H37">
        <v>212.5</v>
      </c>
      <c r="I37" t="str">
        <f>"16-17709"</f>
        <v>16-17709</v>
      </c>
    </row>
    <row r="38" spans="1:10" x14ac:dyDescent="0.3">
      <c r="A38" t="str">
        <f>""</f>
        <v/>
      </c>
      <c r="F38" t="str">
        <f>"201806051313"</f>
        <v>201806051313</v>
      </c>
      <c r="G38" t="str">
        <f>"18-19016"</f>
        <v>18-19016</v>
      </c>
      <c r="H38">
        <v>112.5</v>
      </c>
      <c r="I38" t="str">
        <f>"18-19016"</f>
        <v>18-19016</v>
      </c>
    </row>
    <row r="39" spans="1:10" x14ac:dyDescent="0.3">
      <c r="A39" t="str">
        <f>""</f>
        <v/>
      </c>
      <c r="F39" t="str">
        <f>"201806051314"</f>
        <v>201806051314</v>
      </c>
      <c r="G39" t="str">
        <f>"14-16907"</f>
        <v>14-16907</v>
      </c>
      <c r="H39">
        <v>115</v>
      </c>
      <c r="I39" t="str">
        <f>"14-16907"</f>
        <v>14-16907</v>
      </c>
    </row>
    <row r="40" spans="1:10" x14ac:dyDescent="0.3">
      <c r="A40" t="str">
        <f>""</f>
        <v/>
      </c>
      <c r="F40" t="str">
        <f>"201806051315"</f>
        <v>201806051315</v>
      </c>
      <c r="G40" t="str">
        <f>"17-18392"</f>
        <v>17-18392</v>
      </c>
      <c r="H40">
        <v>82.5</v>
      </c>
      <c r="I40" t="str">
        <f>"17-18392"</f>
        <v>17-18392</v>
      </c>
    </row>
    <row r="41" spans="1:10" x14ac:dyDescent="0.3">
      <c r="A41" t="str">
        <f>"003117"</f>
        <v>003117</v>
      </c>
      <c r="B41" t="s">
        <v>17</v>
      </c>
      <c r="C41">
        <v>999999</v>
      </c>
      <c r="D41" s="2">
        <v>1027.5999999999999</v>
      </c>
      <c r="E41" s="1">
        <v>43263</v>
      </c>
      <c r="F41" t="str">
        <f>"201806061416"</f>
        <v>201806061416</v>
      </c>
      <c r="G41" t="str">
        <f>"REIMBURSE-PARKING/COPIER/POSTA"</f>
        <v>REIMBURSE-PARKING/COPIER/POSTA</v>
      </c>
      <c r="H41">
        <v>467.6</v>
      </c>
      <c r="I41" t="str">
        <f>"REIMBURSE-PARKING/COPIER/POSTA"</f>
        <v>REIMBURSE-PARKING/COPIER/POSTA</v>
      </c>
    </row>
    <row r="42" spans="1:10" x14ac:dyDescent="0.3">
      <c r="A42" t="str">
        <f>""</f>
        <v/>
      </c>
      <c r="F42" t="str">
        <f>"201806061417"</f>
        <v>201806061417</v>
      </c>
      <c r="G42" t="str">
        <f>"REIMBURSE-CONF REG &amp; FEE"</f>
        <v>REIMBURSE-CONF REG &amp; FEE</v>
      </c>
      <c r="H42">
        <v>480</v>
      </c>
      <c r="I42" t="str">
        <f>"REIMBURSE-CONF REG &amp; FEE"</f>
        <v>REIMBURSE-CONF REG &amp; FEE</v>
      </c>
    </row>
    <row r="43" spans="1:10" x14ac:dyDescent="0.3">
      <c r="A43" t="str">
        <f>""</f>
        <v/>
      </c>
      <c r="F43" t="str">
        <f>"201806061418"</f>
        <v>201806061418</v>
      </c>
      <c r="G43" t="str">
        <f>"PER DIEM"</f>
        <v>PER DIEM</v>
      </c>
      <c r="H43">
        <v>80</v>
      </c>
      <c r="I43" t="str">
        <f>"PER DIEM"</f>
        <v>PER DIEM</v>
      </c>
    </row>
    <row r="44" spans="1:10" x14ac:dyDescent="0.3">
      <c r="A44" t="str">
        <f>"003117"</f>
        <v>003117</v>
      </c>
      <c r="B44" t="s">
        <v>17</v>
      </c>
      <c r="C44">
        <v>999999</v>
      </c>
      <c r="D44" s="2">
        <v>429.1</v>
      </c>
      <c r="E44" s="1">
        <v>43277</v>
      </c>
      <c r="F44" t="str">
        <f>"201806191639"</f>
        <v>201806191639</v>
      </c>
      <c r="G44" t="str">
        <f>"REIMBURSEMENT-MAIL CHIMP/HOTEL"</f>
        <v>REIMBURSEMENT-MAIL CHIMP/HOTEL</v>
      </c>
      <c r="H44">
        <v>429.1</v>
      </c>
      <c r="I44" t="str">
        <f>"REIMBURSEMENT-MAIL CHIMP/HOTEL"</f>
        <v>REIMBURSEMENT-MAIL CHIMP/HOTEL</v>
      </c>
    </row>
    <row r="45" spans="1:10" x14ac:dyDescent="0.3">
      <c r="A45" t="str">
        <f>"AG"</f>
        <v>AG</v>
      </c>
      <c r="B45" t="s">
        <v>18</v>
      </c>
      <c r="C45">
        <v>77026</v>
      </c>
      <c r="D45" s="2">
        <v>397.56</v>
      </c>
      <c r="E45" s="1">
        <v>43262</v>
      </c>
      <c r="F45" t="str">
        <f>"6187725"</f>
        <v>6187725</v>
      </c>
      <c r="G45" t="str">
        <f>"CUST#17295/PCT#4"</f>
        <v>CUST#17295/PCT#4</v>
      </c>
      <c r="H45">
        <v>397.56</v>
      </c>
      <c r="I45" t="str">
        <f>"CUST#17295/PCT#4"</f>
        <v>CUST#17295/PCT#4</v>
      </c>
    </row>
    <row r="46" spans="1:10" x14ac:dyDescent="0.3">
      <c r="A46" t="str">
        <f>"NPP"</f>
        <v>NPP</v>
      </c>
      <c r="B46" t="s">
        <v>19</v>
      </c>
      <c r="C46">
        <v>999999</v>
      </c>
      <c r="D46" s="2">
        <v>400</v>
      </c>
      <c r="E46" s="1">
        <v>43263</v>
      </c>
      <c r="F46" t="str">
        <f>"201806011237"</f>
        <v>201806011237</v>
      </c>
      <c r="G46" t="str">
        <f>"16349"</f>
        <v>16349</v>
      </c>
      <c r="H46">
        <v>400</v>
      </c>
      <c r="I46" t="str">
        <f>"16349"</f>
        <v>16349</v>
      </c>
    </row>
    <row r="47" spans="1:10" x14ac:dyDescent="0.3">
      <c r="A47" t="str">
        <f>"NPP"</f>
        <v>NPP</v>
      </c>
      <c r="B47" t="s">
        <v>19</v>
      </c>
      <c r="C47">
        <v>999999</v>
      </c>
      <c r="D47" s="2">
        <v>100</v>
      </c>
      <c r="E47" s="1">
        <v>43277</v>
      </c>
      <c r="F47" t="str">
        <f>"201806131562"</f>
        <v>201806131562</v>
      </c>
      <c r="G47" t="str">
        <f>"9358"</f>
        <v>9358</v>
      </c>
      <c r="H47">
        <v>100</v>
      </c>
      <c r="I47" t="str">
        <f>"9358"</f>
        <v>9358</v>
      </c>
    </row>
    <row r="48" spans="1:10" x14ac:dyDescent="0.3">
      <c r="A48" t="str">
        <f>"005335"</f>
        <v>005335</v>
      </c>
      <c r="B48" t="s">
        <v>20</v>
      </c>
      <c r="C48">
        <v>77235</v>
      </c>
      <c r="D48" s="2">
        <v>200</v>
      </c>
      <c r="E48" s="1">
        <v>43276</v>
      </c>
      <c r="F48" t="s">
        <v>21</v>
      </c>
      <c r="G48" t="s">
        <v>22</v>
      </c>
      <c r="H48" t="str">
        <f>"RESTITUTION-T. CHURCH"</f>
        <v>RESTITUTION-T. CHURCH</v>
      </c>
      <c r="I48" t="str">
        <f>"210-0000"</f>
        <v>210-0000</v>
      </c>
      <c r="J48" t="str">
        <f>""</f>
        <v/>
      </c>
    </row>
    <row r="49" spans="1:10" x14ac:dyDescent="0.3">
      <c r="A49" t="str">
        <f>""</f>
        <v/>
      </c>
      <c r="F49" t="s">
        <v>21</v>
      </c>
      <c r="G49" t="s">
        <v>23</v>
      </c>
      <c r="H49" t="str">
        <f>"15 835"</f>
        <v>15 835</v>
      </c>
      <c r="I49" t="str">
        <f>"210-0000"</f>
        <v>210-0000</v>
      </c>
      <c r="J49" t="str">
        <f>""</f>
        <v/>
      </c>
    </row>
    <row r="50" spans="1:10" x14ac:dyDescent="0.3">
      <c r="A50" t="str">
        <f>"ALLIED"</f>
        <v>ALLIED</v>
      </c>
      <c r="B50" t="s">
        <v>24</v>
      </c>
      <c r="C50">
        <v>999999</v>
      </c>
      <c r="D50" s="2">
        <v>51.71</v>
      </c>
      <c r="E50" s="1">
        <v>43277</v>
      </c>
      <c r="F50" t="str">
        <f>"31622361"</f>
        <v>31622361</v>
      </c>
      <c r="G50" t="str">
        <f>"CUST#39329/ORD#10631870/PCT#4"</f>
        <v>CUST#39329/ORD#10631870/PCT#4</v>
      </c>
      <c r="H50">
        <v>51.71</v>
      </c>
      <c r="I50" t="str">
        <f>"CUST#39329/ORD#10631870/PCT#4"</f>
        <v>CUST#39329/ORD#10631870/PCT#4</v>
      </c>
    </row>
    <row r="51" spans="1:10" x14ac:dyDescent="0.3">
      <c r="A51" t="str">
        <f>"001613"</f>
        <v>001613</v>
      </c>
      <c r="B51" t="s">
        <v>25</v>
      </c>
      <c r="C51">
        <v>77236</v>
      </c>
      <c r="D51" s="2">
        <v>26.72</v>
      </c>
      <c r="E51" s="1">
        <v>43276</v>
      </c>
      <c r="F51" t="str">
        <f>"SI-332081 (2)"</f>
        <v>SI-332081 (2)</v>
      </c>
      <c r="G51" t="str">
        <f>"INV SI-332081"</f>
        <v>INV SI-332081</v>
      </c>
      <c r="H51">
        <v>26.72</v>
      </c>
      <c r="I51" t="str">
        <f>"INV SI-332081"</f>
        <v>INV SI-332081</v>
      </c>
    </row>
    <row r="52" spans="1:10" x14ac:dyDescent="0.3">
      <c r="A52" t="str">
        <f>"004642"</f>
        <v>004642</v>
      </c>
      <c r="B52" t="s">
        <v>26</v>
      </c>
      <c r="C52">
        <v>77027</v>
      </c>
      <c r="D52" s="2">
        <v>738</v>
      </c>
      <c r="E52" s="1">
        <v>43262</v>
      </c>
      <c r="F52" t="str">
        <f>"30615"</f>
        <v>30615</v>
      </c>
      <c r="G52" t="str">
        <f>"RENTAL-SHILOH RD &amp; HWY 304"</f>
        <v>RENTAL-SHILOH RD &amp; HWY 304</v>
      </c>
      <c r="H52">
        <v>167</v>
      </c>
      <c r="I52" t="str">
        <f>"RENTAL-SHILOH RD &amp; HWY 304"</f>
        <v>RENTAL-SHILOH RD &amp; HWY 304</v>
      </c>
    </row>
    <row r="53" spans="1:10" x14ac:dyDescent="0.3">
      <c r="A53" t="str">
        <f>""</f>
        <v/>
      </c>
      <c r="F53" t="str">
        <f>"30724"</f>
        <v>30724</v>
      </c>
      <c r="G53" t="str">
        <f>"RENTAL-COOL WATER"</f>
        <v>RENTAL-COOL WATER</v>
      </c>
      <c r="H53">
        <v>215</v>
      </c>
      <c r="I53" t="str">
        <f>"RENTAL-COOL WATER"</f>
        <v>RENTAL-COOL WATER</v>
      </c>
    </row>
    <row r="54" spans="1:10" x14ac:dyDescent="0.3">
      <c r="A54" t="str">
        <f>""</f>
        <v/>
      </c>
      <c r="F54" t="str">
        <f>"30725"</f>
        <v>30725</v>
      </c>
      <c r="G54" t="str">
        <f>"RENTAL/RIVERSIDE DR"</f>
        <v>RENTAL/RIVERSIDE DR</v>
      </c>
      <c r="H54">
        <v>259</v>
      </c>
      <c r="I54" t="str">
        <f>"RENTAL/RIVERSIDE DR"</f>
        <v>RENTAL/RIVERSIDE DR</v>
      </c>
    </row>
    <row r="55" spans="1:10" x14ac:dyDescent="0.3">
      <c r="A55" t="str">
        <f>""</f>
        <v/>
      </c>
      <c r="F55" t="str">
        <f>"30726"</f>
        <v>30726</v>
      </c>
      <c r="G55" t="str">
        <f>"RENTAL-589 COOL WATER"</f>
        <v>RENTAL-589 COOL WATER</v>
      </c>
      <c r="H55">
        <v>97</v>
      </c>
      <c r="I55" t="str">
        <f>"RENTAL-589 COOL WATER"</f>
        <v>RENTAL-589 COOL WATER</v>
      </c>
    </row>
    <row r="56" spans="1:10" x14ac:dyDescent="0.3">
      <c r="A56" t="str">
        <f>"004642"</f>
        <v>004642</v>
      </c>
      <c r="B56" t="s">
        <v>26</v>
      </c>
      <c r="C56">
        <v>77237</v>
      </c>
      <c r="D56" s="2">
        <v>635.29</v>
      </c>
      <c r="E56" s="1">
        <v>43276</v>
      </c>
      <c r="F56" t="str">
        <f>"30148"</f>
        <v>30148</v>
      </c>
      <c r="G56" t="str">
        <f>"RENTAL/PCT#1"</f>
        <v>RENTAL/PCT#1</v>
      </c>
      <c r="H56">
        <v>279.29000000000002</v>
      </c>
      <c r="I56" t="str">
        <f>"RENTAL/PCT#1"</f>
        <v>RENTAL/PCT#1</v>
      </c>
    </row>
    <row r="57" spans="1:10" x14ac:dyDescent="0.3">
      <c r="A57" t="str">
        <f>""</f>
        <v/>
      </c>
      <c r="F57" t="str">
        <f>"30149"</f>
        <v>30149</v>
      </c>
      <c r="G57" t="str">
        <f>"RENTAL/GEN SVCS/RIVERSIDE DR"</f>
        <v>RENTAL/GEN SVCS/RIVERSIDE DR</v>
      </c>
      <c r="H57">
        <v>259</v>
      </c>
      <c r="I57" t="str">
        <f>"RENTAL/GEN SVCS/RIVERSIDE DR"</f>
        <v>RENTAL/GEN SVCS/RIVERSIDE DR</v>
      </c>
    </row>
    <row r="58" spans="1:10" x14ac:dyDescent="0.3">
      <c r="A58" t="str">
        <f>""</f>
        <v/>
      </c>
      <c r="F58" t="str">
        <f>"30150"</f>
        <v>30150</v>
      </c>
      <c r="G58" t="str">
        <f>"RENTAL/AC SURGICAL CENTER"</f>
        <v>RENTAL/AC SURGICAL CENTER</v>
      </c>
      <c r="H58">
        <v>97</v>
      </c>
      <c r="I58" t="str">
        <f>"RENTAL/AC SURGICAL CENTER"</f>
        <v>RENTAL/AC SURGICAL CENTER</v>
      </c>
    </row>
    <row r="59" spans="1:10" x14ac:dyDescent="0.3">
      <c r="A59" t="str">
        <f>"005237"</f>
        <v>005237</v>
      </c>
      <c r="B59" t="s">
        <v>27</v>
      </c>
      <c r="C59">
        <v>999999</v>
      </c>
      <c r="D59" s="2">
        <v>894.17</v>
      </c>
      <c r="E59" s="1">
        <v>43277</v>
      </c>
      <c r="F59" t="str">
        <f>"1199-6CML-WX3F"</f>
        <v>1199-6CML-WX3F</v>
      </c>
      <c r="G59" t="str">
        <f>"Kobalt 204-piece"</f>
        <v>Kobalt 204-piece</v>
      </c>
      <c r="H59">
        <v>198</v>
      </c>
      <c r="I59" t="str">
        <f>"Kobalt 204-piece"</f>
        <v>Kobalt 204-piece</v>
      </c>
    </row>
    <row r="60" spans="1:10" x14ac:dyDescent="0.3">
      <c r="A60" t="str">
        <f>""</f>
        <v/>
      </c>
      <c r="F60" t="str">
        <f>"1F39-J16W-6PHM"</f>
        <v>1F39-J16W-6PHM</v>
      </c>
      <c r="G60" t="str">
        <f>"KOBALT-204 PIECE"</f>
        <v>KOBALT-204 PIECE</v>
      </c>
      <c r="H60">
        <v>198</v>
      </c>
      <c r="I60" t="str">
        <f>"KOBALT-204 PIECE"</f>
        <v>KOBALT-204 PIECE</v>
      </c>
    </row>
    <row r="61" spans="1:10" x14ac:dyDescent="0.3">
      <c r="A61" t="str">
        <f>""</f>
        <v/>
      </c>
      <c r="F61" t="str">
        <f>"1H1T-R3HH-HCNM"</f>
        <v>1H1T-R3HH-HCNM</v>
      </c>
      <c r="G61" t="str">
        <f>"A managers Guide Book"</f>
        <v>A managers Guide Book</v>
      </c>
      <c r="H61">
        <v>109.45</v>
      </c>
      <c r="I61" t="str">
        <f>"Book"</f>
        <v>Book</v>
      </c>
    </row>
    <row r="62" spans="1:10" x14ac:dyDescent="0.3">
      <c r="A62" t="str">
        <f>""</f>
        <v/>
      </c>
      <c r="F62" t="str">
        <f>"1N7C-3GWR-GY6V"</f>
        <v>1N7C-3GWR-GY6V</v>
      </c>
      <c r="G62" t="str">
        <f>"Pump Kit"</f>
        <v>Pump Kit</v>
      </c>
      <c r="H62">
        <v>177.36</v>
      </c>
      <c r="I62" t="str">
        <f>"Gas &amp; Go GG-PRK13-A"</f>
        <v>Gas &amp; Go GG-PRK13-A</v>
      </c>
    </row>
    <row r="63" spans="1:10" x14ac:dyDescent="0.3">
      <c r="A63" t="str">
        <f>""</f>
        <v/>
      </c>
      <c r="F63" t="str">
        <f>"1Y49-4WRM-RNQW"</f>
        <v>1Y49-4WRM-RNQW</v>
      </c>
      <c r="G63" t="str">
        <f>"Supplies"</f>
        <v>Supplies</v>
      </c>
      <c r="H63">
        <v>211.36</v>
      </c>
      <c r="I63" t="str">
        <f>"Sheet Plier Stapler"</f>
        <v>Sheet Plier Stapler</v>
      </c>
    </row>
    <row r="64" spans="1:10" x14ac:dyDescent="0.3">
      <c r="A64" t="str">
        <f>""</f>
        <v/>
      </c>
      <c r="F64" t="str">
        <f>""</f>
        <v/>
      </c>
      <c r="G64" t="str">
        <f>""</f>
        <v/>
      </c>
      <c r="I64" t="str">
        <f>"Sheet Plier Stapler"</f>
        <v>Sheet Plier Stapler</v>
      </c>
    </row>
    <row r="65" spans="1:9" x14ac:dyDescent="0.3">
      <c r="A65" t="str">
        <f>""</f>
        <v/>
      </c>
      <c r="F65" t="str">
        <f>""</f>
        <v/>
      </c>
      <c r="G65" t="str">
        <f>""</f>
        <v/>
      </c>
      <c r="I65" t="str">
        <f>"SHIPPING"</f>
        <v>SHIPPING</v>
      </c>
    </row>
    <row r="66" spans="1:9" x14ac:dyDescent="0.3">
      <c r="A66" t="str">
        <f>"002599"</f>
        <v>002599</v>
      </c>
      <c r="B66" t="s">
        <v>28</v>
      </c>
      <c r="C66">
        <v>77028</v>
      </c>
      <c r="D66" s="2">
        <v>49.8</v>
      </c>
      <c r="E66" s="1">
        <v>43262</v>
      </c>
      <c r="F66" t="str">
        <f>"26618-2"</f>
        <v>26618-2</v>
      </c>
      <c r="G66" t="str">
        <f>"CUST#100031/PCT#3"</f>
        <v>CUST#100031/PCT#3</v>
      </c>
      <c r="H66">
        <v>49.8</v>
      </c>
      <c r="I66" t="str">
        <f>"CUST#100031/PCT#3"</f>
        <v>CUST#100031/PCT#3</v>
      </c>
    </row>
    <row r="67" spans="1:9" x14ac:dyDescent="0.3">
      <c r="A67" t="str">
        <f>"002599"</f>
        <v>002599</v>
      </c>
      <c r="B67" t="s">
        <v>28</v>
      </c>
      <c r="C67">
        <v>77238</v>
      </c>
      <c r="D67" s="2">
        <v>157</v>
      </c>
      <c r="E67" s="1">
        <v>43276</v>
      </c>
      <c r="F67" t="str">
        <f>"100031"</f>
        <v>100031</v>
      </c>
      <c r="G67" t="str">
        <f>"CUST#100031/ZIP TIE/PCT#3"</f>
        <v>CUST#100031/ZIP TIE/PCT#3</v>
      </c>
      <c r="H67">
        <v>140</v>
      </c>
      <c r="I67" t="str">
        <f>"CUST#100031/ZIP TIE/PCT#3"</f>
        <v>CUST#100031/ZIP TIE/PCT#3</v>
      </c>
    </row>
    <row r="68" spans="1:9" x14ac:dyDescent="0.3">
      <c r="A68" t="str">
        <f>""</f>
        <v/>
      </c>
      <c r="F68" t="str">
        <f>"26304-4"</f>
        <v>26304-4</v>
      </c>
      <c r="G68" t="str">
        <f>"CUST#100031/FUSE/PCT#3"</f>
        <v>CUST#100031/FUSE/PCT#3</v>
      </c>
      <c r="H68">
        <v>17</v>
      </c>
      <c r="I68" t="str">
        <f>"CUST#100031/FUSE/PCT#3"</f>
        <v>CUST#100031/FUSE/PCT#3</v>
      </c>
    </row>
    <row r="69" spans="1:9" x14ac:dyDescent="0.3">
      <c r="A69" t="str">
        <f>"T6702"</f>
        <v>T6702</v>
      </c>
      <c r="B69" t="s">
        <v>29</v>
      </c>
      <c r="C69">
        <v>77029</v>
      </c>
      <c r="D69" s="2">
        <v>68.7</v>
      </c>
      <c r="E69" s="1">
        <v>43262</v>
      </c>
      <c r="F69" t="str">
        <f>"01-18998325"</f>
        <v>01-18998325</v>
      </c>
      <c r="G69" t="str">
        <f>"INV 01-18998325"</f>
        <v>INV 01-18998325</v>
      </c>
      <c r="H69">
        <v>68.7</v>
      </c>
      <c r="I69" t="str">
        <f>"INV 01-18998325"</f>
        <v>INV 01-18998325</v>
      </c>
    </row>
    <row r="70" spans="1:9" x14ac:dyDescent="0.3">
      <c r="A70" t="str">
        <f>"003296"</f>
        <v>003296</v>
      </c>
      <c r="B70" t="s">
        <v>30</v>
      </c>
      <c r="C70">
        <v>77030</v>
      </c>
      <c r="D70" s="2">
        <v>574</v>
      </c>
      <c r="E70" s="1">
        <v>43262</v>
      </c>
      <c r="F70" t="str">
        <f>"S108285550"</f>
        <v>S108285550</v>
      </c>
      <c r="G70" t="str">
        <f>"ACCT#699006/PCT#2"</f>
        <v>ACCT#699006/PCT#2</v>
      </c>
      <c r="H70">
        <v>574</v>
      </c>
      <c r="I70" t="str">
        <f>"ACCT#699006/PCT#2"</f>
        <v>ACCT#699006/PCT#2</v>
      </c>
    </row>
    <row r="71" spans="1:9" x14ac:dyDescent="0.3">
      <c r="A71" t="str">
        <f>"003296"</f>
        <v>003296</v>
      </c>
      <c r="B71" t="s">
        <v>30</v>
      </c>
      <c r="C71">
        <v>77239</v>
      </c>
      <c r="D71" s="2">
        <v>1462.42</v>
      </c>
      <c r="E71" s="1">
        <v>43276</v>
      </c>
      <c r="F71" t="str">
        <f>"S109778172"</f>
        <v>S109778172</v>
      </c>
      <c r="G71" t="str">
        <f>"ACCT#699006/PCT#2"</f>
        <v>ACCT#699006/PCT#2</v>
      </c>
      <c r="H71">
        <v>1462.42</v>
      </c>
      <c r="I71" t="str">
        <f>"ACCT#699006/PCT#2"</f>
        <v>ACCT#699006/PCT#2</v>
      </c>
    </row>
    <row r="72" spans="1:9" x14ac:dyDescent="0.3">
      <c r="A72" t="str">
        <f>"002148"</f>
        <v>002148</v>
      </c>
      <c r="B72" t="s">
        <v>31</v>
      </c>
      <c r="C72">
        <v>77031</v>
      </c>
      <c r="D72" s="2">
        <v>489.06</v>
      </c>
      <c r="E72" s="1">
        <v>43262</v>
      </c>
      <c r="F72" t="str">
        <f>"937337913 93733791"</f>
        <v>937337913 93733791</v>
      </c>
      <c r="G72" t="str">
        <f>"INV 937337913"</f>
        <v>INV 937337913</v>
      </c>
      <c r="H72">
        <v>489.06</v>
      </c>
      <c r="I72" t="str">
        <f>"INV 937337913"</f>
        <v>INV 937337913</v>
      </c>
    </row>
    <row r="73" spans="1:9" x14ac:dyDescent="0.3">
      <c r="A73" t="str">
        <f>""</f>
        <v/>
      </c>
      <c r="F73" t="str">
        <f>""</f>
        <v/>
      </c>
      <c r="G73" t="str">
        <f>""</f>
        <v/>
      </c>
      <c r="I73" t="str">
        <f>"INV 937337914"</f>
        <v>INV 937337914</v>
      </c>
    </row>
    <row r="74" spans="1:9" x14ac:dyDescent="0.3">
      <c r="A74" t="str">
        <f>"002148"</f>
        <v>002148</v>
      </c>
      <c r="B74" t="s">
        <v>31</v>
      </c>
      <c r="C74">
        <v>77240</v>
      </c>
      <c r="D74" s="2">
        <v>3105.02</v>
      </c>
      <c r="E74" s="1">
        <v>43276</v>
      </c>
      <c r="F74" t="str">
        <f>"937909034"</f>
        <v>937909034</v>
      </c>
      <c r="G74" t="str">
        <f>"INV 937909034"</f>
        <v>INV 937909034</v>
      </c>
      <c r="H74">
        <v>3105.02</v>
      </c>
      <c r="I74" t="str">
        <f>"INV 937909034"</f>
        <v>INV 937909034</v>
      </c>
    </row>
    <row r="75" spans="1:9" x14ac:dyDescent="0.3">
      <c r="A75" t="str">
        <f>"T14545"</f>
        <v>T14545</v>
      </c>
      <c r="B75" t="s">
        <v>32</v>
      </c>
      <c r="C75">
        <v>77241</v>
      </c>
      <c r="D75" s="2">
        <v>1886.05</v>
      </c>
      <c r="E75" s="1">
        <v>43276</v>
      </c>
      <c r="F75" t="str">
        <f>"108708"</f>
        <v>108708</v>
      </c>
      <c r="G75" t="str">
        <f>"2018 POSTCARDS"</f>
        <v>2018 POSTCARDS</v>
      </c>
      <c r="H75">
        <v>1886.05</v>
      </c>
      <c r="I75" t="str">
        <f>"2018 POSTCARDS"</f>
        <v>2018 POSTCARDS</v>
      </c>
    </row>
    <row r="76" spans="1:9" x14ac:dyDescent="0.3">
      <c r="A76" t="str">
        <f>"T7520"</f>
        <v>T7520</v>
      </c>
      <c r="B76" t="s">
        <v>33</v>
      </c>
      <c r="C76">
        <v>999999</v>
      </c>
      <c r="D76" s="2">
        <v>5025</v>
      </c>
      <c r="E76" s="1">
        <v>43263</v>
      </c>
      <c r="F76" t="str">
        <f>"201805301205"</f>
        <v>201805301205</v>
      </c>
      <c r="G76" t="str">
        <f>"16 399"</f>
        <v>16 399</v>
      </c>
      <c r="H76">
        <v>400</v>
      </c>
      <c r="I76" t="str">
        <f>"16 399"</f>
        <v>16 399</v>
      </c>
    </row>
    <row r="77" spans="1:9" x14ac:dyDescent="0.3">
      <c r="A77" t="str">
        <f>""</f>
        <v/>
      </c>
      <c r="F77" t="str">
        <f>"201805301206"</f>
        <v>201805301206</v>
      </c>
      <c r="G77" t="str">
        <f>"12 937 12 938 12 939"</f>
        <v>12 937 12 938 12 939</v>
      </c>
      <c r="H77">
        <v>800</v>
      </c>
      <c r="I77" t="str">
        <f>"12 937 12 938 12 939"</f>
        <v>12 937 12 938 12 939</v>
      </c>
    </row>
    <row r="78" spans="1:9" x14ac:dyDescent="0.3">
      <c r="A78" t="str">
        <f>""</f>
        <v/>
      </c>
      <c r="F78" t="str">
        <f>"201805301207"</f>
        <v>201805301207</v>
      </c>
      <c r="G78" t="str">
        <f>"676-21"</f>
        <v>676-21</v>
      </c>
      <c r="H78">
        <v>100</v>
      </c>
      <c r="I78" t="str">
        <f>"676-21"</f>
        <v>676-21</v>
      </c>
    </row>
    <row r="79" spans="1:9" x14ac:dyDescent="0.3">
      <c r="A79" t="str">
        <f>""</f>
        <v/>
      </c>
      <c r="F79" t="str">
        <f>"201805301208"</f>
        <v>201805301208</v>
      </c>
      <c r="G79" t="str">
        <f>"760-335"</f>
        <v>760-335</v>
      </c>
      <c r="H79">
        <v>100</v>
      </c>
      <c r="I79" t="str">
        <f>"760-335"</f>
        <v>760-335</v>
      </c>
    </row>
    <row r="80" spans="1:9" x14ac:dyDescent="0.3">
      <c r="A80" t="str">
        <f>""</f>
        <v/>
      </c>
      <c r="F80" t="str">
        <f>"201805301209"</f>
        <v>201805301209</v>
      </c>
      <c r="G80" t="str">
        <f>"15 161  16 511 16 425"</f>
        <v>15 161  16 511 16 425</v>
      </c>
      <c r="H80">
        <v>1000</v>
      </c>
      <c r="I80" t="str">
        <f>"15 161  16 511 16 425"</f>
        <v>15 161  16 511 16 425</v>
      </c>
    </row>
    <row r="81" spans="1:9" x14ac:dyDescent="0.3">
      <c r="A81" t="str">
        <f>""</f>
        <v/>
      </c>
      <c r="F81" t="str">
        <f>"201805301210"</f>
        <v>201805301210</v>
      </c>
      <c r="G81" t="str">
        <f>"16 421"</f>
        <v>16 421</v>
      </c>
      <c r="H81">
        <v>400</v>
      </c>
      <c r="I81" t="str">
        <f>"16 421"</f>
        <v>16 421</v>
      </c>
    </row>
    <row r="82" spans="1:9" x14ac:dyDescent="0.3">
      <c r="A82" t="str">
        <f>""</f>
        <v/>
      </c>
      <c r="F82" t="str">
        <f>"201805301211"</f>
        <v>201805301211</v>
      </c>
      <c r="G82" t="str">
        <f>"16-S-04075"</f>
        <v>16-S-04075</v>
      </c>
      <c r="H82">
        <v>400</v>
      </c>
      <c r="I82" t="str">
        <f>"16-S-04075"</f>
        <v>16-S-04075</v>
      </c>
    </row>
    <row r="83" spans="1:9" x14ac:dyDescent="0.3">
      <c r="A83" t="str">
        <f>""</f>
        <v/>
      </c>
      <c r="F83" t="str">
        <f>"201805301212"</f>
        <v>201805301212</v>
      </c>
      <c r="G83" t="str">
        <f>"409206.3M"</f>
        <v>409206.3M</v>
      </c>
      <c r="H83">
        <v>600</v>
      </c>
      <c r="I83" t="str">
        <f>"409206.3M"</f>
        <v>409206.3M</v>
      </c>
    </row>
    <row r="84" spans="1:9" x14ac:dyDescent="0.3">
      <c r="A84" t="str">
        <f>""</f>
        <v/>
      </c>
      <c r="F84" t="str">
        <f>"201806011240"</f>
        <v>201806011240</v>
      </c>
      <c r="G84" t="str">
        <f>"16 544"</f>
        <v>16 544</v>
      </c>
      <c r="H84">
        <v>400</v>
      </c>
      <c r="I84" t="str">
        <f>"16 544"</f>
        <v>16 544</v>
      </c>
    </row>
    <row r="85" spans="1:9" x14ac:dyDescent="0.3">
      <c r="A85" t="str">
        <f>""</f>
        <v/>
      </c>
      <c r="F85" t="str">
        <f>"201806011241"</f>
        <v>201806011241</v>
      </c>
      <c r="G85" t="str">
        <f>"423-5751"</f>
        <v>423-5751</v>
      </c>
      <c r="H85">
        <v>100</v>
      </c>
      <c r="I85" t="str">
        <f>"423-5751"</f>
        <v>423-5751</v>
      </c>
    </row>
    <row r="86" spans="1:9" x14ac:dyDescent="0.3">
      <c r="A86" t="str">
        <f>""</f>
        <v/>
      </c>
      <c r="F86" t="str">
        <f>"201806051302"</f>
        <v>201806051302</v>
      </c>
      <c r="G86" t="str">
        <f>"C18-0045"</f>
        <v>C18-0045</v>
      </c>
      <c r="H86">
        <v>250</v>
      </c>
      <c r="I86" t="str">
        <f>"C18-0045"</f>
        <v>C18-0045</v>
      </c>
    </row>
    <row r="87" spans="1:9" x14ac:dyDescent="0.3">
      <c r="A87" t="str">
        <f>""</f>
        <v/>
      </c>
      <c r="F87" t="str">
        <f>"201806051310"</f>
        <v>201806051310</v>
      </c>
      <c r="G87" t="str">
        <f>"18-19073"</f>
        <v>18-19073</v>
      </c>
      <c r="H87">
        <v>100</v>
      </c>
      <c r="I87" t="str">
        <f>"18-19073"</f>
        <v>18-19073</v>
      </c>
    </row>
    <row r="88" spans="1:9" x14ac:dyDescent="0.3">
      <c r="A88" t="str">
        <f>""</f>
        <v/>
      </c>
      <c r="F88" t="str">
        <f>"201806061368"</f>
        <v>201806061368</v>
      </c>
      <c r="G88" t="str">
        <f>"20170139B  02-0111-2"</f>
        <v>20170139B  02-0111-2</v>
      </c>
      <c r="H88">
        <v>375</v>
      </c>
      <c r="I88" t="str">
        <f>"20170139B  02-0111-2"</f>
        <v>20170139B  02-0111-2</v>
      </c>
    </row>
    <row r="89" spans="1:9" x14ac:dyDescent="0.3">
      <c r="A89" t="str">
        <f>"T7520"</f>
        <v>T7520</v>
      </c>
      <c r="B89" t="s">
        <v>33</v>
      </c>
      <c r="C89">
        <v>999999</v>
      </c>
      <c r="D89" s="2">
        <v>600</v>
      </c>
      <c r="E89" s="1">
        <v>43277</v>
      </c>
      <c r="F89" t="str">
        <f>"201806131558"</f>
        <v>201806131558</v>
      </c>
      <c r="G89" t="str">
        <f>"16 371"</f>
        <v>16 371</v>
      </c>
      <c r="H89">
        <v>400</v>
      </c>
      <c r="I89" t="str">
        <f>"16 371"</f>
        <v>16 371</v>
      </c>
    </row>
    <row r="90" spans="1:9" x14ac:dyDescent="0.3">
      <c r="A90" t="str">
        <f>""</f>
        <v/>
      </c>
      <c r="F90" t="str">
        <f>"201806131559"</f>
        <v>201806131559</v>
      </c>
      <c r="G90" t="str">
        <f>"423-5690/764-21"</f>
        <v>423-5690/764-21</v>
      </c>
      <c r="H90">
        <v>200</v>
      </c>
      <c r="I90" t="str">
        <f>"423-5690/764-21"</f>
        <v>423-5690/764-21</v>
      </c>
    </row>
    <row r="91" spans="1:9" x14ac:dyDescent="0.3">
      <c r="A91" t="str">
        <f>"T7342"</f>
        <v>T7342</v>
      </c>
      <c r="B91" t="s">
        <v>34</v>
      </c>
      <c r="C91">
        <v>77032</v>
      </c>
      <c r="D91" s="2">
        <v>95.98</v>
      </c>
      <c r="E91" s="1">
        <v>43262</v>
      </c>
      <c r="F91" t="str">
        <f>"201805301232"</f>
        <v>201805301232</v>
      </c>
      <c r="G91" t="str">
        <f>"REIMBURSE-FOOD FOR ROAD CREW"</f>
        <v>REIMBURSE-FOOD FOR ROAD CREW</v>
      </c>
      <c r="H91">
        <v>95.98</v>
      </c>
      <c r="I91" t="str">
        <f>"REIMBURSE-FOOD FOR ROAD CREW"</f>
        <v>REIMBURSE-FOOD FOR ROAD CREW</v>
      </c>
    </row>
    <row r="92" spans="1:9" x14ac:dyDescent="0.3">
      <c r="A92" t="str">
        <f>"002661"</f>
        <v>002661</v>
      </c>
      <c r="B92" t="s">
        <v>35</v>
      </c>
      <c r="C92">
        <v>77033</v>
      </c>
      <c r="D92" s="2">
        <v>83.92</v>
      </c>
      <c r="E92" s="1">
        <v>43262</v>
      </c>
      <c r="F92" t="str">
        <f>"1805-394101"</f>
        <v>1805-394101</v>
      </c>
      <c r="G92" t="str">
        <f>"ACCT#3-3053/PCT#2"</f>
        <v>ACCT#3-3053/PCT#2</v>
      </c>
      <c r="H92">
        <v>83.92</v>
      </c>
      <c r="I92" t="str">
        <f>"ACCT#3-3053/PCT#2"</f>
        <v>ACCT#3-3053/PCT#2</v>
      </c>
    </row>
    <row r="93" spans="1:9" x14ac:dyDescent="0.3">
      <c r="A93" t="str">
        <f>"004902"</f>
        <v>004902</v>
      </c>
      <c r="B93" t="s">
        <v>36</v>
      </c>
      <c r="C93">
        <v>999999</v>
      </c>
      <c r="D93" s="2">
        <v>412.57</v>
      </c>
      <c r="E93" s="1">
        <v>43263</v>
      </c>
      <c r="F93" t="str">
        <f>"201806051265"</f>
        <v>201806051265</v>
      </c>
      <c r="G93" t="str">
        <f>"MILEAGE REIMBURSEMENT"</f>
        <v>MILEAGE REIMBURSEMENT</v>
      </c>
      <c r="H93">
        <v>412.57</v>
      </c>
      <c r="I93" t="str">
        <f>"MILEAGE REIMBURSEMENT"</f>
        <v>MILEAGE REIMBURSEMENT</v>
      </c>
    </row>
    <row r="94" spans="1:9" x14ac:dyDescent="0.3">
      <c r="A94" t="str">
        <f>"004902"</f>
        <v>004902</v>
      </c>
      <c r="B94" t="s">
        <v>36</v>
      </c>
      <c r="C94">
        <v>999999</v>
      </c>
      <c r="D94" s="2">
        <v>256.29000000000002</v>
      </c>
      <c r="E94" s="1">
        <v>43277</v>
      </c>
      <c r="F94" t="str">
        <f>"201806191642"</f>
        <v>201806191642</v>
      </c>
      <c r="G94" t="str">
        <f>"REIMBURSE-HOTEL"</f>
        <v>REIMBURSE-HOTEL</v>
      </c>
      <c r="H94">
        <v>256.29000000000002</v>
      </c>
      <c r="I94" t="str">
        <f>"REIMBURSE-HOTEL"</f>
        <v>REIMBURSE-HOTEL</v>
      </c>
    </row>
    <row r="95" spans="1:9" x14ac:dyDescent="0.3">
      <c r="A95" t="str">
        <f>""</f>
        <v/>
      </c>
      <c r="F95" t="str">
        <f>""</f>
        <v/>
      </c>
      <c r="G95" t="str">
        <f>""</f>
        <v/>
      </c>
      <c r="I95" t="str">
        <f>"REIMBURSE-HOTEL"</f>
        <v>REIMBURSE-HOTEL</v>
      </c>
    </row>
    <row r="96" spans="1:9" x14ac:dyDescent="0.3">
      <c r="A96" t="str">
        <f>"AQUAB"</f>
        <v>AQUAB</v>
      </c>
      <c r="B96" t="s">
        <v>37</v>
      </c>
      <c r="C96">
        <v>77034</v>
      </c>
      <c r="D96" s="2">
        <v>948.95</v>
      </c>
      <c r="E96" s="1">
        <v>43262</v>
      </c>
      <c r="F96" t="str">
        <f>"201806011247"</f>
        <v>201806011247</v>
      </c>
      <c r="G96" t="str">
        <f>"ACCT#011955/DIST JUDGE"</f>
        <v>ACCT#011955/DIST JUDGE</v>
      </c>
      <c r="H96">
        <v>40.5</v>
      </c>
      <c r="I96" t="str">
        <f>"ACCT#011955/DIST JUDGE"</f>
        <v>ACCT#011955/DIST JUDGE</v>
      </c>
    </row>
    <row r="97" spans="1:9" x14ac:dyDescent="0.3">
      <c r="A97" t="str">
        <f>""</f>
        <v/>
      </c>
      <c r="F97" t="str">
        <f>"201806011248"</f>
        <v>201806011248</v>
      </c>
      <c r="G97" t="str">
        <f>"ACCT#012231/DIST JUDGE"</f>
        <v>ACCT#012231/DIST JUDGE</v>
      </c>
      <c r="H97">
        <v>10</v>
      </c>
      <c r="I97" t="str">
        <f>"ACCT#012231/DIST JUDGE"</f>
        <v>ACCT#012231/DIST JUDGE</v>
      </c>
    </row>
    <row r="98" spans="1:9" x14ac:dyDescent="0.3">
      <c r="A98" t="str">
        <f>""</f>
        <v/>
      </c>
      <c r="F98" t="str">
        <f>"201806011249"</f>
        <v>201806011249</v>
      </c>
      <c r="G98" t="str">
        <f>"ACCT#015538/EMER COMM"</f>
        <v>ACCT#015538/EMER COMM</v>
      </c>
      <c r="H98">
        <v>154.49</v>
      </c>
      <c r="I98" t="str">
        <f>"ACCT#015538/EMER COMM"</f>
        <v>ACCT#015538/EMER COMM</v>
      </c>
    </row>
    <row r="99" spans="1:9" x14ac:dyDescent="0.3">
      <c r="A99" t="str">
        <f>""</f>
        <v/>
      </c>
      <c r="F99" t="str">
        <f>"201806011250"</f>
        <v>201806011250</v>
      </c>
      <c r="G99" t="str">
        <f>"ACCT#012260/DA'S OFFICE"</f>
        <v>ACCT#012260/DA'S OFFICE</v>
      </c>
      <c r="H99">
        <v>52.5</v>
      </c>
      <c r="I99" t="str">
        <f>"ACCT#012260/DA'S OFFICE"</f>
        <v>ACCT#012260/DA'S OFFICE</v>
      </c>
    </row>
    <row r="100" spans="1:9" x14ac:dyDescent="0.3">
      <c r="A100" t="str">
        <f>""</f>
        <v/>
      </c>
      <c r="F100" t="str">
        <f>"201806011252"</f>
        <v>201806011252</v>
      </c>
      <c r="G100" t="str">
        <f>"ACCT#010057/AUDITOR"</f>
        <v>ACCT#010057/AUDITOR</v>
      </c>
      <c r="H100">
        <v>102</v>
      </c>
      <c r="I100" t="str">
        <f>"ACCT#010057/AUDITOR"</f>
        <v>ACCT#010057/AUDITOR</v>
      </c>
    </row>
    <row r="101" spans="1:9" x14ac:dyDescent="0.3">
      <c r="A101" t="str">
        <f>""</f>
        <v/>
      </c>
      <c r="F101" t="str">
        <f>"201806011254"</f>
        <v>201806011254</v>
      </c>
      <c r="G101" t="str">
        <f>"ACCT#010238/GEN SVCS"</f>
        <v>ACCT#010238/GEN SVCS</v>
      </c>
      <c r="H101">
        <v>101.5</v>
      </c>
      <c r="I101" t="str">
        <f>"ACCT#010238/GEN SVCS"</f>
        <v>ACCT#010238/GEN SVCS</v>
      </c>
    </row>
    <row r="102" spans="1:9" x14ac:dyDescent="0.3">
      <c r="A102" t="str">
        <f>""</f>
        <v/>
      </c>
      <c r="F102" t="str">
        <f>"201806011256"</f>
        <v>201806011256</v>
      </c>
      <c r="G102" t="str">
        <f>"ACCT#012259/DIST CLERK"</f>
        <v>ACCT#012259/DIST CLERK</v>
      </c>
      <c r="H102">
        <v>84</v>
      </c>
      <c r="I102" t="str">
        <f>"ACCT#012259/DIST CLERK"</f>
        <v>ACCT#012259/DIST CLERK</v>
      </c>
    </row>
    <row r="103" spans="1:9" x14ac:dyDescent="0.3">
      <c r="A103" t="str">
        <f>""</f>
        <v/>
      </c>
      <c r="F103" t="str">
        <f>"201806051258"</f>
        <v>201806051258</v>
      </c>
      <c r="G103" t="str">
        <f>"ACCT#011474/ELECTIONS"</f>
        <v>ACCT#011474/ELECTIONS</v>
      </c>
      <c r="H103">
        <v>40</v>
      </c>
      <c r="I103" t="str">
        <f>"ACCT#011474/ELECTIONS"</f>
        <v>ACCT#011474/ELECTIONS</v>
      </c>
    </row>
    <row r="104" spans="1:9" x14ac:dyDescent="0.3">
      <c r="A104" t="str">
        <f>""</f>
        <v/>
      </c>
      <c r="F104" t="str">
        <f>"201806051259"</f>
        <v>201806051259</v>
      </c>
      <c r="G104" t="str">
        <f>"ACCT#015476/PURCHASING"</f>
        <v>ACCT#015476/PURCHASING</v>
      </c>
      <c r="H104">
        <v>18.489999999999998</v>
      </c>
      <c r="I104" t="str">
        <f>"ACCT#015476/PURCHASING"</f>
        <v>ACCT#015476/PURCHASING</v>
      </c>
    </row>
    <row r="105" spans="1:9" x14ac:dyDescent="0.3">
      <c r="A105" t="str">
        <f>""</f>
        <v/>
      </c>
      <c r="F105" t="str">
        <f>"201806051260"</f>
        <v>201806051260</v>
      </c>
      <c r="G105" t="str">
        <f>"ACCT#012571/TREASURER"</f>
        <v>ACCT#012571/TREASURER</v>
      </c>
      <c r="H105">
        <v>31.5</v>
      </c>
      <c r="I105" t="str">
        <f>"ACCT#012571/TREASURER"</f>
        <v>ACCT#012571/TREASURER</v>
      </c>
    </row>
    <row r="106" spans="1:9" x14ac:dyDescent="0.3">
      <c r="A106" t="str">
        <f>""</f>
        <v/>
      </c>
      <c r="F106" t="str">
        <f>"201806051261"</f>
        <v>201806051261</v>
      </c>
      <c r="G106" t="str">
        <f>"ACCT#010149/AGRI LIFE EXT"</f>
        <v>ACCT#010149/AGRI LIFE EXT</v>
      </c>
      <c r="H106">
        <v>42.49</v>
      </c>
      <c r="I106" t="str">
        <f>"ACCT#010149/AGRI LIFE EXT"</f>
        <v>ACCT#010149/AGRI LIFE EXT</v>
      </c>
    </row>
    <row r="107" spans="1:9" x14ac:dyDescent="0.3">
      <c r="A107" t="str">
        <f>""</f>
        <v/>
      </c>
      <c r="F107" t="str">
        <f>"201806051264"</f>
        <v>201806051264</v>
      </c>
      <c r="G107" t="str">
        <f>"ACCT#010602/COMMISSIONERS OFF"</f>
        <v>ACCT#010602/COMMISSIONERS OFF</v>
      </c>
      <c r="H107">
        <v>46.5</v>
      </c>
      <c r="I107" t="str">
        <f>"ACCT#010602/COMMISSIONERS OFF"</f>
        <v>ACCT#010602/COMMISSIONERS OFF</v>
      </c>
    </row>
    <row r="108" spans="1:9" x14ac:dyDescent="0.3">
      <c r="A108" t="str">
        <f>""</f>
        <v/>
      </c>
      <c r="F108" t="str">
        <f>"201806051269"</f>
        <v>201806051269</v>
      </c>
      <c r="G108" t="str">
        <f>"ACCT#010835/COMMISSIONER PCT#1"</f>
        <v>ACCT#010835/COMMISSIONER PCT#1</v>
      </c>
      <c r="H108">
        <v>19.489999999999998</v>
      </c>
      <c r="I108" t="str">
        <f>"ACCT#010835/COMMISSIONER PCT#1"</f>
        <v>ACCT#010835/COMMISSIONER PCT#1</v>
      </c>
    </row>
    <row r="109" spans="1:9" x14ac:dyDescent="0.3">
      <c r="A109" t="str">
        <f>""</f>
        <v/>
      </c>
      <c r="F109" t="str">
        <f>"201806061392"</f>
        <v>201806061392</v>
      </c>
      <c r="G109" t="str">
        <f>"ACCT#011280/COUNTY CLERK"</f>
        <v>ACCT#011280/COUNTY CLERK</v>
      </c>
      <c r="H109">
        <v>46.5</v>
      </c>
      <c r="I109" t="str">
        <f>"ACCT#011280/COUNTY CLERK"</f>
        <v>ACCT#011280/COUNTY CLERK</v>
      </c>
    </row>
    <row r="110" spans="1:9" x14ac:dyDescent="0.3">
      <c r="A110" t="str">
        <f>""</f>
        <v/>
      </c>
      <c r="F110" t="str">
        <f>"201806061396"</f>
        <v>201806061396</v>
      </c>
      <c r="G110" t="str">
        <f>"ACCT#014737/ANIMAL SERVICE"</f>
        <v>ACCT#014737/ANIMAL SERVICE</v>
      </c>
      <c r="H110">
        <v>149.99</v>
      </c>
      <c r="I110" t="str">
        <f>"ACCT#014737/ANIMAL SERVICE"</f>
        <v>ACCT#014737/ANIMAL SERVICE</v>
      </c>
    </row>
    <row r="111" spans="1:9" x14ac:dyDescent="0.3">
      <c r="A111" t="str">
        <f>""</f>
        <v/>
      </c>
      <c r="F111" t="str">
        <f>"201806061407"</f>
        <v>201806061407</v>
      </c>
      <c r="G111" t="str">
        <f>"ACCT#012803/CO JUDGE"</f>
        <v>ACCT#012803/CO JUDGE</v>
      </c>
      <c r="H111">
        <v>9</v>
      </c>
      <c r="I111" t="str">
        <f>"ACCT#012803/CO JUDGE"</f>
        <v>ACCT#012803/CO JUDGE</v>
      </c>
    </row>
    <row r="112" spans="1:9" x14ac:dyDescent="0.3">
      <c r="A112" t="str">
        <f>"AQUAB"</f>
        <v>AQUAB</v>
      </c>
      <c r="B112" t="s">
        <v>37</v>
      </c>
      <c r="C112">
        <v>77242</v>
      </c>
      <c r="D112" s="2">
        <v>106.99</v>
      </c>
      <c r="E112" s="1">
        <v>43276</v>
      </c>
      <c r="F112" t="str">
        <f>"201806131573"</f>
        <v>201806131573</v>
      </c>
      <c r="G112" t="str">
        <f>"ACCT#011033/IT DEPT"</f>
        <v>ACCT#011033/IT DEPT</v>
      </c>
      <c r="H112">
        <v>18</v>
      </c>
      <c r="I112" t="str">
        <f>"ACCT#011033/IT DEPT"</f>
        <v>ACCT#011033/IT DEPT</v>
      </c>
    </row>
    <row r="113" spans="1:9" x14ac:dyDescent="0.3">
      <c r="A113" t="str">
        <f>""</f>
        <v/>
      </c>
      <c r="F113" t="str">
        <f>"201806191641"</f>
        <v>201806191641</v>
      </c>
      <c r="G113" t="str">
        <f>"ACCT#013393/HUMAN RESOURCES"</f>
        <v>ACCT#013393/HUMAN RESOURCES</v>
      </c>
      <c r="H113">
        <v>32.5</v>
      </c>
      <c r="I113" t="str">
        <f>"ACCT#013393/HUMAN RESOURCES"</f>
        <v>ACCT#013393/HUMAN RESOURCES</v>
      </c>
    </row>
    <row r="114" spans="1:9" x14ac:dyDescent="0.3">
      <c r="A114" t="str">
        <f>""</f>
        <v/>
      </c>
      <c r="F114" t="str">
        <f>"201806201654"</f>
        <v>201806201654</v>
      </c>
      <c r="G114" t="str">
        <f>"ACCT#015199/JP#1"</f>
        <v>ACCT#015199/JP#1</v>
      </c>
      <c r="H114">
        <v>19.489999999999998</v>
      </c>
      <c r="I114" t="str">
        <f>"ACCT#015199/JP#1"</f>
        <v>ACCT#015199/JP#1</v>
      </c>
    </row>
    <row r="115" spans="1:9" x14ac:dyDescent="0.3">
      <c r="A115" t="str">
        <f>""</f>
        <v/>
      </c>
      <c r="F115" t="str">
        <f>"236077  238415"</f>
        <v>236077  238415</v>
      </c>
      <c r="G115" t="str">
        <f>"ACCT#010311/COUNTY CT AT LAW"</f>
        <v>ACCT#010311/COUNTY CT AT LAW</v>
      </c>
      <c r="H115">
        <v>24</v>
      </c>
      <c r="I115" t="str">
        <f>"ACCT#010311/COUNTY CT AT LAW"</f>
        <v>ACCT#010311/COUNTY CT AT LAW</v>
      </c>
    </row>
    <row r="116" spans="1:9" x14ac:dyDescent="0.3">
      <c r="A116" t="str">
        <f>""</f>
        <v/>
      </c>
      <c r="F116" t="str">
        <f>"238389"</f>
        <v>238389</v>
      </c>
      <c r="G116" t="str">
        <f>"ACCT#010111/CCAL-BASTROP"</f>
        <v>ACCT#010111/CCAL-BASTROP</v>
      </c>
      <c r="H116">
        <v>13</v>
      </c>
      <c r="I116" t="str">
        <f>"ACCT#010111/CCAL-BASTROP"</f>
        <v>ACCT#010111/CCAL-BASTROP</v>
      </c>
    </row>
    <row r="117" spans="1:9" x14ac:dyDescent="0.3">
      <c r="A117" t="str">
        <f>"AWS"</f>
        <v>AWS</v>
      </c>
      <c r="B117" t="s">
        <v>38</v>
      </c>
      <c r="C117">
        <v>77243</v>
      </c>
      <c r="D117" s="2">
        <v>369</v>
      </c>
      <c r="E117" s="1">
        <v>43276</v>
      </c>
      <c r="F117" t="str">
        <f>"201806131595"</f>
        <v>201806131595</v>
      </c>
      <c r="G117" t="str">
        <f>"ACCT#7700010025/72 000 GALLONS"</f>
        <v>ACCT#7700010025/72 000 GALLONS</v>
      </c>
      <c r="H117">
        <v>369</v>
      </c>
      <c r="I117" t="str">
        <f>"ACCT#7700010025/72 000 GALLONS"</f>
        <v>ACCT#7700010025/72 000 GALLONS</v>
      </c>
    </row>
    <row r="118" spans="1:9" x14ac:dyDescent="0.3">
      <c r="A118" t="str">
        <f>"000987"</f>
        <v>000987</v>
      </c>
      <c r="B118" t="s">
        <v>39</v>
      </c>
      <c r="C118">
        <v>77035</v>
      </c>
      <c r="D118" s="2">
        <v>87.68</v>
      </c>
      <c r="E118" s="1">
        <v>43262</v>
      </c>
      <c r="F118" t="str">
        <f>"201806061414"</f>
        <v>201806061414</v>
      </c>
      <c r="G118" t="str">
        <f>"JAIL MEDICAL"</f>
        <v>JAIL MEDICAL</v>
      </c>
      <c r="H118">
        <v>87.68</v>
      </c>
      <c r="I118" t="str">
        <f>"JAIL MEDICAL"</f>
        <v>JAIL MEDICAL</v>
      </c>
    </row>
    <row r="119" spans="1:9" x14ac:dyDescent="0.3">
      <c r="A119" t="str">
        <f>"003672"</f>
        <v>003672</v>
      </c>
      <c r="B119" t="s">
        <v>40</v>
      </c>
      <c r="C119">
        <v>77244</v>
      </c>
      <c r="D119" s="2">
        <v>28171.62</v>
      </c>
      <c r="E119" s="1">
        <v>43276</v>
      </c>
      <c r="F119" t="str">
        <f>"14687"</f>
        <v>14687</v>
      </c>
      <c r="G119" t="str">
        <f>"PROJ:BC MAY ADVERTISING"</f>
        <v>PROJ:BC MAY ADVERTISING</v>
      </c>
      <c r="H119">
        <v>26371.62</v>
      </c>
      <c r="I119" t="str">
        <f>"PROJ:BC MAY ADVERTISING"</f>
        <v>PROJ:BC MAY ADVERTISING</v>
      </c>
    </row>
    <row r="120" spans="1:9" x14ac:dyDescent="0.3">
      <c r="A120" t="str">
        <f>""</f>
        <v/>
      </c>
      <c r="F120" t="str">
        <f>"14688"</f>
        <v>14688</v>
      </c>
      <c r="G120" t="str">
        <f>"PROJ:BC PROSERV MAY ADV"</f>
        <v>PROJ:BC PROSERV MAY ADV</v>
      </c>
      <c r="H120">
        <v>1800</v>
      </c>
      <c r="I120" t="str">
        <f>"PROJ:BC PROSERV MAY ADV"</f>
        <v>PROJ:BC PROSERV MAY ADV</v>
      </c>
    </row>
    <row r="121" spans="1:9" x14ac:dyDescent="0.3">
      <c r="A121" t="str">
        <f>"003673"</f>
        <v>003673</v>
      </c>
      <c r="B121" t="s">
        <v>41</v>
      </c>
      <c r="C121">
        <v>77036</v>
      </c>
      <c r="D121" s="2">
        <v>4977.8900000000003</v>
      </c>
      <c r="E121" s="1">
        <v>43262</v>
      </c>
      <c r="F121" t="str">
        <f>"201806051268"</f>
        <v>201806051268</v>
      </c>
      <c r="G121" t="str">
        <f>"ACCT#512A49-0048 193 3"</f>
        <v>ACCT#512A49-0048 193 3</v>
      </c>
      <c r="H121">
        <v>4416.07</v>
      </c>
      <c r="I121" t="str">
        <f>"ACCT#512A49-0048 193 3"</f>
        <v>ACCT#512A49-0048 193 3</v>
      </c>
    </row>
    <row r="122" spans="1:9" x14ac:dyDescent="0.3">
      <c r="A122" t="str">
        <f>""</f>
        <v/>
      </c>
      <c r="F122" t="str">
        <f>""</f>
        <v/>
      </c>
      <c r="G122" t="str">
        <f>""</f>
        <v/>
      </c>
      <c r="I122" t="str">
        <f>"ACCT#512A49-0048 193 3"</f>
        <v>ACCT#512A49-0048 193 3</v>
      </c>
    </row>
    <row r="123" spans="1:9" x14ac:dyDescent="0.3">
      <c r="A123" t="str">
        <f>""</f>
        <v/>
      </c>
      <c r="F123" t="str">
        <f>"201806051270"</f>
        <v>201806051270</v>
      </c>
      <c r="G123" t="str">
        <f>"ACCT#512A49-0048 193 3/PCT#2"</f>
        <v>ACCT#512A49-0048 193 3/PCT#2</v>
      </c>
      <c r="H123">
        <v>244.89</v>
      </c>
      <c r="I123" t="str">
        <f>"ACCT#512A49-0048 193 3/PCT#2"</f>
        <v>ACCT#512A49-0048 193 3/PCT#2</v>
      </c>
    </row>
    <row r="124" spans="1:9" x14ac:dyDescent="0.3">
      <c r="A124" t="str">
        <f>""</f>
        <v/>
      </c>
      <c r="F124" t="str">
        <f>"201806051271"</f>
        <v>201806051271</v>
      </c>
      <c r="G124" t="str">
        <f>"ACCT#512A49-0048 193 3/PCT#3"</f>
        <v>ACCT#512A49-0048 193 3/PCT#3</v>
      </c>
      <c r="H124">
        <v>181.12</v>
      </c>
      <c r="I124" t="str">
        <f>"ACCT#512A49-0048 193 3/PCT#3"</f>
        <v>ACCT#512A49-0048 193 3/PCT#3</v>
      </c>
    </row>
    <row r="125" spans="1:9" x14ac:dyDescent="0.3">
      <c r="A125" t="str">
        <f>""</f>
        <v/>
      </c>
      <c r="F125" t="str">
        <f>"201806051272"</f>
        <v>201806051272</v>
      </c>
      <c r="G125" t="str">
        <f>"ACCT#512A49-0048 193 3/PCT#4"</f>
        <v>ACCT#512A49-0048 193 3/PCT#4</v>
      </c>
      <c r="H125">
        <v>135.81</v>
      </c>
      <c r="I125" t="str">
        <f>"ACCT#512A49-0048 193 3/PCT#4"</f>
        <v>ACCT#512A49-0048 193 3/PCT#4</v>
      </c>
    </row>
    <row r="126" spans="1:9" x14ac:dyDescent="0.3">
      <c r="A126" t="str">
        <f>"005571"</f>
        <v>005571</v>
      </c>
      <c r="B126" t="s">
        <v>42</v>
      </c>
      <c r="C126">
        <v>77037</v>
      </c>
      <c r="D126" s="2">
        <v>275</v>
      </c>
      <c r="E126" s="1">
        <v>43262</v>
      </c>
      <c r="F126" t="str">
        <f>"276768"</f>
        <v>276768</v>
      </c>
      <c r="G126" t="str">
        <f>"INV 276768"</f>
        <v>INV 276768</v>
      </c>
      <c r="H126">
        <v>275</v>
      </c>
      <c r="I126" t="str">
        <f>"INV 276768"</f>
        <v>INV 276768</v>
      </c>
    </row>
    <row r="127" spans="1:9" x14ac:dyDescent="0.3">
      <c r="A127" t="str">
        <f>"AT&amp;TLO"</f>
        <v>AT&amp;TLO</v>
      </c>
      <c r="B127" t="s">
        <v>42</v>
      </c>
      <c r="C127">
        <v>77038</v>
      </c>
      <c r="D127" s="2">
        <v>2769.21</v>
      </c>
      <c r="E127" s="1">
        <v>43262</v>
      </c>
      <c r="F127" t="str">
        <f>"1477042401"</f>
        <v>1477042401</v>
      </c>
      <c r="G127" t="str">
        <f>"ACCT#831-000-6084 095"</f>
        <v>ACCT#831-000-6084 095</v>
      </c>
      <c r="H127">
        <v>1825.14</v>
      </c>
      <c r="I127" t="str">
        <f>"ACCT#831-000-6084 095"</f>
        <v>ACCT#831-000-6084 095</v>
      </c>
    </row>
    <row r="128" spans="1:9" x14ac:dyDescent="0.3">
      <c r="A128" t="str">
        <f>""</f>
        <v/>
      </c>
      <c r="F128" t="str">
        <f>"3921542408"</f>
        <v>3921542408</v>
      </c>
      <c r="G128" t="str">
        <f>"ACCT#831-000-7218 923"</f>
        <v>ACCT#831-000-7218 923</v>
      </c>
      <c r="H128">
        <v>944.07</v>
      </c>
      <c r="I128" t="str">
        <f>"ACCT#831-000-7218 923"</f>
        <v>ACCT#831-000-7218 923</v>
      </c>
    </row>
    <row r="129" spans="1:9" x14ac:dyDescent="0.3">
      <c r="A129" t="str">
        <f>"T7386"</f>
        <v>T7386</v>
      </c>
      <c r="B129" t="s">
        <v>42</v>
      </c>
      <c r="C129">
        <v>77245</v>
      </c>
      <c r="D129" s="2">
        <v>1794.67</v>
      </c>
      <c r="E129" s="1">
        <v>43276</v>
      </c>
      <c r="F129" t="str">
        <f>"512-303-1080 238 5"</f>
        <v>512-303-1080 238 5</v>
      </c>
      <c r="G129" t="str">
        <f>"512-303-1080 238 5"</f>
        <v>512-303-1080 238 5</v>
      </c>
      <c r="H129">
        <v>1794.67</v>
      </c>
      <c r="I129" t="str">
        <f>"512-303-1080 238 5"</f>
        <v>512-303-1080 238 5</v>
      </c>
    </row>
    <row r="130" spans="1:9" x14ac:dyDescent="0.3">
      <c r="A130" t="str">
        <f>"AT&amp;TMO"</f>
        <v>AT&amp;TMO</v>
      </c>
      <c r="B130" t="s">
        <v>43</v>
      </c>
      <c r="C130">
        <v>77039</v>
      </c>
      <c r="D130" s="2">
        <v>589.15</v>
      </c>
      <c r="E130" s="1">
        <v>43262</v>
      </c>
      <c r="F130" t="str">
        <f>"287280903541X03202"</f>
        <v>287280903541X03202</v>
      </c>
      <c r="G130" t="str">
        <f>"ACCT#287280903541"</f>
        <v>ACCT#287280903541</v>
      </c>
      <c r="H130">
        <v>155.21</v>
      </c>
      <c r="I130" t="str">
        <f>"ACCT#287280903541"</f>
        <v>ACCT#287280903541</v>
      </c>
    </row>
    <row r="131" spans="1:9" x14ac:dyDescent="0.3">
      <c r="A131" t="str">
        <f>""</f>
        <v/>
      </c>
      <c r="F131" t="str">
        <f>"287280903541X04202"</f>
        <v>287280903541X04202</v>
      </c>
      <c r="G131" t="str">
        <f>"ACCT#287280903541"</f>
        <v>ACCT#287280903541</v>
      </c>
      <c r="H131">
        <v>157.68</v>
      </c>
      <c r="I131" t="str">
        <f>"ACCT#287280903541"</f>
        <v>ACCT#287280903541</v>
      </c>
    </row>
    <row r="132" spans="1:9" x14ac:dyDescent="0.3">
      <c r="A132" t="str">
        <f>""</f>
        <v/>
      </c>
      <c r="F132" t="str">
        <f>"287280903541X05202"</f>
        <v>287280903541X05202</v>
      </c>
      <c r="G132" t="str">
        <f>"ACCT#287280903541"</f>
        <v>ACCT#287280903541</v>
      </c>
      <c r="H132">
        <v>276.26</v>
      </c>
      <c r="I132" t="str">
        <f>"ACCT#287280903541"</f>
        <v>ACCT#287280903541</v>
      </c>
    </row>
    <row r="133" spans="1:9" x14ac:dyDescent="0.3">
      <c r="A133" t="str">
        <f>"005589"</f>
        <v>005589</v>
      </c>
      <c r="B133" t="s">
        <v>43</v>
      </c>
      <c r="C133">
        <v>77246</v>
      </c>
      <c r="D133" s="2">
        <v>2138.77</v>
      </c>
      <c r="E133" s="1">
        <v>43276</v>
      </c>
      <c r="F133" t="str">
        <f>"13624256"</f>
        <v>13624256</v>
      </c>
      <c r="G133" t="str">
        <f>"FAN#BES07964068"</f>
        <v>FAN#BES07964068</v>
      </c>
      <c r="H133">
        <v>2138.77</v>
      </c>
      <c r="I133" t="str">
        <f>"FAN#BES07964068"</f>
        <v>FAN#BES07964068</v>
      </c>
    </row>
    <row r="134" spans="1:9" x14ac:dyDescent="0.3">
      <c r="A134" t="str">
        <f>"AT&amp;T13"</f>
        <v>AT&amp;T13</v>
      </c>
      <c r="B134" t="s">
        <v>44</v>
      </c>
      <c r="C134">
        <v>77040</v>
      </c>
      <c r="D134" s="2">
        <v>100.32</v>
      </c>
      <c r="E134" s="1">
        <v>43262</v>
      </c>
      <c r="F134" t="str">
        <f>"201806051263"</f>
        <v>201806051263</v>
      </c>
      <c r="G134" t="str">
        <f>"ACCT#826392401/DPS"</f>
        <v>ACCT#826392401/DPS</v>
      </c>
      <c r="H134">
        <v>100.32</v>
      </c>
      <c r="I134" t="str">
        <f>"ACCT#826392401/DPS"</f>
        <v>ACCT#826392401/DPS</v>
      </c>
    </row>
    <row r="135" spans="1:9" x14ac:dyDescent="0.3">
      <c r="A135" t="str">
        <f>"005251"</f>
        <v>005251</v>
      </c>
      <c r="B135" t="s">
        <v>45</v>
      </c>
      <c r="C135">
        <v>77247</v>
      </c>
      <c r="D135" s="2">
        <v>1575</v>
      </c>
      <c r="E135" s="1">
        <v>43276</v>
      </c>
      <c r="F135" t="str">
        <f>"8240"</f>
        <v>8240</v>
      </c>
      <c r="G135" t="str">
        <f>"3 - 30 YD CONTAINERS/PCT#3"</f>
        <v>3 - 30 YD CONTAINERS/PCT#3</v>
      </c>
      <c r="H135">
        <v>1575</v>
      </c>
      <c r="I135" t="str">
        <f>"3 - 30 YD CONTAINERS/PCT#3"</f>
        <v>3 - 30 YD CONTAINERS/PCT#3</v>
      </c>
    </row>
    <row r="136" spans="1:9" x14ac:dyDescent="0.3">
      <c r="A136" t="str">
        <f>"003291"</f>
        <v>003291</v>
      </c>
      <c r="B136" t="s">
        <v>46</v>
      </c>
      <c r="C136">
        <v>999999</v>
      </c>
      <c r="D136" s="2">
        <v>354.24</v>
      </c>
      <c r="E136" s="1">
        <v>43263</v>
      </c>
      <c r="F136" t="str">
        <f>"351649"</f>
        <v>351649</v>
      </c>
      <c r="G136" t="str">
        <f>"AD# 351649"</f>
        <v>AD# 351649</v>
      </c>
      <c r="H136">
        <v>354.24</v>
      </c>
      <c r="I136" t="str">
        <f>"AD# 351649"</f>
        <v>AD# 351649</v>
      </c>
    </row>
    <row r="137" spans="1:9" x14ac:dyDescent="0.3">
      <c r="A137" t="str">
        <f>"003291"</f>
        <v>003291</v>
      </c>
      <c r="B137" t="s">
        <v>46</v>
      </c>
      <c r="C137">
        <v>999999</v>
      </c>
      <c r="D137" s="2">
        <v>465.69</v>
      </c>
      <c r="E137" s="1">
        <v>43277</v>
      </c>
      <c r="F137" t="str">
        <f>"366935"</f>
        <v>366935</v>
      </c>
      <c r="G137" t="str">
        <f>"AD# 366935"</f>
        <v>AD# 366935</v>
      </c>
      <c r="H137">
        <v>340.41</v>
      </c>
      <c r="I137" t="str">
        <f>"AD# 366935"</f>
        <v>AD# 366935</v>
      </c>
    </row>
    <row r="138" spans="1:9" x14ac:dyDescent="0.3">
      <c r="A138" t="str">
        <f>""</f>
        <v/>
      </c>
      <c r="F138" t="str">
        <f>"369536"</f>
        <v>369536</v>
      </c>
      <c r="G138" t="str">
        <f>"Ad# 369536"</f>
        <v>Ad# 369536</v>
      </c>
      <c r="H138">
        <v>125.28</v>
      </c>
      <c r="I138" t="str">
        <f>"Ad# 369536"</f>
        <v>Ad# 369536</v>
      </c>
    </row>
    <row r="139" spans="1:9" x14ac:dyDescent="0.3">
      <c r="A139" t="str">
        <f>"003805"</f>
        <v>003805</v>
      </c>
      <c r="B139" t="s">
        <v>47</v>
      </c>
      <c r="C139">
        <v>77041</v>
      </c>
      <c r="D139" s="2">
        <v>356.12</v>
      </c>
      <c r="E139" s="1">
        <v>43262</v>
      </c>
      <c r="F139" t="str">
        <f>"201806061433"</f>
        <v>201806061433</v>
      </c>
      <c r="G139" t="str">
        <f>"INDIGENT HEALTH"</f>
        <v>INDIGENT HEALTH</v>
      </c>
      <c r="H139">
        <v>356.12</v>
      </c>
      <c r="I139" t="str">
        <f>"INDIGENT HEALTH"</f>
        <v>INDIGENT HEALTH</v>
      </c>
    </row>
    <row r="140" spans="1:9" x14ac:dyDescent="0.3">
      <c r="A140" t="str">
        <f>"004686"</f>
        <v>004686</v>
      </c>
      <c r="B140" t="s">
        <v>48</v>
      </c>
      <c r="C140">
        <v>77248</v>
      </c>
      <c r="D140" s="2">
        <v>3900</v>
      </c>
      <c r="E140" s="1">
        <v>43276</v>
      </c>
      <c r="F140" t="str">
        <f>"JOB#0511180"</f>
        <v>JOB#0511180</v>
      </c>
      <c r="G140" t="str">
        <f>"ASBESTOS SURVEY/GRADY TUCK"</f>
        <v>ASBESTOS SURVEY/GRADY TUCK</v>
      </c>
      <c r="H140">
        <v>3900</v>
      </c>
      <c r="I140" t="str">
        <f>"ASBESTOS SURVEY/GRADY TUCK"</f>
        <v>ASBESTOS SURVEY/GRADY TUCK</v>
      </c>
    </row>
    <row r="141" spans="1:9" x14ac:dyDescent="0.3">
      <c r="A141" t="str">
        <f>"T6757"</f>
        <v>T6757</v>
      </c>
      <c r="B141" t="s">
        <v>49</v>
      </c>
      <c r="C141">
        <v>999999</v>
      </c>
      <c r="D141" s="2">
        <v>518.55999999999995</v>
      </c>
      <c r="E141" s="1">
        <v>43263</v>
      </c>
      <c r="F141" t="str">
        <f>"201806061434"</f>
        <v>201806061434</v>
      </c>
      <c r="G141" t="str">
        <f>"INDIGENT HEALTH"</f>
        <v>INDIGENT HEALTH</v>
      </c>
      <c r="H141">
        <v>518.55999999999995</v>
      </c>
      <c r="I141" t="str">
        <f>"INDIGENT HEALTH"</f>
        <v>INDIGENT HEALTH</v>
      </c>
    </row>
    <row r="142" spans="1:9" x14ac:dyDescent="0.3">
      <c r="A142" t="str">
        <f>""</f>
        <v/>
      </c>
      <c r="F142" t="str">
        <f>""</f>
        <v/>
      </c>
      <c r="G142" t="str">
        <f>""</f>
        <v/>
      </c>
      <c r="I142" t="str">
        <f>"INDIGENT HEALTH"</f>
        <v>INDIGENT HEALTH</v>
      </c>
    </row>
    <row r="143" spans="1:9" x14ac:dyDescent="0.3">
      <c r="A143" t="str">
        <f>"005206"</f>
        <v>005206</v>
      </c>
      <c r="B143" t="s">
        <v>50</v>
      </c>
      <c r="C143">
        <v>77249</v>
      </c>
      <c r="D143" s="2">
        <v>835.4</v>
      </c>
      <c r="E143" s="1">
        <v>43276</v>
      </c>
      <c r="F143" t="str">
        <f>"201806201716"</f>
        <v>201806201716</v>
      </c>
      <c r="G143" t="str">
        <f>"FEMA DOCUMENTATION/MILEAGE"</f>
        <v>FEMA DOCUMENTATION/MILEAGE</v>
      </c>
      <c r="H143">
        <v>835.4</v>
      </c>
      <c r="I143" t="str">
        <f>"FEMA DOCUMENTATION/MILEAGE"</f>
        <v>FEMA DOCUMENTATION/MILEAGE</v>
      </c>
    </row>
    <row r="144" spans="1:9" x14ac:dyDescent="0.3">
      <c r="A144" t="str">
        <f>"T9221"</f>
        <v>T9221</v>
      </c>
      <c r="B144" t="s">
        <v>51</v>
      </c>
      <c r="C144">
        <v>77250</v>
      </c>
      <c r="D144" s="2">
        <v>131.86000000000001</v>
      </c>
      <c r="E144" s="1">
        <v>43276</v>
      </c>
      <c r="F144" t="str">
        <f>"244160"</f>
        <v>244160</v>
      </c>
      <c r="G144" t="str">
        <f>"REF#273284/PCT#4"</f>
        <v>REF#273284/PCT#4</v>
      </c>
      <c r="H144">
        <v>131.86000000000001</v>
      </c>
      <c r="I144" t="str">
        <f>"REF#273284/PCT#4"</f>
        <v>REF#273284/PCT#4</v>
      </c>
    </row>
    <row r="145" spans="1:9" x14ac:dyDescent="0.3">
      <c r="A145" t="str">
        <f>"T1251"</f>
        <v>T1251</v>
      </c>
      <c r="B145" t="s">
        <v>52</v>
      </c>
      <c r="C145">
        <v>77042</v>
      </c>
      <c r="D145" s="2">
        <v>491.03</v>
      </c>
      <c r="E145" s="1">
        <v>43262</v>
      </c>
      <c r="F145" t="str">
        <f>"201806061411"</f>
        <v>201806061411</v>
      </c>
      <c r="G145" t="str">
        <f>"JAIL MEDICAL"</f>
        <v>JAIL MEDICAL</v>
      </c>
      <c r="H145">
        <v>76.44</v>
      </c>
      <c r="I145" t="str">
        <f>"JAIL MEDICAL"</f>
        <v>JAIL MEDICAL</v>
      </c>
    </row>
    <row r="146" spans="1:9" x14ac:dyDescent="0.3">
      <c r="A146" t="str">
        <f>""</f>
        <v/>
      </c>
      <c r="F146" t="str">
        <f>"201806061435"</f>
        <v>201806061435</v>
      </c>
      <c r="G146" t="str">
        <f>"INDIGENT HEALTH"</f>
        <v>INDIGENT HEALTH</v>
      </c>
      <c r="H146">
        <v>414.59</v>
      </c>
      <c r="I146" t="str">
        <f>"INDIGENT HEALTH"</f>
        <v>INDIGENT HEALTH</v>
      </c>
    </row>
    <row r="147" spans="1:9" x14ac:dyDescent="0.3">
      <c r="A147" t="str">
        <f>"T1251"</f>
        <v>T1251</v>
      </c>
      <c r="B147" t="s">
        <v>52</v>
      </c>
      <c r="C147">
        <v>77251</v>
      </c>
      <c r="D147" s="2">
        <v>69.5</v>
      </c>
      <c r="E147" s="1">
        <v>43276</v>
      </c>
      <c r="F147" t="str">
        <f>"4396*98039*1"</f>
        <v>4396*98039*1</v>
      </c>
      <c r="G147" t="str">
        <f>"JAIL MEDICAL"</f>
        <v>JAIL MEDICAL</v>
      </c>
      <c r="H147">
        <v>69.5</v>
      </c>
      <c r="I147" t="str">
        <f>"JAIL MEDICAL"</f>
        <v>JAIL MEDICAL</v>
      </c>
    </row>
    <row r="148" spans="1:9" x14ac:dyDescent="0.3">
      <c r="A148" t="str">
        <f>"001428"</f>
        <v>001428</v>
      </c>
      <c r="B148" t="s">
        <v>53</v>
      </c>
      <c r="C148">
        <v>77252</v>
      </c>
      <c r="D148" s="2">
        <v>15.01</v>
      </c>
      <c r="E148" s="1">
        <v>43276</v>
      </c>
      <c r="F148" t="str">
        <f>"REIMBURSE-FUEL"</f>
        <v>REIMBURSE-FUEL</v>
      </c>
      <c r="G148" t="str">
        <f>"BARBARA GOMEZ"</f>
        <v>BARBARA GOMEZ</v>
      </c>
      <c r="H148">
        <v>15.01</v>
      </c>
      <c r="I148" t="str">
        <f>""</f>
        <v/>
      </c>
    </row>
    <row r="149" spans="1:9" x14ac:dyDescent="0.3">
      <c r="A149" t="str">
        <f>"BTW"</f>
        <v>BTW</v>
      </c>
      <c r="B149" t="s">
        <v>54</v>
      </c>
      <c r="C149">
        <v>77043</v>
      </c>
      <c r="D149" s="2">
        <v>1688.42</v>
      </c>
      <c r="E149" s="1">
        <v>43262</v>
      </c>
      <c r="F149" t="str">
        <f>"201806051284"</f>
        <v>201806051284</v>
      </c>
      <c r="G149" t="str">
        <f>"350288/350561/350628/350988/P1"</f>
        <v>350288/350561/350628/350988/P1</v>
      </c>
      <c r="H149">
        <v>1629.92</v>
      </c>
      <c r="I149" t="str">
        <f>"350288/350561/350628/350988/P1"</f>
        <v>350288/350561/350628/350988/P1</v>
      </c>
    </row>
    <row r="150" spans="1:9" x14ac:dyDescent="0.3">
      <c r="A150" t="str">
        <f>""</f>
        <v/>
      </c>
      <c r="F150" t="str">
        <f>"350712"</f>
        <v>350712</v>
      </c>
      <c r="G150" t="str">
        <f>"CUST ID:0009/LOOSE TIRE"</f>
        <v>CUST ID:0009/LOOSE TIRE</v>
      </c>
      <c r="H150">
        <v>18</v>
      </c>
      <c r="I150" t="str">
        <f>"CUST ID:0009/LOOSE TIRE"</f>
        <v>CUST ID:0009/LOOSE TIRE</v>
      </c>
    </row>
    <row r="151" spans="1:9" x14ac:dyDescent="0.3">
      <c r="A151" t="str">
        <f>""</f>
        <v/>
      </c>
      <c r="F151" t="str">
        <f>"350971"</f>
        <v>350971</v>
      </c>
      <c r="G151" t="str">
        <f>"CUST ID:0011/PCT#3"</f>
        <v>CUST ID:0011/PCT#3</v>
      </c>
      <c r="H151">
        <v>30</v>
      </c>
      <c r="I151" t="str">
        <f>"CUST ID:0011/PCT#3"</f>
        <v>CUST ID:0011/PCT#3</v>
      </c>
    </row>
    <row r="152" spans="1:9" x14ac:dyDescent="0.3">
      <c r="A152" t="str">
        <f>""</f>
        <v/>
      </c>
      <c r="F152" t="str">
        <f>"351107"</f>
        <v>351107</v>
      </c>
      <c r="G152" t="str">
        <f>"INV 351107"</f>
        <v>INV 351107</v>
      </c>
      <c r="H152">
        <v>10.5</v>
      </c>
      <c r="I152" t="str">
        <f>"INV 351107"</f>
        <v>INV 351107</v>
      </c>
    </row>
    <row r="153" spans="1:9" x14ac:dyDescent="0.3">
      <c r="A153" t="str">
        <f>"BTW"</f>
        <v>BTW</v>
      </c>
      <c r="B153" t="s">
        <v>54</v>
      </c>
      <c r="C153">
        <v>77253</v>
      </c>
      <c r="D153" s="2">
        <v>366.46</v>
      </c>
      <c r="E153" s="1">
        <v>43276</v>
      </c>
      <c r="F153" t="str">
        <f>"201806191643"</f>
        <v>201806191643</v>
      </c>
      <c r="G153" t="str">
        <f>"CUST ID#0010/PCT#2"</f>
        <v>CUST ID#0010/PCT#2</v>
      </c>
      <c r="H153">
        <v>313.5</v>
      </c>
      <c r="I153" t="str">
        <f>"CUST ID#0010/PCT#2"</f>
        <v>CUST ID#0010/PCT#2</v>
      </c>
    </row>
    <row r="154" spans="1:9" x14ac:dyDescent="0.3">
      <c r="A154" t="str">
        <f>""</f>
        <v/>
      </c>
      <c r="F154" t="str">
        <f>"350252"</f>
        <v>350252</v>
      </c>
      <c r="G154" t="str">
        <f>"CUST ID:0021/2018 DODGE"</f>
        <v>CUST ID:0021/2018 DODGE</v>
      </c>
      <c r="H154">
        <v>52.96</v>
      </c>
      <c r="I154" t="str">
        <f>"CUST ID:0021/2018 DODGE"</f>
        <v>CUST ID:0021/2018 DODGE</v>
      </c>
    </row>
    <row r="155" spans="1:9" x14ac:dyDescent="0.3">
      <c r="A155" t="str">
        <f>"001769"</f>
        <v>001769</v>
      </c>
      <c r="B155" t="s">
        <v>55</v>
      </c>
      <c r="C155">
        <v>999999</v>
      </c>
      <c r="D155" s="2">
        <v>2300</v>
      </c>
      <c r="E155" s="1">
        <v>43263</v>
      </c>
      <c r="F155" t="str">
        <f>"1534"</f>
        <v>1534</v>
      </c>
      <c r="G155" t="str">
        <f>"TREE REMOVAL/PCT#2"</f>
        <v>TREE REMOVAL/PCT#2</v>
      </c>
      <c r="H155">
        <v>1400</v>
      </c>
      <c r="I155" t="str">
        <f>"TREE REMOVAL/PCT#2"</f>
        <v>TREE REMOVAL/PCT#2</v>
      </c>
    </row>
    <row r="156" spans="1:9" x14ac:dyDescent="0.3">
      <c r="A156" t="str">
        <f>""</f>
        <v/>
      </c>
      <c r="F156" t="str">
        <f>"1534A"</f>
        <v>1534A</v>
      </c>
      <c r="G156" t="str">
        <f>"TREE REMOVAL/PCT#2"</f>
        <v>TREE REMOVAL/PCT#2</v>
      </c>
      <c r="H156">
        <v>900</v>
      </c>
      <c r="I156" t="str">
        <f>"TREE REMOVAL/PCT#2"</f>
        <v>TREE REMOVAL/PCT#2</v>
      </c>
    </row>
    <row r="157" spans="1:9" x14ac:dyDescent="0.3">
      <c r="A157" t="str">
        <f>"001769"</f>
        <v>001769</v>
      </c>
      <c r="B157" t="s">
        <v>55</v>
      </c>
      <c r="C157">
        <v>999999</v>
      </c>
      <c r="D157" s="2">
        <v>2000</v>
      </c>
      <c r="E157" s="1">
        <v>43277</v>
      </c>
      <c r="F157" t="str">
        <f>"1535"</f>
        <v>1535</v>
      </c>
      <c r="G157" t="str">
        <f>"TREE REMOVAL/PCT#2"</f>
        <v>TREE REMOVAL/PCT#2</v>
      </c>
      <c r="H157">
        <v>2000</v>
      </c>
      <c r="I157" t="str">
        <f>"TREE REMOVAL/PCT#2"</f>
        <v>TREE REMOVAL/PCT#2</v>
      </c>
    </row>
    <row r="158" spans="1:9" x14ac:dyDescent="0.3">
      <c r="A158" t="str">
        <f>"BCAD"</f>
        <v>BCAD</v>
      </c>
      <c r="B158" t="s">
        <v>56</v>
      </c>
      <c r="C158">
        <v>77044</v>
      </c>
      <c r="D158" s="2">
        <v>139820.5</v>
      </c>
      <c r="E158" s="1">
        <v>43262</v>
      </c>
      <c r="F158" t="str">
        <f>"201806051266"</f>
        <v>201806051266</v>
      </c>
      <c r="G158" t="str">
        <f>"BCAD LOCAL SUPPORT 3RD QTR '18"</f>
        <v>BCAD LOCAL SUPPORT 3RD QTR '18</v>
      </c>
      <c r="H158">
        <v>139820.5</v>
      </c>
      <c r="I158" t="str">
        <f>"BCAD LOCAL SUPPORT 3RD QTR '18"</f>
        <v>BCAD LOCAL SUPPORT 3RD QTR '18</v>
      </c>
    </row>
    <row r="159" spans="1:9" x14ac:dyDescent="0.3">
      <c r="A159" t="str">
        <f>"005396"</f>
        <v>005396</v>
      </c>
      <c r="B159" t="s">
        <v>57</v>
      </c>
      <c r="C159">
        <v>999999</v>
      </c>
      <c r="D159" s="2">
        <v>34485.47</v>
      </c>
      <c r="E159" s="1">
        <v>43277</v>
      </c>
      <c r="F159" t="str">
        <f>"201806201651"</f>
        <v>201806201651</v>
      </c>
      <c r="G159" t="str">
        <f>"GRANT REIMBURSEMENT"</f>
        <v>GRANT REIMBURSEMENT</v>
      </c>
      <c r="H159">
        <v>34485.47</v>
      </c>
      <c r="I159" t="str">
        <f>"GRANT REIMBURSEMENT"</f>
        <v>GRANT REIMBURSEMENT</v>
      </c>
    </row>
    <row r="160" spans="1:9" x14ac:dyDescent="0.3">
      <c r="A160" t="str">
        <f>"T1636"</f>
        <v>T1636</v>
      </c>
      <c r="B160" t="s">
        <v>58</v>
      </c>
      <c r="C160">
        <v>77045</v>
      </c>
      <c r="D160" s="2">
        <v>1900</v>
      </c>
      <c r="E160" s="1">
        <v>43262</v>
      </c>
      <c r="F160" t="str">
        <f>"12226  03/20/18"</f>
        <v>12226  03/20/18</v>
      </c>
      <c r="G160" t="str">
        <f>"SERVICE  03/20/18"</f>
        <v>SERVICE  03/20/18</v>
      </c>
      <c r="H160">
        <v>325</v>
      </c>
      <c r="I160" t="str">
        <f>"SERVICE  03/20/18"</f>
        <v>SERVICE  03/20/18</v>
      </c>
    </row>
    <row r="161" spans="1:9" x14ac:dyDescent="0.3">
      <c r="A161" t="str">
        <f>""</f>
        <v/>
      </c>
      <c r="F161" t="str">
        <f>"12311  04/02/18"</f>
        <v>12311  04/02/18</v>
      </c>
      <c r="G161" t="str">
        <f>"SERVICE  04/02/18"</f>
        <v>SERVICE  04/02/18</v>
      </c>
      <c r="H161">
        <v>50</v>
      </c>
      <c r="I161" t="str">
        <f>"SERVICE  04/02/18"</f>
        <v>SERVICE  04/02/18</v>
      </c>
    </row>
    <row r="162" spans="1:9" x14ac:dyDescent="0.3">
      <c r="A162" t="str">
        <f>""</f>
        <v/>
      </c>
      <c r="F162" t="str">
        <f>"12329  04/06/18"</f>
        <v>12329  04/06/18</v>
      </c>
      <c r="G162" t="str">
        <f>"SERVICE  04/06/18"</f>
        <v>SERVICE  04/06/18</v>
      </c>
      <c r="H162">
        <v>50</v>
      </c>
      <c r="I162" t="str">
        <f>"SERVICE  04/06/18"</f>
        <v>SERVICE  04/06/18</v>
      </c>
    </row>
    <row r="163" spans="1:9" x14ac:dyDescent="0.3">
      <c r="A163" t="str">
        <f>""</f>
        <v/>
      </c>
      <c r="F163" t="str">
        <f>"12369"</f>
        <v>12369</v>
      </c>
      <c r="G163" t="str">
        <f>"SERVICE  03/29/18"</f>
        <v>SERVICE  03/29/18</v>
      </c>
      <c r="H163">
        <v>200</v>
      </c>
      <c r="I163" t="str">
        <f>"SERVICE  03/29/18"</f>
        <v>SERVICE  03/29/18</v>
      </c>
    </row>
    <row r="164" spans="1:9" x14ac:dyDescent="0.3">
      <c r="A164" t="str">
        <f>""</f>
        <v/>
      </c>
      <c r="F164" t="str">
        <f>"12455"</f>
        <v>12455</v>
      </c>
      <c r="G164" t="str">
        <f>"SERVICE  03/20/18"</f>
        <v>SERVICE  03/20/18</v>
      </c>
      <c r="H164">
        <v>325</v>
      </c>
      <c r="I164" t="str">
        <f>"SERVICE  03/20/18"</f>
        <v>SERVICE  03/20/18</v>
      </c>
    </row>
    <row r="165" spans="1:9" x14ac:dyDescent="0.3">
      <c r="A165" t="str">
        <f>""</f>
        <v/>
      </c>
      <c r="F165" t="str">
        <f>"12462"</f>
        <v>12462</v>
      </c>
      <c r="G165" t="str">
        <f>"SERVICE  03/20/18"</f>
        <v>SERVICE  03/20/18</v>
      </c>
      <c r="H165">
        <v>250</v>
      </c>
      <c r="I165" t="str">
        <f>"SERVICE  03/20/18"</f>
        <v>SERVICE  03/20/18</v>
      </c>
    </row>
    <row r="166" spans="1:9" x14ac:dyDescent="0.3">
      <c r="A166" t="str">
        <f>""</f>
        <v/>
      </c>
      <c r="F166" t="str">
        <f>"12471"</f>
        <v>12471</v>
      </c>
      <c r="G166" t="str">
        <f>"SERVICE  03/20/18"</f>
        <v>SERVICE  03/20/18</v>
      </c>
      <c r="H166">
        <v>325</v>
      </c>
      <c r="I166" t="str">
        <f>"SERVICE  03/20/18"</f>
        <v>SERVICE  03/20/18</v>
      </c>
    </row>
    <row r="167" spans="1:9" x14ac:dyDescent="0.3">
      <c r="A167" t="str">
        <f>""</f>
        <v/>
      </c>
      <c r="F167" t="str">
        <f>"12705"</f>
        <v>12705</v>
      </c>
      <c r="G167" t="str">
        <f>"SERVICE  03/29/2018"</f>
        <v>SERVICE  03/29/2018</v>
      </c>
      <c r="H167">
        <v>75</v>
      </c>
      <c r="I167" t="str">
        <f>"SERVICE  03/29/2018"</f>
        <v>SERVICE  03/29/2018</v>
      </c>
    </row>
    <row r="168" spans="1:9" x14ac:dyDescent="0.3">
      <c r="A168" t="str">
        <f>""</f>
        <v/>
      </c>
      <c r="F168" t="str">
        <f>"12819"</f>
        <v>12819</v>
      </c>
      <c r="G168" t="str">
        <f>"SERVICE FEE  04/03/18"</f>
        <v>SERVICE FEE  04/03/18</v>
      </c>
      <c r="H168">
        <v>150</v>
      </c>
      <c r="I168" t="str">
        <f>"SERVICE FEE  04/03/18"</f>
        <v>SERVICE FEE  04/03/18</v>
      </c>
    </row>
    <row r="169" spans="1:9" x14ac:dyDescent="0.3">
      <c r="A169" t="str">
        <f>""</f>
        <v/>
      </c>
      <c r="F169" t="str">
        <f>"12865"</f>
        <v>12865</v>
      </c>
      <c r="G169" t="str">
        <f>"SERVICE  04/13/18"</f>
        <v>SERVICE  04/13/18</v>
      </c>
      <c r="H169">
        <v>75</v>
      </c>
      <c r="I169" t="str">
        <f>"SERVICE  04/13/18"</f>
        <v>SERVICE  04/13/18</v>
      </c>
    </row>
    <row r="170" spans="1:9" x14ac:dyDescent="0.3">
      <c r="A170" t="str">
        <f>""</f>
        <v/>
      </c>
      <c r="F170" t="str">
        <f>"12894"</f>
        <v>12894</v>
      </c>
      <c r="G170" t="str">
        <f>"SERVICE  03/28/18"</f>
        <v>SERVICE  03/28/18</v>
      </c>
      <c r="H170">
        <v>75</v>
      </c>
      <c r="I170" t="str">
        <f>"SERVICE  03/28/18"</f>
        <v>SERVICE  03/28/18</v>
      </c>
    </row>
    <row r="171" spans="1:9" x14ac:dyDescent="0.3">
      <c r="A171" t="str">
        <f>"T1636"</f>
        <v>T1636</v>
      </c>
      <c r="B171" t="s">
        <v>58</v>
      </c>
      <c r="C171">
        <v>77254</v>
      </c>
      <c r="D171" s="2">
        <v>700</v>
      </c>
      <c r="E171" s="1">
        <v>43276</v>
      </c>
      <c r="F171" t="str">
        <f>"12471  03/20/18"</f>
        <v>12471  03/20/18</v>
      </c>
      <c r="G171" t="str">
        <f>"SERVICE"</f>
        <v>SERVICE</v>
      </c>
      <c r="H171">
        <v>325</v>
      </c>
      <c r="I171" t="str">
        <f>"SERVICE"</f>
        <v>SERVICE</v>
      </c>
    </row>
    <row r="172" spans="1:9" x14ac:dyDescent="0.3">
      <c r="A172" t="str">
        <f>""</f>
        <v/>
      </c>
      <c r="F172" t="str">
        <f>"12862"</f>
        <v>12862</v>
      </c>
      <c r="G172" t="str">
        <f>"SERVICE  04/30/18"</f>
        <v>SERVICE  04/30/18</v>
      </c>
      <c r="H172">
        <v>225</v>
      </c>
      <c r="I172" t="str">
        <f>"SERVICE  04/30/18"</f>
        <v>SERVICE  04/30/18</v>
      </c>
    </row>
    <row r="173" spans="1:9" x14ac:dyDescent="0.3">
      <c r="A173" t="str">
        <f>""</f>
        <v/>
      </c>
      <c r="F173" t="str">
        <f>"12927"</f>
        <v>12927</v>
      </c>
      <c r="G173" t="str">
        <f>"SERVICE  04/30/18"</f>
        <v>SERVICE  04/30/18</v>
      </c>
      <c r="H173">
        <v>150</v>
      </c>
      <c r="I173" t="str">
        <f>"SERVICE  04/30/18"</f>
        <v>SERVICE  04/30/18</v>
      </c>
    </row>
    <row r="174" spans="1:9" x14ac:dyDescent="0.3">
      <c r="A174" t="str">
        <f>"BASCO"</f>
        <v>BASCO</v>
      </c>
      <c r="B174" t="s">
        <v>59</v>
      </c>
      <c r="C174">
        <v>77046</v>
      </c>
      <c r="D174" s="2">
        <v>662.66</v>
      </c>
      <c r="E174" s="1">
        <v>43262</v>
      </c>
      <c r="F174" t="str">
        <f>"11736"</f>
        <v>11736</v>
      </c>
      <c r="G174" t="str">
        <f>"ACCT#BC01/PCT#4"</f>
        <v>ACCT#BC01/PCT#4</v>
      </c>
      <c r="H174">
        <v>40.5</v>
      </c>
      <c r="I174" t="str">
        <f>"ACCT#BC01/PCT#4"</f>
        <v>ACCT#BC01/PCT#4</v>
      </c>
    </row>
    <row r="175" spans="1:9" x14ac:dyDescent="0.3">
      <c r="A175" t="str">
        <f>""</f>
        <v/>
      </c>
      <c r="F175" t="str">
        <f>"201806061391"</f>
        <v>201806061391</v>
      </c>
      <c r="G175" t="str">
        <f>"ACCT#BC01/OFFICE SUPPLIES"</f>
        <v>ACCT#BC01/OFFICE SUPPLIES</v>
      </c>
      <c r="H175">
        <v>622.16</v>
      </c>
      <c r="I175" t="str">
        <f>"ACCT#BC01/OFFICE SUPPLIES"</f>
        <v>ACCT#BC01/OFFICE SUPPLIES</v>
      </c>
    </row>
    <row r="176" spans="1:9" x14ac:dyDescent="0.3">
      <c r="A176" t="str">
        <f>""</f>
        <v/>
      </c>
      <c r="F176" t="str">
        <f>""</f>
        <v/>
      </c>
      <c r="G176" t="str">
        <f>""</f>
        <v/>
      </c>
      <c r="I176" t="str">
        <f>"ACCT#BC01/OFFICE SUPPLIES"</f>
        <v>ACCT#BC01/OFFICE SUPPLIES</v>
      </c>
    </row>
    <row r="177" spans="1:9" x14ac:dyDescent="0.3">
      <c r="A177" t="str">
        <f>""</f>
        <v/>
      </c>
      <c r="F177" t="str">
        <f>""</f>
        <v/>
      </c>
      <c r="G177" t="str">
        <f>""</f>
        <v/>
      </c>
      <c r="I177" t="str">
        <f>"ACCT#BC01/OFFICE SUPPLIES"</f>
        <v>ACCT#BC01/OFFICE SUPPLIES</v>
      </c>
    </row>
    <row r="178" spans="1:9" x14ac:dyDescent="0.3">
      <c r="A178" t="str">
        <f>""</f>
        <v/>
      </c>
      <c r="F178" t="str">
        <f>""</f>
        <v/>
      </c>
      <c r="G178" t="str">
        <f>""</f>
        <v/>
      </c>
      <c r="I178" t="str">
        <f>"ACCT#BC01/OFFICE SUPPLIES"</f>
        <v>ACCT#BC01/OFFICE SUPPLIES</v>
      </c>
    </row>
    <row r="179" spans="1:9" x14ac:dyDescent="0.3">
      <c r="A179" t="str">
        <f>""</f>
        <v/>
      </c>
      <c r="F179" t="str">
        <f>""</f>
        <v/>
      </c>
      <c r="G179" t="str">
        <f>""</f>
        <v/>
      </c>
      <c r="I179" t="str">
        <f>"ACCT#BC01/OFFICE SUPPLIES"</f>
        <v>ACCT#BC01/OFFICE SUPPLIES</v>
      </c>
    </row>
    <row r="180" spans="1:9" x14ac:dyDescent="0.3">
      <c r="A180" t="str">
        <f>"T3799"</f>
        <v>T3799</v>
      </c>
      <c r="B180" t="s">
        <v>60</v>
      </c>
      <c r="C180">
        <v>77255</v>
      </c>
      <c r="D180" s="2">
        <v>1255.29</v>
      </c>
      <c r="E180" s="1">
        <v>43276</v>
      </c>
      <c r="F180" t="str">
        <f>"186"</f>
        <v>186</v>
      </c>
      <c r="G180" t="str">
        <f>"FUEL-BASTROP COUNTY ESS/911"</f>
        <v>FUEL-BASTROP COUNTY ESS/911</v>
      </c>
      <c r="H180">
        <v>1255.29</v>
      </c>
      <c r="I180" t="str">
        <f>"FUEL-BASTROP COUNTY ESS/911"</f>
        <v>FUEL-BASTROP COUNTY ESS/911</v>
      </c>
    </row>
    <row r="181" spans="1:9" x14ac:dyDescent="0.3">
      <c r="A181" t="str">
        <f>"T13544"</f>
        <v>T13544</v>
      </c>
      <c r="B181" t="s">
        <v>61</v>
      </c>
      <c r="C181">
        <v>999999</v>
      </c>
      <c r="D181" s="2">
        <v>33.270000000000003</v>
      </c>
      <c r="E181" s="1">
        <v>43263</v>
      </c>
      <c r="F181" t="str">
        <f>"201806061436"</f>
        <v>201806061436</v>
      </c>
      <c r="G181" t="str">
        <f>"INDIGENT HEALTH"</f>
        <v>INDIGENT HEALTH</v>
      </c>
      <c r="H181">
        <v>33.270000000000003</v>
      </c>
      <c r="I181" t="str">
        <f>"INDIGENT HEALTH"</f>
        <v>INDIGENT HEALTH</v>
      </c>
    </row>
    <row r="182" spans="1:9" x14ac:dyDescent="0.3">
      <c r="A182" t="str">
        <f>"000719"</f>
        <v>000719</v>
      </c>
      <c r="B182" t="s">
        <v>62</v>
      </c>
      <c r="C182">
        <v>77047</v>
      </c>
      <c r="D182" s="2">
        <v>128.85</v>
      </c>
      <c r="E182" s="1">
        <v>43262</v>
      </c>
      <c r="F182" t="str">
        <f>"6013"</f>
        <v>6013</v>
      </c>
      <c r="G182" t="str">
        <f>"SHARP 3 CHAINS/GEN SVCS"</f>
        <v>SHARP 3 CHAINS/GEN SVCS</v>
      </c>
      <c r="H182">
        <v>18</v>
      </c>
      <c r="I182" t="str">
        <f>"SHARP 3 CHAINS/GEN SVCS"</f>
        <v>SHARP 3 CHAINS/GEN SVCS</v>
      </c>
    </row>
    <row r="183" spans="1:9" x14ac:dyDescent="0.3">
      <c r="A183" t="str">
        <f>""</f>
        <v/>
      </c>
      <c r="F183" t="str">
        <f>"6026"</f>
        <v>6026</v>
      </c>
      <c r="G183" t="str">
        <f>"3 BLADE INSTALL/GEN SVCS"</f>
        <v>3 BLADE INSTALL/GEN SVCS</v>
      </c>
      <c r="H183">
        <v>15</v>
      </c>
      <c r="I183" t="str">
        <f>"3 BLADE INSTALL/GEN SVCS"</f>
        <v>3 BLADE INSTALL/GEN SVCS</v>
      </c>
    </row>
    <row r="184" spans="1:9" x14ac:dyDescent="0.3">
      <c r="A184" t="str">
        <f>""</f>
        <v/>
      </c>
      <c r="F184" t="str">
        <f>"6498"</f>
        <v>6498</v>
      </c>
      <c r="G184" t="str">
        <f>"TRIMMER/LINE/GEN SVCS"</f>
        <v>TRIMMER/LINE/GEN SVCS</v>
      </c>
      <c r="H184">
        <v>95.85</v>
      </c>
      <c r="I184" t="str">
        <f>"TRIMMER/LINE/GEN SVCS"</f>
        <v>TRIMMER/LINE/GEN SVCS</v>
      </c>
    </row>
    <row r="185" spans="1:9" x14ac:dyDescent="0.3">
      <c r="A185" t="str">
        <f>"001542"</f>
        <v>001542</v>
      </c>
      <c r="B185" t="s">
        <v>63</v>
      </c>
      <c r="C185">
        <v>999999</v>
      </c>
      <c r="D185" s="2">
        <v>695</v>
      </c>
      <c r="E185" s="1">
        <v>43263</v>
      </c>
      <c r="F185" t="str">
        <f>"2018067"</f>
        <v>2018067</v>
      </c>
      <c r="G185" t="str">
        <f>"TRANSPORT-R.C. BAILY"</f>
        <v>TRANSPORT-R.C. BAILY</v>
      </c>
      <c r="H185">
        <v>695</v>
      </c>
      <c r="I185" t="str">
        <f>"TRANSPORT-R.C. BAILY"</f>
        <v>TRANSPORT-R.C. BAILY</v>
      </c>
    </row>
    <row r="186" spans="1:9" x14ac:dyDescent="0.3">
      <c r="A186" t="str">
        <f>"001542"</f>
        <v>001542</v>
      </c>
      <c r="B186" t="s">
        <v>63</v>
      </c>
      <c r="C186">
        <v>999999</v>
      </c>
      <c r="D186" s="2">
        <v>1685</v>
      </c>
      <c r="E186" s="1">
        <v>43277</v>
      </c>
      <c r="F186" t="str">
        <f>"2018062"</f>
        <v>2018062</v>
      </c>
      <c r="G186" t="str">
        <f>"TRANSPORT-R. BAILY"</f>
        <v>TRANSPORT-R. BAILY</v>
      </c>
      <c r="H186">
        <v>495</v>
      </c>
      <c r="I186" t="str">
        <f>"TRANSPORT-R. BAILY"</f>
        <v>TRANSPORT-R. BAILY</v>
      </c>
    </row>
    <row r="187" spans="1:9" x14ac:dyDescent="0.3">
      <c r="A187" t="str">
        <f>""</f>
        <v/>
      </c>
      <c r="F187" t="str">
        <f>"2018074"</f>
        <v>2018074</v>
      </c>
      <c r="G187" t="str">
        <f>"TRANSPORT-R.SEABRIDGE"</f>
        <v>TRANSPORT-R.SEABRIDGE</v>
      </c>
      <c r="H187">
        <v>495</v>
      </c>
      <c r="I187" t="str">
        <f>"TRANSPORT-R.SEABRIDGE"</f>
        <v>TRANSPORT-R.SEABRIDGE</v>
      </c>
    </row>
    <row r="188" spans="1:9" x14ac:dyDescent="0.3">
      <c r="A188" t="str">
        <f>""</f>
        <v/>
      </c>
      <c r="F188" t="str">
        <f>"2018078"</f>
        <v>2018078</v>
      </c>
      <c r="G188" t="str">
        <f>"TRANSPORT-K.E. SETTERS"</f>
        <v>TRANSPORT-K.E. SETTERS</v>
      </c>
      <c r="H188">
        <v>695</v>
      </c>
      <c r="I188" t="str">
        <f>"TRANSPORT-K.E. SETTERS"</f>
        <v>TRANSPORT-K.E. SETTERS</v>
      </c>
    </row>
    <row r="189" spans="1:9" x14ac:dyDescent="0.3">
      <c r="A189" t="str">
        <f>"000485"</f>
        <v>000485</v>
      </c>
      <c r="B189" t="s">
        <v>64</v>
      </c>
      <c r="C189">
        <v>77256</v>
      </c>
      <c r="D189" s="2">
        <v>400</v>
      </c>
      <c r="E189" s="1">
        <v>43276</v>
      </c>
      <c r="F189" t="str">
        <f>"5221R"</f>
        <v>5221R</v>
      </c>
      <c r="G189" t="str">
        <f>"INv# 5221R"</f>
        <v>INv# 5221R</v>
      </c>
      <c r="H189">
        <v>400</v>
      </c>
      <c r="I189" t="str">
        <f>"Payment"</f>
        <v>Payment</v>
      </c>
    </row>
    <row r="190" spans="1:9" x14ac:dyDescent="0.3">
      <c r="A190" t="str">
        <f>"BVH"</f>
        <v>BVH</v>
      </c>
      <c r="B190" t="s">
        <v>65</v>
      </c>
      <c r="C190">
        <v>77257</v>
      </c>
      <c r="D190" s="2">
        <v>504.12</v>
      </c>
      <c r="E190" s="1">
        <v>43276</v>
      </c>
      <c r="F190" t="str">
        <f>"1107851"</f>
        <v>1107851</v>
      </c>
      <c r="G190" t="str">
        <f>"INV 1107851"</f>
        <v>INV 1107851</v>
      </c>
      <c r="H190">
        <v>154.37</v>
      </c>
      <c r="I190" t="str">
        <f>"INV 1107851"</f>
        <v>INV 1107851</v>
      </c>
    </row>
    <row r="191" spans="1:9" x14ac:dyDescent="0.3">
      <c r="A191" t="str">
        <f>""</f>
        <v/>
      </c>
      <c r="F191" t="str">
        <f>"COGGINS/EXAMS"</f>
        <v>COGGINS/EXAMS</v>
      </c>
      <c r="G191" t="str">
        <f>"INVOICES"</f>
        <v>INVOICES</v>
      </c>
      <c r="H191">
        <v>349.75</v>
      </c>
      <c r="I191" t="str">
        <f>"INVOICE 1107586"</f>
        <v>INVOICE 1107586</v>
      </c>
    </row>
    <row r="192" spans="1:9" x14ac:dyDescent="0.3">
      <c r="A192" t="str">
        <f>""</f>
        <v/>
      </c>
      <c r="F192" t="str">
        <f>""</f>
        <v/>
      </c>
      <c r="G192" t="str">
        <f>""</f>
        <v/>
      </c>
      <c r="I192" t="str">
        <f>"INVOICE 1107674"</f>
        <v>INVOICE 1107674</v>
      </c>
    </row>
    <row r="193" spans="1:9" x14ac:dyDescent="0.3">
      <c r="A193" t="str">
        <f>""</f>
        <v/>
      </c>
      <c r="F193" t="str">
        <f>""</f>
        <v/>
      </c>
      <c r="G193" t="str">
        <f>""</f>
        <v/>
      </c>
      <c r="I193" t="str">
        <f>"INVOICE 1108127"</f>
        <v>INVOICE 1108127</v>
      </c>
    </row>
    <row r="194" spans="1:9" x14ac:dyDescent="0.3">
      <c r="A194" t="str">
        <f>""</f>
        <v/>
      </c>
      <c r="F194" t="str">
        <f>""</f>
        <v/>
      </c>
      <c r="G194" t="str">
        <f>""</f>
        <v/>
      </c>
      <c r="I194" t="str">
        <f>"INVOICE 1108743"</f>
        <v>INVOICE 1108743</v>
      </c>
    </row>
    <row r="195" spans="1:9" x14ac:dyDescent="0.3">
      <c r="A195" t="str">
        <f>""</f>
        <v/>
      </c>
      <c r="F195" t="str">
        <f>""</f>
        <v/>
      </c>
      <c r="G195" t="str">
        <f>""</f>
        <v/>
      </c>
      <c r="I195" t="str">
        <f>"INVOICE 1109606"</f>
        <v>INVOICE 1109606</v>
      </c>
    </row>
    <row r="196" spans="1:9" x14ac:dyDescent="0.3">
      <c r="A196" t="str">
        <f>"000110"</f>
        <v>000110</v>
      </c>
      <c r="B196" t="s">
        <v>66</v>
      </c>
      <c r="C196">
        <v>999999</v>
      </c>
      <c r="D196" s="2">
        <v>1225</v>
      </c>
      <c r="E196" s="1">
        <v>43263</v>
      </c>
      <c r="F196" t="str">
        <f>"201806011251"</f>
        <v>201806011251</v>
      </c>
      <c r="G196" t="str">
        <f>"INVESTIGATIVE SVCS FOR MAY2018"</f>
        <v>INVESTIGATIVE SVCS FOR MAY2018</v>
      </c>
      <c r="H196">
        <v>420</v>
      </c>
      <c r="I196" t="str">
        <f>"INVESTIGATIVE SVCS FOR MAY2018"</f>
        <v>INVESTIGATIVE SVCS FOR MAY2018</v>
      </c>
    </row>
    <row r="197" spans="1:9" x14ac:dyDescent="0.3">
      <c r="A197" t="str">
        <f>""</f>
        <v/>
      </c>
      <c r="F197" t="str">
        <f>"MAY SERVICES"</f>
        <v>MAY SERVICES</v>
      </c>
      <c r="G197" t="str">
        <f>"MAY SERVICES"</f>
        <v>MAY SERVICES</v>
      </c>
      <c r="H197">
        <v>805</v>
      </c>
      <c r="I197" t="str">
        <f>"MAY SERVICES - LE"</f>
        <v>MAY SERVICES - LE</v>
      </c>
    </row>
    <row r="198" spans="1:9" x14ac:dyDescent="0.3">
      <c r="A198" t="str">
        <f>"005445"</f>
        <v>005445</v>
      </c>
      <c r="B198" t="s">
        <v>67</v>
      </c>
      <c r="C198">
        <v>77048</v>
      </c>
      <c r="D198" s="2">
        <v>1972.5</v>
      </c>
      <c r="E198" s="1">
        <v>43262</v>
      </c>
      <c r="F198" t="str">
        <f>"18302062-01"</f>
        <v>18302062-01</v>
      </c>
      <c r="G198" t="str">
        <f>"INV 18302062-01"</f>
        <v>INV 18302062-01</v>
      </c>
      <c r="H198">
        <v>675</v>
      </c>
      <c r="I198" t="str">
        <f>"INV 18302062-01"</f>
        <v>INV 18302062-01</v>
      </c>
    </row>
    <row r="199" spans="1:9" x14ac:dyDescent="0.3">
      <c r="A199" t="str">
        <f>""</f>
        <v/>
      </c>
      <c r="F199" t="str">
        <f>"18302067-01"</f>
        <v>18302067-01</v>
      </c>
      <c r="G199" t="str">
        <f>"INV 18302067-01"</f>
        <v>INV 18302067-01</v>
      </c>
      <c r="H199">
        <v>755</v>
      </c>
      <c r="I199" t="str">
        <f>"INV 18302067-01"</f>
        <v>INV 18302067-01</v>
      </c>
    </row>
    <row r="200" spans="1:9" x14ac:dyDescent="0.3">
      <c r="A200" t="str">
        <f>""</f>
        <v/>
      </c>
      <c r="F200" t="str">
        <f>"18302073-01"</f>
        <v>18302073-01</v>
      </c>
      <c r="G200" t="str">
        <f>"INV 18302073-01"</f>
        <v>INV 18302073-01</v>
      </c>
      <c r="H200">
        <v>542.5</v>
      </c>
      <c r="I200" t="str">
        <f>"INV 18302073-01"</f>
        <v>INV 18302073-01</v>
      </c>
    </row>
    <row r="201" spans="1:9" x14ac:dyDescent="0.3">
      <c r="A201" t="str">
        <f>"005445"</f>
        <v>005445</v>
      </c>
      <c r="B201" t="s">
        <v>67</v>
      </c>
      <c r="C201">
        <v>77258</v>
      </c>
      <c r="D201" s="2">
        <v>1350</v>
      </c>
      <c r="E201" s="1">
        <v>43276</v>
      </c>
      <c r="F201" t="str">
        <f>"18302078-01"</f>
        <v>18302078-01</v>
      </c>
      <c r="G201" t="str">
        <f>"INV 18302078-01"</f>
        <v>INV 18302078-01</v>
      </c>
      <c r="H201">
        <v>1350</v>
      </c>
      <c r="I201" t="str">
        <f>"INV 18302078-01"</f>
        <v>INV 18302078-01</v>
      </c>
    </row>
    <row r="202" spans="1:9" x14ac:dyDescent="0.3">
      <c r="A202" t="str">
        <f>"KEITH"</f>
        <v>KEITH</v>
      </c>
      <c r="B202" t="s">
        <v>68</v>
      </c>
      <c r="C202">
        <v>77049</v>
      </c>
      <c r="D202" s="2">
        <v>2009.75</v>
      </c>
      <c r="E202" s="1">
        <v>43262</v>
      </c>
      <c r="F202" t="str">
        <f>"74695817 74702982"</f>
        <v>74695817 74702982</v>
      </c>
      <c r="G202" t="str">
        <f>"INV 74695817"</f>
        <v>INV 74695817</v>
      </c>
      <c r="H202">
        <v>2009.75</v>
      </c>
      <c r="I202" t="str">
        <f>"INV 74695817"</f>
        <v>INV 74695817</v>
      </c>
    </row>
    <row r="203" spans="1:9" x14ac:dyDescent="0.3">
      <c r="A203" t="str">
        <f>""</f>
        <v/>
      </c>
      <c r="F203" t="str">
        <f>""</f>
        <v/>
      </c>
      <c r="G203" t="str">
        <f>""</f>
        <v/>
      </c>
      <c r="I203" t="str">
        <f>"INV 74702982"</f>
        <v>INV 74702982</v>
      </c>
    </row>
    <row r="204" spans="1:9" x14ac:dyDescent="0.3">
      <c r="A204" t="str">
        <f>"KEITH"</f>
        <v>KEITH</v>
      </c>
      <c r="B204" t="s">
        <v>68</v>
      </c>
      <c r="C204">
        <v>77259</v>
      </c>
      <c r="D204" s="2">
        <v>1682.02</v>
      </c>
      <c r="E204" s="1">
        <v>43276</v>
      </c>
      <c r="F204" t="str">
        <f>"74710588/74718180"</f>
        <v>74710588/74718180</v>
      </c>
      <c r="G204" t="str">
        <f>"INV 74710588"</f>
        <v>INV 74710588</v>
      </c>
      <c r="H204">
        <v>1682.02</v>
      </c>
      <c r="I204" t="str">
        <f>"INV 74710588"</f>
        <v>INV 74710588</v>
      </c>
    </row>
    <row r="205" spans="1:9" x14ac:dyDescent="0.3">
      <c r="A205" t="str">
        <f>""</f>
        <v/>
      </c>
      <c r="F205" t="str">
        <f>""</f>
        <v/>
      </c>
      <c r="G205" t="str">
        <f>""</f>
        <v/>
      </c>
      <c r="I205" t="str">
        <f>"INV 74718180"</f>
        <v>INV 74718180</v>
      </c>
    </row>
    <row r="206" spans="1:9" x14ac:dyDescent="0.3">
      <c r="A206" t="str">
        <f>"004075"</f>
        <v>004075</v>
      </c>
      <c r="B206" t="s">
        <v>69</v>
      </c>
      <c r="C206">
        <v>999999</v>
      </c>
      <c r="D206" s="2">
        <v>11810.85</v>
      </c>
      <c r="E206" s="1">
        <v>43277</v>
      </c>
      <c r="F206" t="str">
        <f>"218426/224490/2277"</f>
        <v>218426/224490/2277</v>
      </c>
      <c r="G206" t="str">
        <f>"INV 218426-00"</f>
        <v>INV 218426-00</v>
      </c>
      <c r="H206">
        <v>6387.1</v>
      </c>
      <c r="I206" t="str">
        <f>"INV 218426-00"</f>
        <v>INV 218426-00</v>
      </c>
    </row>
    <row r="207" spans="1:9" x14ac:dyDescent="0.3">
      <c r="A207" t="str">
        <f>""</f>
        <v/>
      </c>
      <c r="F207" t="str">
        <f>""</f>
        <v/>
      </c>
      <c r="G207" t="str">
        <f>""</f>
        <v/>
      </c>
      <c r="I207" t="str">
        <f>"INV 224490-00"</f>
        <v>INV 224490-00</v>
      </c>
    </row>
    <row r="208" spans="1:9" x14ac:dyDescent="0.3">
      <c r="A208" t="str">
        <f>""</f>
        <v/>
      </c>
      <c r="F208" t="str">
        <f>""</f>
        <v/>
      </c>
      <c r="G208" t="str">
        <f>""</f>
        <v/>
      </c>
      <c r="I208" t="str">
        <f>"INV 227730-00"</f>
        <v>INV 227730-00</v>
      </c>
    </row>
    <row r="209" spans="1:9" x14ac:dyDescent="0.3">
      <c r="A209" t="str">
        <f>""</f>
        <v/>
      </c>
      <c r="F209" t="str">
        <f>"220646-00"</f>
        <v>220646-00</v>
      </c>
      <c r="G209" t="str">
        <f>"INV 220646-00"</f>
        <v>INV 220646-00</v>
      </c>
      <c r="H209">
        <v>5423.75</v>
      </c>
      <c r="I209" t="str">
        <f>"INV 220646-00"</f>
        <v>INV 220646-00</v>
      </c>
    </row>
    <row r="210" spans="1:9" x14ac:dyDescent="0.3">
      <c r="A210" t="str">
        <f>"001112"</f>
        <v>001112</v>
      </c>
      <c r="B210" t="s">
        <v>70</v>
      </c>
      <c r="C210">
        <v>77050</v>
      </c>
      <c r="D210" s="2">
        <v>44.99</v>
      </c>
      <c r="E210" s="1">
        <v>43262</v>
      </c>
      <c r="F210" t="str">
        <f>"3260284"</f>
        <v>3260284</v>
      </c>
      <c r="G210" t="str">
        <f>"Stmt# 01465920180525"</f>
        <v>Stmt# 01465920180525</v>
      </c>
      <c r="H210">
        <v>44.99</v>
      </c>
      <c r="I210" t="str">
        <f>"Inv# 3260284"</f>
        <v>Inv# 3260284</v>
      </c>
    </row>
    <row r="211" spans="1:9" x14ac:dyDescent="0.3">
      <c r="A211" t="str">
        <f>"002443"</f>
        <v>002443</v>
      </c>
      <c r="B211" t="s">
        <v>71</v>
      </c>
      <c r="C211">
        <v>77051</v>
      </c>
      <c r="D211" s="2">
        <v>225</v>
      </c>
      <c r="E211" s="1">
        <v>43262</v>
      </c>
      <c r="F211" t="str">
        <f>"12705"</f>
        <v>12705</v>
      </c>
      <c r="G211" t="str">
        <f>"SERVICE  03/29/2018"</f>
        <v>SERVICE  03/29/2018</v>
      </c>
      <c r="H211">
        <v>75</v>
      </c>
      <c r="I211" t="str">
        <f>"SERVICE  03/29/2018"</f>
        <v>SERVICE  03/29/2018</v>
      </c>
    </row>
    <row r="212" spans="1:9" x14ac:dyDescent="0.3">
      <c r="A212" t="str">
        <f>""</f>
        <v/>
      </c>
      <c r="F212" t="str">
        <f>"12913"</f>
        <v>12913</v>
      </c>
      <c r="G212" t="str">
        <f>"SERVICE FEE  04/02/18"</f>
        <v>SERVICE FEE  04/02/18</v>
      </c>
      <c r="H212">
        <v>150</v>
      </c>
      <c r="I212" t="str">
        <f>"SERVICE FEE  04/02/18"</f>
        <v>SERVICE FEE  04/02/18</v>
      </c>
    </row>
    <row r="213" spans="1:9" x14ac:dyDescent="0.3">
      <c r="A213" t="str">
        <f>"002443"</f>
        <v>002443</v>
      </c>
      <c r="B213" t="s">
        <v>71</v>
      </c>
      <c r="C213">
        <v>77260</v>
      </c>
      <c r="D213" s="2">
        <v>75</v>
      </c>
      <c r="E213" s="1">
        <v>43276</v>
      </c>
      <c r="F213" t="str">
        <f>"12927"</f>
        <v>12927</v>
      </c>
      <c r="G213" t="str">
        <f>"SERVICE  04/30/18"</f>
        <v>SERVICE  04/30/18</v>
      </c>
      <c r="H213">
        <v>75</v>
      </c>
      <c r="I213" t="str">
        <f>"SERVICE  04/30/18"</f>
        <v>SERVICE  04/30/18</v>
      </c>
    </row>
    <row r="214" spans="1:9" x14ac:dyDescent="0.3">
      <c r="A214" t="str">
        <f>"004147"</f>
        <v>004147</v>
      </c>
      <c r="B214" t="s">
        <v>72</v>
      </c>
      <c r="C214">
        <v>999999</v>
      </c>
      <c r="D214" s="2">
        <v>3056.56</v>
      </c>
      <c r="E214" s="1">
        <v>43263</v>
      </c>
      <c r="F214" t="str">
        <f>"4621"</f>
        <v>4621</v>
      </c>
      <c r="G214" t="str">
        <f>"UNIT#JJ2/PCT#4"</f>
        <v>UNIT#JJ2/PCT#4</v>
      </c>
      <c r="H214">
        <v>465</v>
      </c>
      <c r="I214" t="str">
        <f>"UNIT#JJ2/PCT#4"</f>
        <v>UNIT#JJ2/PCT#4</v>
      </c>
    </row>
    <row r="215" spans="1:9" x14ac:dyDescent="0.3">
      <c r="A215" t="str">
        <f>""</f>
        <v/>
      </c>
      <c r="F215" t="str">
        <f>"4648"</f>
        <v>4648</v>
      </c>
      <c r="G215" t="str">
        <f>"LABOR/PARTS/SUPPLIES/PCT#4"</f>
        <v>LABOR/PARTS/SUPPLIES/PCT#4</v>
      </c>
      <c r="H215">
        <v>1517.86</v>
      </c>
      <c r="I215" t="str">
        <f>"LABOR/PARTS/SUPPLIES/PCT#4"</f>
        <v>LABOR/PARTS/SUPPLIES/PCT#4</v>
      </c>
    </row>
    <row r="216" spans="1:9" x14ac:dyDescent="0.3">
      <c r="A216" t="str">
        <f>""</f>
        <v/>
      </c>
      <c r="F216" t="str">
        <f>"4650"</f>
        <v>4650</v>
      </c>
      <c r="G216" t="str">
        <f>"ARM BRUSH MOWER/PCT#4"</f>
        <v>ARM BRUSH MOWER/PCT#4</v>
      </c>
      <c r="H216">
        <v>1073.7</v>
      </c>
      <c r="I216" t="str">
        <f>"ARM BRUSH MOWER/PCT#4"</f>
        <v>ARM BRUSH MOWER/PCT#4</v>
      </c>
    </row>
    <row r="217" spans="1:9" x14ac:dyDescent="0.3">
      <c r="A217" t="str">
        <f>"000593"</f>
        <v>000593</v>
      </c>
      <c r="B217" t="s">
        <v>73</v>
      </c>
      <c r="C217">
        <v>77052</v>
      </c>
      <c r="D217" s="2">
        <v>514.48</v>
      </c>
      <c r="E217" s="1">
        <v>43262</v>
      </c>
      <c r="F217" t="str">
        <f>"84078933082/190"</f>
        <v>84078933082/190</v>
      </c>
      <c r="G217" t="str">
        <f>"INV 84078933082"</f>
        <v>INV 84078933082</v>
      </c>
      <c r="H217">
        <v>514.48</v>
      </c>
      <c r="I217" t="str">
        <f>"INV 84078933082"</f>
        <v>INV 84078933082</v>
      </c>
    </row>
    <row r="218" spans="1:9" x14ac:dyDescent="0.3">
      <c r="A218" t="str">
        <f>""</f>
        <v/>
      </c>
      <c r="F218" t="str">
        <f>""</f>
        <v/>
      </c>
      <c r="G218" t="str">
        <f>""</f>
        <v/>
      </c>
      <c r="I218" t="str">
        <f>"INV 84078933190"</f>
        <v>INV 84078933190</v>
      </c>
    </row>
    <row r="219" spans="1:9" x14ac:dyDescent="0.3">
      <c r="A219" t="str">
        <f>"000593"</f>
        <v>000593</v>
      </c>
      <c r="B219" t="s">
        <v>73</v>
      </c>
      <c r="C219">
        <v>77261</v>
      </c>
      <c r="D219" s="2">
        <v>554.9</v>
      </c>
      <c r="E219" s="1">
        <v>43276</v>
      </c>
      <c r="F219" t="str">
        <f>"84078933246/3331"</f>
        <v>84078933246/3331</v>
      </c>
      <c r="G219" t="str">
        <f>"INV 84078933246"</f>
        <v>INV 84078933246</v>
      </c>
      <c r="H219">
        <v>554.9</v>
      </c>
      <c r="I219" t="str">
        <f>"INV 84078933246"</f>
        <v>INV 84078933246</v>
      </c>
    </row>
    <row r="220" spans="1:9" x14ac:dyDescent="0.3">
      <c r="A220" t="str">
        <f>""</f>
        <v/>
      </c>
      <c r="F220" t="str">
        <f>""</f>
        <v/>
      </c>
      <c r="G220" t="str">
        <f>""</f>
        <v/>
      </c>
      <c r="I220" t="str">
        <f>"INV 84078933331"</f>
        <v>INV 84078933331</v>
      </c>
    </row>
    <row r="221" spans="1:9" x14ac:dyDescent="0.3">
      <c r="A221" t="str">
        <f>"003732"</f>
        <v>003732</v>
      </c>
      <c r="B221" t="s">
        <v>74</v>
      </c>
      <c r="C221">
        <v>999999</v>
      </c>
      <c r="D221" s="2">
        <v>2043.24</v>
      </c>
      <c r="E221" s="1">
        <v>43263</v>
      </c>
      <c r="F221" t="str">
        <f>"201806051297"</f>
        <v>201806051297</v>
      </c>
      <c r="G221" t="str">
        <f>"56 172  20170437  20170567"</f>
        <v>56 172  20170437  20170567</v>
      </c>
      <c r="H221">
        <v>500</v>
      </c>
      <c r="I221" t="str">
        <f>"56 172  20170437  20170567"</f>
        <v>56 172  20170437  20170567</v>
      </c>
    </row>
    <row r="222" spans="1:9" x14ac:dyDescent="0.3">
      <c r="A222" t="str">
        <f>""</f>
        <v/>
      </c>
      <c r="F222" t="str">
        <f>"201806051325"</f>
        <v>201806051325</v>
      </c>
      <c r="G222" t="str">
        <f>"18-19050"</f>
        <v>18-19050</v>
      </c>
      <c r="H222">
        <v>100</v>
      </c>
      <c r="I222" t="str">
        <f>"18-19050"</f>
        <v>18-19050</v>
      </c>
    </row>
    <row r="223" spans="1:9" x14ac:dyDescent="0.3">
      <c r="A223" t="str">
        <f>""</f>
        <v/>
      </c>
      <c r="F223" t="str">
        <f>"201806051326"</f>
        <v>201806051326</v>
      </c>
      <c r="G223" t="str">
        <f>"17-18229"</f>
        <v>17-18229</v>
      </c>
      <c r="H223">
        <v>100</v>
      </c>
      <c r="I223" t="str">
        <f>"17-18229"</f>
        <v>17-18229</v>
      </c>
    </row>
    <row r="224" spans="1:9" x14ac:dyDescent="0.3">
      <c r="A224" t="str">
        <f>""</f>
        <v/>
      </c>
      <c r="F224" t="str">
        <f>"201806051339"</f>
        <v>201806051339</v>
      </c>
      <c r="G224" t="str">
        <f>"18-18961"</f>
        <v>18-18961</v>
      </c>
      <c r="H224">
        <v>693.24</v>
      </c>
      <c r="I224" t="str">
        <f>"18-18961"</f>
        <v>18-18961</v>
      </c>
    </row>
    <row r="225" spans="1:10" x14ac:dyDescent="0.3">
      <c r="A225" t="str">
        <f>""</f>
        <v/>
      </c>
      <c r="F225" t="str">
        <f>"201806051343"</f>
        <v>201806051343</v>
      </c>
      <c r="G225" t="str">
        <f>"JUVENILE DETENTION HEARING"</f>
        <v>JUVENILE DETENTION HEARING</v>
      </c>
      <c r="H225">
        <v>100</v>
      </c>
      <c r="I225" t="str">
        <f>"JUVENILE DETENTION HEARING"</f>
        <v>JUVENILE DETENTION HEARING</v>
      </c>
    </row>
    <row r="226" spans="1:10" x14ac:dyDescent="0.3">
      <c r="A226" t="str">
        <f>""</f>
        <v/>
      </c>
      <c r="F226" t="str">
        <f>"201806051344"</f>
        <v>201806051344</v>
      </c>
      <c r="G226" t="str">
        <f>"JUVENILE DETENTION HEARING"</f>
        <v>JUVENILE DETENTION HEARING</v>
      </c>
      <c r="H226">
        <v>100</v>
      </c>
      <c r="I226" t="str">
        <f>"JUVENILE DETENTION HEARING"</f>
        <v>JUVENILE DETENTION HEARING</v>
      </c>
    </row>
    <row r="227" spans="1:10" x14ac:dyDescent="0.3">
      <c r="A227" t="str">
        <f>""</f>
        <v/>
      </c>
      <c r="F227" t="str">
        <f>"201806051345"</f>
        <v>201806051345</v>
      </c>
      <c r="G227" t="str">
        <f>"JUVENILE"</f>
        <v>JUVENILE</v>
      </c>
      <c r="H227">
        <v>100</v>
      </c>
      <c r="I227" t="str">
        <f>"JUVENILE"</f>
        <v>JUVENILE</v>
      </c>
    </row>
    <row r="228" spans="1:10" x14ac:dyDescent="0.3">
      <c r="A228" t="str">
        <f>""</f>
        <v/>
      </c>
      <c r="F228" t="str">
        <f>"201806051346"</f>
        <v>201806051346</v>
      </c>
      <c r="G228" t="str">
        <f>"JUVENILE"</f>
        <v>JUVENILE</v>
      </c>
      <c r="H228">
        <v>100</v>
      </c>
      <c r="I228" t="str">
        <f>"JUVENILE"</f>
        <v>JUVENILE</v>
      </c>
    </row>
    <row r="229" spans="1:10" x14ac:dyDescent="0.3">
      <c r="A229" t="str">
        <f>""</f>
        <v/>
      </c>
      <c r="F229" t="str">
        <f>"201806061353"</f>
        <v>201806061353</v>
      </c>
      <c r="G229" t="str">
        <f>"55 893"</f>
        <v>55 893</v>
      </c>
      <c r="H229">
        <v>250</v>
      </c>
      <c r="I229" t="str">
        <f>"55 893"</f>
        <v>55 893</v>
      </c>
    </row>
    <row r="230" spans="1:10" x14ac:dyDescent="0.3">
      <c r="A230" t="str">
        <f>"003732"</f>
        <v>003732</v>
      </c>
      <c r="B230" t="s">
        <v>74</v>
      </c>
      <c r="C230">
        <v>999999</v>
      </c>
      <c r="D230" s="2">
        <v>406.25</v>
      </c>
      <c r="E230" s="1">
        <v>43277</v>
      </c>
      <c r="F230" t="str">
        <f>"201806201662"</f>
        <v>201806201662</v>
      </c>
      <c r="G230" t="str">
        <f>"17-18564"</f>
        <v>17-18564</v>
      </c>
      <c r="H230">
        <v>156.25</v>
      </c>
      <c r="I230" t="str">
        <f>"17-18564"</f>
        <v>17-18564</v>
      </c>
    </row>
    <row r="231" spans="1:10" x14ac:dyDescent="0.3">
      <c r="A231" t="str">
        <f>""</f>
        <v/>
      </c>
      <c r="F231" t="str">
        <f>"201806201693"</f>
        <v>201806201693</v>
      </c>
      <c r="G231" t="str">
        <f>"55 641"</f>
        <v>55 641</v>
      </c>
      <c r="H231">
        <v>250</v>
      </c>
      <c r="I231" t="str">
        <f>"55 641"</f>
        <v>55 641</v>
      </c>
    </row>
    <row r="232" spans="1:10" x14ac:dyDescent="0.3">
      <c r="A232" t="str">
        <f>"004886"</f>
        <v>004886</v>
      </c>
      <c r="B232" t="s">
        <v>75</v>
      </c>
      <c r="C232">
        <v>77053</v>
      </c>
      <c r="D232" s="2">
        <v>700</v>
      </c>
      <c r="E232" s="1">
        <v>43262</v>
      </c>
      <c r="F232" t="str">
        <f>"DEFENSE INSTRUCTOR"</f>
        <v>DEFENSE INSTRUCTOR</v>
      </c>
      <c r="G232" t="str">
        <f>"TRAINING"</f>
        <v>TRAINING</v>
      </c>
      <c r="H232">
        <v>700</v>
      </c>
    </row>
    <row r="233" spans="1:10" x14ac:dyDescent="0.3">
      <c r="A233" t="str">
        <f>"004886"</f>
        <v>004886</v>
      </c>
      <c r="B233" t="s">
        <v>75</v>
      </c>
      <c r="C233">
        <v>77053</v>
      </c>
      <c r="D233" s="2">
        <v>700</v>
      </c>
      <c r="E233" s="1">
        <v>43270</v>
      </c>
      <c r="F233" t="str">
        <f>"CHECK"</f>
        <v>CHECK</v>
      </c>
      <c r="G233" t="str">
        <f>""</f>
        <v/>
      </c>
      <c r="H233">
        <v>700</v>
      </c>
    </row>
    <row r="234" spans="1:10" x14ac:dyDescent="0.3">
      <c r="A234" t="str">
        <f>"001135"</f>
        <v>001135</v>
      </c>
      <c r="B234" t="s">
        <v>76</v>
      </c>
      <c r="C234">
        <v>77054</v>
      </c>
      <c r="D234" s="2">
        <v>283.69</v>
      </c>
      <c r="E234" s="1">
        <v>43262</v>
      </c>
      <c r="F234" t="str">
        <f>"201806051275"</f>
        <v>201806051275</v>
      </c>
      <c r="G234" t="str">
        <f>"CRIMESTOPPER FEES FOR MAY 2018"</f>
        <v>CRIMESTOPPER FEES FOR MAY 2018</v>
      </c>
      <c r="H234">
        <v>283.69</v>
      </c>
      <c r="I234" t="str">
        <f>"CRIMESTOPPER FEES FOR MAY 2018"</f>
        <v>CRIMESTOPPER FEES FOR MAY 2018</v>
      </c>
    </row>
    <row r="235" spans="1:10" x14ac:dyDescent="0.3">
      <c r="A235" t="str">
        <f>"BEC"</f>
        <v>BEC</v>
      </c>
      <c r="B235" t="s">
        <v>77</v>
      </c>
      <c r="C235">
        <v>77226</v>
      </c>
      <c r="D235" s="2">
        <v>3536.82</v>
      </c>
      <c r="E235" s="1">
        <v>43265</v>
      </c>
      <c r="F235" t="str">
        <f>"201806141600"</f>
        <v>201806141600</v>
      </c>
      <c r="G235" t="str">
        <f>"ACCT#5000057374 / 06/04/2018"</f>
        <v>ACCT#5000057374 / 06/04/2018</v>
      </c>
      <c r="H235">
        <v>3536.82</v>
      </c>
      <c r="I235" t="str">
        <f>"ACCT#5000057374 / 06/04/2018"</f>
        <v>ACCT#5000057374 / 06/04/2018</v>
      </c>
    </row>
    <row r="236" spans="1:10" x14ac:dyDescent="0.3">
      <c r="A236" t="str">
        <f>""</f>
        <v/>
      </c>
      <c r="F236" t="str">
        <f>""</f>
        <v/>
      </c>
      <c r="G236" t="str">
        <f>""</f>
        <v/>
      </c>
      <c r="I236" t="str">
        <f>"ACCT#5000057374 / 06/04/2018"</f>
        <v>ACCT#5000057374 / 06/04/2018</v>
      </c>
    </row>
    <row r="237" spans="1:10" x14ac:dyDescent="0.3">
      <c r="A237" t="str">
        <f>""</f>
        <v/>
      </c>
      <c r="F237" t="str">
        <f>""</f>
        <v/>
      </c>
      <c r="G237" t="str">
        <f>""</f>
        <v/>
      </c>
      <c r="I237" t="str">
        <f>"ACCT#5000057374 / 06/04/2018"</f>
        <v>ACCT#5000057374 / 06/04/2018</v>
      </c>
    </row>
    <row r="238" spans="1:10" x14ac:dyDescent="0.3">
      <c r="A238" t="str">
        <f>""</f>
        <v/>
      </c>
      <c r="F238" t="str">
        <f>""</f>
        <v/>
      </c>
      <c r="G238" t="str">
        <f>""</f>
        <v/>
      </c>
      <c r="I238" t="str">
        <f>"ACCT#5000057374 / 06/04/2018"</f>
        <v>ACCT#5000057374 / 06/04/2018</v>
      </c>
    </row>
    <row r="239" spans="1:10" x14ac:dyDescent="0.3">
      <c r="A239" t="str">
        <f>"005029"</f>
        <v>005029</v>
      </c>
      <c r="B239" t="s">
        <v>78</v>
      </c>
      <c r="C239">
        <v>77262</v>
      </c>
      <c r="D239" s="2">
        <v>20</v>
      </c>
      <c r="E239" s="1">
        <v>43276</v>
      </c>
      <c r="F239" t="s">
        <v>21</v>
      </c>
      <c r="G239" t="s">
        <v>79</v>
      </c>
      <c r="H239" t="str">
        <f>"RESTITUTION-P. BOATMAN"</f>
        <v>RESTITUTION-P. BOATMAN</v>
      </c>
      <c r="I239" t="str">
        <f>"210-0000"</f>
        <v>210-0000</v>
      </c>
      <c r="J239" t="str">
        <f>""</f>
        <v/>
      </c>
    </row>
    <row r="240" spans="1:10" x14ac:dyDescent="0.3">
      <c r="A240" t="str">
        <f>"T5975"</f>
        <v>T5975</v>
      </c>
      <c r="B240" t="s">
        <v>80</v>
      </c>
      <c r="C240">
        <v>77055</v>
      </c>
      <c r="D240" s="2">
        <v>1025</v>
      </c>
      <c r="E240" s="1">
        <v>43262</v>
      </c>
      <c r="F240" t="str">
        <f>"25-04-2018"</f>
        <v>25-04-2018</v>
      </c>
      <c r="G240" t="str">
        <f>"INV 25-04-2018"</f>
        <v>INV 25-04-2018</v>
      </c>
      <c r="H240">
        <v>1025</v>
      </c>
      <c r="I240" t="str">
        <f>"INV 25-04-2018"</f>
        <v>INV 25-04-2018</v>
      </c>
    </row>
    <row r="241" spans="1:9" x14ac:dyDescent="0.3">
      <c r="A241" t="str">
        <f>"T5975"</f>
        <v>T5975</v>
      </c>
      <c r="B241" t="s">
        <v>80</v>
      </c>
      <c r="C241">
        <v>999999</v>
      </c>
      <c r="D241" s="2">
        <v>27925.38</v>
      </c>
      <c r="E241" s="1">
        <v>43277</v>
      </c>
      <c r="F241" t="str">
        <f>"201806201652"</f>
        <v>201806201652</v>
      </c>
      <c r="G241" t="str">
        <f>"GRANT REIMBURSEMENT"</f>
        <v>GRANT REIMBURSEMENT</v>
      </c>
      <c r="H241">
        <v>27275.38</v>
      </c>
      <c r="I241" t="str">
        <f>"GRANT REIMBURSEMENT"</f>
        <v>GRANT REIMBURSEMENT</v>
      </c>
    </row>
    <row r="242" spans="1:9" x14ac:dyDescent="0.3">
      <c r="A242" t="str">
        <f>""</f>
        <v/>
      </c>
      <c r="F242" t="str">
        <f>"25-05-2018"</f>
        <v>25-05-2018</v>
      </c>
      <c r="G242" t="str">
        <f>"INV 25-05-2018"</f>
        <v>INV 25-05-2018</v>
      </c>
      <c r="H242">
        <v>650</v>
      </c>
      <c r="I242" t="str">
        <f>"INV 25-05-2018"</f>
        <v>INV 25-05-2018</v>
      </c>
    </row>
    <row r="243" spans="1:9" x14ac:dyDescent="0.3">
      <c r="A243" t="str">
        <f>"BBCI"</f>
        <v>BBCI</v>
      </c>
      <c r="B243" t="s">
        <v>81</v>
      </c>
      <c r="C243">
        <v>77056</v>
      </c>
      <c r="D243" s="2">
        <v>1482.75</v>
      </c>
      <c r="E243" s="1">
        <v>43262</v>
      </c>
      <c r="F243" t="str">
        <f>"UT1000459212"</f>
        <v>UT1000459212</v>
      </c>
      <c r="G243" t="str">
        <f>"INV UT1000459212"</f>
        <v>INV UT1000459212</v>
      </c>
      <c r="H243">
        <v>393.75</v>
      </c>
      <c r="I243" t="str">
        <f>"INV UT1000459212"</f>
        <v>INV UT1000459212</v>
      </c>
    </row>
    <row r="244" spans="1:9" x14ac:dyDescent="0.3">
      <c r="A244" t="str">
        <f>""</f>
        <v/>
      </c>
      <c r="F244" t="str">
        <f>"UT1000459699"</f>
        <v>UT1000459699</v>
      </c>
      <c r="G244" t="str">
        <f>"INV UT1000459699"</f>
        <v>INV UT1000459699</v>
      </c>
      <c r="H244">
        <v>1089</v>
      </c>
      <c r="I244" t="str">
        <f>"INV UT1000459699"</f>
        <v>INV UT1000459699</v>
      </c>
    </row>
    <row r="245" spans="1:9" x14ac:dyDescent="0.3">
      <c r="A245" t="str">
        <f>"001367"</f>
        <v>001367</v>
      </c>
      <c r="B245" t="s">
        <v>82</v>
      </c>
      <c r="C245">
        <v>77057</v>
      </c>
      <c r="D245" s="2">
        <v>3327.45</v>
      </c>
      <c r="E245" s="1">
        <v>43262</v>
      </c>
      <c r="F245" t="str">
        <f>"7913"</f>
        <v>7913</v>
      </c>
      <c r="G245" t="str">
        <f>"CHANGE ENGINE OIL"</f>
        <v>CHANGE ENGINE OIL</v>
      </c>
      <c r="H245">
        <v>40.19</v>
      </c>
      <c r="I245" t="str">
        <f>"CHANGE ENGINE OIL"</f>
        <v>CHANGE ENGINE OIL</v>
      </c>
    </row>
    <row r="246" spans="1:9" x14ac:dyDescent="0.3">
      <c r="A246" t="str">
        <f>""</f>
        <v/>
      </c>
      <c r="F246" t="str">
        <f>"INV#7860"</f>
        <v>INV#7860</v>
      </c>
      <c r="G246" t="str">
        <f>"INV 7860 / UNIT 1672"</f>
        <v>INV 7860 / UNIT 1672</v>
      </c>
      <c r="H246">
        <v>1059.95</v>
      </c>
      <c r="I246" t="str">
        <f>"INV 7860 / UNIT 1672"</f>
        <v>INV 7860 / UNIT 1672</v>
      </c>
    </row>
    <row r="247" spans="1:9" x14ac:dyDescent="0.3">
      <c r="A247" t="str">
        <f>""</f>
        <v/>
      </c>
      <c r="F247" t="str">
        <f>"INV#7923"</f>
        <v>INV#7923</v>
      </c>
      <c r="G247" t="str">
        <f>"INV 7923 / UNIT 6541"</f>
        <v>INV 7923 / UNIT 6541</v>
      </c>
      <c r="H247">
        <v>172.74</v>
      </c>
      <c r="I247" t="str">
        <f>"INV 7923 / UNIT 6541"</f>
        <v>INV 7923 / UNIT 6541</v>
      </c>
    </row>
    <row r="248" spans="1:9" x14ac:dyDescent="0.3">
      <c r="A248" t="str">
        <f>""</f>
        <v/>
      </c>
      <c r="F248" t="str">
        <f>"INV#7945"</f>
        <v>INV#7945</v>
      </c>
      <c r="G248" t="str">
        <f>"INV 7945 / UNIT 4362"</f>
        <v>INV 7945 / UNIT 4362</v>
      </c>
      <c r="H248">
        <v>462.56</v>
      </c>
      <c r="I248" t="str">
        <f>"INV 7945 / UNIT 4362"</f>
        <v>INV 7945 / UNIT 4362</v>
      </c>
    </row>
    <row r="249" spans="1:9" x14ac:dyDescent="0.3">
      <c r="A249" t="str">
        <f>""</f>
        <v/>
      </c>
      <c r="F249" t="str">
        <f>"INV#7979/7975/7973"</f>
        <v>INV#7979/7975/7973</v>
      </c>
      <c r="G249" t="str">
        <f>"INV 7979 / UNIT 6520"</f>
        <v>INV 7979 / UNIT 6520</v>
      </c>
      <c r="H249">
        <v>151.03</v>
      </c>
      <c r="I249" t="str">
        <f>"INV 7979 / UNIT 6520"</f>
        <v>INV 7979 / UNIT 6520</v>
      </c>
    </row>
    <row r="250" spans="1:9" x14ac:dyDescent="0.3">
      <c r="A250" t="str">
        <f>""</f>
        <v/>
      </c>
      <c r="F250" t="str">
        <f>""</f>
        <v/>
      </c>
      <c r="G250" t="str">
        <f>""</f>
        <v/>
      </c>
      <c r="I250" t="str">
        <f>"INV 7975 / UNIT 3804"</f>
        <v>INV 7975 / UNIT 3804</v>
      </c>
    </row>
    <row r="251" spans="1:9" x14ac:dyDescent="0.3">
      <c r="A251" t="str">
        <f>""</f>
        <v/>
      </c>
      <c r="F251" t="str">
        <f>""</f>
        <v/>
      </c>
      <c r="G251" t="str">
        <f>""</f>
        <v/>
      </c>
      <c r="I251" t="str">
        <f>"INV 7973 / UNIT 1669"</f>
        <v>INV 7973 / UNIT 1669</v>
      </c>
    </row>
    <row r="252" spans="1:9" x14ac:dyDescent="0.3">
      <c r="A252" t="str">
        <f>""</f>
        <v/>
      </c>
      <c r="F252" t="str">
        <f>"REF#7847"</f>
        <v>REF#7847</v>
      </c>
      <c r="G252" t="str">
        <f>"2014 FORD/GEN SVCS"</f>
        <v>2014 FORD/GEN SVCS</v>
      </c>
      <c r="H252">
        <v>445.01</v>
      </c>
      <c r="I252" t="str">
        <f>"2014 FORD/GEN SVCS"</f>
        <v>2014 FORD/GEN SVCS</v>
      </c>
    </row>
    <row r="253" spans="1:9" x14ac:dyDescent="0.3">
      <c r="A253" t="str">
        <f>""</f>
        <v/>
      </c>
      <c r="F253" t="str">
        <f>"VEH MAINT-SO"</f>
        <v>VEH MAINT-SO</v>
      </c>
      <c r="G253" t="str">
        <f>"INV 7877 / UNIT 81"</f>
        <v>INV 7877 / UNIT 81</v>
      </c>
      <c r="H253">
        <v>995.97</v>
      </c>
      <c r="I253" t="str">
        <f>"INV 7877 / UNIT 81"</f>
        <v>INV 7877 / UNIT 81</v>
      </c>
    </row>
    <row r="254" spans="1:9" x14ac:dyDescent="0.3">
      <c r="A254" t="str">
        <f>""</f>
        <v/>
      </c>
      <c r="F254" t="str">
        <f>""</f>
        <v/>
      </c>
      <c r="G254" t="str">
        <f>""</f>
        <v/>
      </c>
      <c r="I254" t="str">
        <f>"INV 7880 / UNIT 5350"</f>
        <v>INV 7880 / UNIT 5350</v>
      </c>
    </row>
    <row r="255" spans="1:9" x14ac:dyDescent="0.3">
      <c r="A255" t="str">
        <f>""</f>
        <v/>
      </c>
      <c r="F255" t="str">
        <f>""</f>
        <v/>
      </c>
      <c r="G255" t="str">
        <f>""</f>
        <v/>
      </c>
      <c r="I255" t="str">
        <f>"INV 7882 / UNIT 5273"</f>
        <v>INV 7882 / UNIT 5273</v>
      </c>
    </row>
    <row r="256" spans="1:9" x14ac:dyDescent="0.3">
      <c r="A256" t="str">
        <f>""</f>
        <v/>
      </c>
      <c r="F256" t="str">
        <f>""</f>
        <v/>
      </c>
      <c r="G256" t="str">
        <f>""</f>
        <v/>
      </c>
      <c r="I256" t="str">
        <f>"INV 7892 / UNIT 6502"</f>
        <v>INV 7892 / UNIT 6502</v>
      </c>
    </row>
    <row r="257" spans="1:9" x14ac:dyDescent="0.3">
      <c r="A257" t="str">
        <f>""</f>
        <v/>
      </c>
      <c r="F257" t="str">
        <f>""</f>
        <v/>
      </c>
      <c r="G257" t="str">
        <f>""</f>
        <v/>
      </c>
      <c r="I257" t="str">
        <f>"INV 7893 / UNIT 98"</f>
        <v>INV 7893 / UNIT 98</v>
      </c>
    </row>
    <row r="258" spans="1:9" x14ac:dyDescent="0.3">
      <c r="A258" t="str">
        <f>""</f>
        <v/>
      </c>
      <c r="F258" t="str">
        <f>""</f>
        <v/>
      </c>
      <c r="G258" t="str">
        <f>""</f>
        <v/>
      </c>
      <c r="I258" t="str">
        <f>"INV 7897 / UNIT 3805"</f>
        <v>INV 7897 / UNIT 3805</v>
      </c>
    </row>
    <row r="259" spans="1:9" x14ac:dyDescent="0.3">
      <c r="A259" t="str">
        <f>""</f>
        <v/>
      </c>
      <c r="F259" t="str">
        <f>""</f>
        <v/>
      </c>
      <c r="G259" t="str">
        <f>""</f>
        <v/>
      </c>
      <c r="I259" t="str">
        <f>"INV 7900 / UNIT 1668"</f>
        <v>INV 7900 / UNIT 1668</v>
      </c>
    </row>
    <row r="260" spans="1:9" x14ac:dyDescent="0.3">
      <c r="A260" t="str">
        <f>""</f>
        <v/>
      </c>
      <c r="F260" t="str">
        <f>""</f>
        <v/>
      </c>
      <c r="G260" t="str">
        <f>""</f>
        <v/>
      </c>
      <c r="I260" t="str">
        <f>"INV 7904 / UNIT 1496"</f>
        <v>INV 7904 / UNIT 1496</v>
      </c>
    </row>
    <row r="261" spans="1:9" x14ac:dyDescent="0.3">
      <c r="A261" t="str">
        <f>""</f>
        <v/>
      </c>
      <c r="F261" t="str">
        <f>""</f>
        <v/>
      </c>
      <c r="G261" t="str">
        <f>""</f>
        <v/>
      </c>
      <c r="I261" t="str">
        <f>"INV 7910 / UNIT 92"</f>
        <v>INV 7910 / UNIT 92</v>
      </c>
    </row>
    <row r="262" spans="1:9" x14ac:dyDescent="0.3">
      <c r="A262" t="str">
        <f>""</f>
        <v/>
      </c>
      <c r="F262" t="str">
        <f>""</f>
        <v/>
      </c>
      <c r="G262" t="str">
        <f>""</f>
        <v/>
      </c>
      <c r="I262" t="str">
        <f>"INV 7921 / UNIT 0311"</f>
        <v>INV 7921 / UNIT 0311</v>
      </c>
    </row>
    <row r="263" spans="1:9" x14ac:dyDescent="0.3">
      <c r="A263" t="str">
        <f>""</f>
        <v/>
      </c>
      <c r="F263" t="str">
        <f>""</f>
        <v/>
      </c>
      <c r="G263" t="str">
        <f>""</f>
        <v/>
      </c>
      <c r="I263" t="str">
        <f>"INV 7925 / UNIT 1663"</f>
        <v>INV 7925 / UNIT 1663</v>
      </c>
    </row>
    <row r="264" spans="1:9" x14ac:dyDescent="0.3">
      <c r="A264" t="str">
        <f>""</f>
        <v/>
      </c>
      <c r="F264" t="str">
        <f>""</f>
        <v/>
      </c>
      <c r="G264" t="str">
        <f>""</f>
        <v/>
      </c>
      <c r="I264" t="str">
        <f>"INV 7928 / UNIT 1079"</f>
        <v>INV 7928 / UNIT 1079</v>
      </c>
    </row>
    <row r="265" spans="1:9" x14ac:dyDescent="0.3">
      <c r="A265" t="str">
        <f>""</f>
        <v/>
      </c>
      <c r="F265" t="str">
        <f>""</f>
        <v/>
      </c>
      <c r="G265" t="str">
        <f>""</f>
        <v/>
      </c>
      <c r="I265" t="str">
        <f>"INV 7931 / UNIT 4111"</f>
        <v>INV 7931 / UNIT 4111</v>
      </c>
    </row>
    <row r="266" spans="1:9" x14ac:dyDescent="0.3">
      <c r="A266" t="str">
        <f>""</f>
        <v/>
      </c>
      <c r="F266" t="str">
        <f>""</f>
        <v/>
      </c>
      <c r="G266" t="str">
        <f>""</f>
        <v/>
      </c>
      <c r="I266" t="str">
        <f>"INV 7936 / UNIT 6556"</f>
        <v>INV 7936 / UNIT 6556</v>
      </c>
    </row>
    <row r="267" spans="1:9" x14ac:dyDescent="0.3">
      <c r="A267" t="str">
        <f>""</f>
        <v/>
      </c>
      <c r="F267" t="str">
        <f>""</f>
        <v/>
      </c>
      <c r="G267" t="str">
        <f>""</f>
        <v/>
      </c>
      <c r="I267" t="str">
        <f>"INV 7924 / UNIT 6541"</f>
        <v>INV 7924 / UNIT 6541</v>
      </c>
    </row>
    <row r="268" spans="1:9" x14ac:dyDescent="0.3">
      <c r="A268" t="str">
        <f>""</f>
        <v/>
      </c>
      <c r="F268" t="str">
        <f>""</f>
        <v/>
      </c>
      <c r="G268" t="str">
        <f>""</f>
        <v/>
      </c>
      <c r="I268" t="str">
        <f>"INV 7938/ UNIT 0127"</f>
        <v>INV 7938/ UNIT 0127</v>
      </c>
    </row>
    <row r="269" spans="1:9" x14ac:dyDescent="0.3">
      <c r="A269" t="str">
        <f>""</f>
        <v/>
      </c>
      <c r="F269" t="str">
        <f>""</f>
        <v/>
      </c>
      <c r="G269" t="str">
        <f>""</f>
        <v/>
      </c>
      <c r="I269" t="str">
        <f>"INV 7946 / UNIT 4720"</f>
        <v>INV 7946 / UNIT 4720</v>
      </c>
    </row>
    <row r="270" spans="1:9" x14ac:dyDescent="0.3">
      <c r="A270" t="str">
        <f>""</f>
        <v/>
      </c>
      <c r="F270" t="str">
        <f>""</f>
        <v/>
      </c>
      <c r="G270" t="str">
        <f>""</f>
        <v/>
      </c>
      <c r="I270" t="str">
        <f>"INV 7947 / UNIT 123"</f>
        <v>INV 7947 / UNIT 123</v>
      </c>
    </row>
    <row r="271" spans="1:9" x14ac:dyDescent="0.3">
      <c r="A271" t="str">
        <f>""</f>
        <v/>
      </c>
      <c r="F271" t="str">
        <f>""</f>
        <v/>
      </c>
      <c r="G271" t="str">
        <f>""</f>
        <v/>
      </c>
      <c r="I271" t="str">
        <f>"INV 7970 / UNIT 4718"</f>
        <v>INV 7970 / UNIT 4718</v>
      </c>
    </row>
    <row r="272" spans="1:9" x14ac:dyDescent="0.3">
      <c r="A272" t="str">
        <f>"001367"</f>
        <v>001367</v>
      </c>
      <c r="B272" t="s">
        <v>82</v>
      </c>
      <c r="C272">
        <v>77263</v>
      </c>
      <c r="D272" s="2">
        <v>4143.93</v>
      </c>
      <c r="E272" s="1">
        <v>43276</v>
      </c>
      <c r="F272" t="str">
        <f>"7889"</f>
        <v>7889</v>
      </c>
      <c r="G272" t="str">
        <f>"INV 7889 / UNIT 1671"</f>
        <v>INV 7889 / UNIT 1671</v>
      </c>
      <c r="H272">
        <v>418.97</v>
      </c>
      <c r="I272" t="str">
        <f>"INV 7889 / UNIT 1671"</f>
        <v>INV 7889 / UNIT 1671</v>
      </c>
    </row>
    <row r="273" spans="1:9" x14ac:dyDescent="0.3">
      <c r="A273" t="str">
        <f>""</f>
        <v/>
      </c>
      <c r="F273" t="str">
        <f>"7993"</f>
        <v>7993</v>
      </c>
      <c r="G273" t="str">
        <f>"INV 7993 / UNIT 1667"</f>
        <v>INV 7993 / UNIT 1667</v>
      </c>
      <c r="H273">
        <v>775.84</v>
      </c>
      <c r="I273" t="str">
        <f>"INV 7993 / UNIT 1667"</f>
        <v>INV 7993 / UNIT 1667</v>
      </c>
    </row>
    <row r="274" spans="1:9" x14ac:dyDescent="0.3">
      <c r="A274" t="str">
        <f>""</f>
        <v/>
      </c>
      <c r="F274" t="str">
        <f>"8008"</f>
        <v>8008</v>
      </c>
      <c r="G274" t="str">
        <f>"INV 8008 / UNIT 120"</f>
        <v>INV 8008 / UNIT 120</v>
      </c>
      <c r="H274">
        <v>128.69999999999999</v>
      </c>
      <c r="I274" t="str">
        <f>"INV 8008 / UNIT 120"</f>
        <v>INV 8008 / UNIT 120</v>
      </c>
    </row>
    <row r="275" spans="1:9" x14ac:dyDescent="0.3">
      <c r="A275" t="str">
        <f>""</f>
        <v/>
      </c>
      <c r="F275" t="str">
        <f>"8011"</f>
        <v>8011</v>
      </c>
      <c r="G275" t="str">
        <f>"2007 INTL/PCT#1"</f>
        <v>2007 INTL/PCT#1</v>
      </c>
      <c r="H275">
        <v>7</v>
      </c>
      <c r="I275" t="str">
        <f>"2007 INTL/PCT#1"</f>
        <v>2007 INTL/PCT#1</v>
      </c>
    </row>
    <row r="276" spans="1:9" x14ac:dyDescent="0.3">
      <c r="A276" t="str">
        <f>""</f>
        <v/>
      </c>
      <c r="F276" t="str">
        <f>"8012"</f>
        <v>8012</v>
      </c>
      <c r="G276" t="str">
        <f>"2003 FRHT/PCT#1"</f>
        <v>2003 FRHT/PCT#1</v>
      </c>
      <c r="H276">
        <v>7</v>
      </c>
      <c r="I276" t="str">
        <f>"2003 FRHT/PCT#1"</f>
        <v>2003 FRHT/PCT#1</v>
      </c>
    </row>
    <row r="277" spans="1:9" x14ac:dyDescent="0.3">
      <c r="A277" t="str">
        <f>""</f>
        <v/>
      </c>
      <c r="F277" t="str">
        <f>"8027"</f>
        <v>8027</v>
      </c>
      <c r="G277" t="str">
        <f>"INV 8027 / UNIT 1670"</f>
        <v>INV 8027 / UNIT 1670</v>
      </c>
      <c r="H277">
        <v>870.32</v>
      </c>
      <c r="I277" t="str">
        <f>"INV 8027 / UNIT 1670"</f>
        <v>INV 8027 / UNIT 1670</v>
      </c>
    </row>
    <row r="278" spans="1:9" x14ac:dyDescent="0.3">
      <c r="A278" t="str">
        <f>""</f>
        <v/>
      </c>
      <c r="F278" t="str">
        <f>"8036"</f>
        <v>8036</v>
      </c>
      <c r="G278" t="str">
        <f>"INV 8036 / UNIT 0417"</f>
        <v>INV 8036 / UNIT 0417</v>
      </c>
      <c r="H278">
        <v>190.5</v>
      </c>
      <c r="I278" t="str">
        <f>"INV 8036 / UNIT 0417"</f>
        <v>INV 8036 / UNIT 0417</v>
      </c>
    </row>
    <row r="279" spans="1:9" x14ac:dyDescent="0.3">
      <c r="A279" t="str">
        <f>""</f>
        <v/>
      </c>
      <c r="F279" t="str">
        <f>"8071"</f>
        <v>8071</v>
      </c>
      <c r="G279" t="str">
        <f>"INV 8071 / UNIT 0123"</f>
        <v>INV 8071 / UNIT 0123</v>
      </c>
      <c r="H279">
        <v>628.79999999999995</v>
      </c>
      <c r="I279" t="str">
        <f>"INV 8071 / UNIT 0123"</f>
        <v>INV 8071 / UNIT 0123</v>
      </c>
    </row>
    <row r="280" spans="1:9" x14ac:dyDescent="0.3">
      <c r="A280" t="str">
        <f>""</f>
        <v/>
      </c>
      <c r="F280" t="str">
        <f>"8103"</f>
        <v>8103</v>
      </c>
      <c r="G280" t="str">
        <f>"INV 8103 / UNIT 1670"</f>
        <v>INV 8103 / UNIT 1670</v>
      </c>
      <c r="H280">
        <v>314.79000000000002</v>
      </c>
      <c r="I280" t="str">
        <f>"INV 8103 / UNIT 1670"</f>
        <v>INV 8103 / UNIT 1670</v>
      </c>
    </row>
    <row r="281" spans="1:9" x14ac:dyDescent="0.3">
      <c r="A281" t="str">
        <f>""</f>
        <v/>
      </c>
      <c r="F281" t="str">
        <f>"VEH MAINT-SHERIFF"</f>
        <v>VEH MAINT-SHERIFF</v>
      </c>
      <c r="G281" t="str">
        <f>"INV 7981/ UNIT 0117"</f>
        <v>INV 7981/ UNIT 0117</v>
      </c>
      <c r="H281">
        <v>802.01</v>
      </c>
      <c r="I281" t="str">
        <f>"INV 7981/ UNIT 0117"</f>
        <v>INV 7981/ UNIT 0117</v>
      </c>
    </row>
    <row r="282" spans="1:9" x14ac:dyDescent="0.3">
      <c r="A282" t="str">
        <f>""</f>
        <v/>
      </c>
      <c r="F282" t="str">
        <f>""</f>
        <v/>
      </c>
      <c r="G282" t="str">
        <f>""</f>
        <v/>
      </c>
      <c r="I282" t="str">
        <f>"INV 7992 / UNIT 1667"</f>
        <v>INV 7992 / UNIT 1667</v>
      </c>
    </row>
    <row r="283" spans="1:9" x14ac:dyDescent="0.3">
      <c r="A283" t="str">
        <f>""</f>
        <v/>
      </c>
      <c r="F283" t="str">
        <f>""</f>
        <v/>
      </c>
      <c r="G283" t="str">
        <f>""</f>
        <v/>
      </c>
      <c r="I283" t="str">
        <f>"INV 8003 / UNIT 4717"</f>
        <v>INV 8003 / UNIT 4717</v>
      </c>
    </row>
    <row r="284" spans="1:9" x14ac:dyDescent="0.3">
      <c r="A284" t="str">
        <f>""</f>
        <v/>
      </c>
      <c r="F284" t="str">
        <f>""</f>
        <v/>
      </c>
      <c r="G284" t="str">
        <f>""</f>
        <v/>
      </c>
      <c r="I284" t="str">
        <f>"UNV 8010 /UNIT 122"</f>
        <v>UNV 8010 /UNIT 122</v>
      </c>
    </row>
    <row r="285" spans="1:9" x14ac:dyDescent="0.3">
      <c r="A285" t="str">
        <f>""</f>
        <v/>
      </c>
      <c r="F285" t="str">
        <f>""</f>
        <v/>
      </c>
      <c r="G285" t="str">
        <f>""</f>
        <v/>
      </c>
      <c r="I285" t="str">
        <f>"INV 8015 / UNIT 5273"</f>
        <v>INV 8015 / UNIT 5273</v>
      </c>
    </row>
    <row r="286" spans="1:9" x14ac:dyDescent="0.3">
      <c r="A286" t="str">
        <f>""</f>
        <v/>
      </c>
      <c r="F286" t="str">
        <f>""</f>
        <v/>
      </c>
      <c r="G286" t="str">
        <f>""</f>
        <v/>
      </c>
      <c r="I286" t="str">
        <f>"INV 8016 / UNIT 6523"</f>
        <v>INV 8016 / UNIT 6523</v>
      </c>
    </row>
    <row r="287" spans="1:9" x14ac:dyDescent="0.3">
      <c r="A287" t="str">
        <f>""</f>
        <v/>
      </c>
      <c r="F287" t="str">
        <f>""</f>
        <v/>
      </c>
      <c r="G287" t="str">
        <f>""</f>
        <v/>
      </c>
      <c r="I287" t="str">
        <f>"INV 8017 / UNIT 0311"</f>
        <v>INV 8017 / UNIT 0311</v>
      </c>
    </row>
    <row r="288" spans="1:9" x14ac:dyDescent="0.3">
      <c r="A288" t="str">
        <f>""</f>
        <v/>
      </c>
      <c r="F288" t="str">
        <f>""</f>
        <v/>
      </c>
      <c r="G288" t="str">
        <f>""</f>
        <v/>
      </c>
      <c r="I288" t="str">
        <f>"INV 8029 / UNIT 1670"</f>
        <v>INV 8029 / UNIT 1670</v>
      </c>
    </row>
    <row r="289" spans="1:9" x14ac:dyDescent="0.3">
      <c r="A289" t="str">
        <f>""</f>
        <v/>
      </c>
      <c r="F289" t="str">
        <f>""</f>
        <v/>
      </c>
      <c r="G289" t="str">
        <f>""</f>
        <v/>
      </c>
      <c r="I289" t="str">
        <f>"INV 8039 / UNIT 8944"</f>
        <v>INV 8039 / UNIT 8944</v>
      </c>
    </row>
    <row r="290" spans="1:9" x14ac:dyDescent="0.3">
      <c r="A290" t="str">
        <f>""</f>
        <v/>
      </c>
      <c r="F290" t="str">
        <f>""</f>
        <v/>
      </c>
      <c r="G290" t="str">
        <f>""</f>
        <v/>
      </c>
      <c r="I290" t="str">
        <f>"INV 8044 / UNIT 4362"</f>
        <v>INV 8044 / UNIT 4362</v>
      </c>
    </row>
    <row r="291" spans="1:9" x14ac:dyDescent="0.3">
      <c r="A291" t="str">
        <f>""</f>
        <v/>
      </c>
      <c r="F291" t="str">
        <f>""</f>
        <v/>
      </c>
      <c r="G291" t="str">
        <f>""</f>
        <v/>
      </c>
      <c r="I291" t="str">
        <f>"INV 8049 / UNIT 1671"</f>
        <v>INV 8049 / UNIT 1671</v>
      </c>
    </row>
    <row r="292" spans="1:9" x14ac:dyDescent="0.3">
      <c r="A292" t="str">
        <f>""</f>
        <v/>
      </c>
      <c r="F292" t="str">
        <f>""</f>
        <v/>
      </c>
      <c r="G292" t="str">
        <f>""</f>
        <v/>
      </c>
      <c r="I292" t="str">
        <f>"INV 8051 / UNIT 6492"</f>
        <v>INV 8051 / UNIT 6492</v>
      </c>
    </row>
    <row r="293" spans="1:9" x14ac:dyDescent="0.3">
      <c r="A293" t="str">
        <f>""</f>
        <v/>
      </c>
      <c r="F293" t="str">
        <f>""</f>
        <v/>
      </c>
      <c r="G293" t="str">
        <f>""</f>
        <v/>
      </c>
      <c r="I293" t="str">
        <f>"INV 8065 / UNIT 6554"</f>
        <v>INV 8065 / UNIT 6554</v>
      </c>
    </row>
    <row r="294" spans="1:9" x14ac:dyDescent="0.3">
      <c r="A294" t="str">
        <f>""</f>
        <v/>
      </c>
      <c r="F294" t="str">
        <f>""</f>
        <v/>
      </c>
      <c r="G294" t="str">
        <f>""</f>
        <v/>
      </c>
      <c r="I294" t="str">
        <f>"INV 8066 / UNIT 4362"</f>
        <v>INV 8066 / UNIT 4362</v>
      </c>
    </row>
    <row r="295" spans="1:9" x14ac:dyDescent="0.3">
      <c r="A295" t="str">
        <f>""</f>
        <v/>
      </c>
      <c r="F295" t="str">
        <f>""</f>
        <v/>
      </c>
      <c r="G295" t="str">
        <f>""</f>
        <v/>
      </c>
      <c r="I295" t="str">
        <f>"INV 8074 / UNIT 1672"</f>
        <v>INV 8074 / UNIT 1672</v>
      </c>
    </row>
    <row r="296" spans="1:9" x14ac:dyDescent="0.3">
      <c r="A296" t="str">
        <f>""</f>
        <v/>
      </c>
      <c r="F296" t="str">
        <f>""</f>
        <v/>
      </c>
      <c r="G296" t="str">
        <f>""</f>
        <v/>
      </c>
      <c r="I296" t="str">
        <f>"INV 8079 / UNIT 8948"</f>
        <v>INV 8079 / UNIT 8948</v>
      </c>
    </row>
    <row r="297" spans="1:9" x14ac:dyDescent="0.3">
      <c r="A297" t="str">
        <f>""</f>
        <v/>
      </c>
      <c r="F297" t="str">
        <f>""</f>
        <v/>
      </c>
      <c r="G297" t="str">
        <f>""</f>
        <v/>
      </c>
      <c r="I297" t="str">
        <f>"INV 8083 / UNIT 9379"</f>
        <v>INV 8083 / UNIT 9379</v>
      </c>
    </row>
    <row r="298" spans="1:9" x14ac:dyDescent="0.3">
      <c r="A298" t="str">
        <f>""</f>
        <v/>
      </c>
      <c r="F298" t="str">
        <f>""</f>
        <v/>
      </c>
      <c r="G298" t="str">
        <f>""</f>
        <v/>
      </c>
      <c r="I298" t="str">
        <f>"INV 8104 / UNIT 1672"</f>
        <v>INV 8104 / UNIT 1672</v>
      </c>
    </row>
    <row r="299" spans="1:9" x14ac:dyDescent="0.3">
      <c r="A299" t="str">
        <f>""</f>
        <v/>
      </c>
      <c r="F299" t="str">
        <f>""</f>
        <v/>
      </c>
      <c r="G299" t="str">
        <f>""</f>
        <v/>
      </c>
      <c r="I299" t="str">
        <f>"INV 8105 / UNIT 1666"</f>
        <v>INV 8105 / UNIT 1666</v>
      </c>
    </row>
    <row r="300" spans="1:9" x14ac:dyDescent="0.3">
      <c r="A300" t="str">
        <f>"005531"</f>
        <v>005531</v>
      </c>
      <c r="B300" t="s">
        <v>83</v>
      </c>
      <c r="C300">
        <v>77058</v>
      </c>
      <c r="D300" s="2">
        <v>9199.8799999999992</v>
      </c>
      <c r="E300" s="1">
        <v>43262</v>
      </c>
      <c r="F300" t="str">
        <f>"186"</f>
        <v>186</v>
      </c>
      <c r="G300" t="str">
        <f>"PROF SVCS"</f>
        <v>PROF SVCS</v>
      </c>
      <c r="H300">
        <v>9199.8799999999992</v>
      </c>
      <c r="I300" t="str">
        <f>"PROF SVCS"</f>
        <v>PROF SVCS</v>
      </c>
    </row>
    <row r="301" spans="1:9" x14ac:dyDescent="0.3">
      <c r="A301" t="str">
        <f>"004069"</f>
        <v>004069</v>
      </c>
      <c r="B301" t="s">
        <v>84</v>
      </c>
      <c r="C301">
        <v>77059</v>
      </c>
      <c r="D301" s="2">
        <v>4086.28</v>
      </c>
      <c r="E301" s="1">
        <v>43262</v>
      </c>
      <c r="F301" t="str">
        <f>"93870"</f>
        <v>93870</v>
      </c>
      <c r="G301" t="str">
        <f>"ACCT#1268/PCT#3"</f>
        <v>ACCT#1268/PCT#3</v>
      </c>
      <c r="H301">
        <v>2786.26</v>
      </c>
      <c r="I301" t="str">
        <f>"ACCT#1268/PCT#3"</f>
        <v>ACCT#1268/PCT#3</v>
      </c>
    </row>
    <row r="302" spans="1:9" x14ac:dyDescent="0.3">
      <c r="A302" t="str">
        <f>""</f>
        <v/>
      </c>
      <c r="F302" t="str">
        <f>"94016"</f>
        <v>94016</v>
      </c>
      <c r="G302" t="str">
        <f>"ACCT#1268/PCT#3"</f>
        <v>ACCT#1268/PCT#3</v>
      </c>
      <c r="H302">
        <v>1300.02</v>
      </c>
      <c r="I302" t="str">
        <f>"ACCT#1268/PCT#3"</f>
        <v>ACCT#1268/PCT#3</v>
      </c>
    </row>
    <row r="303" spans="1:9" x14ac:dyDescent="0.3">
      <c r="A303" t="str">
        <f>"004069"</f>
        <v>004069</v>
      </c>
      <c r="B303" t="s">
        <v>84</v>
      </c>
      <c r="C303">
        <v>77264</v>
      </c>
      <c r="D303" s="2">
        <v>94760.15</v>
      </c>
      <c r="E303" s="1">
        <v>43276</v>
      </c>
      <c r="F303" t="str">
        <f>"94148"</f>
        <v>94148</v>
      </c>
      <c r="G303" t="str">
        <f>"ACCT#1268/1 COMMER/PCT#3"</f>
        <v>ACCT#1268/1 COMMER/PCT#3</v>
      </c>
      <c r="H303">
        <v>43769.82</v>
      </c>
      <c r="I303" t="str">
        <f>"ACCT#1268/1 COMMER/PCT#3"</f>
        <v>ACCT#1268/1 COMMER/PCT#3</v>
      </c>
    </row>
    <row r="304" spans="1:9" x14ac:dyDescent="0.3">
      <c r="A304" t="str">
        <f>""</f>
        <v/>
      </c>
      <c r="F304" t="str">
        <f>"94308"</f>
        <v>94308</v>
      </c>
      <c r="G304" t="str">
        <f>"ACCT#1268/PCT#3"</f>
        <v>ACCT#1268/PCT#3</v>
      </c>
      <c r="H304">
        <v>50990.33</v>
      </c>
      <c r="I304" t="str">
        <f>"ACCT#1268/PCT#3"</f>
        <v>ACCT#1268/PCT#3</v>
      </c>
    </row>
    <row r="305" spans="1:9" x14ac:dyDescent="0.3">
      <c r="A305" t="str">
        <f>"002032"</f>
        <v>002032</v>
      </c>
      <c r="B305" t="s">
        <v>85</v>
      </c>
      <c r="C305">
        <v>77265</v>
      </c>
      <c r="D305" s="2">
        <v>41.94</v>
      </c>
      <c r="E305" s="1">
        <v>43276</v>
      </c>
      <c r="F305" t="str">
        <f>"15862906"</f>
        <v>15862906</v>
      </c>
      <c r="G305" t="str">
        <f>"INV 15862906"</f>
        <v>INV 15862906</v>
      </c>
      <c r="H305">
        <v>41.94</v>
      </c>
      <c r="I305" t="str">
        <f>"INV 15862906"</f>
        <v>INV 15862906</v>
      </c>
    </row>
    <row r="306" spans="1:9" x14ac:dyDescent="0.3">
      <c r="A306" t="str">
        <f>"T9216"</f>
        <v>T9216</v>
      </c>
      <c r="B306" t="s">
        <v>86</v>
      </c>
      <c r="C306">
        <v>77060</v>
      </c>
      <c r="D306" s="2">
        <v>1750</v>
      </c>
      <c r="E306" s="1">
        <v>43262</v>
      </c>
      <c r="F306" t="str">
        <f>"201806051296"</f>
        <v>201806051296</v>
      </c>
      <c r="G306" t="str">
        <f>"56 015  56 016  CC20180422-A"</f>
        <v>56 015  56 016  CC20180422-A</v>
      </c>
      <c r="H306">
        <v>500</v>
      </c>
      <c r="I306" t="str">
        <f>"56 015  56 016  CC20180422-A"</f>
        <v>56 015  56 016  CC20180422-A</v>
      </c>
    </row>
    <row r="307" spans="1:9" x14ac:dyDescent="0.3">
      <c r="A307" t="str">
        <f>""</f>
        <v/>
      </c>
      <c r="F307" t="str">
        <f>"201806061383"</f>
        <v>201806061383</v>
      </c>
      <c r="G307" t="str">
        <f>"55 896"</f>
        <v>55 896</v>
      </c>
      <c r="H307">
        <v>250</v>
      </c>
      <c r="I307" t="str">
        <f>"55 896"</f>
        <v>55 896</v>
      </c>
    </row>
    <row r="308" spans="1:9" x14ac:dyDescent="0.3">
      <c r="A308" t="str">
        <f>""</f>
        <v/>
      </c>
      <c r="F308" t="str">
        <f>"201806061389"</f>
        <v>201806061389</v>
      </c>
      <c r="G308" t="str">
        <f>"53 749"</f>
        <v>53 749</v>
      </c>
      <c r="H308">
        <v>1000</v>
      </c>
      <c r="I308" t="str">
        <f>"53 749"</f>
        <v>53 749</v>
      </c>
    </row>
    <row r="309" spans="1:9" x14ac:dyDescent="0.3">
      <c r="A309" t="str">
        <f>"T9216"</f>
        <v>T9216</v>
      </c>
      <c r="B309" t="s">
        <v>86</v>
      </c>
      <c r="C309">
        <v>77266</v>
      </c>
      <c r="D309" s="2">
        <v>875</v>
      </c>
      <c r="E309" s="1">
        <v>43276</v>
      </c>
      <c r="F309" t="str">
        <f>"201806201702"</f>
        <v>201806201702</v>
      </c>
      <c r="G309" t="str">
        <f>"56 040"</f>
        <v>56 040</v>
      </c>
      <c r="H309">
        <v>250</v>
      </c>
      <c r="I309" t="str">
        <f>"56 040"</f>
        <v>56 040</v>
      </c>
    </row>
    <row r="310" spans="1:9" x14ac:dyDescent="0.3">
      <c r="A310" t="str">
        <f>""</f>
        <v/>
      </c>
      <c r="F310" t="str">
        <f>"201806201703"</f>
        <v>201806201703</v>
      </c>
      <c r="G310" t="str">
        <f>"55 900"</f>
        <v>55 900</v>
      </c>
      <c r="H310">
        <v>250</v>
      </c>
      <c r="I310" t="str">
        <f>"55 900"</f>
        <v>55 900</v>
      </c>
    </row>
    <row r="311" spans="1:9" x14ac:dyDescent="0.3">
      <c r="A311" t="str">
        <f>""</f>
        <v/>
      </c>
      <c r="F311" t="str">
        <f>"201806201704"</f>
        <v>201806201704</v>
      </c>
      <c r="G311" t="str">
        <f>"55 839/JP4-411116-14"</f>
        <v>55 839/JP4-411116-14</v>
      </c>
      <c r="H311">
        <v>375</v>
      </c>
      <c r="I311" t="str">
        <f>"55 839/JP4-411116-14"</f>
        <v>55 839/JP4-411116-14</v>
      </c>
    </row>
    <row r="312" spans="1:9" x14ac:dyDescent="0.3">
      <c r="A312" t="str">
        <f>"005575"</f>
        <v>005575</v>
      </c>
      <c r="B312" t="s">
        <v>87</v>
      </c>
      <c r="C312">
        <v>77061</v>
      </c>
      <c r="D312" s="2">
        <v>231.75</v>
      </c>
      <c r="E312" s="1">
        <v>43262</v>
      </c>
      <c r="F312" t="str">
        <f>"201806061438"</f>
        <v>201806061438</v>
      </c>
      <c r="G312" t="str">
        <f>"INDIGENT HEALTH"</f>
        <v>INDIGENT HEALTH</v>
      </c>
      <c r="H312">
        <v>231.75</v>
      </c>
      <c r="I312" t="str">
        <f>"INDIGENT HEALTH"</f>
        <v>INDIGENT HEALTH</v>
      </c>
    </row>
    <row r="313" spans="1:9" x14ac:dyDescent="0.3">
      <c r="A313" t="str">
        <f>"002356"</f>
        <v>002356</v>
      </c>
      <c r="B313" t="s">
        <v>88</v>
      </c>
      <c r="C313">
        <v>77063</v>
      </c>
      <c r="D313" s="2">
        <v>30</v>
      </c>
      <c r="E313" s="1">
        <v>43262</v>
      </c>
      <c r="F313" t="str">
        <f>"18-19081"</f>
        <v>18-19081</v>
      </c>
      <c r="G313" t="str">
        <f>"CENTRAL ADOPTION REGISTRY FUND"</f>
        <v>CENTRAL ADOPTION REGISTRY FUND</v>
      </c>
      <c r="H313">
        <v>15</v>
      </c>
      <c r="I313" t="str">
        <f>"CENTRAL ADOPTION REGISTRY FUND"</f>
        <v>CENTRAL ADOPTION REGISTRY FUND</v>
      </c>
    </row>
    <row r="314" spans="1:9" x14ac:dyDescent="0.3">
      <c r="A314" t="str">
        <f>""</f>
        <v/>
      </c>
      <c r="F314" t="str">
        <f>"423-5605"</f>
        <v>423-5605</v>
      </c>
      <c r="G314" t="str">
        <f>"CENTRAL ADOPT REG FUND 3/23/18"</f>
        <v>CENTRAL ADOPT REG FUND 3/23/18</v>
      </c>
      <c r="H314">
        <v>15</v>
      </c>
      <c r="I314" t="str">
        <f>"CENTRAL ADOPT REG FUND 3/23/18"</f>
        <v>CENTRAL ADOPT REG FUND 3/23/18</v>
      </c>
    </row>
    <row r="315" spans="1:9" x14ac:dyDescent="0.3">
      <c r="A315" t="str">
        <f>"002356"</f>
        <v>002356</v>
      </c>
      <c r="B315" t="s">
        <v>88</v>
      </c>
      <c r="C315">
        <v>77267</v>
      </c>
      <c r="D315" s="2">
        <v>15</v>
      </c>
      <c r="E315" s="1">
        <v>43276</v>
      </c>
      <c r="F315" t="str">
        <f>"18-19090"</f>
        <v>18-19090</v>
      </c>
      <c r="G315" t="str">
        <f>"CENTRAL ADOPTION REGISTRY FUND"</f>
        <v>CENTRAL ADOPTION REGISTRY FUND</v>
      </c>
      <c r="H315">
        <v>15</v>
      </c>
      <c r="I315" t="str">
        <f>"CENTRAL ADOPTION REGISTRY FUND"</f>
        <v>CENTRAL ADOPTION REGISTRY FUND</v>
      </c>
    </row>
    <row r="316" spans="1:9" x14ac:dyDescent="0.3">
      <c r="A316" t="str">
        <f>"CGS"</f>
        <v>CGS</v>
      </c>
      <c r="B316" t="s">
        <v>89</v>
      </c>
      <c r="C316">
        <v>77268</v>
      </c>
      <c r="D316" s="2">
        <v>265.41000000000003</v>
      </c>
      <c r="E316" s="1">
        <v>43276</v>
      </c>
      <c r="F316" t="str">
        <f>"CGS02005155"</f>
        <v>CGS02005155</v>
      </c>
      <c r="G316" t="str">
        <f>"INV CGS02005155"</f>
        <v>INV CGS02005155</v>
      </c>
      <c r="H316">
        <v>265.41000000000003</v>
      </c>
      <c r="I316" t="str">
        <f>"INV CGS02005155"</f>
        <v>INV CGS02005155</v>
      </c>
    </row>
    <row r="317" spans="1:9" x14ac:dyDescent="0.3">
      <c r="A317" t="str">
        <f>"CPC"</f>
        <v>CPC</v>
      </c>
      <c r="B317" t="s">
        <v>90</v>
      </c>
      <c r="C317">
        <v>77064</v>
      </c>
      <c r="D317" s="2">
        <v>439.18</v>
      </c>
      <c r="E317" s="1">
        <v>43262</v>
      </c>
      <c r="F317" t="str">
        <f>"0351342-IN"</f>
        <v>0351342-IN</v>
      </c>
      <c r="G317" t="str">
        <f>"CUST#7860203/ANIMAL CONTROL"</f>
        <v>CUST#7860203/ANIMAL CONTROL</v>
      </c>
      <c r="H317">
        <v>439.18</v>
      </c>
      <c r="I317" t="str">
        <f>"CUST#7860203/ANIMAL CONTROL"</f>
        <v>CUST#7860203/ANIMAL CONTROL</v>
      </c>
    </row>
    <row r="318" spans="1:9" x14ac:dyDescent="0.3">
      <c r="A318" t="str">
        <f>"T9925"</f>
        <v>T9925</v>
      </c>
      <c r="B318" t="s">
        <v>91</v>
      </c>
      <c r="C318">
        <v>77269</v>
      </c>
      <c r="D318" s="2">
        <v>45</v>
      </c>
      <c r="E318" s="1">
        <v>43276</v>
      </c>
      <c r="F318" t="str">
        <f>"201806141602"</f>
        <v>201806141602</v>
      </c>
      <c r="G318" t="str">
        <f>"2018 MEMBERSHIP DUES"</f>
        <v>2018 MEMBERSHIP DUES</v>
      </c>
      <c r="H318">
        <v>45</v>
      </c>
      <c r="I318" t="str">
        <f>"2018 MEMBERSHIP DUES"</f>
        <v>2018 MEMBERSHIP DUES</v>
      </c>
    </row>
    <row r="319" spans="1:9" x14ac:dyDescent="0.3">
      <c r="A319" t="str">
        <f>"CBOA"</f>
        <v>CBOA</v>
      </c>
      <c r="B319" t="s">
        <v>92</v>
      </c>
      <c r="C319">
        <v>999999</v>
      </c>
      <c r="D319" s="2">
        <v>170.11</v>
      </c>
      <c r="E319" s="1">
        <v>43277</v>
      </c>
      <c r="F319" t="str">
        <f>"1616006"</f>
        <v>1616006</v>
      </c>
      <c r="G319" t="str">
        <f>"ACCT#000690/ORD#01366916/PCT#2"</f>
        <v>ACCT#000690/ORD#01366916/PCT#2</v>
      </c>
      <c r="H319">
        <v>128.38</v>
      </c>
      <c r="I319" t="str">
        <f>"ACCT#000690/ORD#01366916/PCT#2"</f>
        <v>ACCT#000690/ORD#01366916/PCT#2</v>
      </c>
    </row>
    <row r="320" spans="1:9" x14ac:dyDescent="0.3">
      <c r="A320" t="str">
        <f>""</f>
        <v/>
      </c>
      <c r="F320" t="str">
        <f>"1616409"</f>
        <v>1616409</v>
      </c>
      <c r="G320" t="str">
        <f>"ACCT#000690/ORD#01367408"</f>
        <v>ACCT#000690/ORD#01367408</v>
      </c>
      <c r="H320">
        <v>41.73</v>
      </c>
      <c r="I320" t="str">
        <f>"ACCT#000690/ORD#01367408"</f>
        <v>ACCT#000690/ORD#01367408</v>
      </c>
    </row>
    <row r="321" spans="1:9" x14ac:dyDescent="0.3">
      <c r="A321" t="str">
        <f>"002726"</f>
        <v>002726</v>
      </c>
      <c r="B321" t="s">
        <v>93</v>
      </c>
      <c r="C321">
        <v>0</v>
      </c>
      <c r="D321" s="2">
        <v>6792.44</v>
      </c>
      <c r="E321" s="1">
        <v>43262</v>
      </c>
      <c r="F321" t="str">
        <f>"ACCOUNT#0058/PURCH"</f>
        <v>ACCOUNT#0058/PURCH</v>
      </c>
      <c r="G321" t="str">
        <f>"Acct# 0058"</f>
        <v>Acct# 0058</v>
      </c>
      <c r="H321">
        <v>6792.44</v>
      </c>
      <c r="I321" t="str">
        <f>"Problem Solver"</f>
        <v>Problem Solver</v>
      </c>
    </row>
    <row r="322" spans="1:9" x14ac:dyDescent="0.3">
      <c r="A322" t="str">
        <f>""</f>
        <v/>
      </c>
      <c r="F322" t="str">
        <f>""</f>
        <v/>
      </c>
      <c r="G322" t="str">
        <f>""</f>
        <v/>
      </c>
      <c r="I322" t="str">
        <f>"Lowe's"</f>
        <v>Lowe's</v>
      </c>
    </row>
    <row r="323" spans="1:9" x14ac:dyDescent="0.3">
      <c r="A323" t="str">
        <f>""</f>
        <v/>
      </c>
      <c r="F323" t="str">
        <f>""</f>
        <v/>
      </c>
      <c r="G323" t="str">
        <f>""</f>
        <v/>
      </c>
      <c r="I323" t="str">
        <f>"Comfort Inn"</f>
        <v>Comfort Inn</v>
      </c>
    </row>
    <row r="324" spans="1:9" x14ac:dyDescent="0.3">
      <c r="A324" t="str">
        <f>""</f>
        <v/>
      </c>
      <c r="F324" t="str">
        <f>""</f>
        <v/>
      </c>
      <c r="G324" t="str">
        <f>""</f>
        <v/>
      </c>
      <c r="I324" t="str">
        <f>"WEB EX"</f>
        <v>WEB EX</v>
      </c>
    </row>
    <row r="325" spans="1:9" x14ac:dyDescent="0.3">
      <c r="A325" t="str">
        <f>""</f>
        <v/>
      </c>
      <c r="F325" t="str">
        <f>""</f>
        <v/>
      </c>
      <c r="G325" t="str">
        <f>""</f>
        <v/>
      </c>
      <c r="I325" t="str">
        <f>"Web Ex"</f>
        <v>Web Ex</v>
      </c>
    </row>
    <row r="326" spans="1:9" x14ac:dyDescent="0.3">
      <c r="A326" t="str">
        <f>""</f>
        <v/>
      </c>
      <c r="F326" t="str">
        <f>""</f>
        <v/>
      </c>
      <c r="G326" t="str">
        <f>""</f>
        <v/>
      </c>
      <c r="I326" t="str">
        <f>"Web Ex"</f>
        <v>Web Ex</v>
      </c>
    </row>
    <row r="327" spans="1:9" x14ac:dyDescent="0.3">
      <c r="A327" t="str">
        <f>""</f>
        <v/>
      </c>
      <c r="F327" t="str">
        <f>""</f>
        <v/>
      </c>
      <c r="G327" t="str">
        <f>""</f>
        <v/>
      </c>
      <c r="I327" t="str">
        <f>"Go Daddy"</f>
        <v>Go Daddy</v>
      </c>
    </row>
    <row r="328" spans="1:9" x14ac:dyDescent="0.3">
      <c r="A328" t="str">
        <f>""</f>
        <v/>
      </c>
      <c r="F328" t="str">
        <f>""</f>
        <v/>
      </c>
      <c r="G328" t="str">
        <f>""</f>
        <v/>
      </c>
      <c r="I328" t="str">
        <f>"Vista Print"</f>
        <v>Vista Print</v>
      </c>
    </row>
    <row r="329" spans="1:9" x14ac:dyDescent="0.3">
      <c r="A329" t="str">
        <f>""</f>
        <v/>
      </c>
      <c r="F329" t="str">
        <f>""</f>
        <v/>
      </c>
      <c r="G329" t="str">
        <f>""</f>
        <v/>
      </c>
      <c r="I329" t="str">
        <f>"Nepelra"</f>
        <v>Nepelra</v>
      </c>
    </row>
    <row r="330" spans="1:9" x14ac:dyDescent="0.3">
      <c r="A330" t="str">
        <f>""</f>
        <v/>
      </c>
      <c r="F330" t="str">
        <f>""</f>
        <v/>
      </c>
      <c r="G330" t="str">
        <f>""</f>
        <v/>
      </c>
      <c r="I330" t="str">
        <f>"Neperla"</f>
        <v>Neperla</v>
      </c>
    </row>
    <row r="331" spans="1:9" x14ac:dyDescent="0.3">
      <c r="A331" t="str">
        <f>""</f>
        <v/>
      </c>
      <c r="F331" t="str">
        <f>""</f>
        <v/>
      </c>
      <c r="G331" t="str">
        <f>""</f>
        <v/>
      </c>
      <c r="I331" t="str">
        <f>"All Star"</f>
        <v>All Star</v>
      </c>
    </row>
    <row r="332" spans="1:9" x14ac:dyDescent="0.3">
      <c r="A332" t="str">
        <f>""</f>
        <v/>
      </c>
      <c r="F332" t="str">
        <f>""</f>
        <v/>
      </c>
      <c r="G332" t="str">
        <f>""</f>
        <v/>
      </c>
      <c r="I332" t="str">
        <f>"Comfort Inn"</f>
        <v>Comfort Inn</v>
      </c>
    </row>
    <row r="333" spans="1:9" x14ac:dyDescent="0.3">
      <c r="A333" t="str">
        <f>""</f>
        <v/>
      </c>
      <c r="F333" t="str">
        <f>""</f>
        <v/>
      </c>
      <c r="G333" t="str">
        <f>""</f>
        <v/>
      </c>
      <c r="I333" t="str">
        <f>"Tex Dept"</f>
        <v>Tex Dept</v>
      </c>
    </row>
    <row r="334" spans="1:9" x14ac:dyDescent="0.3">
      <c r="A334" t="str">
        <f>""</f>
        <v/>
      </c>
      <c r="F334" t="str">
        <f>""</f>
        <v/>
      </c>
      <c r="G334" t="str">
        <f>""</f>
        <v/>
      </c>
      <c r="I334" t="str">
        <f>"Erika Dejesus"</f>
        <v>Erika Dejesus</v>
      </c>
    </row>
    <row r="335" spans="1:9" x14ac:dyDescent="0.3">
      <c r="A335" t="str">
        <f>""</f>
        <v/>
      </c>
      <c r="F335" t="str">
        <f>""</f>
        <v/>
      </c>
      <c r="G335" t="str">
        <f>""</f>
        <v/>
      </c>
      <c r="I335" t="str">
        <f>"Rosanna Garza"</f>
        <v>Rosanna Garza</v>
      </c>
    </row>
    <row r="336" spans="1:9" x14ac:dyDescent="0.3">
      <c r="A336" t="str">
        <f>""</f>
        <v/>
      </c>
      <c r="F336" t="str">
        <f>""</f>
        <v/>
      </c>
      <c r="G336" t="str">
        <f>""</f>
        <v/>
      </c>
      <c r="I336" t="str">
        <f>"Robert bennet"</f>
        <v>Robert bennet</v>
      </c>
    </row>
    <row r="337" spans="1:9" x14ac:dyDescent="0.3">
      <c r="A337" t="str">
        <f>""</f>
        <v/>
      </c>
      <c r="F337" t="str">
        <f>""</f>
        <v/>
      </c>
      <c r="G337" t="str">
        <f>""</f>
        <v/>
      </c>
      <c r="I337" t="str">
        <f>"Annette Murley"</f>
        <v>Annette Murley</v>
      </c>
    </row>
    <row r="338" spans="1:9" x14ac:dyDescent="0.3">
      <c r="A338" t="str">
        <f>""</f>
        <v/>
      </c>
      <c r="F338" t="str">
        <f>""</f>
        <v/>
      </c>
      <c r="G338" t="str">
        <f>""</f>
        <v/>
      </c>
      <c r="I338" t="str">
        <f>"Kenneth Leatherwood"</f>
        <v>Kenneth Leatherwood</v>
      </c>
    </row>
    <row r="339" spans="1:9" x14ac:dyDescent="0.3">
      <c r="A339" t="str">
        <f>""</f>
        <v/>
      </c>
      <c r="F339" t="str">
        <f>""</f>
        <v/>
      </c>
      <c r="G339" t="str">
        <f>""</f>
        <v/>
      </c>
      <c r="I339" t="str">
        <f>"Display USA"</f>
        <v>Display USA</v>
      </c>
    </row>
    <row r="340" spans="1:9" x14ac:dyDescent="0.3">
      <c r="A340" t="str">
        <f>""</f>
        <v/>
      </c>
      <c r="F340" t="str">
        <f>""</f>
        <v/>
      </c>
      <c r="G340" t="str">
        <f>""</f>
        <v/>
      </c>
      <c r="I340" t="str">
        <f>"TCEQ"</f>
        <v>TCEQ</v>
      </c>
    </row>
    <row r="341" spans="1:9" x14ac:dyDescent="0.3">
      <c r="A341" t="str">
        <f>""</f>
        <v/>
      </c>
      <c r="F341" t="str">
        <f>""</f>
        <v/>
      </c>
      <c r="G341" t="str">
        <f>""</f>
        <v/>
      </c>
      <c r="I341" t="str">
        <f>"WinPump"</f>
        <v>WinPump</v>
      </c>
    </row>
    <row r="342" spans="1:9" x14ac:dyDescent="0.3">
      <c r="A342" t="str">
        <f>""</f>
        <v/>
      </c>
      <c r="F342" t="str">
        <f>""</f>
        <v/>
      </c>
      <c r="G342" t="str">
        <f>""</f>
        <v/>
      </c>
      <c r="I342" t="str">
        <f>"Harbor Freight"</f>
        <v>Harbor Freight</v>
      </c>
    </row>
    <row r="343" spans="1:9" x14ac:dyDescent="0.3">
      <c r="A343" t="str">
        <f>""</f>
        <v/>
      </c>
      <c r="F343" t="str">
        <f>""</f>
        <v/>
      </c>
      <c r="G343" t="str">
        <f>""</f>
        <v/>
      </c>
      <c r="I343" t="str">
        <f>"Sears"</f>
        <v>Sears</v>
      </c>
    </row>
    <row r="344" spans="1:9" x14ac:dyDescent="0.3">
      <c r="A344" t="str">
        <f>""</f>
        <v/>
      </c>
      <c r="F344" t="str">
        <f>""</f>
        <v/>
      </c>
      <c r="G344" t="str">
        <f>""</f>
        <v/>
      </c>
      <c r="I344" t="str">
        <f>"Harbor Freight"</f>
        <v>Harbor Freight</v>
      </c>
    </row>
    <row r="345" spans="1:9" x14ac:dyDescent="0.3">
      <c r="A345" t="str">
        <f>"CARD"</f>
        <v>CARD</v>
      </c>
      <c r="B345" t="s">
        <v>93</v>
      </c>
      <c r="C345">
        <v>0</v>
      </c>
      <c r="D345" s="2">
        <v>1112.6300000000001</v>
      </c>
      <c r="E345" s="1">
        <v>43262</v>
      </c>
      <c r="F345" t="str">
        <f>"STATEMENT-0574"</f>
        <v>STATEMENT-0574</v>
      </c>
      <c r="G345" t="str">
        <f>"STATEMENT 0574"</f>
        <v>STATEMENT 0574</v>
      </c>
      <c r="H345">
        <v>1112.6300000000001</v>
      </c>
      <c r="I345" t="str">
        <f>"QUALITY INN"</f>
        <v>QUALITY INN</v>
      </c>
    </row>
    <row r="346" spans="1:9" x14ac:dyDescent="0.3">
      <c r="A346" t="str">
        <f>""</f>
        <v/>
      </c>
      <c r="F346" t="str">
        <f>""</f>
        <v/>
      </c>
      <c r="G346" t="str">
        <f>""</f>
        <v/>
      </c>
      <c r="I346" t="str">
        <f>"BEST BUY"</f>
        <v>BEST BUY</v>
      </c>
    </row>
    <row r="347" spans="1:9" x14ac:dyDescent="0.3">
      <c r="A347" t="str">
        <f>""</f>
        <v/>
      </c>
      <c r="F347" t="str">
        <f>""</f>
        <v/>
      </c>
      <c r="G347" t="str">
        <f>""</f>
        <v/>
      </c>
      <c r="I347" t="str">
        <f>"STAPLES"</f>
        <v>STAPLES</v>
      </c>
    </row>
    <row r="348" spans="1:9" x14ac:dyDescent="0.3">
      <c r="A348" t="str">
        <f>""</f>
        <v/>
      </c>
      <c r="F348" t="str">
        <f>""</f>
        <v/>
      </c>
      <c r="G348" t="str">
        <f>""</f>
        <v/>
      </c>
      <c r="I348" t="str">
        <f>"STAPLES"</f>
        <v>STAPLES</v>
      </c>
    </row>
    <row r="349" spans="1:9" x14ac:dyDescent="0.3">
      <c r="A349" t="str">
        <f>""</f>
        <v/>
      </c>
      <c r="F349" t="str">
        <f>""</f>
        <v/>
      </c>
      <c r="G349" t="str">
        <f>""</f>
        <v/>
      </c>
      <c r="I349" t="str">
        <f>"SUPERCIRCUITS"</f>
        <v>SUPERCIRCUITS</v>
      </c>
    </row>
    <row r="350" spans="1:9" x14ac:dyDescent="0.3">
      <c r="A350" t="str">
        <f>""</f>
        <v/>
      </c>
      <c r="F350" t="str">
        <f>""</f>
        <v/>
      </c>
      <c r="G350" t="str">
        <f>""</f>
        <v/>
      </c>
      <c r="I350" t="str">
        <f>"COMFORT SUITES"</f>
        <v>COMFORT SUITES</v>
      </c>
    </row>
    <row r="351" spans="1:9" x14ac:dyDescent="0.3">
      <c r="A351" t="str">
        <f>""</f>
        <v/>
      </c>
      <c r="F351" t="str">
        <f>""</f>
        <v/>
      </c>
      <c r="G351" t="str">
        <f>""</f>
        <v/>
      </c>
      <c r="I351" t="str">
        <f>"USPS"</f>
        <v>USPS</v>
      </c>
    </row>
    <row r="352" spans="1:9" x14ac:dyDescent="0.3">
      <c r="A352" t="str">
        <f>""</f>
        <v/>
      </c>
      <c r="F352" t="str">
        <f>""</f>
        <v/>
      </c>
      <c r="G352" t="str">
        <f>""</f>
        <v/>
      </c>
      <c r="I352" t="str">
        <f>"USPS"</f>
        <v>USPS</v>
      </c>
    </row>
    <row r="353" spans="1:9" x14ac:dyDescent="0.3">
      <c r="A353" t="str">
        <f>""</f>
        <v/>
      </c>
      <c r="F353" t="str">
        <f>""</f>
        <v/>
      </c>
      <c r="G353" t="str">
        <f>""</f>
        <v/>
      </c>
      <c r="I353" t="str">
        <f>"MASTER LOCK - SENTRY"</f>
        <v>MASTER LOCK - SENTRY</v>
      </c>
    </row>
    <row r="354" spans="1:9" x14ac:dyDescent="0.3">
      <c r="A354" t="str">
        <f>"CRR"</f>
        <v>CRR</v>
      </c>
      <c r="B354" t="s">
        <v>94</v>
      </c>
      <c r="C354">
        <v>77065</v>
      </c>
      <c r="D354" s="2">
        <v>9587.5</v>
      </c>
      <c r="E354" s="1">
        <v>43262</v>
      </c>
      <c r="F354" t="str">
        <f>"201806071453"</f>
        <v>201806071453</v>
      </c>
      <c r="G354" t="str">
        <f>"15 914"</f>
        <v>15 914</v>
      </c>
      <c r="H354">
        <v>9587.5</v>
      </c>
      <c r="I354" t="str">
        <f>"15 914"</f>
        <v>15 914</v>
      </c>
    </row>
    <row r="355" spans="1:9" x14ac:dyDescent="0.3">
      <c r="A355" t="str">
        <f>"CTMF"</f>
        <v>CTMF</v>
      </c>
      <c r="B355" t="s">
        <v>95</v>
      </c>
      <c r="C355">
        <v>999999</v>
      </c>
      <c r="D355" s="2">
        <v>185</v>
      </c>
      <c r="E355" s="1">
        <v>43263</v>
      </c>
      <c r="F355" t="str">
        <f>"12238"</f>
        <v>12238</v>
      </c>
      <c r="G355" t="str">
        <f>"PARTS/PCT#2"</f>
        <v>PARTS/PCT#2</v>
      </c>
      <c r="H355">
        <v>140</v>
      </c>
      <c r="I355" t="str">
        <f>"PARTS/PCT#2"</f>
        <v>PARTS/PCT#2</v>
      </c>
    </row>
    <row r="356" spans="1:9" x14ac:dyDescent="0.3">
      <c r="A356" t="str">
        <f>""</f>
        <v/>
      </c>
      <c r="F356" t="str">
        <f>"12281"</f>
        <v>12281</v>
      </c>
      <c r="G356" t="str">
        <f>"PARTS/PCT#2"</f>
        <v>PARTS/PCT#2</v>
      </c>
      <c r="H356">
        <v>45</v>
      </c>
      <c r="I356" t="str">
        <f>"PARTS/PCT#2"</f>
        <v>PARTS/PCT#2</v>
      </c>
    </row>
    <row r="357" spans="1:9" x14ac:dyDescent="0.3">
      <c r="A357" t="str">
        <f>"CTMF"</f>
        <v>CTMF</v>
      </c>
      <c r="B357" t="s">
        <v>95</v>
      </c>
      <c r="C357">
        <v>999999</v>
      </c>
      <c r="D357" s="2">
        <v>33</v>
      </c>
      <c r="E357" s="1">
        <v>43277</v>
      </c>
      <c r="F357" t="str">
        <f>"12305"</f>
        <v>12305</v>
      </c>
      <c r="G357" t="str">
        <f>"PARTS/PCT#3"</f>
        <v>PARTS/PCT#3</v>
      </c>
      <c r="H357">
        <v>33</v>
      </c>
      <c r="I357" t="str">
        <f>"PARTS/PCT#3"</f>
        <v>PARTS/PCT#3</v>
      </c>
    </row>
    <row r="358" spans="1:9" x14ac:dyDescent="0.3">
      <c r="A358" t="str">
        <f>"CENTEX"</f>
        <v>CENTEX</v>
      </c>
      <c r="B358" t="s">
        <v>96</v>
      </c>
      <c r="C358">
        <v>77066</v>
      </c>
      <c r="D358" s="2">
        <v>10515.9</v>
      </c>
      <c r="E358" s="1">
        <v>43262</v>
      </c>
      <c r="F358" t="str">
        <f>"30125984"</f>
        <v>30125984</v>
      </c>
      <c r="G358" t="str">
        <f>"CUST#BASPCT1/ORD#37-19558/PCT1"</f>
        <v>CUST#BASPCT1/ORD#37-19558/PCT1</v>
      </c>
      <c r="H358">
        <v>413.17</v>
      </c>
      <c r="I358" t="str">
        <f>"CUST#BASPCT1/ORD#37-19558/PCT1"</f>
        <v>CUST#BASPCT1/ORD#37-19558/PCT1</v>
      </c>
    </row>
    <row r="359" spans="1:9" x14ac:dyDescent="0.3">
      <c r="A359" t="str">
        <f>""</f>
        <v/>
      </c>
      <c r="F359" t="str">
        <f>"30126092"</f>
        <v>30126092</v>
      </c>
      <c r="G359" t="str">
        <f>"ORD#37-18894/CUST#BASPCT2/PCT2"</f>
        <v>ORD#37-18894/CUST#BASPCT2/PCT2</v>
      </c>
      <c r="H359">
        <v>4144.5600000000004</v>
      </c>
      <c r="I359" t="str">
        <f>"ORD#37-18894/CUST#BASPCT2/PCT2"</f>
        <v>ORD#37-18894/CUST#BASPCT2/PCT2</v>
      </c>
    </row>
    <row r="360" spans="1:9" x14ac:dyDescent="0.3">
      <c r="A360" t="str">
        <f>""</f>
        <v/>
      </c>
      <c r="F360" t="str">
        <f>"30126106"</f>
        <v>30126106</v>
      </c>
      <c r="G360" t="str">
        <f>"CUST#BASPCT1/ORD#37-19558/PCT1"</f>
        <v>CUST#BASPCT1/ORD#37-19558/PCT1</v>
      </c>
      <c r="H360">
        <v>411.08</v>
      </c>
      <c r="I360" t="str">
        <f>"CUST#BASPCT1/ORD#37-19558/PCT1"</f>
        <v>CUST#BASPCT1/ORD#37-19558/PCT1</v>
      </c>
    </row>
    <row r="361" spans="1:9" x14ac:dyDescent="0.3">
      <c r="A361" t="str">
        <f>""</f>
        <v/>
      </c>
      <c r="F361" t="str">
        <f>"30126107"</f>
        <v>30126107</v>
      </c>
      <c r="G361" t="str">
        <f>"CUST#BASPCT4/ORD#37-19552/PCT4"</f>
        <v>CUST#BASPCT4/ORD#37-19552/PCT4</v>
      </c>
      <c r="H361">
        <v>815.86</v>
      </c>
      <c r="I361" t="str">
        <f>"CUST#BASPCT4/ORD#37-19552/PCT4"</f>
        <v>CUST#BASPCT4/ORD#37-19552/PCT4</v>
      </c>
    </row>
    <row r="362" spans="1:9" x14ac:dyDescent="0.3">
      <c r="A362" t="str">
        <f>""</f>
        <v/>
      </c>
      <c r="F362" t="str">
        <f>"30126145"</f>
        <v>30126145</v>
      </c>
      <c r="G362" t="str">
        <f>"CUST#BASPCT4/ORD#37-19552/PCT4"</f>
        <v>CUST#BASPCT4/ORD#37-19552/PCT4</v>
      </c>
      <c r="H362">
        <v>1848.09</v>
      </c>
      <c r="I362" t="str">
        <f>"CUST#BASPCT4/ORD#37-19552/PCT4"</f>
        <v>CUST#BASPCT4/ORD#37-19552/PCT4</v>
      </c>
    </row>
    <row r="363" spans="1:9" x14ac:dyDescent="0.3">
      <c r="A363" t="str">
        <f>""</f>
        <v/>
      </c>
      <c r="F363" t="str">
        <f>"30126176"</f>
        <v>30126176</v>
      </c>
      <c r="G363" t="str">
        <f>"CUST#BASPCT1/ORD#37-19558/PCT1"</f>
        <v>CUST#BASPCT1/ORD#37-19558/PCT1</v>
      </c>
      <c r="H363">
        <v>413.87</v>
      </c>
      <c r="I363" t="str">
        <f>"CUST#BASPCT1/ORD#37-19558/PCT1"</f>
        <v>CUST#BASPCT1/ORD#37-19558/PCT1</v>
      </c>
    </row>
    <row r="364" spans="1:9" x14ac:dyDescent="0.3">
      <c r="A364" t="str">
        <f>""</f>
        <v/>
      </c>
      <c r="F364" t="str">
        <f>"30126177"</f>
        <v>30126177</v>
      </c>
      <c r="G364" t="str">
        <f>"CUST#BASPCT4/ORD#37-19552/PCT4"</f>
        <v>CUST#BASPCT4/ORD#37-19552/PCT4</v>
      </c>
      <c r="H364">
        <v>1232.18</v>
      </c>
      <c r="I364" t="str">
        <f>"CUST#BASPCT4/ORD#37-19552/PCT4"</f>
        <v>CUST#BASPCT4/ORD#37-19552/PCT4</v>
      </c>
    </row>
    <row r="365" spans="1:9" x14ac:dyDescent="0.3">
      <c r="A365" t="str">
        <f>""</f>
        <v/>
      </c>
      <c r="F365" t="str">
        <f>"30126225"</f>
        <v>30126225</v>
      </c>
      <c r="G365" t="str">
        <f>"CUST#BASPCT4/ORD#37-19552/PCT4"</f>
        <v>CUST#BASPCT4/ORD#37-19552/PCT4</v>
      </c>
      <c r="H365">
        <v>1237.0899999999999</v>
      </c>
      <c r="I365" t="str">
        <f>"CUST#BASPCT4/ORD#37-19552/PCT4"</f>
        <v>CUST#BASPCT4/ORD#37-19552/PCT4</v>
      </c>
    </row>
    <row r="366" spans="1:9" x14ac:dyDescent="0.3">
      <c r="A366" t="str">
        <f>"CENTEX"</f>
        <v>CENTEX</v>
      </c>
      <c r="B366" t="s">
        <v>96</v>
      </c>
      <c r="C366">
        <v>77270</v>
      </c>
      <c r="D366" s="2">
        <v>11436.18</v>
      </c>
      <c r="E366" s="1">
        <v>43276</v>
      </c>
      <c r="F366" t="str">
        <f>"30126376"</f>
        <v>30126376</v>
      </c>
      <c r="G366" t="str">
        <f>"CUST#BASPCT2/ORD#37-18894/PCT2"</f>
        <v>CUST#BASPCT2/ORD#37-18894/PCT2</v>
      </c>
      <c r="H366">
        <v>2929.71</v>
      </c>
      <c r="I366" t="str">
        <f>"CUST#BASPCT2/ORD#37-18894/PCT2"</f>
        <v>CUST#BASPCT2/ORD#37-18894/PCT2</v>
      </c>
    </row>
    <row r="367" spans="1:9" x14ac:dyDescent="0.3">
      <c r="A367" t="str">
        <f>""</f>
        <v/>
      </c>
      <c r="F367" t="str">
        <f>"30126402"</f>
        <v>30126402</v>
      </c>
      <c r="G367" t="str">
        <f>"CUST#BASPCT2/ORD#37-18894/PCT2"</f>
        <v>CUST#BASPCT2/ORD#37-18894/PCT2</v>
      </c>
      <c r="H367">
        <v>2830.38</v>
      </c>
      <c r="I367" t="str">
        <f>"CUST#BASPCT2/ORD#37-18894/PCT2"</f>
        <v>CUST#BASPCT2/ORD#37-18894/PCT2</v>
      </c>
    </row>
    <row r="368" spans="1:9" x14ac:dyDescent="0.3">
      <c r="A368" t="str">
        <f>""</f>
        <v/>
      </c>
      <c r="F368" t="str">
        <f>"30126436"</f>
        <v>30126436</v>
      </c>
      <c r="G368" t="str">
        <f>"CUST#BASPCT2/ORD#37-18894/PCT2"</f>
        <v>CUST#BASPCT2/ORD#37-18894/PCT2</v>
      </c>
      <c r="H368">
        <v>2834.16</v>
      </c>
      <c r="I368" t="str">
        <f>"CUST#BASPCT2/ORD#37-18894/PCT2"</f>
        <v>CUST#BASPCT2/ORD#37-18894/PCT2</v>
      </c>
    </row>
    <row r="369" spans="1:9" x14ac:dyDescent="0.3">
      <c r="A369" t="str">
        <f>""</f>
        <v/>
      </c>
      <c r="F369" t="str">
        <f>"30126464"</f>
        <v>30126464</v>
      </c>
      <c r="G369" t="str">
        <f>"CUST#BASPCT2/ORD#37-18894/PCT2"</f>
        <v>CUST#BASPCT2/ORD#37-18894/PCT2</v>
      </c>
      <c r="H369">
        <v>2841.93</v>
      </c>
      <c r="I369" t="str">
        <f>"CUST#BASPCT2/ORD#37-18894/PCT2"</f>
        <v>CUST#BASPCT2/ORD#37-18894/PCT2</v>
      </c>
    </row>
    <row r="370" spans="1:9" x14ac:dyDescent="0.3">
      <c r="A370" t="str">
        <f>"003739"</f>
        <v>003739</v>
      </c>
      <c r="B370" t="s">
        <v>97</v>
      </c>
      <c r="C370">
        <v>77271</v>
      </c>
      <c r="D370" s="2">
        <v>220</v>
      </c>
      <c r="E370" s="1">
        <v>43276</v>
      </c>
      <c r="F370" t="str">
        <f>"0000047727"</f>
        <v>0000047727</v>
      </c>
      <c r="G370" t="str">
        <f>"A/C SVCS/OLD JAIL"</f>
        <v>A/C SVCS/OLD JAIL</v>
      </c>
      <c r="H370">
        <v>220</v>
      </c>
      <c r="I370" t="str">
        <f>"A/C SVCS/OLD JAIL"</f>
        <v>A/C SVCS/OLD JAIL</v>
      </c>
    </row>
    <row r="371" spans="1:9" x14ac:dyDescent="0.3">
      <c r="A371" t="str">
        <f>"T11963"</f>
        <v>T11963</v>
      </c>
      <c r="B371" t="s">
        <v>98</v>
      </c>
      <c r="C371">
        <v>77067</v>
      </c>
      <c r="D371" s="2">
        <v>195</v>
      </c>
      <c r="E371" s="1">
        <v>43262</v>
      </c>
      <c r="F371" t="str">
        <f>"BC2#009"</f>
        <v>BC2#009</v>
      </c>
      <c r="G371" t="str">
        <f>"WATER BARRIERS-APRIL 28-MAY 28"</f>
        <v>WATER BARRIERS-APRIL 28-MAY 28</v>
      </c>
      <c r="H371">
        <v>195</v>
      </c>
      <c r="I371" t="str">
        <f>"WATER BARRIERS-APRIL 28-MAY 28"</f>
        <v>WATER BARRIERS-APRIL 28-MAY 28</v>
      </c>
    </row>
    <row r="372" spans="1:9" x14ac:dyDescent="0.3">
      <c r="A372" t="str">
        <f>"T11963"</f>
        <v>T11963</v>
      </c>
      <c r="B372" t="s">
        <v>98</v>
      </c>
      <c r="C372">
        <v>77272</v>
      </c>
      <c r="D372" s="2">
        <v>260</v>
      </c>
      <c r="E372" s="1">
        <v>43276</v>
      </c>
      <c r="F372" t="str">
        <f>"BC2#010"</f>
        <v>BC2#010</v>
      </c>
      <c r="G372" t="str">
        <f>"WATER BARRIER-JUNE 7-JULY 7/P2"</f>
        <v>WATER BARRIER-JUNE 7-JULY 7/P2</v>
      </c>
      <c r="H372">
        <v>260</v>
      </c>
      <c r="I372" t="str">
        <f>"WATER BARRIER-JUNE 7-JULY 7/P2"</f>
        <v>WATER BARRIER-JUNE 7-JULY 7/P2</v>
      </c>
    </row>
    <row r="373" spans="1:9" x14ac:dyDescent="0.3">
      <c r="A373" t="str">
        <f>"002795"</f>
        <v>002795</v>
      </c>
      <c r="B373" t="s">
        <v>99</v>
      </c>
      <c r="C373">
        <v>77068</v>
      </c>
      <c r="D373" s="2">
        <v>6300</v>
      </c>
      <c r="E373" s="1">
        <v>43262</v>
      </c>
      <c r="F373" t="str">
        <f>"12297"</f>
        <v>12297</v>
      </c>
      <c r="G373" t="str">
        <f>"CTA 024-18 D.WILLIAMS 01/09/18"</f>
        <v>CTA 024-18 D.WILLIAMS 01/09/18</v>
      </c>
      <c r="H373">
        <v>2100</v>
      </c>
      <c r="I373" t="str">
        <f>"CTA 024-18 D.WILLIAMS 01/09/18"</f>
        <v>CTA 024-18 D.WILLIAMS 01/09/18</v>
      </c>
    </row>
    <row r="374" spans="1:9" x14ac:dyDescent="0.3">
      <c r="A374" t="str">
        <f>""</f>
        <v/>
      </c>
      <c r="F374" t="str">
        <f>"12298"</f>
        <v>12298</v>
      </c>
      <c r="G374" t="str">
        <f>"CTA 025-18 L.A.SOLIS 01/09/18"</f>
        <v>CTA 025-18 L.A.SOLIS 01/09/18</v>
      </c>
      <c r="H374">
        <v>2100</v>
      </c>
      <c r="I374" t="str">
        <f>"CTA 025-18 L.A.SOLIS 01/09/18"</f>
        <v>CTA 025-18 L.A.SOLIS 01/09/18</v>
      </c>
    </row>
    <row r="375" spans="1:9" x14ac:dyDescent="0.3">
      <c r="A375" t="str">
        <f>""</f>
        <v/>
      </c>
      <c r="F375" t="str">
        <f>"12307"</f>
        <v>12307</v>
      </c>
      <c r="G375" t="str">
        <f>"CTA 586-17-J. WILSON 12/28/17"</f>
        <v>CTA 586-17-J. WILSON 12/28/17</v>
      </c>
      <c r="H375">
        <v>2100</v>
      </c>
      <c r="I375" t="str">
        <f>"CTA 586-17-J. WILSON 12/28/17"</f>
        <v>CTA 586-17-J. WILSON 12/28/17</v>
      </c>
    </row>
    <row r="376" spans="1:9" x14ac:dyDescent="0.3">
      <c r="A376" t="str">
        <f>"002795"</f>
        <v>002795</v>
      </c>
      <c r="B376" t="s">
        <v>99</v>
      </c>
      <c r="C376">
        <v>77273</v>
      </c>
      <c r="D376" s="2">
        <v>4200</v>
      </c>
      <c r="E376" s="1">
        <v>43276</v>
      </c>
      <c r="F376" t="str">
        <f>"12328"</f>
        <v>12328</v>
      </c>
      <c r="G376" t="str">
        <f>"CTA 136-18/F.D. MAHAN/3/10/18"</f>
        <v>CTA 136-18/F.D. MAHAN/3/10/18</v>
      </c>
      <c r="H376">
        <v>2100</v>
      </c>
      <c r="I376" t="str">
        <f>"CTA 136-18/F.D. MAHAN/3/10/18"</f>
        <v>CTA 136-18/F.D. MAHAN/3/10/18</v>
      </c>
    </row>
    <row r="377" spans="1:9" x14ac:dyDescent="0.3">
      <c r="A377" t="str">
        <f>""</f>
        <v/>
      </c>
      <c r="F377" t="str">
        <f>"12329"</f>
        <v>12329</v>
      </c>
      <c r="G377" t="str">
        <f>"CTA 137-18/J. RUTHERFORD"</f>
        <v>CTA 137-18/J. RUTHERFORD</v>
      </c>
      <c r="H377">
        <v>2100</v>
      </c>
      <c r="I377" t="str">
        <f>"CTA 137-18/J. RUTHERFORD"</f>
        <v>CTA 137-18/J. RUTHERFORD</v>
      </c>
    </row>
    <row r="378" spans="1:9" x14ac:dyDescent="0.3">
      <c r="A378" t="str">
        <f>"004648"</f>
        <v>004648</v>
      </c>
      <c r="B378" t="s">
        <v>100</v>
      </c>
      <c r="C378">
        <v>77069</v>
      </c>
      <c r="D378" s="2">
        <v>466</v>
      </c>
      <c r="E378" s="1">
        <v>43262</v>
      </c>
      <c r="F378" t="str">
        <f>"201806051330"</f>
        <v>201806051330</v>
      </c>
      <c r="G378" t="str">
        <f>"17-18269"</f>
        <v>17-18269</v>
      </c>
      <c r="H378">
        <v>130</v>
      </c>
      <c r="I378" t="str">
        <f>"17-18269"</f>
        <v>17-18269</v>
      </c>
    </row>
    <row r="379" spans="1:9" x14ac:dyDescent="0.3">
      <c r="A379" t="str">
        <f>""</f>
        <v/>
      </c>
      <c r="F379" t="str">
        <f>"201806051331"</f>
        <v>201806051331</v>
      </c>
      <c r="G379" t="str">
        <f>"17-18765"</f>
        <v>17-18765</v>
      </c>
      <c r="H379">
        <v>190</v>
      </c>
      <c r="I379" t="str">
        <f>"17-18765"</f>
        <v>17-18765</v>
      </c>
    </row>
    <row r="380" spans="1:9" x14ac:dyDescent="0.3">
      <c r="A380" t="str">
        <f>""</f>
        <v/>
      </c>
      <c r="F380" t="str">
        <f>"201806051332"</f>
        <v>201806051332</v>
      </c>
      <c r="G380" t="str">
        <f>"18-18885"</f>
        <v>18-18885</v>
      </c>
      <c r="H380">
        <v>46</v>
      </c>
      <c r="I380" t="str">
        <f>"18-18885"</f>
        <v>18-18885</v>
      </c>
    </row>
    <row r="381" spans="1:9" x14ac:dyDescent="0.3">
      <c r="A381" t="str">
        <f>""</f>
        <v/>
      </c>
      <c r="F381" t="str">
        <f>"201806051333"</f>
        <v>201806051333</v>
      </c>
      <c r="G381" t="str">
        <f>"17-18229"</f>
        <v>17-18229</v>
      </c>
      <c r="H381">
        <v>100</v>
      </c>
      <c r="I381" t="str">
        <f>"17-18229"</f>
        <v>17-18229</v>
      </c>
    </row>
    <row r="382" spans="1:9" x14ac:dyDescent="0.3">
      <c r="A382" t="str">
        <f>"004648"</f>
        <v>004648</v>
      </c>
      <c r="B382" t="s">
        <v>100</v>
      </c>
      <c r="C382">
        <v>77274</v>
      </c>
      <c r="D382" s="2">
        <v>573.67999999999995</v>
      </c>
      <c r="E382" s="1">
        <v>43276</v>
      </c>
      <c r="F382" t="str">
        <f>"201806201663"</f>
        <v>201806201663</v>
      </c>
      <c r="G382" t="str">
        <f>"12-14955"</f>
        <v>12-14955</v>
      </c>
      <c r="H382">
        <v>573.67999999999995</v>
      </c>
      <c r="I382" t="str">
        <f>"12-14955"</f>
        <v>12-14955</v>
      </c>
    </row>
    <row r="383" spans="1:9" x14ac:dyDescent="0.3">
      <c r="A383" t="str">
        <f>"T11831"</f>
        <v>T11831</v>
      </c>
      <c r="B383" t="s">
        <v>101</v>
      </c>
      <c r="C383">
        <v>77070</v>
      </c>
      <c r="D383" s="2">
        <v>451.24</v>
      </c>
      <c r="E383" s="1">
        <v>43262</v>
      </c>
      <c r="F383" t="str">
        <f>"0164246-IN"</f>
        <v>0164246-IN</v>
      </c>
      <c r="G383" t="str">
        <f>"INV 0164246-IN"</f>
        <v>INV 0164246-IN</v>
      </c>
      <c r="H383">
        <v>97.8</v>
      </c>
      <c r="I383" t="str">
        <f>"INV 0164246-IN"</f>
        <v>INV 0164246-IN</v>
      </c>
    </row>
    <row r="384" spans="1:9" x14ac:dyDescent="0.3">
      <c r="A384" t="str">
        <f>""</f>
        <v/>
      </c>
      <c r="F384" t="str">
        <f>"0164247-IN"</f>
        <v>0164247-IN</v>
      </c>
      <c r="G384" t="str">
        <f>"INV 0164247-IN"</f>
        <v>INV 0164247-IN</v>
      </c>
      <c r="H384">
        <v>353.44</v>
      </c>
      <c r="I384" t="str">
        <f>"INV 0164247-IN"</f>
        <v>INV 0164247-IN</v>
      </c>
    </row>
    <row r="385" spans="1:9" x14ac:dyDescent="0.3">
      <c r="A385" t="str">
        <f>"T11831"</f>
        <v>T11831</v>
      </c>
      <c r="B385" t="s">
        <v>101</v>
      </c>
      <c r="C385">
        <v>999999</v>
      </c>
      <c r="D385" s="2">
        <v>2308.6</v>
      </c>
      <c r="E385" s="1">
        <v>43277</v>
      </c>
      <c r="F385" t="str">
        <f>"165742-IN"</f>
        <v>165742-IN</v>
      </c>
      <c r="G385" t="str">
        <f>"INV 165742-IN"</f>
        <v>INV 165742-IN</v>
      </c>
      <c r="H385">
        <v>2308.6</v>
      </c>
      <c r="I385" t="str">
        <f>"INV 165742-IN"</f>
        <v>INV 165742-IN</v>
      </c>
    </row>
    <row r="386" spans="1:9" x14ac:dyDescent="0.3">
      <c r="A386" t="str">
        <f>"003890"</f>
        <v>003890</v>
      </c>
      <c r="B386" t="s">
        <v>102</v>
      </c>
      <c r="C386">
        <v>77071</v>
      </c>
      <c r="D386" s="2">
        <v>615</v>
      </c>
      <c r="E386" s="1">
        <v>43262</v>
      </c>
      <c r="F386" t="str">
        <f>"201806061404"</f>
        <v>201806061404</v>
      </c>
      <c r="G386" t="str">
        <f>"REFUND COUPONS"</f>
        <v>REFUND COUPONS</v>
      </c>
      <c r="H386">
        <v>615</v>
      </c>
      <c r="I386" t="str">
        <f>"REFUND COUPONS"</f>
        <v>REFUND COUPONS</v>
      </c>
    </row>
    <row r="387" spans="1:9" x14ac:dyDescent="0.3">
      <c r="A387" t="str">
        <f>"003890"</f>
        <v>003890</v>
      </c>
      <c r="B387" t="s">
        <v>102</v>
      </c>
      <c r="C387">
        <v>77275</v>
      </c>
      <c r="D387" s="2">
        <v>30</v>
      </c>
      <c r="E387" s="1">
        <v>43276</v>
      </c>
      <c r="F387" t="str">
        <f>"19294 18251"</f>
        <v>19294 18251</v>
      </c>
      <c r="G387" t="str">
        <f>"REFUND COUPONS"</f>
        <v>REFUND COUPONS</v>
      </c>
      <c r="H387">
        <v>30</v>
      </c>
      <c r="I387" t="str">
        <f>"REFUND COUPONS"</f>
        <v>REFUND COUPONS</v>
      </c>
    </row>
    <row r="388" spans="1:9" x14ac:dyDescent="0.3">
      <c r="A388" t="str">
        <f>"T9145"</f>
        <v>T9145</v>
      </c>
      <c r="B388" t="s">
        <v>103</v>
      </c>
      <c r="C388">
        <v>999999</v>
      </c>
      <c r="D388" s="2">
        <v>1675</v>
      </c>
      <c r="E388" s="1">
        <v>43263</v>
      </c>
      <c r="F388" t="str">
        <f>"201806051308"</f>
        <v>201806051308</v>
      </c>
      <c r="G388" t="str">
        <f>"17-18764"</f>
        <v>17-18764</v>
      </c>
      <c r="H388">
        <v>100</v>
      </c>
      <c r="I388" t="str">
        <f>"17-18764"</f>
        <v>17-18764</v>
      </c>
    </row>
    <row r="389" spans="1:9" x14ac:dyDescent="0.3">
      <c r="A389" t="str">
        <f>""</f>
        <v/>
      </c>
      <c r="F389" t="str">
        <f>"201806051309"</f>
        <v>201806051309</v>
      </c>
      <c r="G389" t="str">
        <f>"18-18988"</f>
        <v>18-18988</v>
      </c>
      <c r="H389">
        <v>100</v>
      </c>
      <c r="I389" t="str">
        <f>"18-18988"</f>
        <v>18-18988</v>
      </c>
    </row>
    <row r="390" spans="1:9" x14ac:dyDescent="0.3">
      <c r="A390" t="str">
        <f>""</f>
        <v/>
      </c>
      <c r="F390" t="str">
        <f>"201806051348"</f>
        <v>201806051348</v>
      </c>
      <c r="G390" t="str">
        <f>"J-POM"</f>
        <v>J-POM</v>
      </c>
      <c r="H390">
        <v>100</v>
      </c>
      <c r="I390" t="str">
        <f>"J-POM"</f>
        <v>J-POM</v>
      </c>
    </row>
    <row r="391" spans="1:9" x14ac:dyDescent="0.3">
      <c r="A391" t="str">
        <f>""</f>
        <v/>
      </c>
      <c r="F391" t="str">
        <f>"201806061372"</f>
        <v>201806061372</v>
      </c>
      <c r="G391" t="str">
        <f>"55 104"</f>
        <v>55 104</v>
      </c>
      <c r="H391">
        <v>250</v>
      </c>
      <c r="I391" t="str">
        <f>"55 104"</f>
        <v>55 104</v>
      </c>
    </row>
    <row r="392" spans="1:9" x14ac:dyDescent="0.3">
      <c r="A392" t="str">
        <f>""</f>
        <v/>
      </c>
      <c r="F392" t="str">
        <f>"201806061373"</f>
        <v>201806061373</v>
      </c>
      <c r="G392" t="str">
        <f>"53 812"</f>
        <v>53 812</v>
      </c>
      <c r="H392">
        <v>250</v>
      </c>
      <c r="I392" t="str">
        <f>"53 812"</f>
        <v>53 812</v>
      </c>
    </row>
    <row r="393" spans="1:9" x14ac:dyDescent="0.3">
      <c r="A393" t="str">
        <f>""</f>
        <v/>
      </c>
      <c r="F393" t="str">
        <f>"201806061374"</f>
        <v>201806061374</v>
      </c>
      <c r="G393" t="str">
        <f>"56013  56014"</f>
        <v>56013  56014</v>
      </c>
      <c r="H393">
        <v>375</v>
      </c>
      <c r="I393" t="str">
        <f>"56013  56014"</f>
        <v>56013  56014</v>
      </c>
    </row>
    <row r="394" spans="1:9" x14ac:dyDescent="0.3">
      <c r="A394" t="str">
        <f>""</f>
        <v/>
      </c>
      <c r="F394" t="str">
        <f>"201806061375"</f>
        <v>201806061375</v>
      </c>
      <c r="G394" t="str">
        <f>"55 991"</f>
        <v>55 991</v>
      </c>
      <c r="H394">
        <v>250</v>
      </c>
      <c r="I394" t="str">
        <f>"55 991"</f>
        <v>55 991</v>
      </c>
    </row>
    <row r="395" spans="1:9" x14ac:dyDescent="0.3">
      <c r="A395" t="str">
        <f>""</f>
        <v/>
      </c>
      <c r="F395" t="str">
        <f>"201806061376"</f>
        <v>201806061376</v>
      </c>
      <c r="G395" t="str">
        <f>"402056-1"</f>
        <v>402056-1</v>
      </c>
      <c r="H395">
        <v>250</v>
      </c>
      <c r="I395" t="str">
        <f>"402056-1"</f>
        <v>402056-1</v>
      </c>
    </row>
    <row r="396" spans="1:9" x14ac:dyDescent="0.3">
      <c r="A396" t="str">
        <f>"T9145"</f>
        <v>T9145</v>
      </c>
      <c r="B396" t="s">
        <v>103</v>
      </c>
      <c r="C396">
        <v>999999</v>
      </c>
      <c r="D396" s="2">
        <v>3875</v>
      </c>
      <c r="E396" s="1">
        <v>43277</v>
      </c>
      <c r="F396" t="str">
        <f>"201806141603"</f>
        <v>201806141603</v>
      </c>
      <c r="G396" t="str">
        <f>"CH20180516A"</f>
        <v>CH20180516A</v>
      </c>
      <c r="H396">
        <v>400</v>
      </c>
      <c r="I396" t="str">
        <f>"CH20180516A"</f>
        <v>CH20180516A</v>
      </c>
    </row>
    <row r="397" spans="1:9" x14ac:dyDescent="0.3">
      <c r="A397" t="str">
        <f>""</f>
        <v/>
      </c>
      <c r="F397" t="str">
        <f>"201806141604"</f>
        <v>201806141604</v>
      </c>
      <c r="G397" t="str">
        <f>"16 454/16 455/16 456/C170121"</f>
        <v>16 454/16 455/16 456/C170121</v>
      </c>
      <c r="H397">
        <v>1600</v>
      </c>
      <c r="I397" t="str">
        <f>"16 454/16 455/16 456/C170121"</f>
        <v>16 454/16 455/16 456/C170121</v>
      </c>
    </row>
    <row r="398" spans="1:9" x14ac:dyDescent="0.3">
      <c r="A398" t="str">
        <f>""</f>
        <v/>
      </c>
      <c r="F398" t="str">
        <f>"201806141605"</f>
        <v>201806141605</v>
      </c>
      <c r="G398" t="str">
        <f>"16 437"</f>
        <v>16 437</v>
      </c>
      <c r="H398">
        <v>400</v>
      </c>
      <c r="I398" t="str">
        <f>"16 437"</f>
        <v>16 437</v>
      </c>
    </row>
    <row r="399" spans="1:9" x14ac:dyDescent="0.3">
      <c r="A399" t="str">
        <f>""</f>
        <v/>
      </c>
      <c r="F399" t="str">
        <f>"201806141606"</f>
        <v>201806141606</v>
      </c>
      <c r="G399" t="str">
        <f>"02.1118.216/02.1118.9.16"</f>
        <v>02.1118.216/02.1118.9.16</v>
      </c>
      <c r="H399">
        <v>600</v>
      </c>
      <c r="I399" t="str">
        <f>"02.1118.216/02.1118.9.16"</f>
        <v>02.1118.216/02.1118.9.16</v>
      </c>
    </row>
    <row r="400" spans="1:9" x14ac:dyDescent="0.3">
      <c r="A400" t="str">
        <f>""</f>
        <v/>
      </c>
      <c r="F400" t="str">
        <f>"201806201711"</f>
        <v>201806201711</v>
      </c>
      <c r="G400" t="str">
        <f>"C170117 C170122 20171402/11/33"</f>
        <v>C170117 C170122 20171402/11/33</v>
      </c>
      <c r="H400">
        <v>875</v>
      </c>
      <c r="I400" t="str">
        <f>"C170117 C170122 20171402/11/33"</f>
        <v>C170117 C170122 20171402/11/33</v>
      </c>
    </row>
    <row r="401" spans="1:10" x14ac:dyDescent="0.3">
      <c r="A401" t="str">
        <f>"T14090"</f>
        <v>T14090</v>
      </c>
      <c r="B401" t="s">
        <v>104</v>
      </c>
      <c r="C401">
        <v>999999</v>
      </c>
      <c r="D401" s="2">
        <v>46.31</v>
      </c>
      <c r="E401" s="1">
        <v>43263</v>
      </c>
      <c r="F401" t="str">
        <f>"201805301221"</f>
        <v>201805301221</v>
      </c>
      <c r="G401" t="str">
        <f>"REIMBURSEMENT-SUPPLIES"</f>
        <v>REIMBURSEMENT-SUPPLIES</v>
      </c>
      <c r="H401">
        <v>46.31</v>
      </c>
      <c r="I401" t="str">
        <f>"REIMBURSEMENT-SUPPLIES"</f>
        <v>REIMBURSEMENT-SUPPLIES</v>
      </c>
    </row>
    <row r="402" spans="1:10" x14ac:dyDescent="0.3">
      <c r="A402" t="str">
        <f>"004228"</f>
        <v>004228</v>
      </c>
      <c r="B402" t="s">
        <v>105</v>
      </c>
      <c r="C402">
        <v>999999</v>
      </c>
      <c r="D402" s="2">
        <v>21.75</v>
      </c>
      <c r="E402" s="1">
        <v>43263</v>
      </c>
      <c r="F402" t="str">
        <f>"201806051257"</f>
        <v>201806051257</v>
      </c>
      <c r="G402" t="str">
        <f>"REIMBURSEMENT-MAILINGS"</f>
        <v>REIMBURSEMENT-MAILINGS</v>
      </c>
      <c r="H402">
        <v>21.75</v>
      </c>
      <c r="I402" t="str">
        <f>"REIMBURSEMENT-MAILINGS"</f>
        <v>REIMBURSEMENT-MAILINGS</v>
      </c>
    </row>
    <row r="403" spans="1:10" x14ac:dyDescent="0.3">
      <c r="A403" t="str">
        <f>"005120"</f>
        <v>005120</v>
      </c>
      <c r="B403" t="s">
        <v>106</v>
      </c>
      <c r="C403">
        <v>77276</v>
      </c>
      <c r="D403" s="2">
        <v>126.37</v>
      </c>
      <c r="E403" s="1">
        <v>43276</v>
      </c>
      <c r="F403" t="str">
        <f>"5011030061"</f>
        <v>5011030061</v>
      </c>
      <c r="G403" t="str">
        <f>"CUST#0011167190/PCT#1"</f>
        <v>CUST#0011167190/PCT#1</v>
      </c>
      <c r="H403">
        <v>126.37</v>
      </c>
      <c r="I403" t="str">
        <f>"CUST#0011167190/PCT#1"</f>
        <v>CUST#0011167190/PCT#1</v>
      </c>
    </row>
    <row r="404" spans="1:10" x14ac:dyDescent="0.3">
      <c r="A404" t="str">
        <f>"005132"</f>
        <v>005132</v>
      </c>
      <c r="B404" t="s">
        <v>107</v>
      </c>
      <c r="C404">
        <v>77072</v>
      </c>
      <c r="D404" s="2">
        <v>120.15</v>
      </c>
      <c r="E404" s="1">
        <v>43262</v>
      </c>
      <c r="F404" t="str">
        <f>"8403661803"</f>
        <v>8403661803</v>
      </c>
      <c r="G404" t="str">
        <f>"CUST#10377368/PCT#3"</f>
        <v>CUST#10377368/PCT#3</v>
      </c>
      <c r="H404">
        <v>120.15</v>
      </c>
      <c r="I404" t="str">
        <f>"CUST#10377368/PCT#3"</f>
        <v>CUST#10377368/PCT#3</v>
      </c>
    </row>
    <row r="405" spans="1:10" x14ac:dyDescent="0.3">
      <c r="A405" t="str">
        <f>"005132"</f>
        <v>005132</v>
      </c>
      <c r="B405" t="s">
        <v>107</v>
      </c>
      <c r="C405">
        <v>77277</v>
      </c>
      <c r="D405" s="2">
        <v>56.13</v>
      </c>
      <c r="E405" s="1">
        <v>43276</v>
      </c>
      <c r="F405" t="str">
        <f>"8403692494"</f>
        <v>8403692494</v>
      </c>
      <c r="G405" t="str">
        <f>"CUST#10377368/PCT#2"</f>
        <v>CUST#10377368/PCT#2</v>
      </c>
      <c r="H405">
        <v>56.13</v>
      </c>
      <c r="I405" t="str">
        <f>"CUST#10377368/PCT#2"</f>
        <v>CUST#10377368/PCT#2</v>
      </c>
    </row>
    <row r="406" spans="1:10" x14ac:dyDescent="0.3">
      <c r="A406" t="str">
        <f>"004728"</f>
        <v>004728</v>
      </c>
      <c r="B406" t="s">
        <v>108</v>
      </c>
      <c r="C406">
        <v>77278</v>
      </c>
      <c r="D406" s="2">
        <v>3341.27</v>
      </c>
      <c r="E406" s="1">
        <v>43276</v>
      </c>
      <c r="F406" t="str">
        <f>"201806131594"</f>
        <v>201806131594</v>
      </c>
      <c r="G406" t="str">
        <f>"ACCT#086-11458/ANIMAL SHELTER"</f>
        <v>ACCT#086-11458/ANIMAL SHELTER</v>
      </c>
      <c r="H406">
        <v>243.19</v>
      </c>
      <c r="I406" t="str">
        <f>"ACCT#086-11458/ANIMAL SHELTER"</f>
        <v>ACCT#086-11458/ANIMAL SHELTER</v>
      </c>
    </row>
    <row r="407" spans="1:10" x14ac:dyDescent="0.3">
      <c r="A407" t="str">
        <f>""</f>
        <v/>
      </c>
      <c r="F407" t="str">
        <f>"201806131596"</f>
        <v>201806131596</v>
      </c>
      <c r="G407" t="str">
        <f>"ACCT#086-11375/PCT#2"</f>
        <v>ACCT#086-11375/PCT#2</v>
      </c>
      <c r="H407">
        <v>872.6</v>
      </c>
      <c r="I407" t="str">
        <f>"ACCT#086-11375/PCT#2"</f>
        <v>ACCT#086-11375/PCT#2</v>
      </c>
    </row>
    <row r="408" spans="1:10" x14ac:dyDescent="0.3">
      <c r="A408" t="str">
        <f>""</f>
        <v/>
      </c>
      <c r="F408" t="str">
        <f>"201806131599"</f>
        <v>201806131599</v>
      </c>
      <c r="G408" t="str">
        <f>"ACCT#086-11386/PCT#4"</f>
        <v>ACCT#086-11386/PCT#4</v>
      </c>
      <c r="H408">
        <v>1405.98</v>
      </c>
      <c r="I408" t="str">
        <f>"ACCT#086-11386/PCT#4"</f>
        <v>ACCT#086-11386/PCT#4</v>
      </c>
    </row>
    <row r="409" spans="1:10" x14ac:dyDescent="0.3">
      <c r="A409" t="str">
        <f>""</f>
        <v/>
      </c>
      <c r="F409" t="str">
        <f>"201806151632"</f>
        <v>201806151632</v>
      </c>
      <c r="G409" t="str">
        <f>"ACCT#086-11451/PCT#1"</f>
        <v>ACCT#086-11451/PCT#1</v>
      </c>
      <c r="H409">
        <v>767.55</v>
      </c>
      <c r="I409" t="str">
        <f>"ACCT#086-11451/PCT#1"</f>
        <v>ACCT#086-11451/PCT#1</v>
      </c>
    </row>
    <row r="410" spans="1:10" x14ac:dyDescent="0.3">
      <c r="A410" t="str">
        <f>""</f>
        <v/>
      </c>
      <c r="F410" t="str">
        <f>"201806151633"</f>
        <v>201806151633</v>
      </c>
      <c r="G410" t="str">
        <f>"ACCT#086-11451/PCT#1"</f>
        <v>ACCT#086-11451/PCT#1</v>
      </c>
      <c r="H410">
        <v>51.95</v>
      </c>
      <c r="I410" t="str">
        <f>"ACCT#086-11451/PCT#1"</f>
        <v>ACCT#086-11451/PCT#1</v>
      </c>
    </row>
    <row r="411" spans="1:10" x14ac:dyDescent="0.3">
      <c r="A411" t="str">
        <f>"004283"</f>
        <v>004283</v>
      </c>
      <c r="B411" t="s">
        <v>109</v>
      </c>
      <c r="C411">
        <v>77279</v>
      </c>
      <c r="D411" s="2">
        <v>90</v>
      </c>
      <c r="E411" s="1">
        <v>43276</v>
      </c>
      <c r="F411" t="str">
        <f>"12522019"</f>
        <v>12522019</v>
      </c>
      <c r="G411" t="str">
        <f>"1 Year Software Subscript"</f>
        <v>1 Year Software Subscript</v>
      </c>
      <c r="H411">
        <v>90</v>
      </c>
      <c r="I411" t="str">
        <f>"1 Year Software Subscript"</f>
        <v>1 Year Software Subscript</v>
      </c>
    </row>
    <row r="412" spans="1:10" x14ac:dyDescent="0.3">
      <c r="A412" t="str">
        <f>"BCO"</f>
        <v>BCO</v>
      </c>
      <c r="B412" t="s">
        <v>110</v>
      </c>
      <c r="C412">
        <v>77017</v>
      </c>
      <c r="D412" s="2">
        <v>47945.49</v>
      </c>
      <c r="E412" s="1">
        <v>43259</v>
      </c>
      <c r="F412" t="str">
        <f>"201806081471"</f>
        <v>201806081471</v>
      </c>
      <c r="G412" t="str">
        <f>"ACCT#02-2083-04 / 05292018"</f>
        <v>ACCT#02-2083-04 / 05292018</v>
      </c>
      <c r="H412">
        <v>731.66</v>
      </c>
      <c r="I412" t="str">
        <f>"ACCT#02-2083-04 / 05292018"</f>
        <v>ACCT#02-2083-04 / 05292018</v>
      </c>
    </row>
    <row r="413" spans="1:10" x14ac:dyDescent="0.3">
      <c r="A413" t="str">
        <f>""</f>
        <v/>
      </c>
      <c r="F413" t="str">
        <f>"201806081472"</f>
        <v>201806081472</v>
      </c>
      <c r="G413" t="str">
        <f>"COUNTY DEVELPOMENT CENTER"</f>
        <v>COUNTY DEVELPOMENT CENTER</v>
      </c>
      <c r="H413">
        <v>2159.1999999999998</v>
      </c>
      <c r="I413" t="str">
        <f>"COUNTY DEVELPOMENT CENTER"</f>
        <v>COUNTY DEVELPOMENT CENTER</v>
      </c>
    </row>
    <row r="414" spans="1:10" x14ac:dyDescent="0.3">
      <c r="A414" t="str">
        <f>""</f>
        <v/>
      </c>
      <c r="F414" t="str">
        <f>"201806081473"</f>
        <v>201806081473</v>
      </c>
      <c r="G414" t="str">
        <f>"LAW ENFORCEMENT CENTER"</f>
        <v>LAW ENFORCEMENT CENTER</v>
      </c>
      <c r="H414">
        <v>28846.2</v>
      </c>
      <c r="I414" t="str">
        <f>"LAW ENFORCEMENT CENTER"</f>
        <v>LAW ENFORCEMENT CENTER</v>
      </c>
    </row>
    <row r="415" spans="1:10" x14ac:dyDescent="0.3">
      <c r="A415" t="str">
        <f>""</f>
        <v/>
      </c>
      <c r="F415" t="str">
        <f>"201806081474"</f>
        <v>201806081474</v>
      </c>
      <c r="G415" t="str">
        <f>"BASTROP COUNTY COURTHOUSE"</f>
        <v>BASTROP COUNTY COURTHOUSE</v>
      </c>
      <c r="H415">
        <v>16208.43</v>
      </c>
      <c r="I415" t="str">
        <f>"BASTROP COUNTY COURTHOUSE"</f>
        <v>BASTROP COUNTY COURTHOUSE</v>
      </c>
    </row>
    <row r="416" spans="1:10" x14ac:dyDescent="0.3">
      <c r="A416" t="str">
        <f>"COB"</f>
        <v>COB</v>
      </c>
      <c r="B416" t="s">
        <v>110</v>
      </c>
      <c r="C416">
        <v>77280</v>
      </c>
      <c r="D416" s="2">
        <v>600</v>
      </c>
      <c r="E416" s="1">
        <v>43276</v>
      </c>
      <c r="F416" t="s">
        <v>111</v>
      </c>
      <c r="G416" t="s">
        <v>112</v>
      </c>
      <c r="H416" t="str">
        <f>"RESTITUTION-A.M. LAWRENCE"</f>
        <v>RESTITUTION-A.M. LAWRENCE</v>
      </c>
      <c r="I416" t="str">
        <f>"210-0000"</f>
        <v>210-0000</v>
      </c>
      <c r="J416" t="str">
        <f>""</f>
        <v/>
      </c>
    </row>
    <row r="417" spans="1:10" x14ac:dyDescent="0.3">
      <c r="A417" t="str">
        <f>""</f>
        <v/>
      </c>
      <c r="F417" t="str">
        <f>"201806131569"</f>
        <v>201806131569</v>
      </c>
      <c r="G417" t="str">
        <f>"PARKING LOT RENTAL"</f>
        <v>PARKING LOT RENTAL</v>
      </c>
      <c r="H417">
        <v>500</v>
      </c>
      <c r="I417" t="str">
        <f>"PARKING LOT RENTAL"</f>
        <v>PARKING LOT RENTAL</v>
      </c>
    </row>
    <row r="418" spans="1:10" x14ac:dyDescent="0.3">
      <c r="A418" t="str">
        <f>"SCO"</f>
        <v>SCO</v>
      </c>
      <c r="B418" t="s">
        <v>113</v>
      </c>
      <c r="C418">
        <v>77018</v>
      </c>
      <c r="D418" s="2">
        <v>1269.21</v>
      </c>
      <c r="E418" s="1">
        <v>43259</v>
      </c>
      <c r="F418" t="str">
        <f>"201806081465"</f>
        <v>201806081465</v>
      </c>
      <c r="G418" t="str">
        <f>"ACCT#007-0000388-000/05242018"</f>
        <v>ACCT#007-0000388-000/05242018</v>
      </c>
      <c r="H418">
        <v>480.16</v>
      </c>
      <c r="I418" t="str">
        <f>"ACCT#007-0000388-000/05242018"</f>
        <v>ACCT#007-0000388-000/05242018</v>
      </c>
    </row>
    <row r="419" spans="1:10" x14ac:dyDescent="0.3">
      <c r="A419" t="str">
        <f>""</f>
        <v/>
      </c>
      <c r="F419" t="str">
        <f>"201806081466"</f>
        <v>201806081466</v>
      </c>
      <c r="G419" t="str">
        <f>"ACCT#007-0000389-000/05242018"</f>
        <v>ACCT#007-0000389-000/05242018</v>
      </c>
      <c r="H419">
        <v>17.11</v>
      </c>
      <c r="I419" t="str">
        <f>"ACCT#007-0000389-000/05242018"</f>
        <v>ACCT#007-0000389-000/05242018</v>
      </c>
    </row>
    <row r="420" spans="1:10" x14ac:dyDescent="0.3">
      <c r="A420" t="str">
        <f>""</f>
        <v/>
      </c>
      <c r="F420" t="str">
        <f>"201806081467"</f>
        <v>201806081467</v>
      </c>
      <c r="G420" t="str">
        <f>"ACCT#044-0001240-000/05242018"</f>
        <v>ACCT#044-0001240-000/05242018</v>
      </c>
      <c r="H420">
        <v>301.56</v>
      </c>
      <c r="I420" t="str">
        <f>"ACCT#044-0001240-000/05242018"</f>
        <v>ACCT#044-0001240-000/05242018</v>
      </c>
    </row>
    <row r="421" spans="1:10" x14ac:dyDescent="0.3">
      <c r="A421" t="str">
        <f>""</f>
        <v/>
      </c>
      <c r="F421" t="str">
        <f>"201806081468"</f>
        <v>201806081468</v>
      </c>
      <c r="G421" t="str">
        <f>"ACCT#044-0001250-000/05242018"</f>
        <v>ACCT#044-0001250-000/05242018</v>
      </c>
      <c r="H421">
        <v>129.55000000000001</v>
      </c>
      <c r="I421" t="str">
        <f>"ACCT#044-0001250-000/05242018"</f>
        <v>ACCT#044-0001250-000/05242018</v>
      </c>
    </row>
    <row r="422" spans="1:10" x14ac:dyDescent="0.3">
      <c r="A422" t="str">
        <f>""</f>
        <v/>
      </c>
      <c r="F422" t="str">
        <f>"201806081469"</f>
        <v>201806081469</v>
      </c>
      <c r="G422" t="str">
        <f>"ACCT#044-0001252-000/05242018"</f>
        <v>ACCT#044-0001252-000/05242018</v>
      </c>
      <c r="H422">
        <v>17.420000000000002</v>
      </c>
      <c r="I422" t="str">
        <f>"ACCT#044-0001252-000/05242018"</f>
        <v>ACCT#044-0001252-000/05242018</v>
      </c>
    </row>
    <row r="423" spans="1:10" x14ac:dyDescent="0.3">
      <c r="A423" t="str">
        <f>""</f>
        <v/>
      </c>
      <c r="F423" t="str">
        <f>"201806081470"</f>
        <v>201806081470</v>
      </c>
      <c r="G423" t="str">
        <f>"ACCT#044-0001253-000/05242018"</f>
        <v>ACCT#044-0001253-000/05242018</v>
      </c>
      <c r="H423">
        <v>323.41000000000003</v>
      </c>
      <c r="I423" t="str">
        <f>"ACCT#044-0001253-000/05242018"</f>
        <v>ACCT#044-0001253-000/05242018</v>
      </c>
    </row>
    <row r="424" spans="1:10" x14ac:dyDescent="0.3">
      <c r="A424" t="str">
        <f>"002198"</f>
        <v>002198</v>
      </c>
      <c r="B424" t="s">
        <v>114</v>
      </c>
      <c r="C424">
        <v>999999</v>
      </c>
      <c r="D424" s="2">
        <v>749</v>
      </c>
      <c r="E424" s="1">
        <v>43263</v>
      </c>
      <c r="F424" t="str">
        <f>"PMA-0039883"</f>
        <v>PMA-0039883</v>
      </c>
      <c r="G424" t="str">
        <f>"INV PMA-0039883"</f>
        <v>INV PMA-0039883</v>
      </c>
      <c r="H424">
        <v>749</v>
      </c>
      <c r="I424" t="str">
        <f>"INV PMA-0039883"</f>
        <v>INV PMA-0039883</v>
      </c>
    </row>
    <row r="425" spans="1:10" x14ac:dyDescent="0.3">
      <c r="A425" t="str">
        <f>"CLINIC"</f>
        <v>CLINIC</v>
      </c>
      <c r="B425" t="s">
        <v>115</v>
      </c>
      <c r="C425">
        <v>999999</v>
      </c>
      <c r="D425" s="2">
        <v>13.48</v>
      </c>
      <c r="E425" s="1">
        <v>43263</v>
      </c>
      <c r="F425" t="str">
        <f>"201806061439"</f>
        <v>201806061439</v>
      </c>
      <c r="G425" t="str">
        <f>"INDIGENT HEALTH"</f>
        <v>INDIGENT HEALTH</v>
      </c>
      <c r="H425">
        <v>13.48</v>
      </c>
      <c r="I425" t="str">
        <f>"INDIGENT HEALTH"</f>
        <v>INDIGENT HEALTH</v>
      </c>
    </row>
    <row r="426" spans="1:10" x14ac:dyDescent="0.3">
      <c r="A426" t="str">
        <f>"CLINIC"</f>
        <v>CLINIC</v>
      </c>
      <c r="B426" t="s">
        <v>115</v>
      </c>
      <c r="C426">
        <v>999999</v>
      </c>
      <c r="D426" s="2">
        <v>259.55</v>
      </c>
      <c r="E426" s="1">
        <v>43277</v>
      </c>
      <c r="F426" t="str">
        <f>"201805-0"</f>
        <v>201805-0</v>
      </c>
      <c r="G426" t="str">
        <f>"INV 201805-0"</f>
        <v>INV 201805-0</v>
      </c>
      <c r="H426">
        <v>259.55</v>
      </c>
      <c r="I426" t="str">
        <f>"INV 201805-0"</f>
        <v>INV 201805-0</v>
      </c>
    </row>
    <row r="427" spans="1:10" x14ac:dyDescent="0.3">
      <c r="A427" t="str">
        <f>"T8825"</f>
        <v>T8825</v>
      </c>
      <c r="B427" t="s">
        <v>116</v>
      </c>
      <c r="C427">
        <v>77281</v>
      </c>
      <c r="D427" s="2">
        <v>50</v>
      </c>
      <c r="E427" s="1">
        <v>43276</v>
      </c>
      <c r="F427" t="str">
        <f>"BOND#61117614"</f>
        <v>BOND#61117614</v>
      </c>
      <c r="G427" t="str">
        <f>"BOND-MARY LYNN  HARMON"</f>
        <v>BOND-MARY LYNN  HARMON</v>
      </c>
      <c r="H427">
        <v>50</v>
      </c>
      <c r="I427" t="str">
        <f>"BOND-MARY LYNN  HARMON"</f>
        <v>BOND-MARY LYNN  HARMON</v>
      </c>
    </row>
    <row r="428" spans="1:10" x14ac:dyDescent="0.3">
      <c r="A428" t="str">
        <f>"000266"</f>
        <v>000266</v>
      </c>
      <c r="B428" t="s">
        <v>117</v>
      </c>
      <c r="C428">
        <v>77282</v>
      </c>
      <c r="D428" s="2">
        <v>25</v>
      </c>
      <c r="E428" s="1">
        <v>43276</v>
      </c>
      <c r="F428" t="s">
        <v>118</v>
      </c>
      <c r="G428" t="s">
        <v>119</v>
      </c>
      <c r="H428" t="str">
        <f>"RESTITUTION-K. PURCELL"</f>
        <v>RESTITUTION-K. PURCELL</v>
      </c>
      <c r="I428" t="str">
        <f>"210-0000"</f>
        <v>210-0000</v>
      </c>
      <c r="J428" t="str">
        <f>""</f>
        <v/>
      </c>
    </row>
    <row r="429" spans="1:10" x14ac:dyDescent="0.3">
      <c r="A429" t="str">
        <f>""</f>
        <v/>
      </c>
      <c r="F429" t="s">
        <v>118</v>
      </c>
      <c r="G429" t="s">
        <v>120</v>
      </c>
      <c r="H429" t="str">
        <f>"RESTITUTION-K. PURCELL"</f>
        <v>RESTITUTION-K. PURCELL</v>
      </c>
      <c r="I429" t="str">
        <f>"210-0000"</f>
        <v>210-0000</v>
      </c>
      <c r="J429" t="str">
        <f>""</f>
        <v/>
      </c>
    </row>
    <row r="430" spans="1:10" x14ac:dyDescent="0.3">
      <c r="A430" t="str">
        <f>"CONTEC"</f>
        <v>CONTEC</v>
      </c>
      <c r="B430" t="s">
        <v>121</v>
      </c>
      <c r="C430">
        <v>77073</v>
      </c>
      <c r="D430" s="2">
        <v>5760</v>
      </c>
      <c r="E430" s="1">
        <v>43262</v>
      </c>
      <c r="F430" t="str">
        <f>"16756202"</f>
        <v>16756202</v>
      </c>
      <c r="G430" t="str">
        <f>"ACCT#434304/PCT#3"</f>
        <v>ACCT#434304/PCT#3</v>
      </c>
      <c r="H430">
        <v>5760</v>
      </c>
      <c r="I430" t="str">
        <f>"ACCT#434304/PCT#3"</f>
        <v>ACCT#434304/PCT#3</v>
      </c>
    </row>
    <row r="431" spans="1:10" x14ac:dyDescent="0.3">
      <c r="A431" t="str">
        <f>"003723"</f>
        <v>003723</v>
      </c>
      <c r="B431" t="s">
        <v>122</v>
      </c>
      <c r="C431">
        <v>77283</v>
      </c>
      <c r="D431" s="2">
        <v>76</v>
      </c>
      <c r="E431" s="1">
        <v>43276</v>
      </c>
      <c r="F431" t="str">
        <f>"19748"</f>
        <v>19748</v>
      </c>
      <c r="G431" t="str">
        <f>"FIBER PATCH CABLES"</f>
        <v>FIBER PATCH CABLES</v>
      </c>
      <c r="H431">
        <v>76</v>
      </c>
      <c r="I431" t="str">
        <f>"FIBER PATCH CABLES"</f>
        <v>FIBER PATCH CABLES</v>
      </c>
    </row>
    <row r="432" spans="1:10" x14ac:dyDescent="0.3">
      <c r="A432" t="str">
        <f>"CEC"</f>
        <v>CEC</v>
      </c>
      <c r="B432" t="s">
        <v>123</v>
      </c>
      <c r="C432">
        <v>999999</v>
      </c>
      <c r="D432" s="2">
        <v>63.04</v>
      </c>
      <c r="E432" s="1">
        <v>43263</v>
      </c>
      <c r="F432" t="str">
        <f>"IN46806"</f>
        <v>IN46806</v>
      </c>
      <c r="G432" t="str">
        <f>"GLOVES/FREIGHT/PCT#4"</f>
        <v>GLOVES/FREIGHT/PCT#4</v>
      </c>
      <c r="H432">
        <v>63.04</v>
      </c>
      <c r="I432" t="str">
        <f>"GLOVES/FREIGHT/PCT#4"</f>
        <v>GLOVES/FREIGHT/PCT#4</v>
      </c>
    </row>
    <row r="433" spans="1:9" x14ac:dyDescent="0.3">
      <c r="A433" t="str">
        <f>"005563"</f>
        <v>005563</v>
      </c>
      <c r="B433" t="s">
        <v>124</v>
      </c>
      <c r="C433">
        <v>77075</v>
      </c>
      <c r="D433" s="2">
        <v>100</v>
      </c>
      <c r="E433" s="1">
        <v>43262</v>
      </c>
      <c r="F433" t="str">
        <f>"12894"</f>
        <v>12894</v>
      </c>
      <c r="G433" t="str">
        <f>"SERVICE  03/27/18"</f>
        <v>SERVICE  03/27/18</v>
      </c>
      <c r="H433">
        <v>100</v>
      </c>
      <c r="I433" t="str">
        <f>"SERVICE  03/27/18"</f>
        <v>SERVICE  03/27/18</v>
      </c>
    </row>
    <row r="434" spans="1:9" x14ac:dyDescent="0.3">
      <c r="A434" t="str">
        <f>"CCO"</f>
        <v>CCO</v>
      </c>
      <c r="B434" t="s">
        <v>125</v>
      </c>
      <c r="C434">
        <v>999999</v>
      </c>
      <c r="D434" s="2">
        <v>125.83</v>
      </c>
      <c r="E434" s="1">
        <v>43263</v>
      </c>
      <c r="F434" t="str">
        <f>"228511"</f>
        <v>228511</v>
      </c>
      <c r="G434" t="str">
        <f>"CUST#4011/PCT#3"</f>
        <v>CUST#4011/PCT#3</v>
      </c>
      <c r="H434">
        <v>125.83</v>
      </c>
      <c r="I434" t="str">
        <f>"CUST#4011/PCT#3"</f>
        <v>CUST#4011/PCT#3</v>
      </c>
    </row>
    <row r="435" spans="1:9" x14ac:dyDescent="0.3">
      <c r="A435" t="str">
        <f>"004106"</f>
        <v>004106</v>
      </c>
      <c r="B435" t="s">
        <v>126</v>
      </c>
      <c r="C435">
        <v>77284</v>
      </c>
      <c r="D435" s="2">
        <v>750</v>
      </c>
      <c r="E435" s="1">
        <v>43276</v>
      </c>
      <c r="F435" t="str">
        <f>"JUNE INV-PSYCH EVA"</f>
        <v>JUNE INV-PSYCH EVA</v>
      </c>
      <c r="G435" t="str">
        <f>"JUNE INV"</f>
        <v>JUNE INV</v>
      </c>
      <c r="H435">
        <v>750</v>
      </c>
      <c r="I435" t="str">
        <f>"JUNE INV"</f>
        <v>JUNE INV</v>
      </c>
    </row>
    <row r="436" spans="1:9" x14ac:dyDescent="0.3">
      <c r="A436" t="str">
        <f>"005421"</f>
        <v>005421</v>
      </c>
      <c r="B436" t="s">
        <v>127</v>
      </c>
      <c r="C436">
        <v>77076</v>
      </c>
      <c r="D436" s="2">
        <v>1395</v>
      </c>
      <c r="E436" s="1">
        <v>43262</v>
      </c>
      <c r="F436" t="str">
        <f>"46919"</f>
        <v>46919</v>
      </c>
      <c r="G436" t="str">
        <f>"INV 46919"</f>
        <v>INV 46919</v>
      </c>
      <c r="H436">
        <v>1395</v>
      </c>
      <c r="I436" t="str">
        <f>"INV 46919"</f>
        <v>INV 46919</v>
      </c>
    </row>
    <row r="437" spans="1:9" x14ac:dyDescent="0.3">
      <c r="A437" t="str">
        <f>"003136"</f>
        <v>003136</v>
      </c>
      <c r="B437" t="s">
        <v>128</v>
      </c>
      <c r="C437">
        <v>77077</v>
      </c>
      <c r="D437" s="2">
        <v>26.25</v>
      </c>
      <c r="E437" s="1">
        <v>43262</v>
      </c>
      <c r="F437" t="str">
        <f>"26276747"</f>
        <v>26276747</v>
      </c>
      <c r="G437" t="str">
        <f>"Reference ID 26276747"</f>
        <v>Reference ID 26276747</v>
      </c>
      <c r="H437">
        <v>4.4400000000000004</v>
      </c>
      <c r="I437" t="str">
        <f>"Payment"</f>
        <v>Payment</v>
      </c>
    </row>
    <row r="438" spans="1:9" x14ac:dyDescent="0.3">
      <c r="A438" t="str">
        <f>""</f>
        <v/>
      </c>
      <c r="F438" t="str">
        <f>"XKG778"</f>
        <v>XKG778</v>
      </c>
      <c r="G438" t="str">
        <f>"ReferenceID XKG778"</f>
        <v>ReferenceID XKG778</v>
      </c>
      <c r="H438">
        <v>3.38</v>
      </c>
      <c r="I438" t="str">
        <f>"Payment"</f>
        <v>Payment</v>
      </c>
    </row>
    <row r="439" spans="1:9" x14ac:dyDescent="0.3">
      <c r="A439" t="str">
        <f>""</f>
        <v/>
      </c>
      <c r="F439" t="str">
        <f>"XNG340"</f>
        <v>XNG340</v>
      </c>
      <c r="G439" t="str">
        <f>"PLATE#1194228/REF#XNG340"</f>
        <v>PLATE#1194228/REF#XNG340</v>
      </c>
      <c r="H439">
        <v>10.34</v>
      </c>
      <c r="I439" t="str">
        <f>"PLATE#1194228/REF#XNG340"</f>
        <v>PLATE#1194228/REF#XNG340</v>
      </c>
    </row>
    <row r="440" spans="1:9" x14ac:dyDescent="0.3">
      <c r="A440" t="str">
        <f>""</f>
        <v/>
      </c>
      <c r="F440" t="str">
        <f>"XNL000"</f>
        <v>XNL000</v>
      </c>
      <c r="G440" t="str">
        <f>"REF ID:XNL000/PLATE#1262204/P4"</f>
        <v>REF ID:XNL000/PLATE#1262204/P4</v>
      </c>
      <c r="H440">
        <v>4.05</v>
      </c>
      <c r="I440" t="str">
        <f>"REF ID:XNL000/PLATE#1262204/P4"</f>
        <v>REF ID:XNL000/PLATE#1262204/P4</v>
      </c>
    </row>
    <row r="441" spans="1:9" x14ac:dyDescent="0.3">
      <c r="A441" t="str">
        <f>""</f>
        <v/>
      </c>
      <c r="F441" t="str">
        <f>"XOR678"</f>
        <v>XOR678</v>
      </c>
      <c r="G441" t="str">
        <f>"REF ID:XOR678/PLATE#9037690/P4"</f>
        <v>REF ID:XOR678/PLATE#9037690/P4</v>
      </c>
      <c r="H441">
        <v>4.04</v>
      </c>
      <c r="I441" t="str">
        <f>"REF ID:XOR678/PLATE#9037690/P4"</f>
        <v>REF ID:XOR678/PLATE#9037690/P4</v>
      </c>
    </row>
    <row r="442" spans="1:9" x14ac:dyDescent="0.3">
      <c r="A442" t="str">
        <f>"003136"</f>
        <v>003136</v>
      </c>
      <c r="B442" t="s">
        <v>128</v>
      </c>
      <c r="C442">
        <v>77285</v>
      </c>
      <c r="D442" s="2">
        <v>182.8</v>
      </c>
      <c r="E442" s="1">
        <v>43276</v>
      </c>
      <c r="F442" t="str">
        <f>"25775227"</f>
        <v>25775227</v>
      </c>
      <c r="G442" t="str">
        <f>"REF#25775227/PLATE#1262204"</f>
        <v>REF#25775227/PLATE#1262204</v>
      </c>
      <c r="H442">
        <v>22.09</v>
      </c>
      <c r="I442" t="str">
        <f>"REF#25775227/PLATE#1262204"</f>
        <v>REF#25775227/PLATE#1262204</v>
      </c>
    </row>
    <row r="443" spans="1:9" x14ac:dyDescent="0.3">
      <c r="A443" t="str">
        <f>""</f>
        <v/>
      </c>
      <c r="F443" t="str">
        <f>"26299222"</f>
        <v>26299222</v>
      </c>
      <c r="G443" t="str">
        <f>"REF#26299222/PLATE#1309602"</f>
        <v>REF#26299222/PLATE#1309602</v>
      </c>
      <c r="H443">
        <v>4.04</v>
      </c>
      <c r="I443" t="str">
        <f>"REF#26299222/PLATE#1309602"</f>
        <v>REF#26299222/PLATE#1309602</v>
      </c>
    </row>
    <row r="444" spans="1:9" x14ac:dyDescent="0.3">
      <c r="A444" t="str">
        <f>""</f>
        <v/>
      </c>
      <c r="F444" t="str">
        <f>"26299251"</f>
        <v>26299251</v>
      </c>
      <c r="G444" t="str">
        <f>"REF#26299251/PLATE#9037691/P4"</f>
        <v>REF#26299251/PLATE#9037691/P4</v>
      </c>
      <c r="H444">
        <v>75.95</v>
      </c>
      <c r="I444" t="str">
        <f>"REF#26299251/PLATE#9037691/P4"</f>
        <v>REF#26299251/PLATE#9037691/P4</v>
      </c>
    </row>
    <row r="445" spans="1:9" x14ac:dyDescent="0.3">
      <c r="A445" t="str">
        <f>""</f>
        <v/>
      </c>
      <c r="F445" t="str">
        <f>"26390835"</f>
        <v>26390835</v>
      </c>
      <c r="G445" t="str">
        <f>"REF#26390835/PLATE#9037691/P4"</f>
        <v>REF#26390835/PLATE#9037691/P4</v>
      </c>
      <c r="H445">
        <v>54.24</v>
      </c>
      <c r="I445" t="str">
        <f>"REF#26390835/PLATE#9037691/P4"</f>
        <v>REF#26390835/PLATE#9037691/P4</v>
      </c>
    </row>
    <row r="446" spans="1:9" x14ac:dyDescent="0.3">
      <c r="A446" t="str">
        <f>""</f>
        <v/>
      </c>
      <c r="F446" t="str">
        <f>"26505653"</f>
        <v>26505653</v>
      </c>
      <c r="G446" t="str">
        <f>"REF#26505653/PLATE#1194228"</f>
        <v>REF#26505653/PLATE#1194228</v>
      </c>
      <c r="H446">
        <v>5.58</v>
      </c>
      <c r="I446" t="str">
        <f>"REF#26505653/PLATE#1194228"</f>
        <v>REF#26505653/PLATE#1194228</v>
      </c>
    </row>
    <row r="447" spans="1:9" x14ac:dyDescent="0.3">
      <c r="A447" t="str">
        <f>""</f>
        <v/>
      </c>
      <c r="F447" t="str">
        <f>"26615988"</f>
        <v>26615988</v>
      </c>
      <c r="G447" t="str">
        <f>"REF#26615988/PLATE#1149393/P4"</f>
        <v>REF#26615988/PLATE#1149393/P4</v>
      </c>
      <c r="H447">
        <v>2.52</v>
      </c>
      <c r="I447" t="str">
        <f>"REF#26615988/PLATE#1149393/P4"</f>
        <v>REF#26615988/PLATE#1149393/P4</v>
      </c>
    </row>
    <row r="448" spans="1:9" x14ac:dyDescent="0.3">
      <c r="A448" t="str">
        <f>""</f>
        <v/>
      </c>
      <c r="F448" t="str">
        <f>"XDK642"</f>
        <v>XDK642</v>
      </c>
      <c r="G448" t="str">
        <f>"REF ID:XDK642/PLATE#KMH9153"</f>
        <v>REF ID:XDK642/PLATE#KMH9153</v>
      </c>
      <c r="H448">
        <v>18.38</v>
      </c>
      <c r="I448" t="str">
        <f>"REF ID:XDK642/PLATE#KMH9153"</f>
        <v>REF ID:XDK642/PLATE#KMH9153</v>
      </c>
    </row>
    <row r="449" spans="1:9" x14ac:dyDescent="0.3">
      <c r="A449" t="str">
        <f>"T13909"</f>
        <v>T13909</v>
      </c>
      <c r="B449" t="s">
        <v>129</v>
      </c>
      <c r="C449">
        <v>77078</v>
      </c>
      <c r="D449" s="2">
        <v>12500</v>
      </c>
      <c r="E449" s="1">
        <v>43262</v>
      </c>
      <c r="F449" t="str">
        <f>"1172"</f>
        <v>1172</v>
      </c>
      <c r="G449" t="str">
        <f>"Inv# 1172"</f>
        <v>Inv# 1172</v>
      </c>
      <c r="H449">
        <v>12500</v>
      </c>
      <c r="I449" t="str">
        <f>"Inv# 1172"</f>
        <v>Inv# 1172</v>
      </c>
    </row>
    <row r="450" spans="1:9" x14ac:dyDescent="0.3">
      <c r="A450" t="str">
        <f>"T9280"</f>
        <v>T9280</v>
      </c>
      <c r="B450" t="s">
        <v>130</v>
      </c>
      <c r="C450">
        <v>77079</v>
      </c>
      <c r="D450" s="2">
        <v>1962.77</v>
      </c>
      <c r="E450" s="1">
        <v>43262</v>
      </c>
      <c r="F450" t="str">
        <f>"304892"</f>
        <v>304892</v>
      </c>
      <c r="G450" t="str">
        <f>"Post U Channel"</f>
        <v>Post U Channel</v>
      </c>
      <c r="H450">
        <v>1962.77</v>
      </c>
      <c r="I450" t="str">
        <f>"10'x2# Green U-Chann"</f>
        <v>10'x2# Green U-Chann</v>
      </c>
    </row>
    <row r="451" spans="1:9" x14ac:dyDescent="0.3">
      <c r="A451" t="str">
        <f>""</f>
        <v/>
      </c>
      <c r="F451" t="str">
        <f>""</f>
        <v/>
      </c>
      <c r="G451" t="str">
        <f>""</f>
        <v/>
      </c>
      <c r="I451" t="str">
        <f>"12'x2# Green"</f>
        <v>12'x2# Green</v>
      </c>
    </row>
    <row r="452" spans="1:9" x14ac:dyDescent="0.3">
      <c r="A452" t="str">
        <f>""</f>
        <v/>
      </c>
      <c r="F452" t="str">
        <f>""</f>
        <v/>
      </c>
      <c r="G452" t="str">
        <f>""</f>
        <v/>
      </c>
      <c r="I452" t="str">
        <f>"Shipping"</f>
        <v>Shipping</v>
      </c>
    </row>
    <row r="453" spans="1:9" x14ac:dyDescent="0.3">
      <c r="A453" t="str">
        <f>"005586"</f>
        <v>005586</v>
      </c>
      <c r="B453" t="s">
        <v>131</v>
      </c>
      <c r="C453">
        <v>77286</v>
      </c>
      <c r="D453" s="2">
        <v>452.25</v>
      </c>
      <c r="E453" s="1">
        <v>43276</v>
      </c>
      <c r="F453" t="str">
        <f>"16946"</f>
        <v>16946</v>
      </c>
      <c r="G453" t="str">
        <f>"MEMORIAL DAY PROJECT/PCT#2"</f>
        <v>MEMORIAL DAY PROJECT/PCT#2</v>
      </c>
      <c r="H453">
        <v>452.25</v>
      </c>
      <c r="I453" t="str">
        <f>"MEMORIAL DAY PROJECT/PCT#2"</f>
        <v>MEMORIAL DAY PROJECT/PCT#2</v>
      </c>
    </row>
    <row r="454" spans="1:9" x14ac:dyDescent="0.3">
      <c r="A454" t="str">
        <f>"T7935"</f>
        <v>T7935</v>
      </c>
      <c r="B454" t="s">
        <v>132</v>
      </c>
      <c r="C454">
        <v>77080</v>
      </c>
      <c r="D454" s="2">
        <v>140.32</v>
      </c>
      <c r="E454" s="1">
        <v>43262</v>
      </c>
      <c r="F454" t="str">
        <f>"31512381 - 59"</f>
        <v>31512381 - 59</v>
      </c>
      <c r="G454" t="str">
        <f>"SCHEDULE#216/LEASE EQUIPMENT"</f>
        <v>SCHEDULE#216/LEASE EQUIPMENT</v>
      </c>
      <c r="H454">
        <v>140.32</v>
      </c>
      <c r="I454" t="str">
        <f>"SCHEDULE#216/LEASE EQUIPMENT"</f>
        <v>SCHEDULE#216/LEASE EQUIPMENT</v>
      </c>
    </row>
    <row r="455" spans="1:9" x14ac:dyDescent="0.3">
      <c r="A455" t="str">
        <f>"002352"</f>
        <v>002352</v>
      </c>
      <c r="B455" t="s">
        <v>133</v>
      </c>
      <c r="C455">
        <v>77081</v>
      </c>
      <c r="D455" s="2">
        <v>210</v>
      </c>
      <c r="E455" s="1">
        <v>43262</v>
      </c>
      <c r="F455" t="str">
        <f>"12894"</f>
        <v>12894</v>
      </c>
      <c r="G455" t="str">
        <f>"SERVICE  03/28/18"</f>
        <v>SERVICE  03/28/18</v>
      </c>
      <c r="H455">
        <v>140</v>
      </c>
      <c r="I455" t="str">
        <f>"SERVICE  03/28/18"</f>
        <v>SERVICE  03/28/18</v>
      </c>
    </row>
    <row r="456" spans="1:9" x14ac:dyDescent="0.3">
      <c r="A456" t="str">
        <f>""</f>
        <v/>
      </c>
      <c r="F456" t="str">
        <f>"8158"</f>
        <v>8158</v>
      </c>
      <c r="G456" t="str">
        <f>"SERVICE  03/26/2018``"</f>
        <v>SERVICE  03/26/2018``</v>
      </c>
      <c r="H456">
        <v>70</v>
      </c>
      <c r="I456" t="str">
        <f>"SERVICE  03/26/2018``"</f>
        <v>SERVICE  03/26/2018``</v>
      </c>
    </row>
    <row r="457" spans="1:9" x14ac:dyDescent="0.3">
      <c r="A457" t="str">
        <f>"002352"</f>
        <v>002352</v>
      </c>
      <c r="B457" t="s">
        <v>133</v>
      </c>
      <c r="C457">
        <v>77287</v>
      </c>
      <c r="D457" s="2">
        <v>160</v>
      </c>
      <c r="E457" s="1">
        <v>43276</v>
      </c>
      <c r="F457" t="str">
        <f>"12813"</f>
        <v>12813</v>
      </c>
      <c r="G457" t="str">
        <f>"SERVICE 04/27/18"</f>
        <v>SERVICE 04/27/18</v>
      </c>
      <c r="H457">
        <v>80</v>
      </c>
      <c r="I457" t="str">
        <f>"SERVICE 04/27/18"</f>
        <v>SERVICE 04/27/18</v>
      </c>
    </row>
    <row r="458" spans="1:9" x14ac:dyDescent="0.3">
      <c r="A458" t="str">
        <f>""</f>
        <v/>
      </c>
      <c r="F458" t="str">
        <f>"12862"</f>
        <v>12862</v>
      </c>
      <c r="G458" t="str">
        <f>"SERVICE  04/30/18"</f>
        <v>SERVICE  04/30/18</v>
      </c>
      <c r="H458">
        <v>80</v>
      </c>
      <c r="I458" t="str">
        <f>"SERVICE  04/30/18"</f>
        <v>SERVICE  04/30/18</v>
      </c>
    </row>
    <row r="459" spans="1:9" x14ac:dyDescent="0.3">
      <c r="A459" t="str">
        <f>"BROOKS"</f>
        <v>BROOKS</v>
      </c>
      <c r="B459" t="s">
        <v>134</v>
      </c>
      <c r="C459">
        <v>77082</v>
      </c>
      <c r="D459" s="2">
        <v>100</v>
      </c>
      <c r="E459" s="1">
        <v>43262</v>
      </c>
      <c r="F459" t="str">
        <f>"201806061406"</f>
        <v>201806061406</v>
      </c>
      <c r="G459" t="str">
        <f>"LEGAL CONSULT SVCS-MAY 2018"</f>
        <v>LEGAL CONSULT SVCS-MAY 2018</v>
      </c>
      <c r="H459">
        <v>100</v>
      </c>
      <c r="I459" t="str">
        <f>"LEGAL CONSULT SVCS-MAY 2018"</f>
        <v>LEGAL CONSULT SVCS-MAY 2018</v>
      </c>
    </row>
    <row r="460" spans="1:9" x14ac:dyDescent="0.3">
      <c r="A460" t="str">
        <f>"003335"</f>
        <v>003335</v>
      </c>
      <c r="B460" t="s">
        <v>135</v>
      </c>
      <c r="C460">
        <v>999999</v>
      </c>
      <c r="D460" s="2">
        <v>670</v>
      </c>
      <c r="E460" s="1">
        <v>43263</v>
      </c>
      <c r="F460" t="str">
        <f>"201806061385"</f>
        <v>201806061385</v>
      </c>
      <c r="G460" t="str">
        <f>"17-18543"</f>
        <v>17-18543</v>
      </c>
      <c r="H460">
        <v>160</v>
      </c>
      <c r="I460" t="str">
        <f>"17-18543"</f>
        <v>17-18543</v>
      </c>
    </row>
    <row r="461" spans="1:9" x14ac:dyDescent="0.3">
      <c r="A461" t="str">
        <f>""</f>
        <v/>
      </c>
      <c r="F461" t="str">
        <f>"201806061386"</f>
        <v>201806061386</v>
      </c>
      <c r="G461" t="str">
        <f>"DENT. HY"</f>
        <v>DENT. HY</v>
      </c>
      <c r="H461">
        <v>100</v>
      </c>
      <c r="I461" t="str">
        <f>"DENT. HY"</f>
        <v>DENT. HY</v>
      </c>
    </row>
    <row r="462" spans="1:9" x14ac:dyDescent="0.3">
      <c r="A462" t="str">
        <f>""</f>
        <v/>
      </c>
      <c r="F462" t="str">
        <f>"201806061387"</f>
        <v>201806061387</v>
      </c>
      <c r="G462" t="str">
        <f>"17-18754"</f>
        <v>17-18754</v>
      </c>
      <c r="H462">
        <v>235</v>
      </c>
      <c r="I462" t="str">
        <f>"17-18754"</f>
        <v>17-18754</v>
      </c>
    </row>
    <row r="463" spans="1:9" x14ac:dyDescent="0.3">
      <c r="A463" t="str">
        <f>""</f>
        <v/>
      </c>
      <c r="F463" t="str">
        <f>"201806061388"</f>
        <v>201806061388</v>
      </c>
      <c r="G463" t="str">
        <f>"17-18392"</f>
        <v>17-18392</v>
      </c>
      <c r="H463">
        <v>175</v>
      </c>
      <c r="I463" t="str">
        <f>"17-18392"</f>
        <v>17-18392</v>
      </c>
    </row>
    <row r="464" spans="1:9" x14ac:dyDescent="0.3">
      <c r="A464" t="str">
        <f>"003335"</f>
        <v>003335</v>
      </c>
      <c r="B464" t="s">
        <v>135</v>
      </c>
      <c r="C464">
        <v>999999</v>
      </c>
      <c r="D464" s="2">
        <v>100</v>
      </c>
      <c r="E464" s="1">
        <v>43277</v>
      </c>
      <c r="F464" t="str">
        <f>"201806131564"</f>
        <v>201806131564</v>
      </c>
      <c r="G464" t="str">
        <f>"423-2287"</f>
        <v>423-2287</v>
      </c>
      <c r="H464">
        <v>100</v>
      </c>
      <c r="I464" t="str">
        <f>"423-2287"</f>
        <v>423-2287</v>
      </c>
    </row>
    <row r="465" spans="1:9" x14ac:dyDescent="0.3">
      <c r="A465" t="str">
        <f>"DELL"</f>
        <v>DELL</v>
      </c>
      <c r="B465" t="s">
        <v>136</v>
      </c>
      <c r="C465">
        <v>77083</v>
      </c>
      <c r="D465" s="2">
        <v>203.81</v>
      </c>
      <c r="E465" s="1">
        <v>43262</v>
      </c>
      <c r="F465" t="str">
        <f>"10244848415"</f>
        <v>10244848415</v>
      </c>
      <c r="G465" t="str">
        <f>"Discovery clerk's monitor"</f>
        <v>Discovery clerk's monitor</v>
      </c>
      <c r="H465">
        <v>203.81</v>
      </c>
      <c r="I465" t="str">
        <f>"Dell 23 Monitor"</f>
        <v>Dell 23 Monitor</v>
      </c>
    </row>
    <row r="466" spans="1:9" x14ac:dyDescent="0.3">
      <c r="A466" t="str">
        <f>""</f>
        <v/>
      </c>
      <c r="F466" t="str">
        <f>""</f>
        <v/>
      </c>
      <c r="G466" t="str">
        <f>""</f>
        <v/>
      </c>
      <c r="I466" t="str">
        <f>"Soundbar"</f>
        <v>Soundbar</v>
      </c>
    </row>
    <row r="467" spans="1:9" x14ac:dyDescent="0.3">
      <c r="A467" t="str">
        <f>"DELL"</f>
        <v>DELL</v>
      </c>
      <c r="B467" t="s">
        <v>136</v>
      </c>
      <c r="C467">
        <v>77288</v>
      </c>
      <c r="D467" s="2">
        <v>1565.15</v>
      </c>
      <c r="E467" s="1">
        <v>43276</v>
      </c>
      <c r="F467" t="str">
        <f>"10247504474"</f>
        <v>10247504474</v>
      </c>
      <c r="G467" t="str">
        <f>"Laptop for Docking Statio"</f>
        <v>Laptop for Docking Statio</v>
      </c>
      <c r="H467">
        <v>1565.15</v>
      </c>
      <c r="I467" t="str">
        <f>"XPS 13 Silver Non-To"</f>
        <v>XPS 13 Silver Non-To</v>
      </c>
    </row>
    <row r="468" spans="1:9" x14ac:dyDescent="0.3">
      <c r="A468" t="str">
        <f>""</f>
        <v/>
      </c>
      <c r="F468" t="str">
        <f>""</f>
        <v/>
      </c>
      <c r="G468" t="str">
        <f>""</f>
        <v/>
      </c>
      <c r="I468" t="str">
        <f>"Discount"</f>
        <v>Discount</v>
      </c>
    </row>
    <row r="469" spans="1:9" x14ac:dyDescent="0.3">
      <c r="A469" t="str">
        <f>""</f>
        <v/>
      </c>
      <c r="F469" t="str">
        <f>""</f>
        <v/>
      </c>
      <c r="G469" t="str">
        <f>""</f>
        <v/>
      </c>
      <c r="I469" t="str">
        <f>"Dell Dock – WD15 wit"</f>
        <v>Dell Dock – WD15 wit</v>
      </c>
    </row>
    <row r="470" spans="1:9" x14ac:dyDescent="0.3">
      <c r="A470" t="str">
        <f>""</f>
        <v/>
      </c>
      <c r="F470" t="str">
        <f>""</f>
        <v/>
      </c>
      <c r="G470" t="str">
        <f>""</f>
        <v/>
      </c>
      <c r="I470" t="str">
        <f>"Discount"</f>
        <v>Discount</v>
      </c>
    </row>
    <row r="471" spans="1:9" x14ac:dyDescent="0.3">
      <c r="A471" t="str">
        <f>"DENTRU"</f>
        <v>DENTRU</v>
      </c>
      <c r="B471" t="s">
        <v>137</v>
      </c>
      <c r="C471">
        <v>999999</v>
      </c>
      <c r="D471" s="2">
        <v>1510</v>
      </c>
      <c r="E471" s="1">
        <v>43277</v>
      </c>
      <c r="F471" t="str">
        <f>"BATX015428"</f>
        <v>BATX015428</v>
      </c>
      <c r="G471" t="str">
        <f>"INV BATX015428"</f>
        <v>INV BATX015428</v>
      </c>
      <c r="H471">
        <v>1510</v>
      </c>
      <c r="I471" t="str">
        <f>"INV BATX015428"</f>
        <v>INV BATX015428</v>
      </c>
    </row>
    <row r="472" spans="1:9" x14ac:dyDescent="0.3">
      <c r="A472" t="str">
        <f>"T5686"</f>
        <v>T5686</v>
      </c>
      <c r="B472" t="s">
        <v>138</v>
      </c>
      <c r="C472">
        <v>77084</v>
      </c>
      <c r="D472" s="2">
        <v>501.72</v>
      </c>
      <c r="E472" s="1">
        <v>43262</v>
      </c>
      <c r="F472" t="str">
        <f>"24439"</f>
        <v>24439</v>
      </c>
      <c r="G472" t="str">
        <f>"DUPLICATE KEY/RINGS/GEN SVCS"</f>
        <v>DUPLICATE KEY/RINGS/GEN SVCS</v>
      </c>
      <c r="H472">
        <v>96.99</v>
      </c>
      <c r="I472" t="str">
        <f>"DUPLICATE KEY/RINGS/GEN SVCS"</f>
        <v>DUPLICATE KEY/RINGS/GEN SVCS</v>
      </c>
    </row>
    <row r="473" spans="1:9" x14ac:dyDescent="0.3">
      <c r="A473" t="str">
        <f>""</f>
        <v/>
      </c>
      <c r="F473" t="str">
        <f>"24453"</f>
        <v>24453</v>
      </c>
      <c r="G473" t="str">
        <f>"KEY SVCS"</f>
        <v>KEY SVCS</v>
      </c>
      <c r="H473">
        <v>172.5</v>
      </c>
      <c r="I473" t="str">
        <f>"KEY SVCS"</f>
        <v>KEY SVCS</v>
      </c>
    </row>
    <row r="474" spans="1:9" x14ac:dyDescent="0.3">
      <c r="A474" t="str">
        <f>""</f>
        <v/>
      </c>
      <c r="F474" t="str">
        <f>"24470"</f>
        <v>24470</v>
      </c>
      <c r="G474" t="str">
        <f>"DUPLICATE KEYS/GEN SVCS"</f>
        <v>DUPLICATE KEYS/GEN SVCS</v>
      </c>
      <c r="H474">
        <v>12</v>
      </c>
      <c r="I474" t="str">
        <f>"DUPLICATE KEYS/GEN SVCS"</f>
        <v>DUPLICATE KEYS/GEN SVCS</v>
      </c>
    </row>
    <row r="475" spans="1:9" x14ac:dyDescent="0.3">
      <c r="A475" t="str">
        <f>""</f>
        <v/>
      </c>
      <c r="F475" t="str">
        <f>"24480"</f>
        <v>24480</v>
      </c>
      <c r="G475" t="str">
        <f>"DUPLICATE KEYS/GEN SVCS"</f>
        <v>DUPLICATE KEYS/GEN SVCS</v>
      </c>
      <c r="H475">
        <v>28</v>
      </c>
      <c r="I475" t="str">
        <f>"DUPLICATE KEYS/GEN SVCS"</f>
        <v>DUPLICATE KEYS/GEN SVCS</v>
      </c>
    </row>
    <row r="476" spans="1:9" x14ac:dyDescent="0.3">
      <c r="A476" t="str">
        <f>""</f>
        <v/>
      </c>
      <c r="F476" t="str">
        <f>"24487"</f>
        <v>24487</v>
      </c>
      <c r="G476" t="str">
        <f>"KEY RING/TAGS"</f>
        <v>KEY RING/TAGS</v>
      </c>
      <c r="H476">
        <v>182.23</v>
      </c>
      <c r="I476" t="str">
        <f>"KEY RING/TAGS"</f>
        <v>KEY RING/TAGS</v>
      </c>
    </row>
    <row r="477" spans="1:9" x14ac:dyDescent="0.3">
      <c r="A477" t="str">
        <f>""</f>
        <v/>
      </c>
      <c r="F477" t="str">
        <f>"24516"</f>
        <v>24516</v>
      </c>
      <c r="G477" t="str">
        <f>"INV 24516"</f>
        <v>INV 24516</v>
      </c>
      <c r="H477">
        <v>10</v>
      </c>
      <c r="I477" t="str">
        <f>"INV 24516 /UNIT 4784"</f>
        <v>INV 24516 /UNIT 4784</v>
      </c>
    </row>
    <row r="478" spans="1:9" x14ac:dyDescent="0.3">
      <c r="A478" t="str">
        <f>"005587"</f>
        <v>005587</v>
      </c>
      <c r="B478" t="s">
        <v>139</v>
      </c>
      <c r="C478">
        <v>77289</v>
      </c>
      <c r="D478" s="2">
        <v>350</v>
      </c>
      <c r="E478" s="1">
        <v>43276</v>
      </c>
      <c r="F478" t="str">
        <f>"ORD-15354"</f>
        <v>ORD-15354</v>
      </c>
      <c r="G478" t="str">
        <f>"TECHNICAL COURSEWARE BOOK"</f>
        <v>TECHNICAL COURSEWARE BOOK</v>
      </c>
      <c r="H478">
        <v>350</v>
      </c>
      <c r="I478" t="str">
        <f>"TECHNICAL COURSEWARE BOOK"</f>
        <v>TECHNICAL COURSEWARE BOOK</v>
      </c>
    </row>
    <row r="479" spans="1:9" x14ac:dyDescent="0.3">
      <c r="A479" t="str">
        <f>"005574"</f>
        <v>005574</v>
      </c>
      <c r="B479" t="s">
        <v>140</v>
      </c>
      <c r="C479">
        <v>77085</v>
      </c>
      <c r="D479" s="2">
        <v>150</v>
      </c>
      <c r="E479" s="1">
        <v>43262</v>
      </c>
      <c r="F479" t="str">
        <f>"201806051262"</f>
        <v>201806051262</v>
      </c>
      <c r="G479" t="str">
        <f>"CONFERENCE-APRIL KUCK"</f>
        <v>CONFERENCE-APRIL KUCK</v>
      </c>
      <c r="H479">
        <v>150</v>
      </c>
      <c r="I479" t="str">
        <f>"CONFERENCE-APRIL KUCK"</f>
        <v>CONFERENCE-APRIL KUCK</v>
      </c>
    </row>
    <row r="480" spans="1:9" x14ac:dyDescent="0.3">
      <c r="A480" t="str">
        <f>"001622"</f>
        <v>001622</v>
      </c>
      <c r="B480" t="s">
        <v>141</v>
      </c>
      <c r="C480">
        <v>77086</v>
      </c>
      <c r="D480" s="2">
        <v>210.09</v>
      </c>
      <c r="E480" s="1">
        <v>43262</v>
      </c>
      <c r="F480" t="str">
        <f>"201806061400"</f>
        <v>201806061400</v>
      </c>
      <c r="G480" t="str">
        <f>"PER DIEM/MILEAGE"</f>
        <v>PER DIEM/MILEAGE</v>
      </c>
      <c r="H480">
        <v>210.09</v>
      </c>
      <c r="I480" t="str">
        <f>"PER DIEM/MILEAGE"</f>
        <v>PER DIEM/MILEAGE</v>
      </c>
    </row>
    <row r="481" spans="1:9" x14ac:dyDescent="0.3">
      <c r="A481" t="str">
        <f>"T13918"</f>
        <v>T13918</v>
      </c>
      <c r="B481" t="s">
        <v>142</v>
      </c>
      <c r="C481">
        <v>77087</v>
      </c>
      <c r="D481" s="2">
        <v>3362.4</v>
      </c>
      <c r="E481" s="1">
        <v>43262</v>
      </c>
      <c r="F481" t="str">
        <f>"32049"</f>
        <v>32049</v>
      </c>
      <c r="G481" t="str">
        <f>"UNIT#JJ2/PCT#4"</f>
        <v>UNIT#JJ2/PCT#4</v>
      </c>
      <c r="H481">
        <v>505.4</v>
      </c>
      <c r="I481" t="str">
        <f>"UNIT#JJ2/PCT#4"</f>
        <v>UNIT#JJ2/PCT#4</v>
      </c>
    </row>
    <row r="482" spans="1:9" x14ac:dyDescent="0.3">
      <c r="A482" t="str">
        <f>""</f>
        <v/>
      </c>
      <c r="F482" t="str">
        <f>"32176"</f>
        <v>32176</v>
      </c>
      <c r="G482" t="str">
        <f>"UNIT#BD2/PCT#4"</f>
        <v>UNIT#BD2/PCT#4</v>
      </c>
      <c r="H482">
        <v>2857</v>
      </c>
      <c r="I482" t="str">
        <f>"UNIT#BD2/PCT#4"</f>
        <v>UNIT#BD2/PCT#4</v>
      </c>
    </row>
    <row r="483" spans="1:9" x14ac:dyDescent="0.3">
      <c r="A483" t="str">
        <f>"T9323"</f>
        <v>T9323</v>
      </c>
      <c r="B483" t="s">
        <v>143</v>
      </c>
      <c r="C483">
        <v>999999</v>
      </c>
      <c r="D483" s="2">
        <v>3275</v>
      </c>
      <c r="E483" s="1">
        <v>43263</v>
      </c>
      <c r="F483" t="str">
        <f>"201805301216"</f>
        <v>201805301216</v>
      </c>
      <c r="G483" t="str">
        <f>"DCPC 17 015"</f>
        <v>DCPC 17 015</v>
      </c>
      <c r="H483">
        <v>400</v>
      </c>
      <c r="I483" t="str">
        <f>"DCPC 17 015"</f>
        <v>DCPC 17 015</v>
      </c>
    </row>
    <row r="484" spans="1:9" x14ac:dyDescent="0.3">
      <c r="A484" t="str">
        <f>""</f>
        <v/>
      </c>
      <c r="F484" t="str">
        <f>"201805301217"</f>
        <v>201805301217</v>
      </c>
      <c r="G484" t="str">
        <f>"409 206 1M/409 206 2M"</f>
        <v>409 206 1M/409 206 2M</v>
      </c>
      <c r="H484">
        <v>1000</v>
      </c>
      <c r="I484" t="str">
        <f>"409 206 1M/409 206 2M"</f>
        <v>409 206 1M/409 206 2M</v>
      </c>
    </row>
    <row r="485" spans="1:9" x14ac:dyDescent="0.3">
      <c r="A485" t="str">
        <f>""</f>
        <v/>
      </c>
      <c r="F485" t="str">
        <f>"201806011239"</f>
        <v>201806011239</v>
      </c>
      <c r="G485" t="str">
        <f>"AC 2018 0312 A"</f>
        <v>AC 2018 0312 A</v>
      </c>
      <c r="H485">
        <v>400</v>
      </c>
      <c r="I485" t="str">
        <f>"AC 2018 0312 A"</f>
        <v>AC 2018 0312 A</v>
      </c>
    </row>
    <row r="486" spans="1:9" x14ac:dyDescent="0.3">
      <c r="A486" t="str">
        <f>""</f>
        <v/>
      </c>
      <c r="F486" t="str">
        <f>"201806051329"</f>
        <v>201806051329</v>
      </c>
      <c r="G486" t="str">
        <f>"18-18960"</f>
        <v>18-18960</v>
      </c>
      <c r="H486">
        <v>100</v>
      </c>
      <c r="I486" t="str">
        <f>"18-18960"</f>
        <v>18-18960</v>
      </c>
    </row>
    <row r="487" spans="1:9" x14ac:dyDescent="0.3">
      <c r="A487" t="str">
        <f>""</f>
        <v/>
      </c>
      <c r="F487" t="str">
        <f>"201806051334"</f>
        <v>201806051334</v>
      </c>
      <c r="G487" t="str">
        <f>"18-18960"</f>
        <v>18-18960</v>
      </c>
      <c r="H487">
        <v>150</v>
      </c>
      <c r="I487" t="str">
        <f>"18-18960"</f>
        <v>18-18960</v>
      </c>
    </row>
    <row r="488" spans="1:9" x14ac:dyDescent="0.3">
      <c r="A488" t="str">
        <f>""</f>
        <v/>
      </c>
      <c r="F488" t="str">
        <f>"201806051335"</f>
        <v>201806051335</v>
      </c>
      <c r="G488" t="str">
        <f>"09-13569"</f>
        <v>09-13569</v>
      </c>
      <c r="H488">
        <v>100</v>
      </c>
      <c r="I488" t="str">
        <f>"09-13569"</f>
        <v>09-13569</v>
      </c>
    </row>
    <row r="489" spans="1:9" x14ac:dyDescent="0.3">
      <c r="A489" t="str">
        <f>""</f>
        <v/>
      </c>
      <c r="F489" t="str">
        <f>"201806061359"</f>
        <v>201806061359</v>
      </c>
      <c r="G489" t="str">
        <f>"56135"</f>
        <v>56135</v>
      </c>
      <c r="H489">
        <v>250</v>
      </c>
      <c r="I489" t="str">
        <f>"56135"</f>
        <v>56135</v>
      </c>
    </row>
    <row r="490" spans="1:9" x14ac:dyDescent="0.3">
      <c r="A490" t="str">
        <f>""</f>
        <v/>
      </c>
      <c r="F490" t="str">
        <f>"201806061367"</f>
        <v>201806061367</v>
      </c>
      <c r="G490" t="str">
        <f>"55959"</f>
        <v>55959</v>
      </c>
      <c r="H490">
        <v>250</v>
      </c>
      <c r="I490" t="str">
        <f>"55959"</f>
        <v>55959</v>
      </c>
    </row>
    <row r="491" spans="1:9" x14ac:dyDescent="0.3">
      <c r="A491" t="str">
        <f>""</f>
        <v/>
      </c>
      <c r="F491" t="str">
        <f>"201806061381"</f>
        <v>201806061381</v>
      </c>
      <c r="G491" t="str">
        <f>"56061  RA-17-170368A"</f>
        <v>56061  RA-17-170368A</v>
      </c>
      <c r="H491">
        <v>375</v>
      </c>
      <c r="I491" t="str">
        <f>"56061  RA-17-170368A"</f>
        <v>56061  RA-17-170368A</v>
      </c>
    </row>
    <row r="492" spans="1:9" x14ac:dyDescent="0.3">
      <c r="A492" t="str">
        <f>""</f>
        <v/>
      </c>
      <c r="F492" t="str">
        <f>"201806061382"</f>
        <v>201806061382</v>
      </c>
      <c r="G492" t="str">
        <f>"56008"</f>
        <v>56008</v>
      </c>
      <c r="H492">
        <v>250</v>
      </c>
      <c r="I492" t="str">
        <f>"56008"</f>
        <v>56008</v>
      </c>
    </row>
    <row r="493" spans="1:9" x14ac:dyDescent="0.3">
      <c r="A493" t="str">
        <f>"T9323"</f>
        <v>T9323</v>
      </c>
      <c r="B493" t="s">
        <v>143</v>
      </c>
      <c r="C493">
        <v>999999</v>
      </c>
      <c r="D493" s="2">
        <v>4575</v>
      </c>
      <c r="E493" s="1">
        <v>43277</v>
      </c>
      <c r="F493" t="str">
        <f>"201806131560"</f>
        <v>201806131560</v>
      </c>
      <c r="G493" t="str">
        <f>"15552"</f>
        <v>15552</v>
      </c>
      <c r="H493">
        <v>400</v>
      </c>
      <c r="I493" t="str">
        <f>"15552"</f>
        <v>15552</v>
      </c>
    </row>
    <row r="494" spans="1:9" x14ac:dyDescent="0.3">
      <c r="A494" t="str">
        <f>""</f>
        <v/>
      </c>
      <c r="F494" t="str">
        <f>"201806141607"</f>
        <v>201806141607</v>
      </c>
      <c r="G494" t="str">
        <f>"16495"</f>
        <v>16495</v>
      </c>
      <c r="H494">
        <v>400</v>
      </c>
      <c r="I494" t="str">
        <f>"16495"</f>
        <v>16495</v>
      </c>
    </row>
    <row r="495" spans="1:9" x14ac:dyDescent="0.3">
      <c r="A495" t="str">
        <f>""</f>
        <v/>
      </c>
      <c r="F495" t="str">
        <f>"201806141608"</f>
        <v>201806141608</v>
      </c>
      <c r="G495" t="str">
        <f>"16067"</f>
        <v>16067</v>
      </c>
      <c r="H495">
        <v>400</v>
      </c>
      <c r="I495" t="str">
        <f>"16067"</f>
        <v>16067</v>
      </c>
    </row>
    <row r="496" spans="1:9" x14ac:dyDescent="0.3">
      <c r="A496" t="str">
        <f>""</f>
        <v/>
      </c>
      <c r="F496" t="str">
        <f>"201806141609"</f>
        <v>201806141609</v>
      </c>
      <c r="G496" t="str">
        <f>"16338"</f>
        <v>16338</v>
      </c>
      <c r="H496">
        <v>2500</v>
      </c>
      <c r="I496" t="str">
        <f>"16338"</f>
        <v>16338</v>
      </c>
    </row>
    <row r="497" spans="1:9" x14ac:dyDescent="0.3">
      <c r="A497" t="str">
        <f>""</f>
        <v/>
      </c>
      <c r="F497" t="str">
        <f>"201806201705"</f>
        <v>201806201705</v>
      </c>
      <c r="G497" t="str">
        <f>"56032  401188-3"</f>
        <v>56032  401188-3</v>
      </c>
      <c r="H497">
        <v>375</v>
      </c>
      <c r="I497" t="str">
        <f>"56032  401188-3"</f>
        <v>56032  401188-3</v>
      </c>
    </row>
    <row r="498" spans="1:9" x14ac:dyDescent="0.3">
      <c r="A498" t="str">
        <f>""</f>
        <v/>
      </c>
      <c r="F498" t="str">
        <f>"201806201707"</f>
        <v>201806201707</v>
      </c>
      <c r="G498" t="str">
        <f>"304072018G"</f>
        <v>304072018G</v>
      </c>
      <c r="H498">
        <v>250</v>
      </c>
      <c r="I498" t="str">
        <f>"304072018G"</f>
        <v>304072018G</v>
      </c>
    </row>
    <row r="499" spans="1:9" x14ac:dyDescent="0.3">
      <c r="A499" t="str">
        <f>""</f>
        <v/>
      </c>
      <c r="F499" t="str">
        <f>"201806201708"</f>
        <v>201806201708</v>
      </c>
      <c r="G499" t="str">
        <f>"02-0527-8"</f>
        <v>02-0527-8</v>
      </c>
      <c r="H499">
        <v>250</v>
      </c>
      <c r="I499" t="str">
        <f>"02-0527-8"</f>
        <v>02-0527-8</v>
      </c>
    </row>
    <row r="500" spans="1:9" x14ac:dyDescent="0.3">
      <c r="A500" t="str">
        <f>"ECOLAB"</f>
        <v>ECOLAB</v>
      </c>
      <c r="B500" t="s">
        <v>144</v>
      </c>
      <c r="C500">
        <v>999999</v>
      </c>
      <c r="D500" s="2">
        <v>696.04</v>
      </c>
      <c r="E500" s="1">
        <v>43263</v>
      </c>
      <c r="F500" t="str">
        <f>"9613800"</f>
        <v>9613800</v>
      </c>
      <c r="G500" t="str">
        <f>"INV 9613800"</f>
        <v>INV 9613800</v>
      </c>
      <c r="H500">
        <v>696.04</v>
      </c>
      <c r="I500" t="str">
        <f>"INV 9613800"</f>
        <v>INV 9613800</v>
      </c>
    </row>
    <row r="501" spans="1:9" x14ac:dyDescent="0.3">
      <c r="A501" t="str">
        <f>"ECOLAB"</f>
        <v>ECOLAB</v>
      </c>
      <c r="B501" t="s">
        <v>144</v>
      </c>
      <c r="C501">
        <v>999999</v>
      </c>
      <c r="D501" s="2">
        <v>854.99</v>
      </c>
      <c r="E501" s="1">
        <v>43277</v>
      </c>
      <c r="F501" t="str">
        <f>"9902167"</f>
        <v>9902167</v>
      </c>
      <c r="G501" t="str">
        <f>"INV 9902167"</f>
        <v>INV 9902167</v>
      </c>
      <c r="H501">
        <v>854.99</v>
      </c>
      <c r="I501" t="str">
        <f>"INV 9902167"</f>
        <v>INV 9902167</v>
      </c>
    </row>
    <row r="502" spans="1:9" x14ac:dyDescent="0.3">
      <c r="A502" t="str">
        <f>"005566"</f>
        <v>005566</v>
      </c>
      <c r="B502" t="s">
        <v>145</v>
      </c>
      <c r="C502">
        <v>77088</v>
      </c>
      <c r="D502" s="2">
        <v>350</v>
      </c>
      <c r="E502" s="1">
        <v>43262</v>
      </c>
      <c r="F502" t="str">
        <f>"040518"</f>
        <v>040518</v>
      </c>
      <c r="G502" t="str">
        <f>"GEN SVCS INSP/DECAL#57601-2"</f>
        <v>GEN SVCS INSP/DECAL#57601-2</v>
      </c>
      <c r="H502">
        <v>350</v>
      </c>
      <c r="I502" t="str">
        <f>"GEN SVCS INSP/DECAL#57601-2"</f>
        <v>GEN SVCS INSP/DECAL#57601-2</v>
      </c>
    </row>
    <row r="503" spans="1:9" x14ac:dyDescent="0.3">
      <c r="A503" t="str">
        <f>"EU"</f>
        <v>EU</v>
      </c>
      <c r="B503" t="s">
        <v>146</v>
      </c>
      <c r="C503">
        <v>77019</v>
      </c>
      <c r="D503" s="2">
        <v>1165.8499999999999</v>
      </c>
      <c r="E503" s="1">
        <v>43259</v>
      </c>
      <c r="F503" t="str">
        <f>"201806081455"</f>
        <v>201806081455</v>
      </c>
      <c r="G503" t="str">
        <f>"ACCT#007-0008410-002/05312018"</f>
        <v>ACCT#007-0008410-002/05312018</v>
      </c>
      <c r="H503">
        <v>252.08</v>
      </c>
      <c r="I503" t="str">
        <f>"ACCT#007-0008410-002/05312018"</f>
        <v>ACCT#007-0008410-002/05312018</v>
      </c>
    </row>
    <row r="504" spans="1:9" x14ac:dyDescent="0.3">
      <c r="A504" t="str">
        <f>""</f>
        <v/>
      </c>
      <c r="F504" t="str">
        <f>"201806081456"</f>
        <v>201806081456</v>
      </c>
      <c r="G504" t="str">
        <f>"ACCT#007-011501-000/05312018"</f>
        <v>ACCT#007-011501-000/05312018</v>
      </c>
      <c r="H504">
        <v>111.52</v>
      </c>
      <c r="I504" t="str">
        <f>"ACCT#007-011501-000/05312018"</f>
        <v>ACCT#007-011501-000/05312018</v>
      </c>
    </row>
    <row r="505" spans="1:9" x14ac:dyDescent="0.3">
      <c r="A505" t="str">
        <f>""</f>
        <v/>
      </c>
      <c r="F505" t="str">
        <f>"201806081457"</f>
        <v>201806081457</v>
      </c>
      <c r="G505" t="str">
        <f>"ACCT#007-0011510-000/05312018"</f>
        <v>ACCT#007-0011510-000/05312018</v>
      </c>
      <c r="H505">
        <v>251.95</v>
      </c>
      <c r="I505" t="str">
        <f>"ACCT#007-0011510-000/05312018"</f>
        <v>ACCT#007-0011510-000/05312018</v>
      </c>
    </row>
    <row r="506" spans="1:9" x14ac:dyDescent="0.3">
      <c r="A506" t="str">
        <f>""</f>
        <v/>
      </c>
      <c r="F506" t="str">
        <f>"201806081458"</f>
        <v>201806081458</v>
      </c>
      <c r="G506" t="str">
        <f>"ACCT#007-0011530-000/05312018"</f>
        <v>ACCT#007-0011530-000/05312018</v>
      </c>
      <c r="H506">
        <v>97.4</v>
      </c>
      <c r="I506" t="str">
        <f>"ACCT#007-0011530-000/05312018"</f>
        <v>ACCT#007-0011530-000/05312018</v>
      </c>
    </row>
    <row r="507" spans="1:9" x14ac:dyDescent="0.3">
      <c r="A507" t="str">
        <f>""</f>
        <v/>
      </c>
      <c r="F507" t="str">
        <f>"201806081459"</f>
        <v>201806081459</v>
      </c>
      <c r="G507" t="str">
        <f>"ACCT#007-0011534-001/05312018"</f>
        <v>ACCT#007-0011534-001/05312018</v>
      </c>
      <c r="H507">
        <v>156.88</v>
      </c>
      <c r="I507" t="str">
        <f>"ACCT#007-0011534-001/05312018"</f>
        <v>ACCT#007-0011534-001/05312018</v>
      </c>
    </row>
    <row r="508" spans="1:9" x14ac:dyDescent="0.3">
      <c r="A508" t="str">
        <f>""</f>
        <v/>
      </c>
      <c r="F508" t="str">
        <f>"201806081460"</f>
        <v>201806081460</v>
      </c>
      <c r="G508" t="str">
        <f>"ACCT#007-0011535-000/05312018"</f>
        <v>ACCT#007-0011535-000/05312018</v>
      </c>
      <c r="H508">
        <v>143.69</v>
      </c>
      <c r="I508" t="str">
        <f>"ACCT#007-0011535-000/05312018"</f>
        <v>ACCT#007-0011535-000/05312018</v>
      </c>
    </row>
    <row r="509" spans="1:9" x14ac:dyDescent="0.3">
      <c r="A509" t="str">
        <f>""</f>
        <v/>
      </c>
      <c r="F509" t="str">
        <f>"201806081461"</f>
        <v>201806081461</v>
      </c>
      <c r="G509" t="str">
        <f>"ACCT#007-0011544-001/05312018"</f>
        <v>ACCT#007-0011544-001/05312018</v>
      </c>
      <c r="H509">
        <v>111.49</v>
      </c>
      <c r="I509" t="str">
        <f>"ACCT#007-0011544-001/05312018"</f>
        <v>ACCT#007-0011544-001/05312018</v>
      </c>
    </row>
    <row r="510" spans="1:9" x14ac:dyDescent="0.3">
      <c r="A510" t="str">
        <f>""</f>
        <v/>
      </c>
      <c r="F510" t="str">
        <f>"201806081462"</f>
        <v>201806081462</v>
      </c>
      <c r="G510" t="str">
        <f>"ACCT#007-0071128-001/05312018"</f>
        <v>ACCT#007-0071128-001/05312018</v>
      </c>
      <c r="H510">
        <v>40.840000000000003</v>
      </c>
      <c r="I510" t="str">
        <f>"ACCT#007-0071128-001/05312018"</f>
        <v>ACCT#007-0071128-001/05312018</v>
      </c>
    </row>
    <row r="511" spans="1:9" x14ac:dyDescent="0.3">
      <c r="A511" t="str">
        <f>"003027"</f>
        <v>003027</v>
      </c>
      <c r="B511" t="s">
        <v>147</v>
      </c>
      <c r="C511">
        <v>77089</v>
      </c>
      <c r="D511" s="2">
        <v>1074.33</v>
      </c>
      <c r="E511" s="1">
        <v>43262</v>
      </c>
      <c r="F511" t="str">
        <f>"145-17228-01"</f>
        <v>145-17228-01</v>
      </c>
      <c r="G511" t="str">
        <f>"ACCT#0888336/TELECOMM GRDG BAR"</f>
        <v>ACCT#0888336/TELECOMM GRDG BAR</v>
      </c>
      <c r="H511">
        <v>104.44</v>
      </c>
      <c r="I511" t="str">
        <f>"ACCT#0888336/TELECOMM GRDG BAR"</f>
        <v>ACCT#0888336/TELECOMM GRDG BAR</v>
      </c>
    </row>
    <row r="512" spans="1:9" x14ac:dyDescent="0.3">
      <c r="A512" t="str">
        <f>""</f>
        <v/>
      </c>
      <c r="F512" t="str">
        <f>"145-17769-01"</f>
        <v>145-17769-01</v>
      </c>
      <c r="G512" t="str">
        <f>"ACCT#0888336/GEN SVCS"</f>
        <v>ACCT#0888336/GEN SVCS</v>
      </c>
      <c r="H512">
        <v>31.86</v>
      </c>
      <c r="I512" t="str">
        <f>"ACCT#0888336/GEN SVCS"</f>
        <v>ACCT#0888336/GEN SVCS</v>
      </c>
    </row>
    <row r="513" spans="1:9" x14ac:dyDescent="0.3">
      <c r="A513" t="str">
        <f>""</f>
        <v/>
      </c>
      <c r="F513" t="str">
        <f>"145-18169-01"</f>
        <v>145-18169-01</v>
      </c>
      <c r="G513" t="str">
        <f>"ACCT#0888336"</f>
        <v>ACCT#0888336</v>
      </c>
      <c r="H513">
        <v>868.5</v>
      </c>
      <c r="I513" t="str">
        <f>"ACCT#0888336"</f>
        <v>ACCT#0888336</v>
      </c>
    </row>
    <row r="514" spans="1:9" x14ac:dyDescent="0.3">
      <c r="A514" t="str">
        <f>""</f>
        <v/>
      </c>
      <c r="F514" t="str">
        <f>"145-18350-01"</f>
        <v>145-18350-01</v>
      </c>
      <c r="G514" t="str">
        <f>"ACCT#0888336/ANIMAL SHELTER"</f>
        <v>ACCT#0888336/ANIMAL SHELTER</v>
      </c>
      <c r="H514">
        <v>56.98</v>
      </c>
      <c r="I514" t="str">
        <f>"ACCT#0888336/ANIMAL SHELTER"</f>
        <v>ACCT#0888336/ANIMAL SHELTER</v>
      </c>
    </row>
    <row r="515" spans="1:9" x14ac:dyDescent="0.3">
      <c r="A515" t="str">
        <f>""</f>
        <v/>
      </c>
      <c r="F515" t="str">
        <f>"145-18495-01"</f>
        <v>145-18495-01</v>
      </c>
      <c r="G515" t="str">
        <f>"ACCT#0888336/COOLING TOWER"</f>
        <v>ACCT#0888336/COOLING TOWER</v>
      </c>
      <c r="H515">
        <v>12.55</v>
      </c>
      <c r="I515" t="str">
        <f>"ACCT#0888336/COOLING TOWER"</f>
        <v>ACCT#0888336/COOLING TOWER</v>
      </c>
    </row>
    <row r="516" spans="1:9" x14ac:dyDescent="0.3">
      <c r="A516" t="str">
        <f>"005218"</f>
        <v>005218</v>
      </c>
      <c r="B516" t="s">
        <v>148</v>
      </c>
      <c r="C516">
        <v>999999</v>
      </c>
      <c r="D516" s="2">
        <v>193.98</v>
      </c>
      <c r="E516" s="1">
        <v>43263</v>
      </c>
      <c r="F516" t="str">
        <f>"201806061351"</f>
        <v>201806061351</v>
      </c>
      <c r="G516" t="str">
        <f>"NO CAUSE # LISTED"</f>
        <v>NO CAUSE # LISTED</v>
      </c>
      <c r="H516">
        <v>193.98</v>
      </c>
      <c r="I516" t="str">
        <f>"NO CAUSE # LISTED"</f>
        <v>NO CAUSE # LISTED</v>
      </c>
    </row>
    <row r="517" spans="1:9" x14ac:dyDescent="0.3">
      <c r="A517" t="str">
        <f>"000589"</f>
        <v>000589</v>
      </c>
      <c r="B517" t="s">
        <v>149</v>
      </c>
      <c r="C517">
        <v>77090</v>
      </c>
      <c r="D517" s="2">
        <v>85274.38</v>
      </c>
      <c r="E517" s="1">
        <v>43262</v>
      </c>
      <c r="F517" t="str">
        <f>"9401837656"</f>
        <v>9401837656</v>
      </c>
      <c r="G517" t="str">
        <f>"ACCT#912923/BOL#22369/PCT#4"</f>
        <v>ACCT#912923/BOL#22369/PCT#4</v>
      </c>
      <c r="H517">
        <v>5076.8900000000003</v>
      </c>
      <c r="I517" t="str">
        <f>"ACCT#912923/BOL#22369/PCT#4"</f>
        <v>ACCT#912923/BOL#22369/PCT#4</v>
      </c>
    </row>
    <row r="518" spans="1:9" x14ac:dyDescent="0.3">
      <c r="A518" t="str">
        <f>""</f>
        <v/>
      </c>
      <c r="F518" t="str">
        <f>"9401840361"</f>
        <v>9401840361</v>
      </c>
      <c r="G518" t="str">
        <f>"ACCT#912923/BOL#22408/PCT#4"</f>
        <v>ACCT#912923/BOL#22408/PCT#4</v>
      </c>
      <c r="H518">
        <v>10441.82</v>
      </c>
      <c r="I518" t="str">
        <f>"ACCT#912923/BOL#22408/PCT#4"</f>
        <v>ACCT#912923/BOL#22408/PCT#4</v>
      </c>
    </row>
    <row r="519" spans="1:9" x14ac:dyDescent="0.3">
      <c r="A519" t="str">
        <f>""</f>
        <v/>
      </c>
      <c r="F519" t="str">
        <f>"9401840362"</f>
        <v>9401840362</v>
      </c>
      <c r="G519" t="str">
        <f>"ACCT#912923/BOL#22403/PCT#4"</f>
        <v>ACCT#912923/BOL#22403/PCT#4</v>
      </c>
      <c r="H519">
        <v>10693.23</v>
      </c>
      <c r="I519" t="str">
        <f>"ACCT#912923/BOL#22403/PCT#4"</f>
        <v>ACCT#912923/BOL#22403/PCT#4</v>
      </c>
    </row>
    <row r="520" spans="1:9" x14ac:dyDescent="0.3">
      <c r="A520" t="str">
        <f>""</f>
        <v/>
      </c>
      <c r="F520" t="str">
        <f>"9401840679"</f>
        <v>9401840679</v>
      </c>
      <c r="G520" t="str">
        <f>"ACCT#912923/BOL#22415/PCT#4"</f>
        <v>ACCT#912923/BOL#22415/PCT#4</v>
      </c>
      <c r="H520">
        <v>10723.56</v>
      </c>
      <c r="I520" t="str">
        <f>"ACCT#912923/BOL#22415/PCT#4"</f>
        <v>ACCT#912923/BOL#22415/PCT#4</v>
      </c>
    </row>
    <row r="521" spans="1:9" x14ac:dyDescent="0.3">
      <c r="A521" t="str">
        <f>""</f>
        <v/>
      </c>
      <c r="F521" t="str">
        <f>"9401841453"</f>
        <v>9401841453</v>
      </c>
      <c r="G521" t="str">
        <f>"ACCT#912904/BOL#22432/PCT#2"</f>
        <v>ACCT#912904/BOL#22432/PCT#2</v>
      </c>
      <c r="H521">
        <v>9814.67</v>
      </c>
      <c r="I521" t="str">
        <f>"ACCT#912904/BOL#22432/PCT#2"</f>
        <v>ACCT#912904/BOL#22432/PCT#2</v>
      </c>
    </row>
    <row r="522" spans="1:9" x14ac:dyDescent="0.3">
      <c r="A522" t="str">
        <f>""</f>
        <v/>
      </c>
      <c r="F522" t="str">
        <f>"9401841454"</f>
        <v>9401841454</v>
      </c>
      <c r="G522" t="str">
        <f>"ACCT#912923/BOL#22419/PCT#4"</f>
        <v>ACCT#912923/BOL#22419/PCT#4</v>
      </c>
      <c r="H522">
        <v>10493.84</v>
      </c>
      <c r="I522" t="str">
        <f>"ACCT#912923/BOL#22419/PCT#4"</f>
        <v>ACCT#912923/BOL#22419/PCT#4</v>
      </c>
    </row>
    <row r="523" spans="1:9" x14ac:dyDescent="0.3">
      <c r="A523" t="str">
        <f>""</f>
        <v/>
      </c>
      <c r="F523" t="str">
        <f>"9401841639"</f>
        <v>9401841639</v>
      </c>
      <c r="G523" t="str">
        <f>"ACCT#912923/BOL#22437/PCT#4"</f>
        <v>ACCT#912923/BOL#22437/PCT#4</v>
      </c>
      <c r="H523">
        <v>7555.05</v>
      </c>
      <c r="I523" t="str">
        <f>"ACCT#912923/BOL#22437/PCT#4"</f>
        <v>ACCT#912923/BOL#22437/PCT#4</v>
      </c>
    </row>
    <row r="524" spans="1:9" x14ac:dyDescent="0.3">
      <c r="A524" t="str">
        <f>""</f>
        <v/>
      </c>
      <c r="F524" t="str">
        <f>"9401842347"</f>
        <v>9401842347</v>
      </c>
      <c r="G524" t="str">
        <f>"ACCT#912923/DEMURRAGE/PCT#4"</f>
        <v>ACCT#912923/DEMURRAGE/PCT#4</v>
      </c>
      <c r="H524">
        <v>220</v>
      </c>
      <c r="I524" t="str">
        <f>"ACCT#912923/DEMURRAGE/PCT#4"</f>
        <v>ACCT#912923/DEMURRAGE/PCT#4</v>
      </c>
    </row>
    <row r="525" spans="1:9" x14ac:dyDescent="0.3">
      <c r="A525" t="str">
        <f>""</f>
        <v/>
      </c>
      <c r="F525" t="str">
        <f>"9401842391"</f>
        <v>9401842391</v>
      </c>
      <c r="G525" t="str">
        <f>"ACCT#912922/DEMURRAGE/PCT#1"</f>
        <v>ACCT#912922/DEMURRAGE/PCT#1</v>
      </c>
      <c r="H525">
        <v>160</v>
      </c>
      <c r="I525" t="str">
        <f>"ACCT#912922/DEMURRAGE/PCT#1"</f>
        <v>ACCT#912922/DEMURRAGE/PCT#1</v>
      </c>
    </row>
    <row r="526" spans="1:9" x14ac:dyDescent="0.3">
      <c r="A526" t="str">
        <f>""</f>
        <v/>
      </c>
      <c r="F526" t="str">
        <f>"9401842392"</f>
        <v>9401842392</v>
      </c>
      <c r="G526" t="str">
        <f>"ACCT#912922/DEMURRAGE/PCT#1"</f>
        <v>ACCT#912922/DEMURRAGE/PCT#1</v>
      </c>
      <c r="H526">
        <v>160</v>
      </c>
      <c r="I526" t="str">
        <f>"ACCT#912922/DEMURRAGE/PCT#1"</f>
        <v>ACCT#912922/DEMURRAGE/PCT#1</v>
      </c>
    </row>
    <row r="527" spans="1:9" x14ac:dyDescent="0.3">
      <c r="A527" t="str">
        <f>""</f>
        <v/>
      </c>
      <c r="F527" t="str">
        <f>"9401844517"</f>
        <v>9401844517</v>
      </c>
      <c r="G527" t="str">
        <f>"ACCT#912904/BOL#22471/PCT#2"</f>
        <v>ACCT#912904/BOL#22471/PCT#2</v>
      </c>
      <c r="H527">
        <v>9476.86</v>
      </c>
      <c r="I527" t="str">
        <f>"ACCT#912904/BOL#22471/PCT#2"</f>
        <v>ACCT#912904/BOL#22471/PCT#2</v>
      </c>
    </row>
    <row r="528" spans="1:9" x14ac:dyDescent="0.3">
      <c r="A528" t="str">
        <f>""</f>
        <v/>
      </c>
      <c r="F528" t="str">
        <f>"9401845521"</f>
        <v>9401845521</v>
      </c>
      <c r="G528" t="str">
        <f>"ACCT#912904/BOL#22488/PCT#2"</f>
        <v>ACCT#912904/BOL#22488/PCT#2</v>
      </c>
      <c r="H528">
        <v>9978.4599999999991</v>
      </c>
      <c r="I528" t="str">
        <f>"ACCT#912904/BOL#22488/PCT#2"</f>
        <v>ACCT#912904/BOL#22488/PCT#2</v>
      </c>
    </row>
    <row r="529" spans="1:9" x14ac:dyDescent="0.3">
      <c r="A529" t="str">
        <f>""</f>
        <v/>
      </c>
      <c r="F529" t="str">
        <f>"9401846228"</f>
        <v>9401846228</v>
      </c>
      <c r="G529" t="str">
        <f>"ACCT#912923/DEMURRAGE/PCT#4"</f>
        <v>ACCT#912923/DEMURRAGE/PCT#4</v>
      </c>
      <c r="H529">
        <v>160</v>
      </c>
      <c r="I529" t="str">
        <f>"ACCT#912923/DEMURRAGE/PCT#4"</f>
        <v>ACCT#912923/DEMURRAGE/PCT#4</v>
      </c>
    </row>
    <row r="530" spans="1:9" x14ac:dyDescent="0.3">
      <c r="A530" t="str">
        <f>""</f>
        <v/>
      </c>
      <c r="F530" t="str">
        <f>"9401846229"</f>
        <v>9401846229</v>
      </c>
      <c r="G530" t="str">
        <f>"ACCT#912923/DEMURRAGE/PCT#4"</f>
        <v>ACCT#912923/DEMURRAGE/PCT#4</v>
      </c>
      <c r="H530">
        <v>140</v>
      </c>
      <c r="I530" t="str">
        <f>"ACCT#912923/DEMURRAGE/PCT#4"</f>
        <v>ACCT#912923/DEMURRAGE/PCT#4</v>
      </c>
    </row>
    <row r="531" spans="1:9" x14ac:dyDescent="0.3">
      <c r="A531" t="str">
        <f>""</f>
        <v/>
      </c>
      <c r="F531" t="str">
        <f>"9401846230"</f>
        <v>9401846230</v>
      </c>
      <c r="G531" t="str">
        <f>"ACCT#912923/DEMURRAGE/PCT#4"</f>
        <v>ACCT#912923/DEMURRAGE/PCT#4</v>
      </c>
      <c r="H531">
        <v>60</v>
      </c>
      <c r="I531" t="str">
        <f>"ACCT#912923/DEMURRAGE/PCT#4"</f>
        <v>ACCT#912923/DEMURRAGE/PCT#4</v>
      </c>
    </row>
    <row r="532" spans="1:9" x14ac:dyDescent="0.3">
      <c r="A532" t="str">
        <f>""</f>
        <v/>
      </c>
      <c r="F532" t="str">
        <f>"9401846231"</f>
        <v>9401846231</v>
      </c>
      <c r="G532" t="str">
        <f>"ACCT#912923/DEMURRAGE/PCT#4"</f>
        <v>ACCT#912923/DEMURRAGE/PCT#4</v>
      </c>
      <c r="H532">
        <v>120</v>
      </c>
      <c r="I532" t="str">
        <f>"ACCT#912923/DEMURRAGE/PCT#4"</f>
        <v>ACCT#912923/DEMURRAGE/PCT#4</v>
      </c>
    </row>
    <row r="533" spans="1:9" x14ac:dyDescent="0.3">
      <c r="A533" t="str">
        <f>"000589"</f>
        <v>000589</v>
      </c>
      <c r="B533" t="s">
        <v>149</v>
      </c>
      <c r="C533">
        <v>77290</v>
      </c>
      <c r="D533" s="2">
        <v>28318.45</v>
      </c>
      <c r="E533" s="1">
        <v>43276</v>
      </c>
      <c r="F533" t="str">
        <f>"9401848407"</f>
        <v>9401848407</v>
      </c>
      <c r="G533" t="str">
        <f>"ACCT#912904/BOL#22471/PCT#2"</f>
        <v>ACCT#912904/BOL#22471/PCT#2</v>
      </c>
      <c r="H533">
        <v>160</v>
      </c>
      <c r="I533" t="str">
        <f>"ACCT#912904/BOL#22471/PCT#2"</f>
        <v>ACCT#912904/BOL#22471/PCT#2</v>
      </c>
    </row>
    <row r="534" spans="1:9" x14ac:dyDescent="0.3">
      <c r="A534" t="str">
        <f>""</f>
        <v/>
      </c>
      <c r="F534" t="str">
        <f>"9401848408"</f>
        <v>9401848408</v>
      </c>
      <c r="G534" t="str">
        <f>"ACCT#912904/BOL#22475/PCT#2"</f>
        <v>ACCT#912904/BOL#22475/PCT#2</v>
      </c>
      <c r="H534">
        <v>390.56</v>
      </c>
      <c r="I534" t="str">
        <f>"ACCT#912904/BOL#22475/PCT#2"</f>
        <v>ACCT#912904/BOL#22475/PCT#2</v>
      </c>
    </row>
    <row r="535" spans="1:9" x14ac:dyDescent="0.3">
      <c r="A535" t="str">
        <f>""</f>
        <v/>
      </c>
      <c r="F535" t="str">
        <f>"9401848787"</f>
        <v>9401848787</v>
      </c>
      <c r="G535" t="str">
        <f>"ACCT#912923/BOL#22521/PCT#4"</f>
        <v>ACCT#912923/BOL#22521/PCT#4</v>
      </c>
      <c r="H535">
        <v>8419.9599999999991</v>
      </c>
      <c r="I535" t="str">
        <f>"ACCT#912923/BOL#22521/PCT#4"</f>
        <v>ACCT#912923/BOL#22521/PCT#4</v>
      </c>
    </row>
    <row r="536" spans="1:9" x14ac:dyDescent="0.3">
      <c r="A536" t="str">
        <f>""</f>
        <v/>
      </c>
      <c r="F536" t="str">
        <f>"9401850685"</f>
        <v>9401850685</v>
      </c>
      <c r="G536" t="str">
        <f>"ACCT#912923/BOL#22549/PCT#4"</f>
        <v>ACCT#912923/BOL#22549/PCT#4</v>
      </c>
      <c r="H536">
        <v>6903.92</v>
      </c>
      <c r="I536" t="str">
        <f>"ACCT#912923/BOL#22549/PCT#4"</f>
        <v>ACCT#912923/BOL#22549/PCT#4</v>
      </c>
    </row>
    <row r="537" spans="1:9" x14ac:dyDescent="0.3">
      <c r="A537" t="str">
        <f>""</f>
        <v/>
      </c>
      <c r="F537" t="str">
        <f>"9401856061"</f>
        <v>9401856061</v>
      </c>
      <c r="G537" t="str">
        <f>"ACCT#912897/BOL#22636/PCT#3"</f>
        <v>ACCT#912897/BOL#22636/PCT#3</v>
      </c>
      <c r="H537">
        <v>11739.16</v>
      </c>
      <c r="I537" t="str">
        <f>"ACCT#912897/BOL#22636/PCT#3"</f>
        <v>ACCT#912897/BOL#22636/PCT#3</v>
      </c>
    </row>
    <row r="538" spans="1:9" x14ac:dyDescent="0.3">
      <c r="A538" t="str">
        <f>""</f>
        <v/>
      </c>
      <c r="F538" t="str">
        <f>"9401857079"</f>
        <v>9401857079</v>
      </c>
      <c r="G538" t="str">
        <f>"ACCT#912923/BOL#22549/PCT#4"</f>
        <v>ACCT#912923/BOL#22549/PCT#4</v>
      </c>
      <c r="H538">
        <v>160</v>
      </c>
      <c r="I538" t="str">
        <f>"ACCT#912923/BOL#22549/PCT#4"</f>
        <v>ACCT#912923/BOL#22549/PCT#4</v>
      </c>
    </row>
    <row r="539" spans="1:9" x14ac:dyDescent="0.3">
      <c r="A539" t="str">
        <f>""</f>
        <v/>
      </c>
      <c r="F539" t="str">
        <f>"9401857080"</f>
        <v>9401857080</v>
      </c>
      <c r="G539" t="str">
        <f>"ACCT#912923/BOL#22521/PCT#4"</f>
        <v>ACCT#912923/BOL#22521/PCT#4</v>
      </c>
      <c r="H539">
        <v>544.85</v>
      </c>
      <c r="I539" t="str">
        <f>"ACCT#912923/BOL#22521/PCT#4"</f>
        <v>ACCT#912923/BOL#22521/PCT#4</v>
      </c>
    </row>
    <row r="540" spans="1:9" x14ac:dyDescent="0.3">
      <c r="A540" t="str">
        <f>"005198"</f>
        <v>005198</v>
      </c>
      <c r="B540" t="s">
        <v>150</v>
      </c>
      <c r="C540">
        <v>77291</v>
      </c>
      <c r="D540" s="2">
        <v>31.61</v>
      </c>
      <c r="E540" s="1">
        <v>43276</v>
      </c>
      <c r="F540" t="str">
        <f>"201806201648"</f>
        <v>201806201648</v>
      </c>
      <c r="G540" t="str">
        <f>"MILEAGE REIMBURSEMENT"</f>
        <v>MILEAGE REIMBURSEMENT</v>
      </c>
      <c r="H540">
        <v>31.61</v>
      </c>
      <c r="I540" t="str">
        <f>"MILEAGE REIMBURSEMENT"</f>
        <v>MILEAGE REIMBURSEMENT</v>
      </c>
    </row>
    <row r="541" spans="1:9" x14ac:dyDescent="0.3">
      <c r="A541" t="str">
        <f>"T2788"</f>
        <v>T2788</v>
      </c>
      <c r="B541" t="s">
        <v>151</v>
      </c>
      <c r="C541">
        <v>999999</v>
      </c>
      <c r="D541" s="2">
        <v>1059.6199999999999</v>
      </c>
      <c r="E541" s="1">
        <v>43277</v>
      </c>
      <c r="F541" t="str">
        <f>"3418176"</f>
        <v>3418176</v>
      </c>
      <c r="G541" t="str">
        <f>"ACCT#00405/ASSY RIM/PCT#1"</f>
        <v>ACCT#00405/ASSY RIM/PCT#1</v>
      </c>
      <c r="H541">
        <v>669.63</v>
      </c>
      <c r="I541" t="str">
        <f>"ACCT#00405/ASSY RIM/PCT#1"</f>
        <v>ACCT#00405/ASSY RIM/PCT#1</v>
      </c>
    </row>
    <row r="542" spans="1:9" x14ac:dyDescent="0.3">
      <c r="A542" t="str">
        <f>""</f>
        <v/>
      </c>
      <c r="F542" t="str">
        <f>"3418292"</f>
        <v>3418292</v>
      </c>
      <c r="G542" t="str">
        <f>"ACCT#00405/CHAINSAW/PCT#3"</f>
        <v>ACCT#00405/CHAINSAW/PCT#3</v>
      </c>
      <c r="H542">
        <v>389.99</v>
      </c>
      <c r="I542" t="str">
        <f>"ACCT#00405/CHAINSAW/PCT#3"</f>
        <v>ACCT#00405/CHAINSAW/PCT#3</v>
      </c>
    </row>
    <row r="543" spans="1:9" x14ac:dyDescent="0.3">
      <c r="A543" t="str">
        <f>"FCC"</f>
        <v>FCC</v>
      </c>
      <c r="B543" t="s">
        <v>152</v>
      </c>
      <c r="C543">
        <v>77091</v>
      </c>
      <c r="D543" s="2">
        <v>1031</v>
      </c>
      <c r="E543" s="1">
        <v>43262</v>
      </c>
      <c r="F543" t="str">
        <f>"201806061409"</f>
        <v>201806061409</v>
      </c>
      <c r="G543" t="str">
        <f>"CASE#18-S-02271/SANE EXAM"</f>
        <v>CASE#18-S-02271/SANE EXAM</v>
      </c>
      <c r="H543">
        <v>542</v>
      </c>
      <c r="I543" t="str">
        <f>"CASE#18-S-02271/SANE EXAM"</f>
        <v>CASE#18-S-02271/SANE EXAM</v>
      </c>
    </row>
    <row r="544" spans="1:9" x14ac:dyDescent="0.3">
      <c r="A544" t="str">
        <f>""</f>
        <v/>
      </c>
      <c r="F544" t="str">
        <f>"201806061410"</f>
        <v>201806061410</v>
      </c>
      <c r="G544" t="str">
        <f>"CASE#18-S-02437/SANE EXAM"</f>
        <v>CASE#18-S-02437/SANE EXAM</v>
      </c>
      <c r="H544">
        <v>489</v>
      </c>
      <c r="I544" t="str">
        <f>"CASE#18-S-02437/SANE EXAM"</f>
        <v>CASE#18-S-02437/SANE EXAM</v>
      </c>
    </row>
    <row r="545" spans="1:10" x14ac:dyDescent="0.3">
      <c r="A545" t="str">
        <f>"001102"</f>
        <v>001102</v>
      </c>
      <c r="B545" t="s">
        <v>153</v>
      </c>
      <c r="C545">
        <v>77092</v>
      </c>
      <c r="D545" s="2">
        <v>650</v>
      </c>
      <c r="E545" s="1">
        <v>43262</v>
      </c>
      <c r="F545" t="str">
        <f>"200018642"</f>
        <v>200018642</v>
      </c>
      <c r="G545" t="str">
        <f>"INV 200018642"</f>
        <v>INV 200018642</v>
      </c>
      <c r="H545">
        <v>650</v>
      </c>
      <c r="I545" t="str">
        <f>"INV 200018642"</f>
        <v>INV 200018642</v>
      </c>
    </row>
    <row r="546" spans="1:10" x14ac:dyDescent="0.3">
      <c r="A546" t="str">
        <f>"T526"</f>
        <v>T526</v>
      </c>
      <c r="B546" t="s">
        <v>154</v>
      </c>
      <c r="C546">
        <v>77093</v>
      </c>
      <c r="D546" s="2">
        <v>58.16</v>
      </c>
      <c r="E546" s="1">
        <v>43262</v>
      </c>
      <c r="F546" t="str">
        <f>"6-184-82121"</f>
        <v>6-184-82121</v>
      </c>
      <c r="G546" t="str">
        <f>"ACCT#1230-5243-9/MAIL SVCS/TAX"</f>
        <v>ACCT#1230-5243-9/MAIL SVCS/TAX</v>
      </c>
      <c r="H546">
        <v>58.16</v>
      </c>
      <c r="I546" t="str">
        <f>"ACCT#1230-5243-9/MAIL SVCS/TAX"</f>
        <v>ACCT#1230-5243-9/MAIL SVCS/TAX</v>
      </c>
    </row>
    <row r="547" spans="1:10" x14ac:dyDescent="0.3">
      <c r="A547" t="str">
        <f>"T9733"</f>
        <v>T9733</v>
      </c>
      <c r="B547" t="s">
        <v>155</v>
      </c>
      <c r="C547">
        <v>77292</v>
      </c>
      <c r="D547" s="2">
        <v>25</v>
      </c>
      <c r="E547" s="1">
        <v>43276</v>
      </c>
      <c r="F547" t="s">
        <v>156</v>
      </c>
      <c r="G547" t="s">
        <v>157</v>
      </c>
      <c r="H547" t="str">
        <f>"RESTITUTION-K. PURCELL"</f>
        <v>RESTITUTION-K. PURCELL</v>
      </c>
      <c r="I547" t="str">
        <f>"210-0000"</f>
        <v>210-0000</v>
      </c>
      <c r="J547" t="str">
        <f>""</f>
        <v/>
      </c>
    </row>
    <row r="548" spans="1:10" x14ac:dyDescent="0.3">
      <c r="A548" t="str">
        <f>""</f>
        <v/>
      </c>
      <c r="F548" t="s">
        <v>156</v>
      </c>
      <c r="G548" t="s">
        <v>158</v>
      </c>
      <c r="H548" t="str">
        <f>"RESTITUTION-K. PURCELL"</f>
        <v>RESTITUTION-K. PURCELL</v>
      </c>
      <c r="I548" t="str">
        <f>"210-0000"</f>
        <v>210-0000</v>
      </c>
      <c r="J548" t="str">
        <f>""</f>
        <v/>
      </c>
    </row>
    <row r="549" spans="1:10" x14ac:dyDescent="0.3">
      <c r="A549" t="str">
        <f>"004691"</f>
        <v>004691</v>
      </c>
      <c r="B549" t="s">
        <v>159</v>
      </c>
      <c r="C549">
        <v>77094</v>
      </c>
      <c r="D549" s="2">
        <v>17447.52</v>
      </c>
      <c r="E549" s="1">
        <v>43262</v>
      </c>
      <c r="F549" t="str">
        <f>"NP53352860"</f>
        <v>NP53352860</v>
      </c>
      <c r="G549" t="str">
        <f>"STMT# NP53352860"</f>
        <v>STMT# NP53352860</v>
      </c>
      <c r="H549">
        <v>1501.63</v>
      </c>
      <c r="I549" t="str">
        <f>"IT"</f>
        <v>IT</v>
      </c>
    </row>
    <row r="550" spans="1:10" x14ac:dyDescent="0.3">
      <c r="A550" t="str">
        <f>""</f>
        <v/>
      </c>
      <c r="F550" t="str">
        <f>""</f>
        <v/>
      </c>
      <c r="G550" t="str">
        <f>""</f>
        <v/>
      </c>
      <c r="I550" t="str">
        <f>"General Services"</f>
        <v>General Services</v>
      </c>
    </row>
    <row r="551" spans="1:10" x14ac:dyDescent="0.3">
      <c r="A551" t="str">
        <f>""</f>
        <v/>
      </c>
      <c r="F551" t="str">
        <f>""</f>
        <v/>
      </c>
      <c r="G551" t="str">
        <f>""</f>
        <v/>
      </c>
      <c r="I551" t="str">
        <f>"Sign Shop"</f>
        <v>Sign Shop</v>
      </c>
    </row>
    <row r="552" spans="1:10" x14ac:dyDescent="0.3">
      <c r="A552" t="str">
        <f>""</f>
        <v/>
      </c>
      <c r="F552" t="str">
        <f>""</f>
        <v/>
      </c>
      <c r="G552" t="str">
        <f>""</f>
        <v/>
      </c>
      <c r="I552" t="str">
        <f>"Animal Services"</f>
        <v>Animal Services</v>
      </c>
    </row>
    <row r="553" spans="1:10" x14ac:dyDescent="0.3">
      <c r="A553" t="str">
        <f>""</f>
        <v/>
      </c>
      <c r="F553" t="str">
        <f>""</f>
        <v/>
      </c>
      <c r="G553" t="str">
        <f>""</f>
        <v/>
      </c>
      <c r="I553" t="str">
        <f>"Ag"</f>
        <v>Ag</v>
      </c>
    </row>
    <row r="554" spans="1:10" x14ac:dyDescent="0.3">
      <c r="A554" t="str">
        <f>""</f>
        <v/>
      </c>
      <c r="F554" t="str">
        <f>""</f>
        <v/>
      </c>
      <c r="G554" t="str">
        <f>""</f>
        <v/>
      </c>
      <c r="I554" t="str">
        <f>"Pct 1"</f>
        <v>Pct 1</v>
      </c>
    </row>
    <row r="555" spans="1:10" x14ac:dyDescent="0.3">
      <c r="A555" t="str">
        <f>""</f>
        <v/>
      </c>
      <c r="F555" t="str">
        <f>""</f>
        <v/>
      </c>
      <c r="G555" t="str">
        <f>""</f>
        <v/>
      </c>
      <c r="I555" t="str">
        <f>"PCT 2"</f>
        <v>PCT 2</v>
      </c>
    </row>
    <row r="556" spans="1:10" x14ac:dyDescent="0.3">
      <c r="A556" t="str">
        <f>""</f>
        <v/>
      </c>
      <c r="F556" t="str">
        <f>"NP53353020"</f>
        <v>NP53353020</v>
      </c>
      <c r="G556" t="str">
        <f>"INV NP53353020"</f>
        <v>INV NP53353020</v>
      </c>
      <c r="H556">
        <v>15350.58</v>
      </c>
      <c r="I556" t="str">
        <f>"INV NP53353020"</f>
        <v>INV NP53353020</v>
      </c>
    </row>
    <row r="557" spans="1:10" x14ac:dyDescent="0.3">
      <c r="A557" t="str">
        <f>""</f>
        <v/>
      </c>
      <c r="F557" t="str">
        <f>"NP53353046"</f>
        <v>NP53353046</v>
      </c>
      <c r="G557" t="str">
        <f>"STMT# NP53353046"</f>
        <v>STMT# NP53353046</v>
      </c>
      <c r="H557">
        <v>595.30999999999995</v>
      </c>
      <c r="I557" t="str">
        <f>"Payment"</f>
        <v>Payment</v>
      </c>
    </row>
    <row r="558" spans="1:10" x14ac:dyDescent="0.3">
      <c r="A558" t="str">
        <f>"004691"</f>
        <v>004691</v>
      </c>
      <c r="B558" t="s">
        <v>159</v>
      </c>
      <c r="C558">
        <v>77293</v>
      </c>
      <c r="D558" s="2">
        <v>17062.39</v>
      </c>
      <c r="E558" s="1">
        <v>43276</v>
      </c>
      <c r="F558" t="str">
        <f>"NP53501285"</f>
        <v>NP53501285</v>
      </c>
      <c r="G558" t="str">
        <f>"Stmt# NP53501285"</f>
        <v>Stmt# NP53501285</v>
      </c>
      <c r="H558">
        <v>1652.53</v>
      </c>
      <c r="I558" t="str">
        <f>"IT"</f>
        <v>IT</v>
      </c>
    </row>
    <row r="559" spans="1:10" x14ac:dyDescent="0.3">
      <c r="A559" t="str">
        <f>""</f>
        <v/>
      </c>
      <c r="F559" t="str">
        <f>""</f>
        <v/>
      </c>
      <c r="G559" t="str">
        <f>""</f>
        <v/>
      </c>
      <c r="I559" t="str">
        <f>"General Services"</f>
        <v>General Services</v>
      </c>
    </row>
    <row r="560" spans="1:10" x14ac:dyDescent="0.3">
      <c r="A560" t="str">
        <f>""</f>
        <v/>
      </c>
      <c r="F560" t="str">
        <f>""</f>
        <v/>
      </c>
      <c r="G560" t="str">
        <f>""</f>
        <v/>
      </c>
      <c r="I560" t="str">
        <f>"Engineer"</f>
        <v>Engineer</v>
      </c>
    </row>
    <row r="561" spans="1:10" x14ac:dyDescent="0.3">
      <c r="A561" t="str">
        <f>""</f>
        <v/>
      </c>
      <c r="F561" t="str">
        <f>""</f>
        <v/>
      </c>
      <c r="G561" t="str">
        <f>""</f>
        <v/>
      </c>
      <c r="I561" t="str">
        <f>"Sign Shop"</f>
        <v>Sign Shop</v>
      </c>
    </row>
    <row r="562" spans="1:10" x14ac:dyDescent="0.3">
      <c r="A562" t="str">
        <f>""</f>
        <v/>
      </c>
      <c r="F562" t="str">
        <f>""</f>
        <v/>
      </c>
      <c r="G562" t="str">
        <f>""</f>
        <v/>
      </c>
      <c r="I562" t="str">
        <f>"Animal"</f>
        <v>Animal</v>
      </c>
    </row>
    <row r="563" spans="1:10" x14ac:dyDescent="0.3">
      <c r="A563" t="str">
        <f>""</f>
        <v/>
      </c>
      <c r="F563" t="str">
        <f>""</f>
        <v/>
      </c>
      <c r="G563" t="str">
        <f>""</f>
        <v/>
      </c>
      <c r="I563" t="str">
        <f>"Environmental"</f>
        <v>Environmental</v>
      </c>
    </row>
    <row r="564" spans="1:10" x14ac:dyDescent="0.3">
      <c r="A564" t="str">
        <f>""</f>
        <v/>
      </c>
      <c r="F564" t="str">
        <f>""</f>
        <v/>
      </c>
      <c r="G564" t="str">
        <f>""</f>
        <v/>
      </c>
      <c r="I564" t="str">
        <f>"Habitat"</f>
        <v>Habitat</v>
      </c>
    </row>
    <row r="565" spans="1:10" x14ac:dyDescent="0.3">
      <c r="A565" t="str">
        <f>""</f>
        <v/>
      </c>
      <c r="F565" t="str">
        <f>""</f>
        <v/>
      </c>
      <c r="G565" t="str">
        <f>""</f>
        <v/>
      </c>
      <c r="I565" t="str">
        <f>"Ag"</f>
        <v>Ag</v>
      </c>
    </row>
    <row r="566" spans="1:10" x14ac:dyDescent="0.3">
      <c r="A566" t="str">
        <f>""</f>
        <v/>
      </c>
      <c r="F566" t="str">
        <f>""</f>
        <v/>
      </c>
      <c r="G566" t="str">
        <f>""</f>
        <v/>
      </c>
      <c r="I566" t="str">
        <f>"PCt 1"</f>
        <v>PCt 1</v>
      </c>
    </row>
    <row r="567" spans="1:10" x14ac:dyDescent="0.3">
      <c r="A567" t="str">
        <f>""</f>
        <v/>
      </c>
      <c r="F567" t="str">
        <f>"NP53501445"</f>
        <v>NP53501445</v>
      </c>
      <c r="G567" t="str">
        <f>"INV NP53501445"</f>
        <v>INV NP53501445</v>
      </c>
      <c r="H567">
        <v>14895.31</v>
      </c>
      <c r="I567" t="str">
        <f>"INV NP53501445"</f>
        <v>INV NP53501445</v>
      </c>
    </row>
    <row r="568" spans="1:10" x14ac:dyDescent="0.3">
      <c r="A568" t="str">
        <f>""</f>
        <v/>
      </c>
      <c r="F568" t="str">
        <f>"NP53501471"</f>
        <v>NP53501471</v>
      </c>
      <c r="G568" t="str">
        <f>"STMT NP53501471"</f>
        <v>STMT NP53501471</v>
      </c>
      <c r="H568">
        <v>514.54999999999995</v>
      </c>
      <c r="I568" t="str">
        <f>"Payment"</f>
        <v>Payment</v>
      </c>
    </row>
    <row r="569" spans="1:10" x14ac:dyDescent="0.3">
      <c r="A569" t="str">
        <f>"T5062"</f>
        <v>T5062</v>
      </c>
      <c r="B569" t="s">
        <v>160</v>
      </c>
      <c r="C569">
        <v>77095</v>
      </c>
      <c r="D569" s="2">
        <v>891.22</v>
      </c>
      <c r="E569" s="1">
        <v>43262</v>
      </c>
      <c r="F569" t="str">
        <f>"94273564"</f>
        <v>94273564</v>
      </c>
      <c r="G569" t="str">
        <f>"BOLT/TENDER KIT/PCT#4"</f>
        <v>BOLT/TENDER KIT/PCT#4</v>
      </c>
      <c r="H569">
        <v>100.21</v>
      </c>
      <c r="I569" t="str">
        <f>"BOLT/TENDER KIT/PCT#4"</f>
        <v>BOLT/TENDER KIT/PCT#4</v>
      </c>
    </row>
    <row r="570" spans="1:10" x14ac:dyDescent="0.3">
      <c r="A570" t="str">
        <f>""</f>
        <v/>
      </c>
      <c r="F570" t="str">
        <f>"94452503"</f>
        <v>94452503</v>
      </c>
      <c r="G570" t="str">
        <f>"ACCT#80975/PCT#1"</f>
        <v>ACCT#80975/PCT#1</v>
      </c>
      <c r="H570">
        <v>791.01</v>
      </c>
      <c r="I570" t="str">
        <f>"ACCT#80975/PCT#1"</f>
        <v>ACCT#80975/PCT#1</v>
      </c>
    </row>
    <row r="571" spans="1:10" x14ac:dyDescent="0.3">
      <c r="A571" t="str">
        <f>"T5062"</f>
        <v>T5062</v>
      </c>
      <c r="B571" t="s">
        <v>160</v>
      </c>
      <c r="C571">
        <v>77294</v>
      </c>
      <c r="D571" s="2">
        <v>87.44</v>
      </c>
      <c r="E571" s="1">
        <v>43276</v>
      </c>
      <c r="F571" t="str">
        <f>"94772533"</f>
        <v>94772533</v>
      </c>
      <c r="G571" t="str">
        <f>"ACCT#80975-001/PCT#3"</f>
        <v>ACCT#80975-001/PCT#3</v>
      </c>
      <c r="H571">
        <v>87.44</v>
      </c>
      <c r="I571" t="str">
        <f>"ACCT#80975-001/PCT#3"</f>
        <v>ACCT#80975-001/PCT#3</v>
      </c>
    </row>
    <row r="572" spans="1:10" x14ac:dyDescent="0.3">
      <c r="A572" t="str">
        <f>"001318"</f>
        <v>001318</v>
      </c>
      <c r="B572" t="s">
        <v>161</v>
      </c>
      <c r="C572">
        <v>77096</v>
      </c>
      <c r="D572" s="2">
        <v>240</v>
      </c>
      <c r="E572" s="1">
        <v>43262</v>
      </c>
      <c r="F572" t="str">
        <f>"201806051273"</f>
        <v>201806051273</v>
      </c>
      <c r="G572" t="str">
        <f>"REFUND COUPONS"</f>
        <v>REFUND COUPONS</v>
      </c>
      <c r="H572">
        <v>165</v>
      </c>
      <c r="I572" t="str">
        <f>"REFUND COUPONS"</f>
        <v>REFUND COUPONS</v>
      </c>
    </row>
    <row r="573" spans="1:10" x14ac:dyDescent="0.3">
      <c r="A573" t="str">
        <f>""</f>
        <v/>
      </c>
      <c r="F573" t="str">
        <f>"201806061403"</f>
        <v>201806061403</v>
      </c>
      <c r="G573" t="str">
        <f>"REFUND COUPONS"</f>
        <v>REFUND COUPONS</v>
      </c>
      <c r="H573">
        <v>75</v>
      </c>
      <c r="I573" t="str">
        <f>"REFUND COUPONS"</f>
        <v>REFUND COUPONS</v>
      </c>
    </row>
    <row r="574" spans="1:10" x14ac:dyDescent="0.3">
      <c r="A574" t="str">
        <f>"001318"</f>
        <v>001318</v>
      </c>
      <c r="B574" t="s">
        <v>161</v>
      </c>
      <c r="C574">
        <v>77295</v>
      </c>
      <c r="D574" s="2">
        <v>45</v>
      </c>
      <c r="E574" s="1">
        <v>43276</v>
      </c>
      <c r="F574" t="str">
        <f>"18314/19239/19238"</f>
        <v>18314/19239/19238</v>
      </c>
      <c r="G574" t="str">
        <f>"REFUND COUPONS"</f>
        <v>REFUND COUPONS</v>
      </c>
      <c r="H574">
        <v>45</v>
      </c>
      <c r="I574" t="str">
        <f>"REFUND COUPONS"</f>
        <v>REFUND COUPONS</v>
      </c>
    </row>
    <row r="575" spans="1:10" x14ac:dyDescent="0.3">
      <c r="A575" t="str">
        <f>"005501"</f>
        <v>005501</v>
      </c>
      <c r="B575" t="s">
        <v>162</v>
      </c>
      <c r="C575">
        <v>77296</v>
      </c>
      <c r="D575" s="2">
        <v>50</v>
      </c>
      <c r="E575" s="1">
        <v>43276</v>
      </c>
      <c r="F575" t="s">
        <v>21</v>
      </c>
      <c r="G575" t="s">
        <v>163</v>
      </c>
      <c r="H575" t="str">
        <f>"RESTITUTION-D. CORKILL"</f>
        <v>RESTITUTION-D. CORKILL</v>
      </c>
      <c r="I575" t="str">
        <f>"210-0000"</f>
        <v>210-0000</v>
      </c>
      <c r="J575" t="str">
        <f>""</f>
        <v/>
      </c>
    </row>
    <row r="576" spans="1:10" x14ac:dyDescent="0.3">
      <c r="A576" t="str">
        <f>"FLS"</f>
        <v>FLS</v>
      </c>
      <c r="B576" t="s">
        <v>164</v>
      </c>
      <c r="C576">
        <v>999999</v>
      </c>
      <c r="D576" s="2">
        <v>1125</v>
      </c>
      <c r="E576" s="1">
        <v>43263</v>
      </c>
      <c r="F576" t="str">
        <f>"201806011234"</f>
        <v>201806011234</v>
      </c>
      <c r="G576" t="str">
        <f>"14 888"</f>
        <v>14 888</v>
      </c>
      <c r="H576">
        <v>400</v>
      </c>
      <c r="I576" t="str">
        <f>"14 888"</f>
        <v>14 888</v>
      </c>
    </row>
    <row r="577" spans="1:9" x14ac:dyDescent="0.3">
      <c r="A577" t="str">
        <f>""</f>
        <v/>
      </c>
      <c r="F577" t="str">
        <f>"201806051341"</f>
        <v>201806051341</v>
      </c>
      <c r="G577" t="str">
        <f>"N/A"</f>
        <v>N/A</v>
      </c>
      <c r="H577">
        <v>100</v>
      </c>
      <c r="I577" t="str">
        <f>"N/A"</f>
        <v>N/A</v>
      </c>
    </row>
    <row r="578" spans="1:9" x14ac:dyDescent="0.3">
      <c r="A578" t="str">
        <f>""</f>
        <v/>
      </c>
      <c r="F578" t="str">
        <f>"201806061356"</f>
        <v>201806061356</v>
      </c>
      <c r="G578" t="str">
        <f>"N/A"</f>
        <v>N/A</v>
      </c>
      <c r="H578">
        <v>250</v>
      </c>
      <c r="I578" t="str">
        <f>"N/A"</f>
        <v>N/A</v>
      </c>
    </row>
    <row r="579" spans="1:9" x14ac:dyDescent="0.3">
      <c r="A579" t="str">
        <f>""</f>
        <v/>
      </c>
      <c r="F579" t="str">
        <f>"201806061377"</f>
        <v>201806061377</v>
      </c>
      <c r="G579" t="str">
        <f>"54 841  54 842"</f>
        <v>54 841  54 842</v>
      </c>
      <c r="H579">
        <v>375</v>
      </c>
      <c r="I579" t="str">
        <f>"54 841  54 842"</f>
        <v>54 841  54 842</v>
      </c>
    </row>
    <row r="580" spans="1:9" x14ac:dyDescent="0.3">
      <c r="A580" t="str">
        <f>"FLS"</f>
        <v>FLS</v>
      </c>
      <c r="B580" t="s">
        <v>164</v>
      </c>
      <c r="C580">
        <v>999999</v>
      </c>
      <c r="D580" s="2">
        <v>800</v>
      </c>
      <c r="E580" s="1">
        <v>43277</v>
      </c>
      <c r="F580" t="str">
        <f>"201806131566"</f>
        <v>201806131566</v>
      </c>
      <c r="G580" t="str">
        <f>"N/A"</f>
        <v>N/A</v>
      </c>
      <c r="H580">
        <v>150</v>
      </c>
      <c r="I580" t="str">
        <f>"N/A"</f>
        <v>N/A</v>
      </c>
    </row>
    <row r="581" spans="1:9" x14ac:dyDescent="0.3">
      <c r="A581" t="str">
        <f>""</f>
        <v/>
      </c>
      <c r="F581" t="str">
        <f>"201806141620"</f>
        <v>201806141620</v>
      </c>
      <c r="G581" t="str">
        <f>"304082018C"</f>
        <v>304082018C</v>
      </c>
      <c r="H581">
        <v>400</v>
      </c>
      <c r="I581" t="str">
        <f>"304082018C"</f>
        <v>304082018C</v>
      </c>
    </row>
    <row r="582" spans="1:9" x14ac:dyDescent="0.3">
      <c r="A582" t="str">
        <f>""</f>
        <v/>
      </c>
      <c r="F582" t="str">
        <f>"201806201697"</f>
        <v>201806201697</v>
      </c>
      <c r="G582" t="str">
        <f>"55 468"</f>
        <v>55 468</v>
      </c>
      <c r="H582">
        <v>250</v>
      </c>
      <c r="I582" t="str">
        <f>"55 468"</f>
        <v>55 468</v>
      </c>
    </row>
    <row r="583" spans="1:9" x14ac:dyDescent="0.3">
      <c r="A583" t="str">
        <f>"PPLAN"</f>
        <v>PPLAN</v>
      </c>
      <c r="B583" t="s">
        <v>165</v>
      </c>
      <c r="C583">
        <v>77097</v>
      </c>
      <c r="D583" s="2">
        <v>1387.05</v>
      </c>
      <c r="E583" s="1">
        <v>43262</v>
      </c>
      <c r="F583" t="str">
        <f>"201806061399"</f>
        <v>201806061399</v>
      </c>
      <c r="G583" t="str">
        <f>"ACCT#8850283308/PCT#1"</f>
        <v>ACCT#8850283308/PCT#1</v>
      </c>
      <c r="H583">
        <v>337</v>
      </c>
      <c r="I583" t="str">
        <f>"ACCT#8850283308/PCT#1"</f>
        <v>ACCT#8850283308/PCT#1</v>
      </c>
    </row>
    <row r="584" spans="1:9" x14ac:dyDescent="0.3">
      <c r="A584" t="str">
        <f>""</f>
        <v/>
      </c>
      <c r="F584" t="str">
        <f>"P64156"</f>
        <v>P64156</v>
      </c>
      <c r="G584" t="str">
        <f>"ACCT#8850283308/PCT#2"</f>
        <v>ACCT#8850283308/PCT#2</v>
      </c>
      <c r="H584">
        <v>630.45000000000005</v>
      </c>
      <c r="I584" t="str">
        <f>"ACCT#8850283308/PCT#2"</f>
        <v>ACCT#8850283308/PCT#2</v>
      </c>
    </row>
    <row r="585" spans="1:9" x14ac:dyDescent="0.3">
      <c r="A585" t="str">
        <f>""</f>
        <v/>
      </c>
      <c r="F585" t="str">
        <f>"P64571 P64682"</f>
        <v>P64571 P64682</v>
      </c>
      <c r="G585" t="str">
        <f>"ACCT#8850283308/PCT#4"</f>
        <v>ACCT#8850283308/PCT#4</v>
      </c>
      <c r="H585">
        <v>347.24</v>
      </c>
      <c r="I585" t="str">
        <f>"ACCT#8850283308/PCT#4"</f>
        <v>ACCT#8850283308/PCT#4</v>
      </c>
    </row>
    <row r="586" spans="1:9" x14ac:dyDescent="0.3">
      <c r="A586" t="str">
        <f>""</f>
        <v/>
      </c>
      <c r="F586" t="str">
        <f>"P65449"</f>
        <v>P65449</v>
      </c>
      <c r="G586" t="str">
        <f>"ACCT#8850283308/PCT#3"</f>
        <v>ACCT#8850283308/PCT#3</v>
      </c>
      <c r="H586">
        <v>72.36</v>
      </c>
      <c r="I586" t="str">
        <f>"ACCT#8850283308/PCT#3"</f>
        <v>ACCT#8850283308/PCT#3</v>
      </c>
    </row>
    <row r="587" spans="1:9" x14ac:dyDescent="0.3">
      <c r="A587" t="str">
        <f>"T4453"</f>
        <v>T4453</v>
      </c>
      <c r="B587" t="s">
        <v>166</v>
      </c>
      <c r="C587">
        <v>77297</v>
      </c>
      <c r="D587" s="2">
        <v>598</v>
      </c>
      <c r="E587" s="1">
        <v>43276</v>
      </c>
      <c r="F587" t="str">
        <f>"033061224-18158"</f>
        <v>033061224-18158</v>
      </c>
      <c r="G587" t="str">
        <f>"CUST#33061224/ID#917146/RENWL"</f>
        <v>CUST#33061224/ID#917146/RENWL</v>
      </c>
      <c r="H587">
        <v>299</v>
      </c>
      <c r="I587" t="str">
        <f>"CUST#33061224/ID#917146/RENWL"</f>
        <v>CUST#33061224/ID#917146/RENWL</v>
      </c>
    </row>
    <row r="588" spans="1:9" x14ac:dyDescent="0.3">
      <c r="A588" t="str">
        <f>""</f>
        <v/>
      </c>
      <c r="F588" t="str">
        <f>"033996375-18158"</f>
        <v>033996375-18158</v>
      </c>
      <c r="G588" t="str">
        <f>"CUST#33996375/ID#917146/RNWL"</f>
        <v>CUST#33996375/ID#917146/RNWL</v>
      </c>
      <c r="H588">
        <v>299</v>
      </c>
      <c r="I588" t="str">
        <f>"CUST#33996375/ID#917146/RNWL"</f>
        <v>CUST#33996375/ID#917146/RNWL</v>
      </c>
    </row>
    <row r="589" spans="1:9" x14ac:dyDescent="0.3">
      <c r="A589" t="str">
        <f>"AT&amp;EI"</f>
        <v>AT&amp;EI</v>
      </c>
      <c r="B589" t="s">
        <v>167</v>
      </c>
      <c r="C589">
        <v>77098</v>
      </c>
      <c r="D589" s="2">
        <v>364.42</v>
      </c>
      <c r="E589" s="1">
        <v>43262</v>
      </c>
      <c r="F589" t="str">
        <f>"AP370121"</f>
        <v>AP370121</v>
      </c>
      <c r="G589" t="str">
        <f>"ACCT#3326/PCT#4"</f>
        <v>ACCT#3326/PCT#4</v>
      </c>
      <c r="H589">
        <v>36.479999999999997</v>
      </c>
      <c r="I589" t="str">
        <f>"ACCT#3326/PCT#4"</f>
        <v>ACCT#3326/PCT#4</v>
      </c>
    </row>
    <row r="590" spans="1:9" x14ac:dyDescent="0.3">
      <c r="A590" t="str">
        <f>""</f>
        <v/>
      </c>
      <c r="F590" t="str">
        <f>"AP370287"</f>
        <v>AP370287</v>
      </c>
      <c r="G590" t="str">
        <f>"ACCT#3323/PCT#4"</f>
        <v>ACCT#3323/PCT#4</v>
      </c>
      <c r="H590">
        <v>54.56</v>
      </c>
      <c r="I590" t="str">
        <f>"ACCT#3323/PCT#4"</f>
        <v>ACCT#3323/PCT#4</v>
      </c>
    </row>
    <row r="591" spans="1:9" x14ac:dyDescent="0.3">
      <c r="A591" t="str">
        <f>""</f>
        <v/>
      </c>
      <c r="F591" t="str">
        <f>"AP370990"</f>
        <v>AP370990</v>
      </c>
      <c r="G591" t="str">
        <f>"ACCT#3323/PCT#4"</f>
        <v>ACCT#3323/PCT#4</v>
      </c>
      <c r="H591">
        <v>35.1</v>
      </c>
      <c r="I591" t="str">
        <f>"ACCT#3323/PCT#4"</f>
        <v>ACCT#3323/PCT#4</v>
      </c>
    </row>
    <row r="592" spans="1:9" x14ac:dyDescent="0.3">
      <c r="A592" t="str">
        <f>""</f>
        <v/>
      </c>
      <c r="F592" t="str">
        <f>"AP371001"</f>
        <v>AP371001</v>
      </c>
      <c r="G592" t="str">
        <f>"ACCT#3323/PCT#4"</f>
        <v>ACCT#3323/PCT#4</v>
      </c>
      <c r="H592">
        <v>66.28</v>
      </c>
      <c r="I592" t="str">
        <f>"ACCT#3323/PCT#4"</f>
        <v>ACCT#3323/PCT#4</v>
      </c>
    </row>
    <row r="593" spans="1:9" x14ac:dyDescent="0.3">
      <c r="A593" t="str">
        <f>""</f>
        <v/>
      </c>
      <c r="F593" t="str">
        <f>"AP371249"</f>
        <v>AP371249</v>
      </c>
      <c r="G593" t="str">
        <f>"ACCT#3325/PCT#2"</f>
        <v>ACCT#3325/PCT#2</v>
      </c>
      <c r="H593">
        <v>140.4</v>
      </c>
      <c r="I593" t="str">
        <f>"ACCT#3325/PCT#2"</f>
        <v>ACCT#3325/PCT#2</v>
      </c>
    </row>
    <row r="594" spans="1:9" x14ac:dyDescent="0.3">
      <c r="A594" t="str">
        <f>""</f>
        <v/>
      </c>
      <c r="F594" t="str">
        <f>"AP371720"</f>
        <v>AP371720</v>
      </c>
      <c r="G594" t="str">
        <f>"ACCT#3323/PCT#4"</f>
        <v>ACCT#3323/PCT#4</v>
      </c>
      <c r="H594">
        <v>31.6</v>
      </c>
      <c r="I594" t="str">
        <f>"ACCT#3323/PCT#4"</f>
        <v>ACCT#3323/PCT#4</v>
      </c>
    </row>
    <row r="595" spans="1:9" x14ac:dyDescent="0.3">
      <c r="A595" t="str">
        <f>"AT&amp;EI"</f>
        <v>AT&amp;EI</v>
      </c>
      <c r="B595" t="s">
        <v>167</v>
      </c>
      <c r="C595">
        <v>999999</v>
      </c>
      <c r="D595" s="2">
        <v>48.38</v>
      </c>
      <c r="E595" s="1">
        <v>43277</v>
      </c>
      <c r="F595" t="str">
        <f>"AP372103"</f>
        <v>AP372103</v>
      </c>
      <c r="G595" t="str">
        <f>"ACCT#3324/ISOLATOR/BOLT/PCT#3"</f>
        <v>ACCT#3324/ISOLATOR/BOLT/PCT#3</v>
      </c>
      <c r="H595">
        <v>48.38</v>
      </c>
      <c r="I595" t="str">
        <f>"ACCT#3324/ISOLATOR/BOLT/PCT#3"</f>
        <v>ACCT#3324/ISOLATOR/BOLT/PCT#3</v>
      </c>
    </row>
    <row r="596" spans="1:9" x14ac:dyDescent="0.3">
      <c r="A596" t="str">
        <f>"G&amp;C"</f>
        <v>G&amp;C</v>
      </c>
      <c r="B596" t="s">
        <v>168</v>
      </c>
      <c r="C596">
        <v>999999</v>
      </c>
      <c r="D596" s="2">
        <v>315.17</v>
      </c>
      <c r="E596" s="1">
        <v>43277</v>
      </c>
      <c r="F596" t="str">
        <f>"105656"</f>
        <v>105656</v>
      </c>
      <c r="G596" t="str">
        <f>"INV 105656"</f>
        <v>INV 105656</v>
      </c>
      <c r="H596">
        <v>88.51</v>
      </c>
      <c r="I596" t="str">
        <f>"INV 105656"</f>
        <v>INV 105656</v>
      </c>
    </row>
    <row r="597" spans="1:9" x14ac:dyDescent="0.3">
      <c r="A597" t="str">
        <f>""</f>
        <v/>
      </c>
      <c r="F597" t="str">
        <f>"105659"</f>
        <v>105659</v>
      </c>
      <c r="G597" t="str">
        <f>"INV GC 105659"</f>
        <v>INV GC 105659</v>
      </c>
      <c r="H597">
        <v>40.96</v>
      </c>
      <c r="I597" t="str">
        <f>"INV GC 105659"</f>
        <v>INV GC 105659</v>
      </c>
    </row>
    <row r="598" spans="1:9" x14ac:dyDescent="0.3">
      <c r="A598" t="str">
        <f>""</f>
        <v/>
      </c>
      <c r="F598" t="str">
        <f>"105660"</f>
        <v>105660</v>
      </c>
      <c r="G598" t="str">
        <f>"INV GC 105660"</f>
        <v>INV GC 105660</v>
      </c>
      <c r="H598">
        <v>40.96</v>
      </c>
      <c r="I598" t="str">
        <f>"INV GC 105660"</f>
        <v>INV GC 105660</v>
      </c>
    </row>
    <row r="599" spans="1:9" x14ac:dyDescent="0.3">
      <c r="A599" t="str">
        <f>""</f>
        <v/>
      </c>
      <c r="F599" t="str">
        <f>"105666"</f>
        <v>105666</v>
      </c>
      <c r="G599" t="str">
        <f>"INV GC 105666"</f>
        <v>INV GC 105666</v>
      </c>
      <c r="H599">
        <v>40.96</v>
      </c>
      <c r="I599" t="str">
        <f>"INV GC 105666"</f>
        <v>INV GC 105666</v>
      </c>
    </row>
    <row r="600" spans="1:9" x14ac:dyDescent="0.3">
      <c r="A600" t="str">
        <f>""</f>
        <v/>
      </c>
      <c r="F600" t="str">
        <f>"105721"</f>
        <v>105721</v>
      </c>
      <c r="G600" t="str">
        <f>"INV GC 105721"</f>
        <v>INV GC 105721</v>
      </c>
      <c r="H600">
        <v>16.39</v>
      </c>
      <c r="I600" t="str">
        <f>"INV GC 105721"</f>
        <v>INV GC 105721</v>
      </c>
    </row>
    <row r="601" spans="1:9" x14ac:dyDescent="0.3">
      <c r="A601" t="str">
        <f>""</f>
        <v/>
      </c>
      <c r="F601" t="str">
        <f>"105730"</f>
        <v>105730</v>
      </c>
      <c r="G601" t="str">
        <f>"WINDOW ENVELOPES/DIST CLERK"</f>
        <v>WINDOW ENVELOPES/DIST CLERK</v>
      </c>
      <c r="H601">
        <v>87.39</v>
      </c>
      <c r="I601" t="str">
        <f>"WINDOW ENVELOPES/DIST CLERK"</f>
        <v>WINDOW ENVELOPES/DIST CLERK</v>
      </c>
    </row>
    <row r="602" spans="1:9" x14ac:dyDescent="0.3">
      <c r="A602" t="str">
        <f>"002605"</f>
        <v>002605</v>
      </c>
      <c r="B602" t="s">
        <v>169</v>
      </c>
      <c r="C602">
        <v>77298</v>
      </c>
      <c r="D602" s="2">
        <v>325.11</v>
      </c>
      <c r="E602" s="1">
        <v>43276</v>
      </c>
      <c r="F602" t="str">
        <f>"201806131597"</f>
        <v>201806131597</v>
      </c>
      <c r="G602" t="str">
        <f>"CUST#2179855/PCT#3"</f>
        <v>CUST#2179855/PCT#3</v>
      </c>
      <c r="H602">
        <v>325.11</v>
      </c>
      <c r="I602" t="str">
        <f>"CUST#2179855/PCT#3"</f>
        <v>CUST#2179855/PCT#3</v>
      </c>
    </row>
    <row r="603" spans="1:9" x14ac:dyDescent="0.3">
      <c r="A603" t="str">
        <f>"004055"</f>
        <v>004055</v>
      </c>
      <c r="B603" t="s">
        <v>170</v>
      </c>
      <c r="C603">
        <v>77299</v>
      </c>
      <c r="D603" s="2">
        <v>2003.81</v>
      </c>
      <c r="E603" s="1">
        <v>43276</v>
      </c>
      <c r="F603" t="str">
        <f>"1173"</f>
        <v>1173</v>
      </c>
      <c r="G603" t="str">
        <f>"INV 1173"</f>
        <v>INV 1173</v>
      </c>
      <c r="H603">
        <v>1350.23</v>
      </c>
      <c r="I603" t="str">
        <f>"INV 1173"</f>
        <v>INV 1173</v>
      </c>
    </row>
    <row r="604" spans="1:9" x14ac:dyDescent="0.3">
      <c r="A604" t="str">
        <f>""</f>
        <v/>
      </c>
      <c r="F604" t="str">
        <f>"MAY VEHICLE MAINT"</f>
        <v>MAY VEHICLE MAINT</v>
      </c>
      <c r="G604" t="str">
        <f>"GARLAND T MURLEY"</f>
        <v>GARLAND T MURLEY</v>
      </c>
      <c r="H604">
        <v>653.58000000000004</v>
      </c>
      <c r="I604" t="str">
        <f>"UNIT 0799; TIRES OIL"</f>
        <v>UNIT 0799; TIRES OIL</v>
      </c>
    </row>
    <row r="605" spans="1:9" x14ac:dyDescent="0.3">
      <c r="A605" t="str">
        <f>""</f>
        <v/>
      </c>
      <c r="F605" t="str">
        <f>""</f>
        <v/>
      </c>
      <c r="G605" t="str">
        <f>""</f>
        <v/>
      </c>
      <c r="I605" t="str">
        <f>"UNIT 84; OIL CHANGE"</f>
        <v>UNIT 84; OIL CHANGE</v>
      </c>
    </row>
    <row r="606" spans="1:9" x14ac:dyDescent="0.3">
      <c r="A606" t="str">
        <f>"T10301"</f>
        <v>T10301</v>
      </c>
      <c r="B606" t="s">
        <v>171</v>
      </c>
      <c r="C606">
        <v>77300</v>
      </c>
      <c r="D606" s="2">
        <v>10139.26</v>
      </c>
      <c r="E606" s="1">
        <v>43276</v>
      </c>
      <c r="F606" t="str">
        <f>"4"</f>
        <v>4</v>
      </c>
      <c r="G606" t="str">
        <f>"15 914"</f>
        <v>15 914</v>
      </c>
      <c r="H606">
        <v>10139.26</v>
      </c>
      <c r="I606" t="str">
        <f>"15 914"</f>
        <v>15 914</v>
      </c>
    </row>
    <row r="607" spans="1:9" x14ac:dyDescent="0.3">
      <c r="A607" t="str">
        <f>"004353"</f>
        <v>004353</v>
      </c>
      <c r="B607" t="s">
        <v>172</v>
      </c>
      <c r="C607">
        <v>77099</v>
      </c>
      <c r="D607" s="2">
        <v>1075</v>
      </c>
      <c r="E607" s="1">
        <v>43262</v>
      </c>
      <c r="F607" t="str">
        <f>"1020"</f>
        <v>1020</v>
      </c>
      <c r="G607" t="str">
        <f>"TRANSPORT-S.LASSITER"</f>
        <v>TRANSPORT-S.LASSITER</v>
      </c>
      <c r="H607">
        <v>675</v>
      </c>
      <c r="I607" t="str">
        <f>"TRANSPORT-S.LASSITER"</f>
        <v>TRANSPORT-S.LASSITER</v>
      </c>
    </row>
    <row r="608" spans="1:9" x14ac:dyDescent="0.3">
      <c r="A608" t="str">
        <f>""</f>
        <v/>
      </c>
      <c r="F608" t="str">
        <f>"1021"</f>
        <v>1021</v>
      </c>
      <c r="G608" t="str">
        <f>"TRANSPORT-S.W. HILLYER"</f>
        <v>TRANSPORT-S.W. HILLYER</v>
      </c>
      <c r="H608">
        <v>400</v>
      </c>
      <c r="I608" t="str">
        <f>"TRANSPORT-S.W. HILLYER"</f>
        <v>TRANSPORT-S.W. HILLYER</v>
      </c>
    </row>
    <row r="609" spans="1:9" x14ac:dyDescent="0.3">
      <c r="A609" t="str">
        <f>"004353"</f>
        <v>004353</v>
      </c>
      <c r="B609" t="s">
        <v>172</v>
      </c>
      <c r="C609">
        <v>77301</v>
      </c>
      <c r="D609" s="2">
        <v>350</v>
      </c>
      <c r="E609" s="1">
        <v>43276</v>
      </c>
      <c r="F609" t="str">
        <f>"1022"</f>
        <v>1022</v>
      </c>
      <c r="G609" t="str">
        <f>"TRANSPORT-F. SOLOMON"</f>
        <v>TRANSPORT-F. SOLOMON</v>
      </c>
      <c r="H609">
        <v>350</v>
      </c>
      <c r="I609" t="str">
        <f>"TRANSPORT-F. SOLOMON"</f>
        <v>TRANSPORT-F. SOLOMON</v>
      </c>
    </row>
    <row r="610" spans="1:9" x14ac:dyDescent="0.3">
      <c r="A610" t="str">
        <f>"005439"</f>
        <v>005439</v>
      </c>
      <c r="B610" t="s">
        <v>173</v>
      </c>
      <c r="C610">
        <v>77302</v>
      </c>
      <c r="D610" s="2">
        <v>576</v>
      </c>
      <c r="E610" s="1">
        <v>43276</v>
      </c>
      <c r="F610" t="str">
        <f>"0310206"</f>
        <v>0310206</v>
      </c>
      <c r="G610" t="str">
        <f>"INV 0310206"</f>
        <v>INV 0310206</v>
      </c>
      <c r="H610">
        <v>576</v>
      </c>
      <c r="I610" t="str">
        <f>"INV 0310206"</f>
        <v>INV 0310206</v>
      </c>
    </row>
    <row r="611" spans="1:9" x14ac:dyDescent="0.3">
      <c r="A611" t="str">
        <f>"WWGI"</f>
        <v>WWGI</v>
      </c>
      <c r="B611" t="s">
        <v>174</v>
      </c>
      <c r="C611">
        <v>77100</v>
      </c>
      <c r="D611" s="2">
        <v>249.37</v>
      </c>
      <c r="E611" s="1">
        <v>43262</v>
      </c>
      <c r="F611" t="str">
        <f>"9799377966"</f>
        <v>9799377966</v>
      </c>
      <c r="G611" t="str">
        <f>"INV 9799377966"</f>
        <v>INV 9799377966</v>
      </c>
      <c r="H611">
        <v>249.37</v>
      </c>
      <c r="I611" t="str">
        <f>"INV 9799377966"</f>
        <v>INV 9799377966</v>
      </c>
    </row>
    <row r="612" spans="1:9" x14ac:dyDescent="0.3">
      <c r="A612" t="str">
        <f>"005357"</f>
        <v>005357</v>
      </c>
      <c r="B612" t="s">
        <v>175</v>
      </c>
      <c r="C612">
        <v>77303</v>
      </c>
      <c r="D612" s="2">
        <v>64.650000000000006</v>
      </c>
      <c r="E612" s="1">
        <v>43276</v>
      </c>
      <c r="F612" t="str">
        <f>"I00372147-06092018"</f>
        <v>I00372147-06092018</v>
      </c>
      <c r="G612" t="str">
        <f>"Public Notice Ad"</f>
        <v>Public Notice Ad</v>
      </c>
      <c r="H612">
        <v>64.650000000000006</v>
      </c>
      <c r="I612" t="str">
        <f>"Ad# 372147"</f>
        <v>Ad# 372147</v>
      </c>
    </row>
    <row r="613" spans="1:9" x14ac:dyDescent="0.3">
      <c r="A613" t="str">
        <f>"T13464"</f>
        <v>T13464</v>
      </c>
      <c r="B613" t="s">
        <v>176</v>
      </c>
      <c r="C613">
        <v>77101</v>
      </c>
      <c r="D613" s="2">
        <v>240</v>
      </c>
      <c r="E613" s="1">
        <v>43262</v>
      </c>
      <c r="F613" t="str">
        <f>"201806011253"</f>
        <v>201806011253</v>
      </c>
      <c r="G613" t="str">
        <f>"REIMBURSEMENT-STATE BAR DUES"</f>
        <v>REIMBURSEMENT-STATE BAR DUES</v>
      </c>
      <c r="H613">
        <v>240</v>
      </c>
      <c r="I613" t="str">
        <f>"REIMBURSEMENT-STATE BAR DUES"</f>
        <v>REIMBURSEMENT-STATE BAR DUES</v>
      </c>
    </row>
    <row r="614" spans="1:9" x14ac:dyDescent="0.3">
      <c r="A614" t="str">
        <f>"GTDI"</f>
        <v>GTDI</v>
      </c>
      <c r="B614" t="s">
        <v>177</v>
      </c>
      <c r="C614">
        <v>77102</v>
      </c>
      <c r="D614" s="2">
        <v>95.94</v>
      </c>
      <c r="E614" s="1">
        <v>43262</v>
      </c>
      <c r="F614" t="str">
        <f>"INV0660819"</f>
        <v>INV0660819</v>
      </c>
      <c r="G614" t="str">
        <f>"CUST#000825/ORD#DPT000227808"</f>
        <v>CUST#000825/ORD#DPT000227808</v>
      </c>
      <c r="H614">
        <v>95.94</v>
      </c>
      <c r="I614" t="str">
        <f>"CUST#000825/ORD#DPT000227808"</f>
        <v>CUST#000825/ORD#DPT000227808</v>
      </c>
    </row>
    <row r="615" spans="1:9" x14ac:dyDescent="0.3">
      <c r="A615" t="str">
        <f>"GTDI"</f>
        <v>GTDI</v>
      </c>
      <c r="B615" t="s">
        <v>177</v>
      </c>
      <c r="C615">
        <v>999999</v>
      </c>
      <c r="D615" s="2">
        <v>3965.24</v>
      </c>
      <c r="E615" s="1">
        <v>43277</v>
      </c>
      <c r="F615" t="str">
        <f>"0664166"</f>
        <v>0664166</v>
      </c>
      <c r="G615" t="str">
        <f>"INV 0664166"</f>
        <v>INV 0664166</v>
      </c>
      <c r="H615">
        <v>3084.9</v>
      </c>
      <c r="I615" t="str">
        <f>"INV 0664166"</f>
        <v>INV 0664166</v>
      </c>
    </row>
    <row r="616" spans="1:9" x14ac:dyDescent="0.3">
      <c r="A616" t="str">
        <f>""</f>
        <v/>
      </c>
      <c r="F616" t="str">
        <f>"INV0663595"</f>
        <v>INV0663595</v>
      </c>
      <c r="G616" t="str">
        <f>"Vehicle Mounts"</f>
        <v>Vehicle Mounts</v>
      </c>
      <c r="H616">
        <v>880.34</v>
      </c>
      <c r="I616" t="str">
        <f>"HS-PKG-PSM-108*"</f>
        <v>HS-PKG-PSM-108*</v>
      </c>
    </row>
    <row r="617" spans="1:9" x14ac:dyDescent="0.3">
      <c r="A617" t="str">
        <f>""</f>
        <v/>
      </c>
      <c r="F617" t="str">
        <f>""</f>
        <v/>
      </c>
      <c r="G617" t="str">
        <f>""</f>
        <v/>
      </c>
      <c r="I617" t="str">
        <f>"HS-PKG-PSM-111*"</f>
        <v>HS-PKG-PSM-111*</v>
      </c>
    </row>
    <row r="618" spans="1:9" x14ac:dyDescent="0.3">
      <c r="A618" t="str">
        <f>""</f>
        <v/>
      </c>
      <c r="F618" t="str">
        <f>""</f>
        <v/>
      </c>
      <c r="G618" t="str">
        <f>""</f>
        <v/>
      </c>
      <c r="I618" t="str">
        <f>"HS-PKG-PSM-102*"</f>
        <v>HS-PKG-PSM-102*</v>
      </c>
    </row>
    <row r="619" spans="1:9" x14ac:dyDescent="0.3">
      <c r="A619" t="str">
        <f>""</f>
        <v/>
      </c>
      <c r="F619" t="str">
        <f>""</f>
        <v/>
      </c>
      <c r="G619" t="str">
        <f>""</f>
        <v/>
      </c>
      <c r="I619" t="str">
        <f>"Freight"</f>
        <v>Freight</v>
      </c>
    </row>
    <row r="620" spans="1:9" x14ac:dyDescent="0.3">
      <c r="A620" t="str">
        <f>"T3667"</f>
        <v>T3667</v>
      </c>
      <c r="B620" t="s">
        <v>178</v>
      </c>
      <c r="C620">
        <v>77103</v>
      </c>
      <c r="D620" s="2">
        <v>758.24</v>
      </c>
      <c r="E620" s="1">
        <v>43262</v>
      </c>
      <c r="F620" t="str">
        <f>"1504796"</f>
        <v>1504796</v>
      </c>
      <c r="G620" t="str">
        <f>"CUST#0007014928"</f>
        <v>CUST#0007014928</v>
      </c>
      <c r="H620">
        <v>180.4</v>
      </c>
      <c r="I620" t="str">
        <f>"CUST#0007014928"</f>
        <v>CUST#0007014928</v>
      </c>
    </row>
    <row r="621" spans="1:9" x14ac:dyDescent="0.3">
      <c r="A621" t="str">
        <f>""</f>
        <v/>
      </c>
      <c r="F621" t="str">
        <f>"1504884"</f>
        <v>1504884</v>
      </c>
      <c r="G621" t="str">
        <f>"CUST#0007014928/CLEANING SUPPL"</f>
        <v>CUST#0007014928/CLEANING SUPPL</v>
      </c>
      <c r="H621">
        <v>372.95</v>
      </c>
      <c r="I621" t="str">
        <f>"CUST#0007014928/CLEANING SUPPL"</f>
        <v>CUST#0007014928/CLEANING SUPPL</v>
      </c>
    </row>
    <row r="622" spans="1:9" x14ac:dyDescent="0.3">
      <c r="A622" t="str">
        <f>""</f>
        <v/>
      </c>
      <c r="F622" t="str">
        <f>"1507819"</f>
        <v>1507819</v>
      </c>
      <c r="G622" t="str">
        <f>"CUST#0007014928/GENERAL SVCS"</f>
        <v>CUST#0007014928/GENERAL SVCS</v>
      </c>
      <c r="H622">
        <v>33.590000000000003</v>
      </c>
      <c r="I622" t="str">
        <f>"CUST#0007014928/GENERAL SVCS"</f>
        <v>CUST#0007014928/GENERAL SVCS</v>
      </c>
    </row>
    <row r="623" spans="1:9" x14ac:dyDescent="0.3">
      <c r="A623" t="str">
        <f>""</f>
        <v/>
      </c>
      <c r="F623" t="str">
        <f>"1507821"</f>
        <v>1507821</v>
      </c>
      <c r="G623" t="str">
        <f>"INV 1507821"</f>
        <v>INV 1507821</v>
      </c>
      <c r="H623">
        <v>171.3</v>
      </c>
      <c r="I623" t="str">
        <f>"INV 1507821"</f>
        <v>INV 1507821</v>
      </c>
    </row>
    <row r="624" spans="1:9" x14ac:dyDescent="0.3">
      <c r="A624" t="str">
        <f>"T3667"</f>
        <v>T3667</v>
      </c>
      <c r="B624" t="s">
        <v>178</v>
      </c>
      <c r="C624">
        <v>77304</v>
      </c>
      <c r="D624" s="2">
        <v>2749.21</v>
      </c>
      <c r="E624" s="1">
        <v>43276</v>
      </c>
      <c r="F624" t="str">
        <f>"1504882"</f>
        <v>1504882</v>
      </c>
      <c r="G624" t="str">
        <f>"CUST#0008007267/ANIMAL CONTROL"</f>
        <v>CUST#0008007267/ANIMAL CONTROL</v>
      </c>
      <c r="H624">
        <v>111.68</v>
      </c>
      <c r="I624" t="str">
        <f>"CUST#0008007267/ANIMAL CONTROL"</f>
        <v>CUST#0008007267/ANIMAL CONTROL</v>
      </c>
    </row>
    <row r="625" spans="1:10" x14ac:dyDescent="0.3">
      <c r="A625" t="str">
        <f>""</f>
        <v/>
      </c>
      <c r="F625" t="str">
        <f>"1511650"</f>
        <v>1511650</v>
      </c>
      <c r="G625" t="str">
        <f>"CUST#0007014928/ORD#MP6X2"</f>
        <v>CUST#0007014928/ORD#MP6X2</v>
      </c>
      <c r="H625">
        <v>161.91999999999999</v>
      </c>
      <c r="I625" t="str">
        <f>"CUST#0007014928/ORD#MP6X2"</f>
        <v>CUST#0007014928/ORD#MP6X2</v>
      </c>
    </row>
    <row r="626" spans="1:10" x14ac:dyDescent="0.3">
      <c r="A626" t="str">
        <f>""</f>
        <v/>
      </c>
      <c r="F626" t="str">
        <f>"1514673"</f>
        <v>1514673</v>
      </c>
      <c r="G626" t="str">
        <f>"INV 1514673"</f>
        <v>INV 1514673</v>
      </c>
      <c r="H626">
        <v>827.11</v>
      </c>
      <c r="I626" t="str">
        <f>"INV 1514673"</f>
        <v>INV 1514673</v>
      </c>
    </row>
    <row r="627" spans="1:10" x14ac:dyDescent="0.3">
      <c r="A627" t="str">
        <f>""</f>
        <v/>
      </c>
      <c r="F627" t="str">
        <f>"1514674"</f>
        <v>1514674</v>
      </c>
      <c r="G627" t="str">
        <f>"INV 1514674"</f>
        <v>INV 1514674</v>
      </c>
      <c r="H627">
        <v>1648.5</v>
      </c>
      <c r="I627" t="str">
        <f>"INV 1514674"</f>
        <v>INV 1514674</v>
      </c>
    </row>
    <row r="628" spans="1:10" x14ac:dyDescent="0.3">
      <c r="A628" t="str">
        <f>"HEWI"</f>
        <v>HEWI</v>
      </c>
      <c r="B628" t="s">
        <v>179</v>
      </c>
      <c r="C628">
        <v>999999</v>
      </c>
      <c r="D628" s="2">
        <v>144.68</v>
      </c>
      <c r="E628" s="1">
        <v>43263</v>
      </c>
      <c r="F628" t="str">
        <f>"549330"</f>
        <v>549330</v>
      </c>
      <c r="G628" t="str">
        <f>"INV 549330"</f>
        <v>INV 549330</v>
      </c>
      <c r="H628">
        <v>144.68</v>
      </c>
      <c r="I628" t="str">
        <f>"INV 549330"</f>
        <v>INV 549330</v>
      </c>
    </row>
    <row r="629" spans="1:10" x14ac:dyDescent="0.3">
      <c r="A629" t="str">
        <f>"003170"</f>
        <v>003170</v>
      </c>
      <c r="B629" t="s">
        <v>180</v>
      </c>
      <c r="C629">
        <v>77104</v>
      </c>
      <c r="D629" s="2">
        <v>158</v>
      </c>
      <c r="E629" s="1">
        <v>43262</v>
      </c>
      <c r="F629" t="str">
        <f>"12369  03/29/18"</f>
        <v>12369  03/29/18</v>
      </c>
      <c r="G629" t="str">
        <f>"SERVICE  03/29/18"</f>
        <v>SERVICE  03/29/18</v>
      </c>
      <c r="H629">
        <v>8</v>
      </c>
      <c r="I629" t="str">
        <f>"SERVICE  03/29/18"</f>
        <v>SERVICE  03/29/18</v>
      </c>
    </row>
    <row r="630" spans="1:10" x14ac:dyDescent="0.3">
      <c r="A630" t="str">
        <f>""</f>
        <v/>
      </c>
      <c r="F630" t="str">
        <f>"12912"</f>
        <v>12912</v>
      </c>
      <c r="G630" t="str">
        <f>"SERVICE FEE  04/03/18"</f>
        <v>SERVICE FEE  04/03/18</v>
      </c>
      <c r="H630">
        <v>150</v>
      </c>
      <c r="I630" t="str">
        <f>"SERVICE FEE  04/03/18"</f>
        <v>SERVICE FEE  04/03/18</v>
      </c>
    </row>
    <row r="631" spans="1:10" x14ac:dyDescent="0.3">
      <c r="A631" t="str">
        <f>"005590"</f>
        <v>005590</v>
      </c>
      <c r="B631" t="s">
        <v>181</v>
      </c>
      <c r="C631">
        <v>77305</v>
      </c>
      <c r="D631" s="2">
        <v>25</v>
      </c>
      <c r="E631" s="1">
        <v>43276</v>
      </c>
      <c r="F631" t="s">
        <v>182</v>
      </c>
      <c r="G631" t="s">
        <v>183</v>
      </c>
      <c r="H631" t="str">
        <f>"RESTITUTION-R.WRIGHT"</f>
        <v>RESTITUTION-R.WRIGHT</v>
      </c>
      <c r="I631" t="str">
        <f>"210-0000"</f>
        <v>210-0000</v>
      </c>
      <c r="J631" t="str">
        <f>""</f>
        <v/>
      </c>
    </row>
    <row r="632" spans="1:10" x14ac:dyDescent="0.3">
      <c r="A632" t="str">
        <f>"000061"</f>
        <v>000061</v>
      </c>
      <c r="B632" t="s">
        <v>184</v>
      </c>
      <c r="C632">
        <v>77306</v>
      </c>
      <c r="D632" s="2">
        <v>786.32</v>
      </c>
      <c r="E632" s="1">
        <v>43276</v>
      </c>
      <c r="F632" t="str">
        <f>"336894"</f>
        <v>336894</v>
      </c>
      <c r="G632" t="str">
        <f>"ACCT#002628/PCT#2"</f>
        <v>ACCT#002628/PCT#2</v>
      </c>
      <c r="H632">
        <v>762.52</v>
      </c>
      <c r="I632" t="str">
        <f>"ACCT#002628/PCT#2"</f>
        <v>ACCT#002628/PCT#2</v>
      </c>
    </row>
    <row r="633" spans="1:10" x14ac:dyDescent="0.3">
      <c r="A633" t="str">
        <f>""</f>
        <v/>
      </c>
      <c r="F633" t="str">
        <f>"354748"</f>
        <v>354748</v>
      </c>
      <c r="G633" t="str">
        <f>"ACCT#002628/SWITCH/PCT#2"</f>
        <v>ACCT#002628/SWITCH/PCT#2</v>
      </c>
      <c r="H633">
        <v>23.8</v>
      </c>
      <c r="I633" t="str">
        <f>"ACCT#002628/SWITCH/PCT#2"</f>
        <v>ACCT#002628/SWITCH/PCT#2</v>
      </c>
    </row>
    <row r="634" spans="1:10" x14ac:dyDescent="0.3">
      <c r="A634" t="str">
        <f>"004624"</f>
        <v>004624</v>
      </c>
      <c r="B634" t="s">
        <v>185</v>
      </c>
      <c r="C634">
        <v>77307</v>
      </c>
      <c r="D634" s="2">
        <v>200</v>
      </c>
      <c r="E634" s="1">
        <v>43276</v>
      </c>
      <c r="F634" t="s">
        <v>182</v>
      </c>
      <c r="G634" t="s">
        <v>186</v>
      </c>
      <c r="H634" t="str">
        <f>"RESTITUTION-M. FELTS"</f>
        <v>RESTITUTION-M. FELTS</v>
      </c>
      <c r="I634" t="str">
        <f>"210-0000"</f>
        <v>210-0000</v>
      </c>
      <c r="J634" t="str">
        <f>""</f>
        <v/>
      </c>
    </row>
    <row r="635" spans="1:10" x14ac:dyDescent="0.3">
      <c r="A635" t="str">
        <f>""</f>
        <v/>
      </c>
      <c r="F635" t="s">
        <v>182</v>
      </c>
      <c r="G635" t="s">
        <v>187</v>
      </c>
      <c r="H635" t="str">
        <f>"RESTITUTION-M. FELTS"</f>
        <v>RESTITUTION-M. FELTS</v>
      </c>
      <c r="I635" t="str">
        <f>"210-0000"</f>
        <v>210-0000</v>
      </c>
      <c r="J635" t="str">
        <f>""</f>
        <v/>
      </c>
    </row>
    <row r="636" spans="1:10" x14ac:dyDescent="0.3">
      <c r="A636" t="str">
        <f>"HPC"</f>
        <v>HPC</v>
      </c>
      <c r="B636" t="s">
        <v>188</v>
      </c>
      <c r="C636">
        <v>999999</v>
      </c>
      <c r="D636" s="2">
        <v>650</v>
      </c>
      <c r="E636" s="1">
        <v>43277</v>
      </c>
      <c r="F636" t="str">
        <f>"JUNE 2018 PEST SVC"</f>
        <v>JUNE 2018 PEST SVC</v>
      </c>
      <c r="G636" t="str">
        <f>"BASCOM L HODGES JR"</f>
        <v>BASCOM L HODGES JR</v>
      </c>
      <c r="H636">
        <v>650</v>
      </c>
      <c r="I636" t="str">
        <f>""</f>
        <v/>
      </c>
    </row>
    <row r="637" spans="1:10" x14ac:dyDescent="0.3">
      <c r="A637" t="str">
        <f>"ECKEL"</f>
        <v>ECKEL</v>
      </c>
      <c r="B637" t="s">
        <v>189</v>
      </c>
      <c r="C637">
        <v>77105</v>
      </c>
      <c r="D637" s="2">
        <v>850</v>
      </c>
      <c r="E637" s="1">
        <v>43262</v>
      </c>
      <c r="F637" t="str">
        <f>"201806051304"</f>
        <v>201806051304</v>
      </c>
      <c r="G637" t="str">
        <f>"16-17833"</f>
        <v>16-17833</v>
      </c>
      <c r="H637">
        <v>100</v>
      </c>
      <c r="I637" t="str">
        <f>"16-17833"</f>
        <v>16-17833</v>
      </c>
    </row>
    <row r="638" spans="1:10" x14ac:dyDescent="0.3">
      <c r="A638" t="str">
        <f>""</f>
        <v/>
      </c>
      <c r="F638" t="str">
        <f>"201806061357"</f>
        <v>201806061357</v>
      </c>
      <c r="G638" t="str">
        <f>"53 484"</f>
        <v>53 484</v>
      </c>
      <c r="H638">
        <v>250</v>
      </c>
      <c r="I638" t="str">
        <f>"53 484"</f>
        <v>53 484</v>
      </c>
    </row>
    <row r="639" spans="1:10" x14ac:dyDescent="0.3">
      <c r="A639" t="str">
        <f>""</f>
        <v/>
      </c>
      <c r="F639" t="str">
        <f>"201806061358"</f>
        <v>201806061358</v>
      </c>
      <c r="G639" t="str">
        <f>"54 960"</f>
        <v>54 960</v>
      </c>
      <c r="H639">
        <v>250</v>
      </c>
      <c r="I639" t="str">
        <f>"54 960"</f>
        <v>54 960</v>
      </c>
    </row>
    <row r="640" spans="1:10" x14ac:dyDescent="0.3">
      <c r="A640" t="str">
        <f>""</f>
        <v/>
      </c>
      <c r="F640" t="str">
        <f>"201806061360"</f>
        <v>201806061360</v>
      </c>
      <c r="G640" t="str">
        <f>"55962"</f>
        <v>55962</v>
      </c>
      <c r="H640">
        <v>250</v>
      </c>
      <c r="I640" t="str">
        <f>"55962"</f>
        <v>55962</v>
      </c>
    </row>
    <row r="641" spans="1:9" x14ac:dyDescent="0.3">
      <c r="A641" t="str">
        <f>"ECKEL"</f>
        <v>ECKEL</v>
      </c>
      <c r="B641" t="s">
        <v>189</v>
      </c>
      <c r="C641">
        <v>77308</v>
      </c>
      <c r="D641" s="2">
        <v>250</v>
      </c>
      <c r="E641" s="1">
        <v>43276</v>
      </c>
      <c r="F641" t="str">
        <f>"201806201706"</f>
        <v>201806201706</v>
      </c>
      <c r="G641" t="str">
        <f>"55944"</f>
        <v>55944</v>
      </c>
      <c r="H641">
        <v>250</v>
      </c>
      <c r="I641" t="str">
        <f>"55944"</f>
        <v>55944</v>
      </c>
    </row>
    <row r="642" spans="1:9" x14ac:dyDescent="0.3">
      <c r="A642" t="str">
        <f>"HM"</f>
        <v>HM</v>
      </c>
      <c r="B642" t="s">
        <v>190</v>
      </c>
      <c r="C642">
        <v>77106</v>
      </c>
      <c r="D642" s="2">
        <v>1969.92</v>
      </c>
      <c r="E642" s="1">
        <v>43262</v>
      </c>
      <c r="F642" t="str">
        <f>"PIMP0274974"</f>
        <v>PIMP0274974</v>
      </c>
      <c r="G642" t="str">
        <f>"CAT0308ELFJX07519 balance"</f>
        <v>CAT0308ELFJX07519 balance</v>
      </c>
      <c r="H642">
        <v>1969.92</v>
      </c>
      <c r="I642" t="str">
        <f>"258-2111 CAP"</f>
        <v>258-2111 CAP</v>
      </c>
    </row>
    <row r="643" spans="1:9" x14ac:dyDescent="0.3">
      <c r="A643" t="str">
        <f>""</f>
        <v/>
      </c>
      <c r="F643" t="str">
        <f>""</f>
        <v/>
      </c>
      <c r="G643" t="str">
        <f>""</f>
        <v/>
      </c>
      <c r="I643" t="str">
        <f>"367-0977CTWT AS-EXTR"</f>
        <v>367-0977CTWT AS-EXTR</v>
      </c>
    </row>
    <row r="644" spans="1:9" x14ac:dyDescent="0.3">
      <c r="A644" t="str">
        <f>""</f>
        <v/>
      </c>
      <c r="F644" t="str">
        <f>""</f>
        <v/>
      </c>
      <c r="G644" t="str">
        <f>""</f>
        <v/>
      </c>
      <c r="I644" t="str">
        <f>"8C-3290 BOLT"</f>
        <v>8C-3290 BOLT</v>
      </c>
    </row>
    <row r="645" spans="1:9" x14ac:dyDescent="0.3">
      <c r="A645" t="str">
        <f>""</f>
        <v/>
      </c>
      <c r="F645" t="str">
        <f>""</f>
        <v/>
      </c>
      <c r="G645" t="str">
        <f>""</f>
        <v/>
      </c>
      <c r="I645" t="str">
        <f>"8T-4167 WASHER"</f>
        <v>8T-4167 WASHER</v>
      </c>
    </row>
    <row r="646" spans="1:9" x14ac:dyDescent="0.3">
      <c r="A646" t="str">
        <f>"T8869"</f>
        <v>T8869</v>
      </c>
      <c r="B646" t="s">
        <v>191</v>
      </c>
      <c r="C646">
        <v>77107</v>
      </c>
      <c r="D646" s="2">
        <v>3376.36</v>
      </c>
      <c r="E646" s="1">
        <v>43262</v>
      </c>
      <c r="F646" t="str">
        <f>"ACCT#3780/05/28/18"</f>
        <v>ACCT#3780/05/28/18</v>
      </c>
      <c r="G646" t="str">
        <f>"Acct# 3780"</f>
        <v>Acct# 3780</v>
      </c>
      <c r="H646">
        <v>3376.36</v>
      </c>
      <c r="I646" t="str">
        <f>"Inv# 6584813"</f>
        <v>Inv# 6584813</v>
      </c>
    </row>
    <row r="647" spans="1:9" x14ac:dyDescent="0.3">
      <c r="A647" t="str">
        <f>""</f>
        <v/>
      </c>
      <c r="F647" t="str">
        <f>""</f>
        <v/>
      </c>
      <c r="G647" t="str">
        <f>""</f>
        <v/>
      </c>
      <c r="I647" t="str">
        <f>"Inv# 6594389"</f>
        <v>Inv# 6594389</v>
      </c>
    </row>
    <row r="648" spans="1:9" x14ac:dyDescent="0.3">
      <c r="A648" t="str">
        <f>""</f>
        <v/>
      </c>
      <c r="F648" t="str">
        <f>""</f>
        <v/>
      </c>
      <c r="G648" t="str">
        <f>""</f>
        <v/>
      </c>
      <c r="I648" t="str">
        <f>"Inv# 20168"</f>
        <v>Inv# 20168</v>
      </c>
    </row>
    <row r="649" spans="1:9" x14ac:dyDescent="0.3">
      <c r="A649" t="str">
        <f>""</f>
        <v/>
      </c>
      <c r="F649" t="str">
        <f>""</f>
        <v/>
      </c>
      <c r="G649" t="str">
        <f>""</f>
        <v/>
      </c>
      <c r="I649" t="str">
        <f>"Inv# 4013055"</f>
        <v>Inv# 4013055</v>
      </c>
    </row>
    <row r="650" spans="1:9" x14ac:dyDescent="0.3">
      <c r="A650" t="str">
        <f>""</f>
        <v/>
      </c>
      <c r="F650" t="str">
        <f>""</f>
        <v/>
      </c>
      <c r="G650" t="str">
        <f>""</f>
        <v/>
      </c>
      <c r="I650" t="str">
        <f>"Inv# 4013093"</f>
        <v>Inv# 4013093</v>
      </c>
    </row>
    <row r="651" spans="1:9" x14ac:dyDescent="0.3">
      <c r="A651" t="str">
        <f>""</f>
        <v/>
      </c>
      <c r="F651" t="str">
        <f>""</f>
        <v/>
      </c>
      <c r="G651" t="str">
        <f>""</f>
        <v/>
      </c>
      <c r="I651" t="str">
        <f>"Inv# 4025850"</f>
        <v>Inv# 4025850</v>
      </c>
    </row>
    <row r="652" spans="1:9" x14ac:dyDescent="0.3">
      <c r="A652" t="str">
        <f>""</f>
        <v/>
      </c>
      <c r="F652" t="str">
        <f>""</f>
        <v/>
      </c>
      <c r="G652" t="str">
        <f>""</f>
        <v/>
      </c>
      <c r="I652" t="str">
        <f>"Inv# 211373"</f>
        <v>Inv# 211373</v>
      </c>
    </row>
    <row r="653" spans="1:9" x14ac:dyDescent="0.3">
      <c r="A653" t="str">
        <f>""</f>
        <v/>
      </c>
      <c r="F653" t="str">
        <f>""</f>
        <v/>
      </c>
      <c r="G653" t="str">
        <f>""</f>
        <v/>
      </c>
      <c r="I653" t="str">
        <f>"Inv# 6580352"</f>
        <v>Inv# 6580352</v>
      </c>
    </row>
    <row r="654" spans="1:9" x14ac:dyDescent="0.3">
      <c r="A654" t="str">
        <f>""</f>
        <v/>
      </c>
      <c r="F654" t="str">
        <f>""</f>
        <v/>
      </c>
      <c r="G654" t="str">
        <f>""</f>
        <v/>
      </c>
      <c r="I654" t="str">
        <f>"Inv# 6594807"</f>
        <v>Inv# 6594807</v>
      </c>
    </row>
    <row r="655" spans="1:9" x14ac:dyDescent="0.3">
      <c r="A655" t="str">
        <f>""</f>
        <v/>
      </c>
      <c r="F655" t="str">
        <f>""</f>
        <v/>
      </c>
      <c r="G655" t="str">
        <f>""</f>
        <v/>
      </c>
      <c r="I655" t="str">
        <f>"Inv# 3014175"</f>
        <v>Inv# 3014175</v>
      </c>
    </row>
    <row r="656" spans="1:9" x14ac:dyDescent="0.3">
      <c r="A656" t="str">
        <f>""</f>
        <v/>
      </c>
      <c r="F656" t="str">
        <f>""</f>
        <v/>
      </c>
      <c r="G656" t="str">
        <f>""</f>
        <v/>
      </c>
      <c r="I656" t="str">
        <f>"Inv# 2081523"</f>
        <v>Inv# 2081523</v>
      </c>
    </row>
    <row r="657" spans="1:9" x14ac:dyDescent="0.3">
      <c r="A657" t="str">
        <f>""</f>
        <v/>
      </c>
      <c r="F657" t="str">
        <f>""</f>
        <v/>
      </c>
      <c r="G657" t="str">
        <f>""</f>
        <v/>
      </c>
      <c r="I657" t="str">
        <f>"Inv# 7408055"</f>
        <v>Inv# 7408055</v>
      </c>
    </row>
    <row r="658" spans="1:9" x14ac:dyDescent="0.3">
      <c r="A658" t="str">
        <f>""</f>
        <v/>
      </c>
      <c r="F658" t="str">
        <f>""</f>
        <v/>
      </c>
      <c r="G658" t="str">
        <f>""</f>
        <v/>
      </c>
      <c r="I658" t="str">
        <f>"Inv# 5010124"</f>
        <v>Inv# 5010124</v>
      </c>
    </row>
    <row r="659" spans="1:9" x14ac:dyDescent="0.3">
      <c r="A659" t="str">
        <f>""</f>
        <v/>
      </c>
      <c r="F659" t="str">
        <f>""</f>
        <v/>
      </c>
      <c r="G659" t="str">
        <f>""</f>
        <v/>
      </c>
      <c r="I659" t="str">
        <f>"Inv# 5021678"</f>
        <v>Inv# 5021678</v>
      </c>
    </row>
    <row r="660" spans="1:9" x14ac:dyDescent="0.3">
      <c r="A660" t="str">
        <f>""</f>
        <v/>
      </c>
      <c r="F660" t="str">
        <f>""</f>
        <v/>
      </c>
      <c r="G660" t="str">
        <f>""</f>
        <v/>
      </c>
      <c r="I660" t="str">
        <f>"Inv# 5021711"</f>
        <v>Inv# 5021711</v>
      </c>
    </row>
    <row r="661" spans="1:9" x14ac:dyDescent="0.3">
      <c r="A661" t="str">
        <f>""</f>
        <v/>
      </c>
      <c r="F661" t="str">
        <f>""</f>
        <v/>
      </c>
      <c r="G661" t="str">
        <f>""</f>
        <v/>
      </c>
      <c r="I661" t="str">
        <f>"Inv# 4010240"</f>
        <v>Inv# 4010240</v>
      </c>
    </row>
    <row r="662" spans="1:9" x14ac:dyDescent="0.3">
      <c r="A662" t="str">
        <f>""</f>
        <v/>
      </c>
      <c r="F662" t="str">
        <f>""</f>
        <v/>
      </c>
      <c r="G662" t="str">
        <f>""</f>
        <v/>
      </c>
      <c r="I662" t="str">
        <f>"Inv# 4021765"</f>
        <v>Inv# 4021765</v>
      </c>
    </row>
    <row r="663" spans="1:9" x14ac:dyDescent="0.3">
      <c r="A663" t="str">
        <f>""</f>
        <v/>
      </c>
      <c r="F663" t="str">
        <f>""</f>
        <v/>
      </c>
      <c r="G663" t="str">
        <f>""</f>
        <v/>
      </c>
      <c r="I663" t="str">
        <f>"Inv# 3010336"</f>
        <v>Inv# 3010336</v>
      </c>
    </row>
    <row r="664" spans="1:9" x14ac:dyDescent="0.3">
      <c r="A664" t="str">
        <f>""</f>
        <v/>
      </c>
      <c r="F664" t="str">
        <f>""</f>
        <v/>
      </c>
      <c r="G664" t="str">
        <f>""</f>
        <v/>
      </c>
      <c r="I664" t="str">
        <f>"Inv# 4201278"</f>
        <v>Inv# 4201278</v>
      </c>
    </row>
    <row r="665" spans="1:9" x14ac:dyDescent="0.3">
      <c r="A665" t="str">
        <f>""</f>
        <v/>
      </c>
      <c r="F665" t="str">
        <f>""</f>
        <v/>
      </c>
      <c r="G665" t="str">
        <f>""</f>
        <v/>
      </c>
      <c r="I665" t="str">
        <f>"Inv# 4025880"</f>
        <v>Inv# 4025880</v>
      </c>
    </row>
    <row r="666" spans="1:9" x14ac:dyDescent="0.3">
      <c r="A666" t="str">
        <f>""</f>
        <v/>
      </c>
      <c r="F666" t="str">
        <f>""</f>
        <v/>
      </c>
      <c r="G666" t="str">
        <f>""</f>
        <v/>
      </c>
      <c r="I666" t="str">
        <f>"Inv# 1021072"</f>
        <v>Inv# 1021072</v>
      </c>
    </row>
    <row r="667" spans="1:9" x14ac:dyDescent="0.3">
      <c r="A667" t="str">
        <f>""</f>
        <v/>
      </c>
      <c r="F667" t="str">
        <f>""</f>
        <v/>
      </c>
      <c r="G667" t="str">
        <f>""</f>
        <v/>
      </c>
      <c r="I667" t="str">
        <f>"Inv# 3025937"</f>
        <v>Inv# 3025937</v>
      </c>
    </row>
    <row r="668" spans="1:9" x14ac:dyDescent="0.3">
      <c r="A668" t="str">
        <f>""</f>
        <v/>
      </c>
      <c r="F668" t="str">
        <f>""</f>
        <v/>
      </c>
      <c r="G668" t="str">
        <f>""</f>
        <v/>
      </c>
      <c r="I668" t="str">
        <f>"Inv# 3025938"</f>
        <v>Inv# 3025938</v>
      </c>
    </row>
    <row r="669" spans="1:9" x14ac:dyDescent="0.3">
      <c r="A669" t="str">
        <f>""</f>
        <v/>
      </c>
      <c r="F669" t="str">
        <f>""</f>
        <v/>
      </c>
      <c r="G669" t="str">
        <f>""</f>
        <v/>
      </c>
      <c r="I669" t="str">
        <f>"Inv# 6560104"</f>
        <v>Inv# 6560104</v>
      </c>
    </row>
    <row r="670" spans="1:9" x14ac:dyDescent="0.3">
      <c r="A670" t="str">
        <f>""</f>
        <v/>
      </c>
      <c r="F670" t="str">
        <f>""</f>
        <v/>
      </c>
      <c r="G670" t="str">
        <f>""</f>
        <v/>
      </c>
      <c r="I670" t="str">
        <f>"Inv# 4594467"</f>
        <v>Inv# 4594467</v>
      </c>
    </row>
    <row r="671" spans="1:9" x14ac:dyDescent="0.3">
      <c r="A671" t="str">
        <f>""</f>
        <v/>
      </c>
      <c r="F671" t="str">
        <f>""</f>
        <v/>
      </c>
      <c r="G671" t="str">
        <f>""</f>
        <v/>
      </c>
      <c r="I671" t="str">
        <f>"Inv# 2580869"</f>
        <v>Inv# 2580869</v>
      </c>
    </row>
    <row r="672" spans="1:9" x14ac:dyDescent="0.3">
      <c r="A672" t="str">
        <f>""</f>
        <v/>
      </c>
      <c r="F672" t="str">
        <f>""</f>
        <v/>
      </c>
      <c r="G672" t="str">
        <f>""</f>
        <v/>
      </c>
      <c r="I672" t="str">
        <f>"Inv# 2573197"</f>
        <v>Inv# 2573197</v>
      </c>
    </row>
    <row r="673" spans="1:9" x14ac:dyDescent="0.3">
      <c r="A673" t="str">
        <f>""</f>
        <v/>
      </c>
      <c r="F673" t="str">
        <f>""</f>
        <v/>
      </c>
      <c r="G673" t="str">
        <f>""</f>
        <v/>
      </c>
      <c r="I673" t="str">
        <f>"Inv# 5595286"</f>
        <v>Inv# 5595286</v>
      </c>
    </row>
    <row r="674" spans="1:9" x14ac:dyDescent="0.3">
      <c r="A674" t="str">
        <f>""</f>
        <v/>
      </c>
      <c r="F674" t="str">
        <f>""</f>
        <v/>
      </c>
      <c r="G674" t="str">
        <f>""</f>
        <v/>
      </c>
      <c r="I674" t="str">
        <f>"Inv# 4010263"</f>
        <v>Inv# 4010263</v>
      </c>
    </row>
    <row r="675" spans="1:9" x14ac:dyDescent="0.3">
      <c r="A675" t="str">
        <f>""</f>
        <v/>
      </c>
      <c r="F675" t="str">
        <f>""</f>
        <v/>
      </c>
      <c r="G675" t="str">
        <f>""</f>
        <v/>
      </c>
      <c r="I675" t="str">
        <f>"Inv# 1153760"</f>
        <v>Inv# 1153760</v>
      </c>
    </row>
    <row r="676" spans="1:9" x14ac:dyDescent="0.3">
      <c r="A676" t="str">
        <f>""</f>
        <v/>
      </c>
      <c r="F676" t="str">
        <f>""</f>
        <v/>
      </c>
      <c r="G676" t="str">
        <f>""</f>
        <v/>
      </c>
      <c r="I676" t="str">
        <f>"Inv# 7010077"</f>
        <v>Inv# 7010077</v>
      </c>
    </row>
    <row r="677" spans="1:9" x14ac:dyDescent="0.3">
      <c r="A677" t="str">
        <f>""</f>
        <v/>
      </c>
      <c r="F677" t="str">
        <f>""</f>
        <v/>
      </c>
      <c r="G677" t="str">
        <f>""</f>
        <v/>
      </c>
      <c r="I677" t="str">
        <f>"Inv# 7010129"</f>
        <v>Inv# 7010129</v>
      </c>
    </row>
    <row r="678" spans="1:9" x14ac:dyDescent="0.3">
      <c r="A678" t="str">
        <f>""</f>
        <v/>
      </c>
      <c r="F678" t="str">
        <f>""</f>
        <v/>
      </c>
      <c r="G678" t="str">
        <f>""</f>
        <v/>
      </c>
      <c r="I678" t="str">
        <f>"Inv# 6021636"</f>
        <v>Inv# 6021636</v>
      </c>
    </row>
    <row r="679" spans="1:9" x14ac:dyDescent="0.3">
      <c r="A679" t="str">
        <f>""</f>
        <v/>
      </c>
      <c r="F679" t="str">
        <f>""</f>
        <v/>
      </c>
      <c r="G679" t="str">
        <f>""</f>
        <v/>
      </c>
      <c r="I679" t="str">
        <f>"Inv# 4081501"</f>
        <v>Inv# 4081501</v>
      </c>
    </row>
    <row r="680" spans="1:9" x14ac:dyDescent="0.3">
      <c r="A680" t="str">
        <f>""</f>
        <v/>
      </c>
      <c r="F680" t="str">
        <f>""</f>
        <v/>
      </c>
      <c r="G680" t="str">
        <f>""</f>
        <v/>
      </c>
      <c r="I680" t="str">
        <f>"Inv# 6591950"</f>
        <v>Inv# 6591950</v>
      </c>
    </row>
    <row r="681" spans="1:9" x14ac:dyDescent="0.3">
      <c r="A681" t="str">
        <f>""</f>
        <v/>
      </c>
      <c r="F681" t="str">
        <f>""</f>
        <v/>
      </c>
      <c r="G681" t="str">
        <f>""</f>
        <v/>
      </c>
      <c r="I681" t="str">
        <f>"Inv# 4573053"</f>
        <v>Inv# 4573053</v>
      </c>
    </row>
    <row r="682" spans="1:9" x14ac:dyDescent="0.3">
      <c r="A682" t="str">
        <f>""</f>
        <v/>
      </c>
      <c r="F682" t="str">
        <f>""</f>
        <v/>
      </c>
      <c r="G682" t="str">
        <f>""</f>
        <v/>
      </c>
      <c r="I682" t="str">
        <f>"Inv# 1594228"</f>
        <v>Inv# 1594228</v>
      </c>
    </row>
    <row r="683" spans="1:9" x14ac:dyDescent="0.3">
      <c r="A683" t="str">
        <f>""</f>
        <v/>
      </c>
      <c r="F683" t="str">
        <f>""</f>
        <v/>
      </c>
      <c r="G683" t="str">
        <f>""</f>
        <v/>
      </c>
      <c r="I683" t="str">
        <f>"Inv# 3020806"</f>
        <v>Inv# 3020806</v>
      </c>
    </row>
    <row r="684" spans="1:9" x14ac:dyDescent="0.3">
      <c r="A684" t="str">
        <f>""</f>
        <v/>
      </c>
      <c r="F684" t="str">
        <f>""</f>
        <v/>
      </c>
      <c r="G684" t="str">
        <f>""</f>
        <v/>
      </c>
      <c r="I684" t="str">
        <f>"Inv# 2020940"</f>
        <v>Inv# 2020940</v>
      </c>
    </row>
    <row r="685" spans="1:9" x14ac:dyDescent="0.3">
      <c r="A685" t="str">
        <f>""</f>
        <v/>
      </c>
      <c r="F685" t="str">
        <f>""</f>
        <v/>
      </c>
      <c r="G685" t="str">
        <f>""</f>
        <v/>
      </c>
      <c r="I685" t="str">
        <f>"Inv# 6010007"</f>
        <v>Inv# 6010007</v>
      </c>
    </row>
    <row r="686" spans="1:9" x14ac:dyDescent="0.3">
      <c r="A686" t="str">
        <f>""</f>
        <v/>
      </c>
      <c r="F686" t="str">
        <f>""</f>
        <v/>
      </c>
      <c r="G686" t="str">
        <f>""</f>
        <v/>
      </c>
      <c r="I686" t="str">
        <f>"Inv# 5021717"</f>
        <v>Inv# 5021717</v>
      </c>
    </row>
    <row r="687" spans="1:9" x14ac:dyDescent="0.3">
      <c r="A687" t="str">
        <f>""</f>
        <v/>
      </c>
      <c r="F687" t="str">
        <f>""</f>
        <v/>
      </c>
      <c r="G687" t="str">
        <f>""</f>
        <v/>
      </c>
      <c r="I687" t="str">
        <f>"Inv# 5595271"</f>
        <v>Inv# 5595271</v>
      </c>
    </row>
    <row r="688" spans="1:9" x14ac:dyDescent="0.3">
      <c r="A688" t="str">
        <f>"003653"</f>
        <v>003653</v>
      </c>
      <c r="B688" t="s">
        <v>192</v>
      </c>
      <c r="C688">
        <v>77227</v>
      </c>
      <c r="D688" s="2">
        <v>1922.41</v>
      </c>
      <c r="E688" s="1">
        <v>43265</v>
      </c>
      <c r="F688" t="str">
        <f>"S1806040001-00037"</f>
        <v>S1806040001-00037</v>
      </c>
      <c r="G688" t="str">
        <f>"ACCT#100402264 / 060418"</f>
        <v>ACCT#100402264 / 060418</v>
      </c>
      <c r="H688">
        <v>1922.41</v>
      </c>
      <c r="I688" t="str">
        <f>"ACCT#100402264 / 060418"</f>
        <v>ACCT#100402264 / 060418</v>
      </c>
    </row>
    <row r="689" spans="1:9" x14ac:dyDescent="0.3">
      <c r="A689" t="str">
        <f>""</f>
        <v/>
      </c>
      <c r="F689" t="str">
        <f>""</f>
        <v/>
      </c>
      <c r="G689" t="str">
        <f>""</f>
        <v/>
      </c>
      <c r="I689" t="str">
        <f>"ACCT#100402264 / 060418"</f>
        <v>ACCT#100402264 / 060418</v>
      </c>
    </row>
    <row r="690" spans="1:9" x14ac:dyDescent="0.3">
      <c r="A690" t="str">
        <f>""</f>
        <v/>
      </c>
      <c r="F690" t="str">
        <f>""</f>
        <v/>
      </c>
      <c r="G690" t="str">
        <f>""</f>
        <v/>
      </c>
      <c r="I690" t="str">
        <f>"ACCT#100402264 / 060418"</f>
        <v>ACCT#100402264 / 060418</v>
      </c>
    </row>
    <row r="691" spans="1:9" x14ac:dyDescent="0.3">
      <c r="A691" t="str">
        <f>"003545"</f>
        <v>003545</v>
      </c>
      <c r="B691" t="s">
        <v>193</v>
      </c>
      <c r="C691">
        <v>999999</v>
      </c>
      <c r="D691" s="2">
        <v>1015.47</v>
      </c>
      <c r="E691" s="1">
        <v>43277</v>
      </c>
      <c r="F691" t="str">
        <f>"172013"</f>
        <v>172013</v>
      </c>
      <c r="G691" t="str">
        <f>"CYLINDER REPAIR/PCT#3"</f>
        <v>CYLINDER REPAIR/PCT#3</v>
      </c>
      <c r="H691">
        <v>570</v>
      </c>
      <c r="I691" t="str">
        <f>"CYLINDER REPAIR/PCT#3"</f>
        <v>CYLINDER REPAIR/PCT#3</v>
      </c>
    </row>
    <row r="692" spans="1:9" x14ac:dyDescent="0.3">
      <c r="A692" t="str">
        <f>""</f>
        <v/>
      </c>
      <c r="F692" t="str">
        <f>"172053"</f>
        <v>172053</v>
      </c>
      <c r="G692" t="str">
        <f>"HYDRAULIC CYLINDER REPAIR/PCT3"</f>
        <v>HYDRAULIC CYLINDER REPAIR/PCT3</v>
      </c>
      <c r="H692">
        <v>366</v>
      </c>
      <c r="I692" t="str">
        <f>"HYDRAULIC CYLINDER REPAIR/PCT3"</f>
        <v>HYDRAULIC CYLINDER REPAIR/PCT3</v>
      </c>
    </row>
    <row r="693" spans="1:9" x14ac:dyDescent="0.3">
      <c r="A693" t="str">
        <f>""</f>
        <v/>
      </c>
      <c r="F693" t="str">
        <f>"172122"</f>
        <v>172122</v>
      </c>
      <c r="G693" t="str">
        <f>"WIRE BRAID HOSE/PCT#3"</f>
        <v>WIRE BRAID HOSE/PCT#3</v>
      </c>
      <c r="H693">
        <v>79.47</v>
      </c>
      <c r="I693" t="str">
        <f>"WIRE BRAID HOSE/PCT#3"</f>
        <v>WIRE BRAID HOSE/PCT#3</v>
      </c>
    </row>
    <row r="694" spans="1:9" x14ac:dyDescent="0.3">
      <c r="A694" t="str">
        <f>"000045"</f>
        <v>000045</v>
      </c>
      <c r="B694" t="s">
        <v>194</v>
      </c>
      <c r="C694">
        <v>77108</v>
      </c>
      <c r="D694" s="2">
        <v>249.6</v>
      </c>
      <c r="E694" s="1">
        <v>43262</v>
      </c>
      <c r="F694" t="str">
        <f>"W1702600/1/2/3"</f>
        <v>W1702600/1/2/3</v>
      </c>
      <c r="G694" t="str">
        <f>"INV W1702600"</f>
        <v>INV W1702600</v>
      </c>
      <c r="H694">
        <v>249.6</v>
      </c>
      <c r="I694" t="str">
        <f>"INV W1702600"</f>
        <v>INV W1702600</v>
      </c>
    </row>
    <row r="695" spans="1:9" x14ac:dyDescent="0.3">
      <c r="A695" t="str">
        <f>""</f>
        <v/>
      </c>
      <c r="F695" t="str">
        <f>""</f>
        <v/>
      </c>
      <c r="G695" t="str">
        <f>""</f>
        <v/>
      </c>
      <c r="I695" t="str">
        <f>"INV W1702601"</f>
        <v>INV W1702601</v>
      </c>
    </row>
    <row r="696" spans="1:9" x14ac:dyDescent="0.3">
      <c r="A696" t="str">
        <f>""</f>
        <v/>
      </c>
      <c r="F696" t="str">
        <f>""</f>
        <v/>
      </c>
      <c r="G696" t="str">
        <f>""</f>
        <v/>
      </c>
      <c r="I696" t="str">
        <f>"INV W1702602"</f>
        <v>INV W1702602</v>
      </c>
    </row>
    <row r="697" spans="1:9" x14ac:dyDescent="0.3">
      <c r="A697" t="str">
        <f>""</f>
        <v/>
      </c>
      <c r="F697" t="str">
        <f>""</f>
        <v/>
      </c>
      <c r="G697" t="str">
        <f>""</f>
        <v/>
      </c>
      <c r="I697" t="str">
        <f>"INV W1702603"</f>
        <v>INV W1702603</v>
      </c>
    </row>
    <row r="698" spans="1:9" x14ac:dyDescent="0.3">
      <c r="A698" t="str">
        <f>"T11576"</f>
        <v>T11576</v>
      </c>
      <c r="B698" t="s">
        <v>195</v>
      </c>
      <c r="C698">
        <v>999999</v>
      </c>
      <c r="D698" s="2">
        <v>2430</v>
      </c>
      <c r="E698" s="1">
        <v>43263</v>
      </c>
      <c r="F698" t="str">
        <f>"66055"</f>
        <v>66055</v>
      </c>
      <c r="G698" t="str">
        <f>"PROF SVCS FOR JULY 2018"</f>
        <v>PROF SVCS FOR JULY 2018</v>
      </c>
      <c r="H698">
        <v>2430</v>
      </c>
      <c r="I698" t="str">
        <f>"PROF SVCS FOR JULY 2018"</f>
        <v>PROF SVCS FOR JULY 2018</v>
      </c>
    </row>
    <row r="699" spans="1:9" x14ac:dyDescent="0.3">
      <c r="A699" t="str">
        <f>""</f>
        <v/>
      </c>
      <c r="F699" t="str">
        <f>""</f>
        <v/>
      </c>
      <c r="G699" t="str">
        <f>""</f>
        <v/>
      </c>
      <c r="I699" t="str">
        <f>"PROF SVCS FOR JULY 2018"</f>
        <v>PROF SVCS FOR JULY 2018</v>
      </c>
    </row>
    <row r="700" spans="1:9" x14ac:dyDescent="0.3">
      <c r="A700" t="str">
        <f>"005480"</f>
        <v>005480</v>
      </c>
      <c r="B700" t="s">
        <v>196</v>
      </c>
      <c r="C700">
        <v>77417</v>
      </c>
      <c r="D700" s="2">
        <v>9184</v>
      </c>
      <c r="E700" s="1">
        <v>43278</v>
      </c>
      <c r="F700" t="str">
        <f>"4102022"</f>
        <v>4102022</v>
      </c>
      <c r="G700" t="str">
        <f>"Spray Foam"</f>
        <v>Spray Foam</v>
      </c>
      <c r="H700">
        <v>9184</v>
      </c>
      <c r="I700" t="str">
        <f>"Spray Foam roof"</f>
        <v>Spray Foam roof</v>
      </c>
    </row>
    <row r="701" spans="1:9" x14ac:dyDescent="0.3">
      <c r="A701" t="str">
        <f>""</f>
        <v/>
      </c>
      <c r="F701" t="str">
        <f>""</f>
        <v/>
      </c>
      <c r="G701" t="str">
        <f>""</f>
        <v/>
      </c>
      <c r="I701" t="str">
        <f>"Spray Foam walls"</f>
        <v>Spray Foam walls</v>
      </c>
    </row>
    <row r="702" spans="1:9" x14ac:dyDescent="0.3">
      <c r="A702" t="str">
        <f>"005163"</f>
        <v>005163</v>
      </c>
      <c r="B702" t="s">
        <v>197</v>
      </c>
      <c r="C702">
        <v>77309</v>
      </c>
      <c r="D702" s="2">
        <v>437.1</v>
      </c>
      <c r="E702" s="1">
        <v>43276</v>
      </c>
      <c r="F702" t="str">
        <f>"201806131568"</f>
        <v>201806131568</v>
      </c>
      <c r="G702" t="str">
        <f>"MILEAGE REIMBURSEMENT"</f>
        <v>MILEAGE REIMBURSEMENT</v>
      </c>
      <c r="H702">
        <v>437.1</v>
      </c>
      <c r="I702" t="str">
        <f>"MILEAGE REIMBURSEMENT"</f>
        <v>MILEAGE REIMBURSEMENT</v>
      </c>
    </row>
    <row r="703" spans="1:9" x14ac:dyDescent="0.3">
      <c r="A703" t="str">
        <f>"T7471"</f>
        <v>T7471</v>
      </c>
      <c r="B703" t="s">
        <v>198</v>
      </c>
      <c r="C703">
        <v>77109</v>
      </c>
      <c r="D703" s="2">
        <v>1089.82</v>
      </c>
      <c r="E703" s="1">
        <v>43262</v>
      </c>
      <c r="F703" t="str">
        <f>"19034"</f>
        <v>19034</v>
      </c>
      <c r="G703" t="str">
        <f>"TAR &amp; ASPHALT REMOVER/PCT#1"</f>
        <v>TAR &amp; ASPHALT REMOVER/PCT#1</v>
      </c>
      <c r="H703">
        <v>1089.82</v>
      </c>
      <c r="I703" t="str">
        <f>"TAR &amp; ASPHALT REMOVER/PCT#1"</f>
        <v>TAR &amp; ASPHALT REMOVER/PCT#1</v>
      </c>
    </row>
    <row r="704" spans="1:9" x14ac:dyDescent="0.3">
      <c r="A704" t="str">
        <f>"T7471"</f>
        <v>T7471</v>
      </c>
      <c r="B704" t="s">
        <v>198</v>
      </c>
      <c r="C704">
        <v>77310</v>
      </c>
      <c r="D704" s="2">
        <v>1089.82</v>
      </c>
      <c r="E704" s="1">
        <v>43276</v>
      </c>
      <c r="F704" t="str">
        <f>"19058"</f>
        <v>19058</v>
      </c>
      <c r="G704" t="str">
        <f>"TAR&amp;ASPHALT REMOVER/FREIGHT/P4"</f>
        <v>TAR&amp;ASPHALT REMOVER/FREIGHT/P4</v>
      </c>
      <c r="H704">
        <v>1089.82</v>
      </c>
      <c r="I704" t="str">
        <f>"TAR&amp;ASPHALT REMOVER/FREIGHT/P4"</f>
        <v>TAR&amp;ASPHALT REMOVER/FREIGHT/P4</v>
      </c>
    </row>
    <row r="705" spans="1:10" x14ac:dyDescent="0.3">
      <c r="A705" t="str">
        <f>"002027"</f>
        <v>002027</v>
      </c>
      <c r="B705" t="s">
        <v>199</v>
      </c>
      <c r="C705">
        <v>77110</v>
      </c>
      <c r="D705" s="2">
        <v>175</v>
      </c>
      <c r="E705" s="1">
        <v>43262</v>
      </c>
      <c r="F705" t="str">
        <f>"PER DIEM-BATES"</f>
        <v>PER DIEM-BATES</v>
      </c>
      <c r="G705" t="str">
        <f>"PER DIEM"</f>
        <v>PER DIEM</v>
      </c>
      <c r="H705">
        <v>175</v>
      </c>
      <c r="I705" t="str">
        <f>"PER DIEM"</f>
        <v>PER DIEM</v>
      </c>
    </row>
    <row r="706" spans="1:10" x14ac:dyDescent="0.3">
      <c r="A706" t="str">
        <f>"JOB"</f>
        <v>JOB</v>
      </c>
      <c r="B706" t="s">
        <v>200</v>
      </c>
      <c r="C706">
        <v>77111</v>
      </c>
      <c r="D706" s="2">
        <v>500</v>
      </c>
      <c r="E706" s="1">
        <v>43262</v>
      </c>
      <c r="F706" t="str">
        <f>"201806051301"</f>
        <v>201806051301</v>
      </c>
      <c r="G706" t="str">
        <f>"55 968"</f>
        <v>55 968</v>
      </c>
      <c r="H706">
        <v>250</v>
      </c>
      <c r="I706" t="str">
        <f>"55 968"</f>
        <v>55 968</v>
      </c>
    </row>
    <row r="707" spans="1:10" x14ac:dyDescent="0.3">
      <c r="A707" t="str">
        <f>""</f>
        <v/>
      </c>
      <c r="F707" t="str">
        <f>"201806051303"</f>
        <v>201806051303</v>
      </c>
      <c r="G707" t="str">
        <f>"J-3133"</f>
        <v>J-3133</v>
      </c>
      <c r="H707">
        <v>250</v>
      </c>
      <c r="I707" t="str">
        <f>"J-3133"</f>
        <v>J-3133</v>
      </c>
    </row>
    <row r="708" spans="1:10" x14ac:dyDescent="0.3">
      <c r="A708" t="str">
        <f>"005599"</f>
        <v>005599</v>
      </c>
      <c r="B708" t="s">
        <v>201</v>
      </c>
      <c r="C708">
        <v>77311</v>
      </c>
      <c r="D708" s="2">
        <v>106.14</v>
      </c>
      <c r="E708" s="1">
        <v>43276</v>
      </c>
      <c r="F708" t="str">
        <f>"201806201656"</f>
        <v>201806201656</v>
      </c>
      <c r="G708" t="str">
        <f>"REIMBURSEMENT FOR SUPPLIES"</f>
        <v>REIMBURSEMENT FOR SUPPLIES</v>
      </c>
      <c r="H708">
        <v>106.14</v>
      </c>
      <c r="I708" t="str">
        <f>"REIMBURSEMENT FOR SUPPLIES"</f>
        <v>REIMBURSEMENT FOR SUPPLIES</v>
      </c>
    </row>
    <row r="709" spans="1:10" x14ac:dyDescent="0.3">
      <c r="A709" t="str">
        <f>"T7860"</f>
        <v>T7860</v>
      </c>
      <c r="B709" t="s">
        <v>202</v>
      </c>
      <c r="C709">
        <v>999999</v>
      </c>
      <c r="D709" s="2">
        <v>900</v>
      </c>
      <c r="E709" s="1">
        <v>43263</v>
      </c>
      <c r="F709" t="str">
        <f>"12226"</f>
        <v>12226</v>
      </c>
      <c r="G709" t="str">
        <f>"AD LITEM FEE  03/20/18"</f>
        <v>AD LITEM FEE  03/20/18</v>
      </c>
      <c r="H709">
        <v>150</v>
      </c>
      <c r="I709" t="str">
        <f>"AD LITEM FEE  03/20/18"</f>
        <v>AD LITEM FEE  03/20/18</v>
      </c>
    </row>
    <row r="710" spans="1:10" x14ac:dyDescent="0.3">
      <c r="A710" t="str">
        <f>""</f>
        <v/>
      </c>
      <c r="F710" t="str">
        <f>"12455"</f>
        <v>12455</v>
      </c>
      <c r="G710" t="str">
        <f>"AD LITEM FEE  03/20/18"</f>
        <v>AD LITEM FEE  03/20/18</v>
      </c>
      <c r="H710">
        <v>150</v>
      </c>
      <c r="I710" t="str">
        <f>"AD LITEM FEE  03/20/18"</f>
        <v>AD LITEM FEE  03/20/18</v>
      </c>
    </row>
    <row r="711" spans="1:10" x14ac:dyDescent="0.3">
      <c r="A711" t="str">
        <f>""</f>
        <v/>
      </c>
      <c r="F711" t="str">
        <f>"12471"</f>
        <v>12471</v>
      </c>
      <c r="G711" t="str">
        <f>"AD LITEM FEE  03/20/18"</f>
        <v>AD LITEM FEE  03/20/18</v>
      </c>
      <c r="H711">
        <v>150</v>
      </c>
      <c r="I711" t="str">
        <f>"AD LITEM FEE  03/20/18"</f>
        <v>AD LITEM FEE  03/20/18</v>
      </c>
    </row>
    <row r="712" spans="1:10" x14ac:dyDescent="0.3">
      <c r="A712" t="str">
        <f>""</f>
        <v/>
      </c>
      <c r="F712" t="str">
        <f>"201806051307"</f>
        <v>201806051307</v>
      </c>
      <c r="G712" t="str">
        <f>"17-18754"</f>
        <v>17-18754</v>
      </c>
      <c r="H712">
        <v>100</v>
      </c>
      <c r="I712" t="str">
        <f>"17-18754"</f>
        <v>17-18754</v>
      </c>
    </row>
    <row r="713" spans="1:10" x14ac:dyDescent="0.3">
      <c r="A713" t="str">
        <f>""</f>
        <v/>
      </c>
      <c r="F713" t="str">
        <f>"201806051336"</f>
        <v>201806051336</v>
      </c>
      <c r="G713" t="str">
        <f>"18-18974"</f>
        <v>18-18974</v>
      </c>
      <c r="H713">
        <v>100</v>
      </c>
      <c r="I713" t="str">
        <f>"18-18974"</f>
        <v>18-18974</v>
      </c>
    </row>
    <row r="714" spans="1:10" x14ac:dyDescent="0.3">
      <c r="A714" t="str">
        <f>""</f>
        <v/>
      </c>
      <c r="F714" t="str">
        <f>"201806051342"</f>
        <v>201806051342</v>
      </c>
      <c r="G714" t="str">
        <f>"J-3127"</f>
        <v>J-3127</v>
      </c>
      <c r="H714">
        <v>250</v>
      </c>
      <c r="I714" t="str">
        <f>"J-3127"</f>
        <v>J-3127</v>
      </c>
    </row>
    <row r="715" spans="1:10" x14ac:dyDescent="0.3">
      <c r="A715" t="str">
        <f>"T7860"</f>
        <v>T7860</v>
      </c>
      <c r="B715" t="s">
        <v>202</v>
      </c>
      <c r="C715">
        <v>999999</v>
      </c>
      <c r="D715" s="2">
        <v>650</v>
      </c>
      <c r="E715" s="1">
        <v>43277</v>
      </c>
      <c r="F715" t="str">
        <f>"12471  03/20/18"</f>
        <v>12471  03/20/18</v>
      </c>
      <c r="G715" t="str">
        <f>"AD LITEM FEE"</f>
        <v>AD LITEM FEE</v>
      </c>
      <c r="H715">
        <v>150</v>
      </c>
      <c r="I715" t="str">
        <f>"AD LITEM FEE"</f>
        <v>AD LITEM FEE</v>
      </c>
    </row>
    <row r="716" spans="1:10" x14ac:dyDescent="0.3">
      <c r="A716" t="str">
        <f>""</f>
        <v/>
      </c>
      <c r="F716" t="str">
        <f>"201806201701"</f>
        <v>201806201701</v>
      </c>
      <c r="G716" t="str">
        <f>"56 063"</f>
        <v>56 063</v>
      </c>
      <c r="H716">
        <v>250</v>
      </c>
      <c r="I716" t="str">
        <f>"56 063"</f>
        <v>56 063</v>
      </c>
    </row>
    <row r="717" spans="1:10" x14ac:dyDescent="0.3">
      <c r="A717" t="str">
        <f>""</f>
        <v/>
      </c>
      <c r="F717" t="str">
        <f>"201806201710"</f>
        <v>201806201710</v>
      </c>
      <c r="G717" t="str">
        <f>"02-0411-1  TRN-919-955-8955"</f>
        <v>02-0411-1  TRN-919-955-8955</v>
      </c>
      <c r="H717">
        <v>250</v>
      </c>
      <c r="I717" t="str">
        <f>"02-0411-1  TRN-919-955-8955"</f>
        <v>02-0411-1  TRN-919-955-8955</v>
      </c>
    </row>
    <row r="718" spans="1:10" x14ac:dyDescent="0.3">
      <c r="A718" t="str">
        <f>"004891"</f>
        <v>004891</v>
      </c>
      <c r="B718" t="s">
        <v>203</v>
      </c>
      <c r="C718">
        <v>77312</v>
      </c>
      <c r="D718" s="2">
        <v>50</v>
      </c>
      <c r="E718" s="1">
        <v>43276</v>
      </c>
      <c r="F718" t="s">
        <v>156</v>
      </c>
      <c r="G718" t="s">
        <v>204</v>
      </c>
      <c r="H718" t="str">
        <f>"RESTITUTION-M. ALMS"</f>
        <v>RESTITUTION-M. ALMS</v>
      </c>
      <c r="I718" t="str">
        <f>"210-0000"</f>
        <v>210-0000</v>
      </c>
      <c r="J718" t="str">
        <f>""</f>
        <v/>
      </c>
    </row>
    <row r="719" spans="1:10" x14ac:dyDescent="0.3">
      <c r="A719" t="str">
        <f>"T14062"</f>
        <v>T14062</v>
      </c>
      <c r="B719" t="s">
        <v>205</v>
      </c>
      <c r="C719">
        <v>77112</v>
      </c>
      <c r="D719" s="2">
        <v>5468.8</v>
      </c>
      <c r="E719" s="1">
        <v>43262</v>
      </c>
      <c r="F719" t="str">
        <f>"1049 ESTIMATE"</f>
        <v>1049 ESTIMATE</v>
      </c>
      <c r="G719" t="str">
        <f>"ESTIMATE # 1049"</f>
        <v>ESTIMATE # 1049</v>
      </c>
      <c r="H719">
        <v>2683.5</v>
      </c>
      <c r="I719" t="str">
        <f>"FENIEX TYPHOON HANDH"</f>
        <v>FENIEX TYPHOON HANDH</v>
      </c>
    </row>
    <row r="720" spans="1:10" x14ac:dyDescent="0.3">
      <c r="A720" t="str">
        <f>""</f>
        <v/>
      </c>
      <c r="F720" t="str">
        <f>""</f>
        <v/>
      </c>
      <c r="G720" t="str">
        <f>""</f>
        <v/>
      </c>
      <c r="I720" t="str">
        <f>"FENIEX TRITON 100 WA"</f>
        <v>FENIEX TRITON 100 WA</v>
      </c>
    </row>
    <row r="721" spans="1:9" x14ac:dyDescent="0.3">
      <c r="A721" t="str">
        <f>""</f>
        <v/>
      </c>
      <c r="F721" t="str">
        <f>""</f>
        <v/>
      </c>
      <c r="G721" t="str">
        <f>""</f>
        <v/>
      </c>
      <c r="I721" t="str">
        <f>"49 FENIEXFUSIONLIGHT"</f>
        <v>49 FENIEXFUSIONLIGHT</v>
      </c>
    </row>
    <row r="722" spans="1:9" x14ac:dyDescent="0.3">
      <c r="A722" t="str">
        <f>""</f>
        <v/>
      </c>
      <c r="F722" t="str">
        <f>""</f>
        <v/>
      </c>
      <c r="G722" t="str">
        <f>""</f>
        <v/>
      </c>
      <c r="I722" t="str">
        <f>"FENIEXWIDE-LUX6X4 A"</f>
        <v>FENIEXWIDE-LUX6X4 A</v>
      </c>
    </row>
    <row r="723" spans="1:9" x14ac:dyDescent="0.3">
      <c r="A723" t="str">
        <f>""</f>
        <v/>
      </c>
      <c r="F723" t="str">
        <f>""</f>
        <v/>
      </c>
      <c r="G723" t="str">
        <f>""</f>
        <v/>
      </c>
      <c r="I723" t="str">
        <f>"FENIEXWIDE-LUX6X4 B"</f>
        <v>FENIEXWIDE-LUX6X4 B</v>
      </c>
    </row>
    <row r="724" spans="1:9" x14ac:dyDescent="0.3">
      <c r="A724" t="str">
        <f>""</f>
        <v/>
      </c>
      <c r="F724" t="str">
        <f>""</f>
        <v/>
      </c>
      <c r="G724" t="str">
        <f>""</f>
        <v/>
      </c>
      <c r="I724" t="str">
        <f>"INSTALLATION OF EQUI"</f>
        <v>INSTALLATION OF EQUI</v>
      </c>
    </row>
    <row r="725" spans="1:9" x14ac:dyDescent="0.3">
      <c r="A725" t="str">
        <f>""</f>
        <v/>
      </c>
      <c r="F725" t="str">
        <f>""</f>
        <v/>
      </c>
      <c r="G725" t="str">
        <f>""</f>
        <v/>
      </c>
      <c r="I725" t="str">
        <f>"LIGHT BAR STRAP KIT"</f>
        <v>LIGHT BAR STRAP KIT</v>
      </c>
    </row>
    <row r="726" spans="1:9" x14ac:dyDescent="0.3">
      <c r="A726" t="str">
        <f>""</f>
        <v/>
      </c>
      <c r="F726" t="str">
        <f>""</f>
        <v/>
      </c>
      <c r="G726" t="str">
        <f>""</f>
        <v/>
      </c>
      <c r="I726" t="str">
        <f>"FENIEXFUSIONSURFACE"</f>
        <v>FENIEXFUSIONSURFACE</v>
      </c>
    </row>
    <row r="727" spans="1:9" x14ac:dyDescent="0.3">
      <c r="A727" t="str">
        <f>""</f>
        <v/>
      </c>
      <c r="F727" t="str">
        <f>""</f>
        <v/>
      </c>
      <c r="G727" t="str">
        <f>""</f>
        <v/>
      </c>
      <c r="I727" t="str">
        <f>"FENIEXCANNON 120 W&amp;A"</f>
        <v>FENIEXCANNON 120 W&amp;A</v>
      </c>
    </row>
    <row r="728" spans="1:9" x14ac:dyDescent="0.3">
      <c r="A728" t="str">
        <f>""</f>
        <v/>
      </c>
      <c r="F728" t="str">
        <f>""</f>
        <v/>
      </c>
      <c r="G728" t="str">
        <f>""</f>
        <v/>
      </c>
      <c r="I728" t="str">
        <f>"FENIEXCANNON 120 W&amp;B"</f>
        <v>FENIEXCANNON 120 W&amp;B</v>
      </c>
    </row>
    <row r="729" spans="1:9" x14ac:dyDescent="0.3">
      <c r="A729" t="str">
        <f>""</f>
        <v/>
      </c>
      <c r="F729" t="str">
        <f>"1050 ESTIMATE"</f>
        <v>1050 ESTIMATE</v>
      </c>
      <c r="G729" t="str">
        <f>"ESTIMATE# 1050"</f>
        <v>ESTIMATE# 1050</v>
      </c>
      <c r="H729">
        <v>2683.5</v>
      </c>
      <c r="I729" t="str">
        <f>"FENIEX TYPHOON HANDH"</f>
        <v>FENIEX TYPHOON HANDH</v>
      </c>
    </row>
    <row r="730" spans="1:9" x14ac:dyDescent="0.3">
      <c r="A730" t="str">
        <f>""</f>
        <v/>
      </c>
      <c r="F730" t="str">
        <f>""</f>
        <v/>
      </c>
      <c r="G730" t="str">
        <f>""</f>
        <v/>
      </c>
      <c r="I730" t="str">
        <f>"FENIEX TRITON 100 WA"</f>
        <v>FENIEX TRITON 100 WA</v>
      </c>
    </row>
    <row r="731" spans="1:9" x14ac:dyDescent="0.3">
      <c r="A731" t="str">
        <f>""</f>
        <v/>
      </c>
      <c r="F731" t="str">
        <f>""</f>
        <v/>
      </c>
      <c r="G731" t="str">
        <f>""</f>
        <v/>
      </c>
      <c r="I731" t="str">
        <f>"49 FENIEX FUSION LIG"</f>
        <v>49 FENIEX FUSION LIG</v>
      </c>
    </row>
    <row r="732" spans="1:9" x14ac:dyDescent="0.3">
      <c r="A732" t="str">
        <f>""</f>
        <v/>
      </c>
      <c r="F732" t="str">
        <f>""</f>
        <v/>
      </c>
      <c r="G732" t="str">
        <f>""</f>
        <v/>
      </c>
      <c r="I732" t="str">
        <f>"FENIEX FUSION SURFAC"</f>
        <v>FENIEX FUSION SURFAC</v>
      </c>
    </row>
    <row r="733" spans="1:9" x14ac:dyDescent="0.3">
      <c r="A733" t="str">
        <f>""</f>
        <v/>
      </c>
      <c r="F733" t="str">
        <f>""</f>
        <v/>
      </c>
      <c r="G733" t="str">
        <f>""</f>
        <v/>
      </c>
      <c r="I733" t="str">
        <f>"FENIEXWIDE-LUX6X4 R"</f>
        <v>FENIEXWIDE-LUX6X4 R</v>
      </c>
    </row>
    <row r="734" spans="1:9" x14ac:dyDescent="0.3">
      <c r="A734" t="str">
        <f>""</f>
        <v/>
      </c>
      <c r="F734" t="str">
        <f>""</f>
        <v/>
      </c>
      <c r="G734" t="str">
        <f>""</f>
        <v/>
      </c>
      <c r="I734" t="str">
        <f>"FENIEXWIDE-LUX6X4 B"</f>
        <v>FENIEXWIDE-LUX6X4 B</v>
      </c>
    </row>
    <row r="735" spans="1:9" x14ac:dyDescent="0.3">
      <c r="A735" t="str">
        <f>""</f>
        <v/>
      </c>
      <c r="F735" t="str">
        <f>""</f>
        <v/>
      </c>
      <c r="G735" t="str">
        <f>""</f>
        <v/>
      </c>
      <c r="I735" t="str">
        <f>"FENIEXCANNON120INR/W"</f>
        <v>FENIEXCANNON120INR/W</v>
      </c>
    </row>
    <row r="736" spans="1:9" x14ac:dyDescent="0.3">
      <c r="A736" t="str">
        <f>""</f>
        <v/>
      </c>
      <c r="F736" t="str">
        <f>""</f>
        <v/>
      </c>
      <c r="G736" t="str">
        <f>""</f>
        <v/>
      </c>
      <c r="I736" t="str">
        <f>"FENIEXCANNON120INB/W"</f>
        <v>FENIEXCANNON120INB/W</v>
      </c>
    </row>
    <row r="737" spans="1:10" x14ac:dyDescent="0.3">
      <c r="A737" t="str">
        <f>""</f>
        <v/>
      </c>
      <c r="F737" t="str">
        <f>""</f>
        <v/>
      </c>
      <c r="G737" t="str">
        <f>""</f>
        <v/>
      </c>
      <c r="I737" t="str">
        <f>"INSTALLATION OF EQUI"</f>
        <v>INSTALLATION OF EQUI</v>
      </c>
    </row>
    <row r="738" spans="1:10" x14ac:dyDescent="0.3">
      <c r="A738" t="str">
        <f>""</f>
        <v/>
      </c>
      <c r="F738" t="str">
        <f>""</f>
        <v/>
      </c>
      <c r="G738" t="str">
        <f>""</f>
        <v/>
      </c>
      <c r="I738" t="str">
        <f>"LIGHT BAR STRAP KIT"</f>
        <v>LIGHT BAR STRAP KIT</v>
      </c>
    </row>
    <row r="739" spans="1:10" x14ac:dyDescent="0.3">
      <c r="A739" t="str">
        <f>""</f>
        <v/>
      </c>
      <c r="F739" t="str">
        <f>"1059 Shipping"</f>
        <v>1059 Shipping</v>
      </c>
      <c r="G739" t="str">
        <f>"SHIPPING"</f>
        <v>SHIPPING</v>
      </c>
      <c r="H739">
        <v>50.9</v>
      </c>
      <c r="I739" t="str">
        <f>"SHIPPING"</f>
        <v>SHIPPING</v>
      </c>
    </row>
    <row r="740" spans="1:10" x14ac:dyDescent="0.3">
      <c r="A740" t="str">
        <f>""</f>
        <v/>
      </c>
      <c r="F740" t="str">
        <f>"1060 Shipping"</f>
        <v>1060 Shipping</v>
      </c>
      <c r="G740" t="str">
        <f>"SHIPPING"</f>
        <v>SHIPPING</v>
      </c>
      <c r="H740">
        <v>50.9</v>
      </c>
      <c r="I740" t="str">
        <f>"SHIPPING"</f>
        <v>SHIPPING</v>
      </c>
    </row>
    <row r="741" spans="1:10" x14ac:dyDescent="0.3">
      <c r="A741" t="str">
        <f>"005594"</f>
        <v>005594</v>
      </c>
      <c r="B741" t="s">
        <v>206</v>
      </c>
      <c r="C741">
        <v>77313</v>
      </c>
      <c r="D741" s="2">
        <v>25</v>
      </c>
      <c r="E741" s="1">
        <v>43276</v>
      </c>
      <c r="F741" t="str">
        <f>"201806181635"</f>
        <v>201806181635</v>
      </c>
      <c r="G741" t="str">
        <f>"DRIVEWAY PERMIT REFUND"</f>
        <v>DRIVEWAY PERMIT REFUND</v>
      </c>
      <c r="H741">
        <v>25</v>
      </c>
      <c r="I741" t="str">
        <f>"DRIVEWAY PERMIT REFUND"</f>
        <v>DRIVEWAY PERMIT REFUND</v>
      </c>
    </row>
    <row r="742" spans="1:10" x14ac:dyDescent="0.3">
      <c r="A742" t="str">
        <f>"000659"</f>
        <v>000659</v>
      </c>
      <c r="B742" t="s">
        <v>207</v>
      </c>
      <c r="C742">
        <v>77314</v>
      </c>
      <c r="D742" s="2">
        <v>285.58999999999997</v>
      </c>
      <c r="E742" s="1">
        <v>43276</v>
      </c>
      <c r="F742" t="str">
        <f>"412223"</f>
        <v>412223</v>
      </c>
      <c r="G742" t="str">
        <f>"ORD#431221/ANIMAL SHELTER"</f>
        <v>ORD#431221/ANIMAL SHELTER</v>
      </c>
      <c r="H742">
        <v>285.58999999999997</v>
      </c>
      <c r="I742" t="str">
        <f>"ORD#431221/ANIMAL SHELTER"</f>
        <v>ORD#431221/ANIMAL SHELTER</v>
      </c>
    </row>
    <row r="743" spans="1:10" x14ac:dyDescent="0.3">
      <c r="A743" t="str">
        <f>"003848"</f>
        <v>003848</v>
      </c>
      <c r="B743" t="s">
        <v>208</v>
      </c>
      <c r="C743">
        <v>999999</v>
      </c>
      <c r="D743" s="2">
        <v>800</v>
      </c>
      <c r="E743" s="1">
        <v>43277</v>
      </c>
      <c r="F743" t="str">
        <f>"201806141616"</f>
        <v>201806141616</v>
      </c>
      <c r="G743" t="str">
        <f>"20170265"</f>
        <v>20170265</v>
      </c>
      <c r="H743">
        <v>400</v>
      </c>
      <c r="I743" t="str">
        <f>"20170265"</f>
        <v>20170265</v>
      </c>
    </row>
    <row r="744" spans="1:10" x14ac:dyDescent="0.3">
      <c r="A744" t="str">
        <f>""</f>
        <v/>
      </c>
      <c r="F744" t="str">
        <f>"201806141617"</f>
        <v>201806141617</v>
      </c>
      <c r="G744" t="str">
        <f>"15209"</f>
        <v>15209</v>
      </c>
      <c r="H744">
        <v>400</v>
      </c>
      <c r="I744" t="str">
        <f>"15209"</f>
        <v>15209</v>
      </c>
    </row>
    <row r="745" spans="1:10" x14ac:dyDescent="0.3">
      <c r="A745" t="str">
        <f>"004675"</f>
        <v>004675</v>
      </c>
      <c r="B745" t="s">
        <v>209</v>
      </c>
      <c r="C745">
        <v>77315</v>
      </c>
      <c r="D745" s="2">
        <v>200</v>
      </c>
      <c r="E745" s="1">
        <v>43276</v>
      </c>
      <c r="F745" t="s">
        <v>21</v>
      </c>
      <c r="G745" t="s">
        <v>210</v>
      </c>
      <c r="H745" t="str">
        <f>"RESTITUTION-P. MILLER"</f>
        <v>RESTITUTION-P. MILLER</v>
      </c>
      <c r="I745" t="str">
        <f>"210-0000"</f>
        <v>210-0000</v>
      </c>
      <c r="J745" t="str">
        <f>""</f>
        <v/>
      </c>
    </row>
    <row r="746" spans="1:10" x14ac:dyDescent="0.3">
      <c r="A746" t="str">
        <f>""</f>
        <v/>
      </c>
      <c r="F746" t="s">
        <v>21</v>
      </c>
      <c r="G746" t="s">
        <v>211</v>
      </c>
      <c r="H746" t="str">
        <f>"RESTITUTION-P. MILLER"</f>
        <v>RESTITUTION-P. MILLER</v>
      </c>
      <c r="I746" t="str">
        <f>"210-0000"</f>
        <v>210-0000</v>
      </c>
      <c r="J746" t="str">
        <f>""</f>
        <v/>
      </c>
    </row>
    <row r="747" spans="1:10" x14ac:dyDescent="0.3">
      <c r="A747" t="str">
        <f>"T14548"</f>
        <v>T14548</v>
      </c>
      <c r="B747" t="s">
        <v>212</v>
      </c>
      <c r="C747">
        <v>999999</v>
      </c>
      <c r="D747" s="2">
        <v>2575</v>
      </c>
      <c r="E747" s="1">
        <v>43263</v>
      </c>
      <c r="F747" t="str">
        <f>"201805301218"</f>
        <v>201805301218</v>
      </c>
      <c r="G747" t="str">
        <f>"16530"</f>
        <v>16530</v>
      </c>
      <c r="H747">
        <v>400</v>
      </c>
      <c r="I747" t="str">
        <f>"16530"</f>
        <v>16530</v>
      </c>
    </row>
    <row r="748" spans="1:10" x14ac:dyDescent="0.3">
      <c r="A748" t="str">
        <f>""</f>
        <v/>
      </c>
      <c r="F748" t="str">
        <f>"201805301219"</f>
        <v>201805301219</v>
      </c>
      <c r="G748" t="str">
        <f>"DCPC-16-005"</f>
        <v>DCPC-16-005</v>
      </c>
      <c r="H748">
        <v>400</v>
      </c>
      <c r="I748" t="str">
        <f>"DCPC-16-005"</f>
        <v>DCPC-16-005</v>
      </c>
    </row>
    <row r="749" spans="1:10" x14ac:dyDescent="0.3">
      <c r="A749" t="str">
        <f>""</f>
        <v/>
      </c>
      <c r="F749" t="str">
        <f>"201806011238"</f>
        <v>201806011238</v>
      </c>
      <c r="G749" t="str">
        <f>"02-1113-2-14"</f>
        <v>02-1113-2-14</v>
      </c>
      <c r="H749">
        <v>400</v>
      </c>
      <c r="I749" t="str">
        <f>"02-1113-2-14"</f>
        <v>02-1113-2-14</v>
      </c>
    </row>
    <row r="750" spans="1:10" x14ac:dyDescent="0.3">
      <c r="A750" t="str">
        <f>""</f>
        <v/>
      </c>
      <c r="F750" t="str">
        <f>"201806051316"</f>
        <v>201806051316</v>
      </c>
      <c r="G750" t="str">
        <f>"56019"</f>
        <v>56019</v>
      </c>
      <c r="H750">
        <v>250</v>
      </c>
      <c r="I750" t="str">
        <f>"56019"</f>
        <v>56019</v>
      </c>
    </row>
    <row r="751" spans="1:10" x14ac:dyDescent="0.3">
      <c r="A751" t="str">
        <f>""</f>
        <v/>
      </c>
      <c r="F751" t="str">
        <f>"201806051317"</f>
        <v>201806051317</v>
      </c>
      <c r="G751" t="str">
        <f>"55689"</f>
        <v>55689</v>
      </c>
      <c r="H751">
        <v>250</v>
      </c>
      <c r="I751" t="str">
        <f>"55689"</f>
        <v>55689</v>
      </c>
    </row>
    <row r="752" spans="1:10" x14ac:dyDescent="0.3">
      <c r="A752" t="str">
        <f>""</f>
        <v/>
      </c>
      <c r="F752" t="str">
        <f>"201806051347"</f>
        <v>201806051347</v>
      </c>
      <c r="G752" t="str">
        <f>"J-3057"</f>
        <v>J-3057</v>
      </c>
      <c r="H752">
        <v>125</v>
      </c>
      <c r="I752" t="str">
        <f>"J-3057"</f>
        <v>J-3057</v>
      </c>
    </row>
    <row r="753" spans="1:10" x14ac:dyDescent="0.3">
      <c r="A753" t="str">
        <f>""</f>
        <v/>
      </c>
      <c r="F753" t="str">
        <f>"201806061369"</f>
        <v>201806061369</v>
      </c>
      <c r="G753" t="str">
        <f>"412277-IJW"</f>
        <v>412277-IJW</v>
      </c>
      <c r="H753">
        <v>250</v>
      </c>
      <c r="I753" t="str">
        <f>"412277-IJW"</f>
        <v>412277-IJW</v>
      </c>
    </row>
    <row r="754" spans="1:10" x14ac:dyDescent="0.3">
      <c r="A754" t="str">
        <f>""</f>
        <v/>
      </c>
      <c r="F754" t="str">
        <f>"201806061370"</f>
        <v>201806061370</v>
      </c>
      <c r="G754" t="str">
        <f>"DCPC-16-006"</f>
        <v>DCPC-16-006</v>
      </c>
      <c r="H754">
        <v>250</v>
      </c>
      <c r="I754" t="str">
        <f>"DCPC-16-006"</f>
        <v>DCPC-16-006</v>
      </c>
    </row>
    <row r="755" spans="1:10" x14ac:dyDescent="0.3">
      <c r="A755" t="str">
        <f>""</f>
        <v/>
      </c>
      <c r="F755" t="str">
        <f>"201806061378"</f>
        <v>201806061378</v>
      </c>
      <c r="G755" t="str">
        <f>"55788"</f>
        <v>55788</v>
      </c>
      <c r="H755">
        <v>250</v>
      </c>
      <c r="I755" t="str">
        <f>"55788"</f>
        <v>55788</v>
      </c>
    </row>
    <row r="756" spans="1:10" x14ac:dyDescent="0.3">
      <c r="A756" t="str">
        <f>"T14548"</f>
        <v>T14548</v>
      </c>
      <c r="B756" t="s">
        <v>212</v>
      </c>
      <c r="C756">
        <v>999999</v>
      </c>
      <c r="D756" s="2">
        <v>775</v>
      </c>
      <c r="E756" s="1">
        <v>43277</v>
      </c>
      <c r="F756" t="str">
        <f>"201806131565"</f>
        <v>201806131565</v>
      </c>
      <c r="G756" t="str">
        <f>"4072661MW"</f>
        <v>4072661MW</v>
      </c>
      <c r="H756">
        <v>400</v>
      </c>
      <c r="I756" t="str">
        <f>"4072661MW"</f>
        <v>4072661MW</v>
      </c>
    </row>
    <row r="757" spans="1:10" x14ac:dyDescent="0.3">
      <c r="A757" t="str">
        <f>""</f>
        <v/>
      </c>
      <c r="F757" t="str">
        <f>"201806201694"</f>
        <v>201806201694</v>
      </c>
      <c r="G757" t="str">
        <f>"407046-4M  4062461-MW"</f>
        <v>407046-4M  4062461-MW</v>
      </c>
      <c r="H757">
        <v>375</v>
      </c>
      <c r="I757" t="str">
        <f>"407046-4M  4062461-MW"</f>
        <v>407046-4M  4062461-MW</v>
      </c>
    </row>
    <row r="758" spans="1:10" x14ac:dyDescent="0.3">
      <c r="A758" t="str">
        <f>"000712"</f>
        <v>000712</v>
      </c>
      <c r="B758" t="s">
        <v>213</v>
      </c>
      <c r="C758">
        <v>77113</v>
      </c>
      <c r="D758" s="2">
        <v>3900</v>
      </c>
      <c r="E758" s="1">
        <v>43262</v>
      </c>
      <c r="F758" t="str">
        <f>"1007"</f>
        <v>1007</v>
      </c>
      <c r="G758" t="str">
        <f>"BUILD BARRICADES/INSTALL BRIDG"</f>
        <v>BUILD BARRICADES/INSTALL BRIDG</v>
      </c>
      <c r="H758">
        <v>3900</v>
      </c>
      <c r="I758" t="str">
        <f>"BUILD BARRICADES/INSTALL BRIDG"</f>
        <v>BUILD BARRICADES/INSTALL BRIDG</v>
      </c>
    </row>
    <row r="759" spans="1:10" x14ac:dyDescent="0.3">
      <c r="A759" t="str">
        <f>"004892"</f>
        <v>004892</v>
      </c>
      <c r="B759" t="s">
        <v>214</v>
      </c>
      <c r="C759">
        <v>77316</v>
      </c>
      <c r="D759" s="2">
        <v>25</v>
      </c>
      <c r="E759" s="1">
        <v>43276</v>
      </c>
      <c r="F759" t="s">
        <v>215</v>
      </c>
      <c r="G759" t="s">
        <v>216</v>
      </c>
      <c r="H759" t="str">
        <f>"RESTITUTION-J. HOFFMAN"</f>
        <v>RESTITUTION-J. HOFFMAN</v>
      </c>
      <c r="I759" t="str">
        <f>"210-0000"</f>
        <v>210-0000</v>
      </c>
      <c r="J759" t="str">
        <f>""</f>
        <v/>
      </c>
    </row>
    <row r="760" spans="1:10" x14ac:dyDescent="0.3">
      <c r="A760" t="str">
        <f>"005568"</f>
        <v>005568</v>
      </c>
      <c r="B760" t="s">
        <v>217</v>
      </c>
      <c r="C760">
        <v>77114</v>
      </c>
      <c r="D760" s="2">
        <v>15</v>
      </c>
      <c r="E760" s="1">
        <v>43262</v>
      </c>
      <c r="F760" t="str">
        <f>"REIMBURSEMENT"</f>
        <v>REIMBURSEMENT</v>
      </c>
      <c r="G760" t="str">
        <f>"KATHERINE KNUDSEN"</f>
        <v>KATHERINE KNUDSEN</v>
      </c>
      <c r="H760">
        <v>15</v>
      </c>
      <c r="I760" t="str">
        <f>""</f>
        <v/>
      </c>
    </row>
    <row r="761" spans="1:10" x14ac:dyDescent="0.3">
      <c r="A761" t="str">
        <f>"003677"</f>
        <v>003677</v>
      </c>
      <c r="B761" t="s">
        <v>218</v>
      </c>
      <c r="C761">
        <v>77317</v>
      </c>
      <c r="D761" s="2">
        <v>75</v>
      </c>
      <c r="E761" s="1">
        <v>43276</v>
      </c>
      <c r="F761" t="s">
        <v>182</v>
      </c>
      <c r="G761" t="s">
        <v>219</v>
      </c>
      <c r="H761" t="str">
        <f>"RESTITUTION-D. SPURK"</f>
        <v>RESTITUTION-D. SPURK</v>
      </c>
      <c r="I761" t="str">
        <f>"210-0000"</f>
        <v>210-0000</v>
      </c>
      <c r="J761" t="str">
        <f>""</f>
        <v/>
      </c>
    </row>
    <row r="762" spans="1:10" x14ac:dyDescent="0.3">
      <c r="A762" t="str">
        <f>"005276"</f>
        <v>005276</v>
      </c>
      <c r="B762" t="s">
        <v>220</v>
      </c>
      <c r="C762">
        <v>77115</v>
      </c>
      <c r="D762" s="2">
        <v>30453.75</v>
      </c>
      <c r="E762" s="1">
        <v>43262</v>
      </c>
      <c r="F762" t="str">
        <f>"201806071452"</f>
        <v>201806071452</v>
      </c>
      <c r="G762" t="str">
        <f>"15-914"</f>
        <v>15-914</v>
      </c>
      <c r="H762">
        <v>30453.75</v>
      </c>
      <c r="I762" t="str">
        <f>"15-914"</f>
        <v>15-914</v>
      </c>
    </row>
    <row r="763" spans="1:10" x14ac:dyDescent="0.3">
      <c r="A763" t="str">
        <f>"KMPC"</f>
        <v>KMPC</v>
      </c>
      <c r="B763" t="s">
        <v>221</v>
      </c>
      <c r="C763">
        <v>77116</v>
      </c>
      <c r="D763" s="2">
        <v>67.5</v>
      </c>
      <c r="E763" s="1">
        <v>43262</v>
      </c>
      <c r="F763" t="str">
        <f>"1520-00000139959"</f>
        <v>1520-00000139959</v>
      </c>
      <c r="G763" t="str">
        <f>"INV 1520-00000139959"</f>
        <v>INV 1520-00000139959</v>
      </c>
      <c r="H763">
        <v>22.5</v>
      </c>
      <c r="I763" t="str">
        <f>"INV 1520-00000139959"</f>
        <v>INV 1520-00000139959</v>
      </c>
    </row>
    <row r="764" spans="1:10" x14ac:dyDescent="0.3">
      <c r="A764" t="str">
        <f>""</f>
        <v/>
      </c>
      <c r="F764" t="str">
        <f>"1520-00000139992"</f>
        <v>1520-00000139992</v>
      </c>
      <c r="G764" t="str">
        <f>"INV 1520-00000139992"</f>
        <v>INV 1520-00000139992</v>
      </c>
      <c r="H764">
        <v>45</v>
      </c>
      <c r="I764" t="str">
        <f>"INV 1520-00000139992"</f>
        <v>INV 1520-00000139992</v>
      </c>
    </row>
    <row r="765" spans="1:10" x14ac:dyDescent="0.3">
      <c r="A765" t="str">
        <f>"T4688"</f>
        <v>T4688</v>
      </c>
      <c r="B765" t="s">
        <v>222</v>
      </c>
      <c r="C765">
        <v>77224</v>
      </c>
      <c r="D765" s="2">
        <v>2500</v>
      </c>
      <c r="E765" s="1">
        <v>43264</v>
      </c>
      <c r="F765" t="str">
        <f>"5644130"</f>
        <v>5644130</v>
      </c>
      <c r="G765" t="str">
        <f>"2018 RAM 3500 PICKUP REPAIR"</f>
        <v>2018 RAM 3500 PICKUP REPAIR</v>
      </c>
      <c r="H765">
        <v>2500</v>
      </c>
      <c r="I765" t="str">
        <f>"2018 RAM 3500 PICKUP REPAIR"</f>
        <v>2018 RAM 3500 PICKUP REPAIR</v>
      </c>
    </row>
    <row r="766" spans="1:10" x14ac:dyDescent="0.3">
      <c r="A766" t="str">
        <f>"T12139"</f>
        <v>T12139</v>
      </c>
      <c r="B766" t="s">
        <v>223</v>
      </c>
      <c r="C766">
        <v>77117</v>
      </c>
      <c r="D766" s="2">
        <v>340</v>
      </c>
      <c r="E766" s="1">
        <v>43262</v>
      </c>
      <c r="F766" t="str">
        <f>"228851"</f>
        <v>228851</v>
      </c>
      <c r="G766" t="str">
        <f>"TRASH REMOVAL SVCS/PCT#1"</f>
        <v>TRASH REMOVAL SVCS/PCT#1</v>
      </c>
      <c r="H766">
        <v>340</v>
      </c>
      <c r="I766" t="str">
        <f>"TRASH REMOVAL SVCS/PCT#1"</f>
        <v>TRASH REMOVAL SVCS/PCT#1</v>
      </c>
    </row>
    <row r="767" spans="1:10" x14ac:dyDescent="0.3">
      <c r="A767" t="str">
        <f>"KBTRI"</f>
        <v>KBTRI</v>
      </c>
      <c r="B767" t="s">
        <v>224</v>
      </c>
      <c r="C767">
        <v>999999</v>
      </c>
      <c r="D767" s="2">
        <v>2617</v>
      </c>
      <c r="E767" s="1">
        <v>43263</v>
      </c>
      <c r="F767" t="str">
        <f>"73"</f>
        <v>73</v>
      </c>
      <c r="G767" t="str">
        <f>"TOWER RENT"</f>
        <v>TOWER RENT</v>
      </c>
      <c r="H767">
        <v>2617</v>
      </c>
      <c r="I767" t="str">
        <f>"TOWER RENT"</f>
        <v>TOWER RENT</v>
      </c>
    </row>
    <row r="768" spans="1:10" x14ac:dyDescent="0.3">
      <c r="A768" t="str">
        <f>"005109"</f>
        <v>005109</v>
      </c>
      <c r="B768" t="s">
        <v>225</v>
      </c>
      <c r="C768">
        <v>77118</v>
      </c>
      <c r="D768" s="2">
        <v>240.38</v>
      </c>
      <c r="E768" s="1">
        <v>43262</v>
      </c>
      <c r="F768" t="str">
        <f>"201806061408"</f>
        <v>201806061408</v>
      </c>
      <c r="G768" t="str">
        <f>"REIMBURSE MEALS/MILEAGE"</f>
        <v>REIMBURSE MEALS/MILEAGE</v>
      </c>
      <c r="H768">
        <v>240.38</v>
      </c>
      <c r="I768" t="str">
        <f>"REIMBURSE MEALS/MILEAGE"</f>
        <v>REIMBURSE MEALS/MILEAGE</v>
      </c>
    </row>
    <row r="769" spans="1:9" x14ac:dyDescent="0.3">
      <c r="A769" t="str">
        <f>"KFT"</f>
        <v>KFT</v>
      </c>
      <c r="B769" t="s">
        <v>226</v>
      </c>
      <c r="C769">
        <v>77318</v>
      </c>
      <c r="D769" s="2">
        <v>1199.29</v>
      </c>
      <c r="E769" s="1">
        <v>43276</v>
      </c>
      <c r="F769" t="str">
        <f>"250366"</f>
        <v>250366</v>
      </c>
      <c r="G769" t="str">
        <f>"ACCT#BASCO1/PCT#1"</f>
        <v>ACCT#BASCO1/PCT#1</v>
      </c>
      <c r="H769">
        <v>1199.29</v>
      </c>
      <c r="I769" t="str">
        <f>"ACCT#BASCO1/PCT#1"</f>
        <v>ACCT#BASCO1/PCT#1</v>
      </c>
    </row>
    <row r="770" spans="1:9" x14ac:dyDescent="0.3">
      <c r="A770" t="str">
        <f>"003916"</f>
        <v>003916</v>
      </c>
      <c r="B770" t="s">
        <v>227</v>
      </c>
      <c r="C770">
        <v>77119</v>
      </c>
      <c r="D770" s="2">
        <v>1045</v>
      </c>
      <c r="E770" s="1">
        <v>43262</v>
      </c>
      <c r="F770" t="str">
        <f>"265520"</f>
        <v>265520</v>
      </c>
      <c r="G770" t="str">
        <f>"ORD#14593985/ANNUAL INSPECT"</f>
        <v>ORD#14593985/ANNUAL INSPECT</v>
      </c>
      <c r="H770">
        <v>1045</v>
      </c>
      <c r="I770" t="str">
        <f>"ORD#14593985/ANNUAL INSPECT"</f>
        <v>ORD#14593985/ANNUAL INSPECT</v>
      </c>
    </row>
    <row r="771" spans="1:9" x14ac:dyDescent="0.3">
      <c r="A771" t="str">
        <f>"LIE"</f>
        <v>LIE</v>
      </c>
      <c r="B771" t="s">
        <v>228</v>
      </c>
      <c r="C771">
        <v>77126</v>
      </c>
      <c r="D771" s="2">
        <v>774.82</v>
      </c>
      <c r="E771" s="1">
        <v>43262</v>
      </c>
      <c r="F771" t="str">
        <f>"X301011598:01"</f>
        <v>X301011598:01</v>
      </c>
      <c r="G771" t="str">
        <f>"ACCT#104992/VEH REPAIRD/PCT#1"</f>
        <v>ACCT#104992/VEH REPAIRD/PCT#1</v>
      </c>
      <c r="H771">
        <v>774.82</v>
      </c>
      <c r="I771" t="str">
        <f>"ACCT#104992/VEH REPAIRD/PCT#1"</f>
        <v>ACCT#104992/VEH REPAIRD/PCT#1</v>
      </c>
    </row>
    <row r="772" spans="1:9" x14ac:dyDescent="0.3">
      <c r="A772" t="str">
        <f>"001356"</f>
        <v>001356</v>
      </c>
      <c r="B772" t="s">
        <v>229</v>
      </c>
      <c r="C772">
        <v>77120</v>
      </c>
      <c r="D772" s="2">
        <v>1471.17</v>
      </c>
      <c r="E772" s="1">
        <v>43262</v>
      </c>
      <c r="F772" t="str">
        <f>"201806051276"</f>
        <v>201806051276</v>
      </c>
      <c r="G772" t="str">
        <f>"ACCT#1750/PCT#3"</f>
        <v>ACCT#1750/PCT#3</v>
      </c>
      <c r="H772">
        <v>673.42</v>
      </c>
      <c r="I772" t="str">
        <f>"ACCT#1750/PCT#3"</f>
        <v>ACCT#1750/PCT#3</v>
      </c>
    </row>
    <row r="773" spans="1:9" x14ac:dyDescent="0.3">
      <c r="A773" t="str">
        <f>""</f>
        <v/>
      </c>
      <c r="F773" t="str">
        <f>"201806061398"</f>
        <v>201806061398</v>
      </c>
      <c r="G773" t="str">
        <f>"CUST#1650/PCT#1"</f>
        <v>CUST#1650/PCT#1</v>
      </c>
      <c r="H773">
        <v>222.75</v>
      </c>
      <c r="I773" t="str">
        <f>"CUST#1650/PCT#1"</f>
        <v>CUST#1650/PCT#1</v>
      </c>
    </row>
    <row r="774" spans="1:9" x14ac:dyDescent="0.3">
      <c r="A774" t="str">
        <f>""</f>
        <v/>
      </c>
      <c r="F774" t="str">
        <f>""</f>
        <v/>
      </c>
      <c r="G774" t="str">
        <f>""</f>
        <v/>
      </c>
      <c r="I774" t="str">
        <f>"CUST#1650/PCT#1"</f>
        <v>CUST#1650/PCT#1</v>
      </c>
    </row>
    <row r="775" spans="1:9" x14ac:dyDescent="0.3">
      <c r="A775" t="str">
        <f>""</f>
        <v/>
      </c>
      <c r="F775" t="str">
        <f>"201806061405"</f>
        <v>201806061405</v>
      </c>
      <c r="G775" t="str">
        <f>"CUST#1650"</f>
        <v>CUST#1650</v>
      </c>
      <c r="H775">
        <v>243.85</v>
      </c>
      <c r="I775" t="str">
        <f>"CUST#1650"</f>
        <v>CUST#1650</v>
      </c>
    </row>
    <row r="776" spans="1:9" x14ac:dyDescent="0.3">
      <c r="A776" t="str">
        <f>""</f>
        <v/>
      </c>
      <c r="F776" t="str">
        <f>""</f>
        <v/>
      </c>
      <c r="G776" t="str">
        <f>""</f>
        <v/>
      </c>
      <c r="I776" t="str">
        <f>"CUST#1650"</f>
        <v>CUST#1650</v>
      </c>
    </row>
    <row r="777" spans="1:9" x14ac:dyDescent="0.3">
      <c r="A777" t="str">
        <f>""</f>
        <v/>
      </c>
      <c r="F777" t="str">
        <f>""</f>
        <v/>
      </c>
      <c r="G777" t="str">
        <f>""</f>
        <v/>
      </c>
      <c r="I777" t="str">
        <f>"CUST#1650"</f>
        <v>CUST#1650</v>
      </c>
    </row>
    <row r="778" spans="1:9" x14ac:dyDescent="0.3">
      <c r="A778" t="str">
        <f>""</f>
        <v/>
      </c>
      <c r="F778" t="str">
        <f>"379-1034"</f>
        <v>379-1034</v>
      </c>
      <c r="G778" t="str">
        <f>"ACCT#1800/PCT#4"</f>
        <v>ACCT#1800/PCT#4</v>
      </c>
      <c r="H778">
        <v>116.28</v>
      </c>
      <c r="I778" t="str">
        <f>"ACCT#1800/PCT#4"</f>
        <v>ACCT#1800/PCT#4</v>
      </c>
    </row>
    <row r="779" spans="1:9" x14ac:dyDescent="0.3">
      <c r="A779" t="str">
        <f>""</f>
        <v/>
      </c>
      <c r="F779" t="str">
        <f>"379-3736"</f>
        <v>379-3736</v>
      </c>
      <c r="G779" t="str">
        <f>"ACCT#1590/BATTERY/ANIMAL CONTR"</f>
        <v>ACCT#1590/BATTERY/ANIMAL CONTR</v>
      </c>
      <c r="H779">
        <v>205.14</v>
      </c>
      <c r="I779" t="str">
        <f>"ACCT#1590/BATTERY/ANIMAL CONTR"</f>
        <v>ACCT#1590/BATTERY/ANIMAL CONTR</v>
      </c>
    </row>
    <row r="780" spans="1:9" x14ac:dyDescent="0.3">
      <c r="A780" t="str">
        <f>""</f>
        <v/>
      </c>
      <c r="F780" t="str">
        <f>"379-4718"</f>
        <v>379-4718</v>
      </c>
      <c r="G780" t="str">
        <f>"ACCT#1800/ANIMAL SERVICES"</f>
        <v>ACCT#1800/ANIMAL SERVICES</v>
      </c>
      <c r="H780">
        <v>9.73</v>
      </c>
      <c r="I780" t="str">
        <f>"ACCT#1800/ANIMAL SERVICES"</f>
        <v>ACCT#1800/ANIMAL SERVICES</v>
      </c>
    </row>
    <row r="781" spans="1:9" x14ac:dyDescent="0.3">
      <c r="A781" t="str">
        <f>"005596"</f>
        <v>005596</v>
      </c>
      <c r="B781" t="s">
        <v>230</v>
      </c>
      <c r="C781">
        <v>77319</v>
      </c>
      <c r="D781" s="2">
        <v>204.7</v>
      </c>
      <c r="E781" s="1">
        <v>43276</v>
      </c>
      <c r="F781" t="str">
        <f>"LODGING-P. BIRRAN"</f>
        <v>LODGING-P. BIRRAN</v>
      </c>
      <c r="G781" t="str">
        <f>"LODGING"</f>
        <v>LODGING</v>
      </c>
      <c r="H781">
        <v>204.7</v>
      </c>
      <c r="I781" t="str">
        <f>"LODGING"</f>
        <v>LODGING</v>
      </c>
    </row>
    <row r="782" spans="1:9" x14ac:dyDescent="0.3">
      <c r="A782" t="str">
        <f>"001722"</f>
        <v>001722</v>
      </c>
      <c r="B782" t="s">
        <v>231</v>
      </c>
      <c r="C782">
        <v>77121</v>
      </c>
      <c r="D782" s="2">
        <v>2275.1999999999998</v>
      </c>
      <c r="E782" s="1">
        <v>43262</v>
      </c>
      <c r="F782" t="str">
        <f>"05236501/05308264"</f>
        <v>05236501/05308264</v>
      </c>
      <c r="G782" t="str">
        <f>"INV 05236501"</f>
        <v>INV 05236501</v>
      </c>
      <c r="H782">
        <v>2275.1999999999998</v>
      </c>
      <c r="I782" t="str">
        <f>"INV 05236501"</f>
        <v>INV 05236501</v>
      </c>
    </row>
    <row r="783" spans="1:9" x14ac:dyDescent="0.3">
      <c r="A783" t="str">
        <f>""</f>
        <v/>
      </c>
      <c r="F783" t="str">
        <f>""</f>
        <v/>
      </c>
      <c r="G783" t="str">
        <f>""</f>
        <v/>
      </c>
      <c r="I783" t="str">
        <f>"INV 05308264"</f>
        <v>INV 05308264</v>
      </c>
    </row>
    <row r="784" spans="1:9" x14ac:dyDescent="0.3">
      <c r="A784" t="str">
        <f>"001722"</f>
        <v>001722</v>
      </c>
      <c r="B784" t="s">
        <v>231</v>
      </c>
      <c r="C784">
        <v>77320</v>
      </c>
      <c r="D784" s="2">
        <v>1980.47</v>
      </c>
      <c r="E784" s="1">
        <v>43276</v>
      </c>
      <c r="F784" t="str">
        <f>"06069804/06130436"</f>
        <v>06069804/06130436</v>
      </c>
      <c r="G784" t="str">
        <f>"INV 06069804"</f>
        <v>INV 06069804</v>
      </c>
      <c r="H784">
        <v>1980.47</v>
      </c>
      <c r="I784" t="str">
        <f>"INV 06069804"</f>
        <v>INV 06069804</v>
      </c>
    </row>
    <row r="785" spans="1:9" x14ac:dyDescent="0.3">
      <c r="A785" t="str">
        <f>""</f>
        <v/>
      </c>
      <c r="F785" t="str">
        <f>""</f>
        <v/>
      </c>
      <c r="G785" t="str">
        <f>""</f>
        <v/>
      </c>
      <c r="I785" t="str">
        <f>"INV 06130436"</f>
        <v>INV 06130436</v>
      </c>
    </row>
    <row r="786" spans="1:9" x14ac:dyDescent="0.3">
      <c r="A786" t="str">
        <f>"005440"</f>
        <v>005440</v>
      </c>
      <c r="B786" t="s">
        <v>232</v>
      </c>
      <c r="C786">
        <v>77122</v>
      </c>
      <c r="D786" s="2">
        <v>295</v>
      </c>
      <c r="E786" s="1">
        <v>43262</v>
      </c>
      <c r="F786" t="str">
        <f>"208740"</f>
        <v>208740</v>
      </c>
      <c r="G786" t="str">
        <f>"TRAINING - C. WOLF"</f>
        <v>TRAINING - C. WOLF</v>
      </c>
      <c r="H786">
        <v>295</v>
      </c>
      <c r="I786" t="str">
        <f>"INV 208740"</f>
        <v>INV 208740</v>
      </c>
    </row>
    <row r="787" spans="1:9" x14ac:dyDescent="0.3">
      <c r="A787" t="str">
        <f>"005564"</f>
        <v>005564</v>
      </c>
      <c r="B787" t="s">
        <v>233</v>
      </c>
      <c r="C787">
        <v>77123</v>
      </c>
      <c r="D787" s="2">
        <v>330</v>
      </c>
      <c r="E787" s="1">
        <v>43262</v>
      </c>
      <c r="F787" t="str">
        <f>"8158"</f>
        <v>8158</v>
      </c>
      <c r="G787" t="str">
        <f>"SERVICE  03/26/2018"</f>
        <v>SERVICE  03/26/2018</v>
      </c>
      <c r="H787">
        <v>330</v>
      </c>
      <c r="I787" t="str">
        <f>"SERVICE  03/26/2018"</f>
        <v>SERVICE  03/26/2018</v>
      </c>
    </row>
    <row r="788" spans="1:9" x14ac:dyDescent="0.3">
      <c r="A788" t="str">
        <f>"T11826"</f>
        <v>T11826</v>
      </c>
      <c r="B788" t="s">
        <v>234</v>
      </c>
      <c r="C788">
        <v>77321</v>
      </c>
      <c r="D788" s="2">
        <v>134</v>
      </c>
      <c r="E788" s="1">
        <v>43276</v>
      </c>
      <c r="F788" t="str">
        <f>"43225 &amp; 43662"</f>
        <v>43225 &amp; 43662</v>
      </c>
      <c r="G788" t="str">
        <f>"TIRE SVCS ON 05/10 &amp; 06/04/P4"</f>
        <v>TIRE SVCS ON 05/10 &amp; 06/04/P4</v>
      </c>
      <c r="H788">
        <v>134</v>
      </c>
      <c r="I788" t="str">
        <f>"TIRE SVCS ON 05/10 &amp; 06/04/P4"</f>
        <v>TIRE SVCS ON 05/10 &amp; 06/04/P4</v>
      </c>
    </row>
    <row r="789" spans="1:9" x14ac:dyDescent="0.3">
      <c r="A789" t="str">
        <f>"T9279"</f>
        <v>T9279</v>
      </c>
      <c r="B789" t="s">
        <v>235</v>
      </c>
      <c r="C789">
        <v>77020</v>
      </c>
      <c r="D789" s="2">
        <v>200.83</v>
      </c>
      <c r="E789" s="1">
        <v>43259</v>
      </c>
      <c r="F789" t="str">
        <f>"201806081463"</f>
        <v>201806081463</v>
      </c>
      <c r="G789" t="str">
        <f>"ACCT#1-09-00072-02 /05252018"</f>
        <v>ACCT#1-09-00072-02 /05252018</v>
      </c>
      <c r="H789">
        <v>150.58000000000001</v>
      </c>
      <c r="I789" t="str">
        <f>"ACCT#1-09-00072-02 /05252018"</f>
        <v>ACCT#1-09-00072-02 /05252018</v>
      </c>
    </row>
    <row r="790" spans="1:9" x14ac:dyDescent="0.3">
      <c r="A790" t="str">
        <f>""</f>
        <v/>
      </c>
      <c r="F790" t="str">
        <f>"201806081464"</f>
        <v>201806081464</v>
      </c>
      <c r="G790" t="str">
        <f>"ACCT#3-09-00175-03 1/05252018"</f>
        <v>ACCT#3-09-00175-03 1/05252018</v>
      </c>
      <c r="H790">
        <v>50.25</v>
      </c>
      <c r="I790" t="str">
        <f>"ACCT#3-09-00175-03 1/05252018"</f>
        <v>ACCT#3-09-00175-03 1/05252018</v>
      </c>
    </row>
    <row r="791" spans="1:9" x14ac:dyDescent="0.3">
      <c r="A791" t="str">
        <f>"001530"</f>
        <v>001530</v>
      </c>
      <c r="B791" t="s">
        <v>236</v>
      </c>
      <c r="C791">
        <v>77124</v>
      </c>
      <c r="D791" s="2">
        <v>165.45</v>
      </c>
      <c r="E791" s="1">
        <v>43262</v>
      </c>
      <c r="F791" t="str">
        <f>"1211621-20180531"</f>
        <v>1211621-20180531</v>
      </c>
      <c r="G791" t="str">
        <f>"BILLING ID:1211621/HEALTH SVCS"</f>
        <v>BILLING ID:1211621/HEALTH SVCS</v>
      </c>
      <c r="H791">
        <v>115.45</v>
      </c>
      <c r="I791" t="str">
        <f>"BILLING ID:1211621/HEALTH SVCS"</f>
        <v>BILLING ID:1211621/HEALTH SVCS</v>
      </c>
    </row>
    <row r="792" spans="1:9" x14ac:dyDescent="0.3">
      <c r="A792" t="str">
        <f>""</f>
        <v/>
      </c>
      <c r="F792" t="str">
        <f>"1489870-20180531"</f>
        <v>1489870-20180531</v>
      </c>
      <c r="G792" t="str">
        <f>"BILLING ID:1489870/MAY 2018/DA"</f>
        <v>BILLING ID:1489870/MAY 2018/DA</v>
      </c>
      <c r="H792">
        <v>50</v>
      </c>
      <c r="I792" t="str">
        <f>"BILLING ID:1489870/MAY 2018/DA"</f>
        <v>BILLING ID:1489870/MAY 2018/DA</v>
      </c>
    </row>
    <row r="793" spans="1:9" x14ac:dyDescent="0.3">
      <c r="A793" t="str">
        <f>"001530"</f>
        <v>001530</v>
      </c>
      <c r="B793" t="s">
        <v>236</v>
      </c>
      <c r="C793">
        <v>77322</v>
      </c>
      <c r="D793" s="2">
        <v>420.3</v>
      </c>
      <c r="E793" s="1">
        <v>43276</v>
      </c>
      <c r="F793" t="str">
        <f>"1361725-20180531"</f>
        <v>1361725-20180531</v>
      </c>
      <c r="G793" t="str">
        <f>"BILLING ID:1361725/INDIGENT HL"</f>
        <v>BILLING ID:1361725/INDIGENT HL</v>
      </c>
      <c r="H793">
        <v>76.2</v>
      </c>
      <c r="I793" t="str">
        <f>"BILLING ID:1361725/INDIGENT HL"</f>
        <v>BILLING ID:1361725/INDIGENT HL</v>
      </c>
    </row>
    <row r="794" spans="1:9" x14ac:dyDescent="0.3">
      <c r="A794" t="str">
        <f>""</f>
        <v/>
      </c>
      <c r="F794" t="str">
        <f>"1394645-20180531"</f>
        <v>1394645-20180531</v>
      </c>
      <c r="G794" t="str">
        <f>"BILLING ID:1394645/MAY 2018"</f>
        <v>BILLING ID:1394645/MAY 2018</v>
      </c>
      <c r="H794">
        <v>50</v>
      </c>
      <c r="I794" t="str">
        <f>"BILLING ID:1394645/MAY 2018"</f>
        <v>BILLING ID:1394645/MAY 2018</v>
      </c>
    </row>
    <row r="795" spans="1:9" x14ac:dyDescent="0.3">
      <c r="A795" t="str">
        <f>""</f>
        <v/>
      </c>
      <c r="F795" t="str">
        <f>"1420944-20180531"</f>
        <v>1420944-20180531</v>
      </c>
      <c r="G795" t="str">
        <f>"BILLING ID:1420944/SHERIFF'S"</f>
        <v>BILLING ID:1420944/SHERIFF'S</v>
      </c>
      <c r="H795">
        <v>294.10000000000002</v>
      </c>
      <c r="I795" t="str">
        <f>"BILLING ID:1420944/SHERIFF'S"</f>
        <v>BILLING ID:1420944/SHERIFF'S</v>
      </c>
    </row>
    <row r="796" spans="1:9" x14ac:dyDescent="0.3">
      <c r="A796" t="str">
        <f>"004771"</f>
        <v>004771</v>
      </c>
      <c r="B796" t="s">
        <v>237</v>
      </c>
      <c r="C796">
        <v>999999</v>
      </c>
      <c r="D796" s="2">
        <v>6332.5</v>
      </c>
      <c r="E796" s="1">
        <v>43277</v>
      </c>
      <c r="F796" t="str">
        <f>"201806211717"</f>
        <v>201806211717</v>
      </c>
      <c r="G796" t="str">
        <f>"15934"</f>
        <v>15934</v>
      </c>
      <c r="H796">
        <v>6332.5</v>
      </c>
      <c r="I796" t="str">
        <f>"15934"</f>
        <v>15934</v>
      </c>
    </row>
    <row r="797" spans="1:9" x14ac:dyDescent="0.3">
      <c r="A797" t="str">
        <f>"T11113"</f>
        <v>T11113</v>
      </c>
      <c r="B797" t="s">
        <v>238</v>
      </c>
      <c r="C797">
        <v>999999</v>
      </c>
      <c r="D797" s="2">
        <v>89.5</v>
      </c>
      <c r="E797" s="1">
        <v>43263</v>
      </c>
      <c r="F797" t="str">
        <f>"201806011233"</f>
        <v>201806011233</v>
      </c>
      <c r="G797" t="str">
        <f>"REGISTRATION 2008 FRHT/PCT#4"</f>
        <v>REGISTRATION 2008 FRHT/PCT#4</v>
      </c>
      <c r="H797">
        <v>22</v>
      </c>
      <c r="I797" t="str">
        <f>"REGISTRATION 2008 FRHT/PCT#4"</f>
        <v>REGISTRATION 2008 FRHT/PCT#4</v>
      </c>
    </row>
    <row r="798" spans="1:9" x14ac:dyDescent="0.3">
      <c r="A798" t="str">
        <f>""</f>
        <v/>
      </c>
      <c r="F798" t="str">
        <f>"201806051293"</f>
        <v>201806051293</v>
      </c>
      <c r="G798" t="str">
        <f>"TITLE/REG-LARK TRL/GEN SVCS"</f>
        <v>TITLE/REG-LARK TRL/GEN SVCS</v>
      </c>
      <c r="H798">
        <v>7.5</v>
      </c>
      <c r="I798" t="str">
        <f>"TITLE/REG-LARK TRL/GEN SVCS"</f>
        <v>TITLE/REG-LARK TRL/GEN SVCS</v>
      </c>
    </row>
    <row r="799" spans="1:9" x14ac:dyDescent="0.3">
      <c r="A799" t="str">
        <f>""</f>
        <v/>
      </c>
      <c r="F799" t="str">
        <f>"201806061390"</f>
        <v>201806061390</v>
      </c>
      <c r="G799" t="str">
        <f>"VEHICLE REGISTRATIONS-SHERIFF"</f>
        <v>VEHICLE REGISTRATIONS-SHERIFF</v>
      </c>
      <c r="H799">
        <v>45</v>
      </c>
      <c r="I799" t="str">
        <f>"VEHICLE REGISTRATIONS-SHERIFF"</f>
        <v>VEHICLE REGISTRATIONS-SHERIFF</v>
      </c>
    </row>
    <row r="800" spans="1:9" x14ac:dyDescent="0.3">
      <c r="A800" t="str">
        <f>""</f>
        <v/>
      </c>
      <c r="F800" t="str">
        <f>"201806061432"</f>
        <v>201806061432</v>
      </c>
      <c r="G800" t="str">
        <f>"VEHICLE REGISTRATIONS/PCT#1"</f>
        <v>VEHICLE REGISTRATIONS/PCT#1</v>
      </c>
      <c r="H800">
        <v>15</v>
      </c>
      <c r="I800" t="str">
        <f>"VEHICLE REGISTRATIONS/PCT#1"</f>
        <v>VEHICLE REGISTRATIONS/PCT#1</v>
      </c>
    </row>
    <row r="801" spans="1:9" x14ac:dyDescent="0.3">
      <c r="A801" t="str">
        <f>"T11113"</f>
        <v>T11113</v>
      </c>
      <c r="B801" t="s">
        <v>238</v>
      </c>
      <c r="C801">
        <v>999999</v>
      </c>
      <c r="D801" s="2">
        <v>318.61</v>
      </c>
      <c r="E801" s="1">
        <v>43277</v>
      </c>
      <c r="F801" t="str">
        <f>"201806131554"</f>
        <v>201806131554</v>
      </c>
      <c r="G801" t="str">
        <f>"2012 FRHT/2012 CPS/REGISTRATIO"</f>
        <v>2012 FRHT/2012 CPS/REGISTRATIO</v>
      </c>
      <c r="H801">
        <v>44</v>
      </c>
      <c r="I801" t="str">
        <f>"2012 FRHT/2012 CPS/REGISTRATIO"</f>
        <v>2012 FRHT/2012 CPS/REGISTRATIO</v>
      </c>
    </row>
    <row r="802" spans="1:9" x14ac:dyDescent="0.3">
      <c r="A802" t="str">
        <f>""</f>
        <v/>
      </c>
      <c r="F802" t="str">
        <f>"201806131589"</f>
        <v>201806131589</v>
      </c>
      <c r="G802" t="str">
        <f>"REQUEST FOR CHECK"</f>
        <v>REQUEST FOR CHECK</v>
      </c>
      <c r="H802">
        <v>222.11</v>
      </c>
      <c r="I802" t="str">
        <f>"REQUEST FOR CHECK"</f>
        <v>REQUEST FOR CHECK</v>
      </c>
    </row>
    <row r="803" spans="1:9" x14ac:dyDescent="0.3">
      <c r="A803" t="str">
        <f>""</f>
        <v/>
      </c>
      <c r="F803" t="str">
        <f>"201806131590"</f>
        <v>201806131590</v>
      </c>
      <c r="G803" t="str">
        <f>"2000 FORD REG/PCT#1"</f>
        <v>2000 FORD REG/PCT#1</v>
      </c>
      <c r="H803">
        <v>7.5</v>
      </c>
      <c r="I803" t="str">
        <f>"2000 FORD REG/PCT#1"</f>
        <v>2000 FORD REG/PCT#1</v>
      </c>
    </row>
    <row r="804" spans="1:9" x14ac:dyDescent="0.3">
      <c r="A804" t="str">
        <f>""</f>
        <v/>
      </c>
      <c r="F804" t="str">
        <f>"201806191647"</f>
        <v>201806191647</v>
      </c>
      <c r="G804" t="str">
        <f>"VEHICLE REGISTRATIONS-SHERIFF"</f>
        <v>VEHICLE REGISTRATIONS-SHERIFF</v>
      </c>
      <c r="H804">
        <v>45</v>
      </c>
      <c r="I804" t="str">
        <f>"VEHICLE REGISTRATIONS-SHERIFF"</f>
        <v>VEHICLE REGISTRATIONS-SHERIFF</v>
      </c>
    </row>
    <row r="805" spans="1:9" x14ac:dyDescent="0.3">
      <c r="A805" t="str">
        <f>"004557"</f>
        <v>004557</v>
      </c>
      <c r="B805" t="s">
        <v>239</v>
      </c>
      <c r="C805">
        <v>999999</v>
      </c>
      <c r="D805" s="2">
        <v>378</v>
      </c>
      <c r="E805" s="1">
        <v>43263</v>
      </c>
      <c r="F805" t="str">
        <f>"GL-17TAHOE-BCSO"</f>
        <v>GL-17TAHOE-BCSO</v>
      </c>
      <c r="G805" t="str">
        <f>"Inv# GL-17TAHOE-BCSO"</f>
        <v>Inv# GL-17TAHOE-BCSO</v>
      </c>
      <c r="H805">
        <v>378</v>
      </c>
      <c r="I805" t="str">
        <f>"PAYMENT"</f>
        <v>PAYMENT</v>
      </c>
    </row>
    <row r="806" spans="1:9" x14ac:dyDescent="0.3">
      <c r="A806" t="str">
        <f>"004557"</f>
        <v>004557</v>
      </c>
      <c r="B806" t="s">
        <v>239</v>
      </c>
      <c r="C806">
        <v>999999</v>
      </c>
      <c r="D806" s="2">
        <v>165</v>
      </c>
      <c r="E806" s="1">
        <v>43277</v>
      </c>
      <c r="F806" t="str">
        <f>"18-0605-2642"</f>
        <v>18-0605-2642</v>
      </c>
      <c r="G806" t="str">
        <f>"INV 18-0605-2642 LONSTAR"</f>
        <v>INV 18-0605-2642 LONSTAR</v>
      </c>
      <c r="H806">
        <v>165</v>
      </c>
      <c r="I806" t="str">
        <f>"INV 18-0605-2642 LONSTAR"</f>
        <v>INV 18-0605-2642 LONSTAR</v>
      </c>
    </row>
    <row r="807" spans="1:9" x14ac:dyDescent="0.3">
      <c r="A807" t="str">
        <f>"004109"</f>
        <v>004109</v>
      </c>
      <c r="B807" t="s">
        <v>240</v>
      </c>
      <c r="C807">
        <v>77125</v>
      </c>
      <c r="D807" s="2">
        <v>270.89</v>
      </c>
      <c r="E807" s="1">
        <v>43262</v>
      </c>
      <c r="F807" t="str">
        <f>"201806061440"</f>
        <v>201806061440</v>
      </c>
      <c r="G807" t="str">
        <f>"INDIGENT HEALTH"</f>
        <v>INDIGENT HEALTH</v>
      </c>
      <c r="H807">
        <v>270.89</v>
      </c>
      <c r="I807" t="str">
        <f>"INDIGENT HEALTH"</f>
        <v>INDIGENT HEALTH</v>
      </c>
    </row>
    <row r="808" spans="1:9" x14ac:dyDescent="0.3">
      <c r="A808" t="str">
        <f>"004109"</f>
        <v>004109</v>
      </c>
      <c r="B808" t="s">
        <v>240</v>
      </c>
      <c r="C808">
        <v>77323</v>
      </c>
      <c r="D808" s="2">
        <v>79.62</v>
      </c>
      <c r="E808" s="1">
        <v>43276</v>
      </c>
      <c r="F808" t="str">
        <f>"4396*104*1"</f>
        <v>4396*104*1</v>
      </c>
      <c r="G808" t="str">
        <f>"JAIL MEDICAL"</f>
        <v>JAIL MEDICAL</v>
      </c>
      <c r="H808">
        <v>79.62</v>
      </c>
      <c r="I808" t="str">
        <f>"JAIL MEDICAL"</f>
        <v>JAIL MEDICAL</v>
      </c>
    </row>
    <row r="809" spans="1:9" x14ac:dyDescent="0.3">
      <c r="A809" t="str">
        <f>"005452"</f>
        <v>005452</v>
      </c>
      <c r="B809" t="s">
        <v>241</v>
      </c>
      <c r="C809">
        <v>77127</v>
      </c>
      <c r="D809" s="2">
        <v>416</v>
      </c>
      <c r="E809" s="1">
        <v>43262</v>
      </c>
      <c r="F809" t="str">
        <f>"201806051285"</f>
        <v>201806051285</v>
      </c>
      <c r="G809" t="str">
        <f>"TRASH REMOVAL 05/28-05/31/PCT4"</f>
        <v>TRASH REMOVAL 05/28-05/31/PCT4</v>
      </c>
      <c r="H809">
        <v>273</v>
      </c>
      <c r="I809" t="str">
        <f>"TRASH REMOVAL 05/28-05/31/PCT4"</f>
        <v>TRASH REMOVAL 05/28-05/31/PCT4</v>
      </c>
    </row>
    <row r="810" spans="1:9" x14ac:dyDescent="0.3">
      <c r="A810" t="str">
        <f>""</f>
        <v/>
      </c>
      <c r="F810" t="str">
        <f>"201806051286"</f>
        <v>201806051286</v>
      </c>
      <c r="G810" t="str">
        <f>"TRASH REMOVAL 06/05-06/07/PCT4"</f>
        <v>TRASH REMOVAL 06/05-06/07/PCT4</v>
      </c>
      <c r="H810">
        <v>143</v>
      </c>
      <c r="I810" t="str">
        <f>"TRASH REMOVAL 06/05-06/07/PCT4"</f>
        <v>TRASH REMOVAL 06/05-06/07/PCT4</v>
      </c>
    </row>
    <row r="811" spans="1:9" x14ac:dyDescent="0.3">
      <c r="A811" t="str">
        <f>"005452"</f>
        <v>005452</v>
      </c>
      <c r="B811" t="s">
        <v>241</v>
      </c>
      <c r="C811">
        <v>77324</v>
      </c>
      <c r="D811" s="2">
        <v>565.5</v>
      </c>
      <c r="E811" s="1">
        <v>43276</v>
      </c>
      <c r="F811" t="str">
        <f>"201806181638"</f>
        <v>201806181638</v>
      </c>
      <c r="G811" t="str">
        <f>"TRASH REMOVAL 6/11-6/22/PCT#4"</f>
        <v>TRASH REMOVAL 6/11-6/22/PCT#4</v>
      </c>
      <c r="H811">
        <v>565.5</v>
      </c>
      <c r="I811" t="str">
        <f>"TRASH REMOVAL 6/11-6/22/PCT#4"</f>
        <v>TRASH REMOVAL 6/11-6/22/PCT#4</v>
      </c>
    </row>
    <row r="812" spans="1:9" x14ac:dyDescent="0.3">
      <c r="A812" t="str">
        <f>"T13085"</f>
        <v>T13085</v>
      </c>
      <c r="B812" t="s">
        <v>242</v>
      </c>
      <c r="C812">
        <v>999999</v>
      </c>
      <c r="D812" s="2">
        <v>446.9</v>
      </c>
      <c r="E812" s="1">
        <v>43263</v>
      </c>
      <c r="F812" t="str">
        <f>"10-000170"</f>
        <v>10-000170</v>
      </c>
      <c r="G812" t="str">
        <f>"INV 10-000170"</f>
        <v>INV 10-000170</v>
      </c>
      <c r="H812">
        <v>446.9</v>
      </c>
      <c r="I812" t="str">
        <f>"INV 10-000170"</f>
        <v>INV 10-000170</v>
      </c>
    </row>
    <row r="813" spans="1:9" x14ac:dyDescent="0.3">
      <c r="A813" t="str">
        <f>"005583"</f>
        <v>005583</v>
      </c>
      <c r="B813" t="s">
        <v>243</v>
      </c>
      <c r="C813">
        <v>77128</v>
      </c>
      <c r="D813" s="2">
        <v>2112.5</v>
      </c>
      <c r="E813" s="1">
        <v>43262</v>
      </c>
      <c r="F813" t="str">
        <f>"2-3/2018-MC"</f>
        <v>2-3/2018-MC</v>
      </c>
      <c r="G813" t="str">
        <f>"15 915/PROJECT#4120651.120"</f>
        <v>15 915/PROJECT#4120651.120</v>
      </c>
      <c r="H813">
        <v>2112.5</v>
      </c>
      <c r="I813" t="str">
        <f>"15 915/PROJECT#4120651.120"</f>
        <v>15 915/PROJECT#4120651.120</v>
      </c>
    </row>
    <row r="814" spans="1:9" x14ac:dyDescent="0.3">
      <c r="A814" t="str">
        <f>"000888"</f>
        <v>000888</v>
      </c>
      <c r="B814" t="s">
        <v>244</v>
      </c>
      <c r="C814">
        <v>77325</v>
      </c>
      <c r="D814" s="2">
        <v>219.43</v>
      </c>
      <c r="E814" s="1">
        <v>43276</v>
      </c>
      <c r="F814" t="str">
        <f>"99006938692  06/13"</f>
        <v>99006938692  06/13</v>
      </c>
      <c r="G814" t="str">
        <f>"Acct# 99006938692"</f>
        <v>Acct# 99006938692</v>
      </c>
      <c r="H814">
        <v>219.43</v>
      </c>
      <c r="I814" t="str">
        <f>"Inv# 902162"</f>
        <v>Inv# 902162</v>
      </c>
    </row>
    <row r="815" spans="1:9" x14ac:dyDescent="0.3">
      <c r="A815" t="str">
        <f>""</f>
        <v/>
      </c>
      <c r="F815" t="str">
        <f>""</f>
        <v/>
      </c>
      <c r="G815" t="str">
        <f>""</f>
        <v/>
      </c>
      <c r="I815" t="str">
        <f>"Inv# 914569"</f>
        <v>Inv# 914569</v>
      </c>
    </row>
    <row r="816" spans="1:9" x14ac:dyDescent="0.3">
      <c r="A816" t="str">
        <f>""</f>
        <v/>
      </c>
      <c r="F816" t="str">
        <f>""</f>
        <v/>
      </c>
      <c r="G816" t="str">
        <f>""</f>
        <v/>
      </c>
      <c r="I816" t="str">
        <f>"Inv# 914782"</f>
        <v>Inv# 914782</v>
      </c>
    </row>
    <row r="817" spans="1:9" x14ac:dyDescent="0.3">
      <c r="A817" t="str">
        <f>""</f>
        <v/>
      </c>
      <c r="F817" t="str">
        <f>""</f>
        <v/>
      </c>
      <c r="G817" t="str">
        <f>""</f>
        <v/>
      </c>
      <c r="I817" t="str">
        <f>"Inv# 910543"</f>
        <v>Inv# 910543</v>
      </c>
    </row>
    <row r="818" spans="1:9" x14ac:dyDescent="0.3">
      <c r="A818" t="str">
        <f>""</f>
        <v/>
      </c>
      <c r="F818" t="str">
        <f>""</f>
        <v/>
      </c>
      <c r="G818" t="str">
        <f>""</f>
        <v/>
      </c>
      <c r="I818" t="str">
        <f>"Inv# 914421"</f>
        <v>Inv# 914421</v>
      </c>
    </row>
    <row r="819" spans="1:9" x14ac:dyDescent="0.3">
      <c r="A819" t="str">
        <f>""</f>
        <v/>
      </c>
      <c r="F819" t="str">
        <f>""</f>
        <v/>
      </c>
      <c r="G819" t="str">
        <f>""</f>
        <v/>
      </c>
      <c r="I819" t="str">
        <f>"Fin. Charge Reversal"</f>
        <v>Fin. Charge Reversal</v>
      </c>
    </row>
    <row r="820" spans="1:9" x14ac:dyDescent="0.3">
      <c r="A820" t="str">
        <f>""</f>
        <v/>
      </c>
      <c r="F820" t="str">
        <f>""</f>
        <v/>
      </c>
      <c r="G820" t="str">
        <f>""</f>
        <v/>
      </c>
      <c r="I820" t="str">
        <f>"Inv# 912282"</f>
        <v>Inv# 912282</v>
      </c>
    </row>
    <row r="821" spans="1:9" x14ac:dyDescent="0.3">
      <c r="A821" t="str">
        <f>"LUSTRE"</f>
        <v>LUSTRE</v>
      </c>
      <c r="B821" t="s">
        <v>245</v>
      </c>
      <c r="C821">
        <v>77129</v>
      </c>
      <c r="D821" s="2">
        <v>299</v>
      </c>
      <c r="E821" s="1">
        <v>43262</v>
      </c>
      <c r="F821" t="str">
        <f>"069722"</f>
        <v>069722</v>
      </c>
      <c r="G821" t="str">
        <f>"Blank County Asset Tag"</f>
        <v>Blank County Asset Tag</v>
      </c>
      <c r="H821">
        <v>299</v>
      </c>
      <c r="I821" t="str">
        <f>"Blank County Asset Tag"</f>
        <v>Blank County Asset Tag</v>
      </c>
    </row>
    <row r="822" spans="1:9" x14ac:dyDescent="0.3">
      <c r="A822" t="str">
        <f>""</f>
        <v/>
      </c>
      <c r="F822" t="str">
        <f>""</f>
        <v/>
      </c>
      <c r="G822" t="str">
        <f>""</f>
        <v/>
      </c>
      <c r="I822" t="str">
        <f>"Shipping"</f>
        <v>Shipping</v>
      </c>
    </row>
    <row r="823" spans="1:9" x14ac:dyDescent="0.3">
      <c r="A823" t="str">
        <f>"LYNN"</f>
        <v>LYNN</v>
      </c>
      <c r="B823" t="s">
        <v>246</v>
      </c>
      <c r="C823">
        <v>999999</v>
      </c>
      <c r="D823" s="2">
        <v>918.1</v>
      </c>
      <c r="E823" s="1">
        <v>43263</v>
      </c>
      <c r="F823" t="str">
        <f>"344418 345146"</f>
        <v>344418 345146</v>
      </c>
      <c r="G823" t="str">
        <f>"INV 344418 / 345146"</f>
        <v>INV 344418 / 345146</v>
      </c>
      <c r="H823">
        <v>918.1</v>
      </c>
      <c r="I823" t="str">
        <f>"INV 344418"</f>
        <v>INV 344418</v>
      </c>
    </row>
    <row r="824" spans="1:9" x14ac:dyDescent="0.3">
      <c r="A824" t="str">
        <f>""</f>
        <v/>
      </c>
      <c r="F824" t="str">
        <f>""</f>
        <v/>
      </c>
      <c r="G824" t="str">
        <f>""</f>
        <v/>
      </c>
      <c r="I824" t="str">
        <f>"INV 345146"</f>
        <v>INV 345146</v>
      </c>
    </row>
    <row r="825" spans="1:9" x14ac:dyDescent="0.3">
      <c r="A825" t="str">
        <f>"003981"</f>
        <v>003981</v>
      </c>
      <c r="B825" t="s">
        <v>247</v>
      </c>
      <c r="C825">
        <v>77326</v>
      </c>
      <c r="D825" s="2">
        <v>479.38</v>
      </c>
      <c r="E825" s="1">
        <v>43276</v>
      </c>
      <c r="F825" t="str">
        <f>"201806131557"</f>
        <v>201806131557</v>
      </c>
      <c r="G825" t="str">
        <f>"AG COURT 06/05/18"</f>
        <v>AG COURT 06/05/18</v>
      </c>
      <c r="H825">
        <v>239.69</v>
      </c>
      <c r="I825" t="str">
        <f>"AG COURT 06/05/18"</f>
        <v>AG COURT 06/05/18</v>
      </c>
    </row>
    <row r="826" spans="1:9" x14ac:dyDescent="0.3">
      <c r="A826" t="str">
        <f>""</f>
        <v/>
      </c>
      <c r="F826" t="str">
        <f>"201806131567"</f>
        <v>201806131567</v>
      </c>
      <c r="G826" t="str">
        <f>"CRIMINAL COURT 06/11/2018"</f>
        <v>CRIMINAL COURT 06/11/2018</v>
      </c>
      <c r="H826">
        <v>239.69</v>
      </c>
      <c r="I826" t="str">
        <f>"CRIMINAL COURT 06/11/2018"</f>
        <v>CRIMINAL COURT 06/11/2018</v>
      </c>
    </row>
    <row r="827" spans="1:9" x14ac:dyDescent="0.3">
      <c r="A827" t="str">
        <f>"MARIA"</f>
        <v>MARIA</v>
      </c>
      <c r="B827" t="s">
        <v>248</v>
      </c>
      <c r="C827">
        <v>999999</v>
      </c>
      <c r="D827" s="2">
        <v>367.58</v>
      </c>
      <c r="E827" s="1">
        <v>43263</v>
      </c>
      <c r="F827" t="str">
        <f>"201806051349"</f>
        <v>201806051349</v>
      </c>
      <c r="G827" t="str">
        <f>"CRIMINAL CCL"</f>
        <v>CRIMINAL CCL</v>
      </c>
      <c r="H827">
        <v>183.79</v>
      </c>
      <c r="I827" t="str">
        <f>"CRIMINAL CCL"</f>
        <v>CRIMINAL CCL</v>
      </c>
    </row>
    <row r="828" spans="1:9" x14ac:dyDescent="0.3">
      <c r="A828" t="str">
        <f>""</f>
        <v/>
      </c>
      <c r="F828" t="str">
        <f>"201806051350"</f>
        <v>201806051350</v>
      </c>
      <c r="G828" t="str">
        <f>"CRIMINAL CCL"</f>
        <v>CRIMINAL CCL</v>
      </c>
      <c r="H828">
        <v>183.79</v>
      </c>
      <c r="I828" t="str">
        <f>"CRIMINAL CCL"</f>
        <v>CRIMINAL CCL</v>
      </c>
    </row>
    <row r="829" spans="1:9" x14ac:dyDescent="0.3">
      <c r="A829" t="str">
        <f>"MARIA"</f>
        <v>MARIA</v>
      </c>
      <c r="B829" t="s">
        <v>248</v>
      </c>
      <c r="C829">
        <v>999999</v>
      </c>
      <c r="D829" s="2">
        <v>183.79</v>
      </c>
      <c r="E829" s="1">
        <v>43277</v>
      </c>
      <c r="F829" t="str">
        <f>"201806201658"</f>
        <v>201806201658</v>
      </c>
      <c r="G829" t="str">
        <f>"CRIMINAL CCL 06/07/18"</f>
        <v>CRIMINAL CCL 06/07/18</v>
      </c>
      <c r="H829">
        <v>183.79</v>
      </c>
      <c r="I829" t="str">
        <f>"CRIMINAL CCL 06/07/18"</f>
        <v>CRIMINAL CCL 06/07/18</v>
      </c>
    </row>
    <row r="830" spans="1:9" x14ac:dyDescent="0.3">
      <c r="A830" t="str">
        <f>"001017"</f>
        <v>001017</v>
      </c>
      <c r="B830" t="s">
        <v>249</v>
      </c>
      <c r="C830">
        <v>77327</v>
      </c>
      <c r="D830" s="2">
        <v>240</v>
      </c>
      <c r="E830" s="1">
        <v>43276</v>
      </c>
      <c r="F830" t="str">
        <f>"201806191640"</f>
        <v>201806191640</v>
      </c>
      <c r="G830" t="str">
        <f>"REIMBURSE-STATE BAR FEES"</f>
        <v>REIMBURSE-STATE BAR FEES</v>
      </c>
      <c r="H830">
        <v>240</v>
      </c>
      <c r="I830" t="str">
        <f>"REIMBURSE-STATE BAR FEES"</f>
        <v>REIMBURSE-STATE BAR FEES</v>
      </c>
    </row>
    <row r="831" spans="1:9" x14ac:dyDescent="0.3">
      <c r="A831" t="str">
        <f>"002282"</f>
        <v>002282</v>
      </c>
      <c r="B831" t="s">
        <v>250</v>
      </c>
      <c r="C831">
        <v>77130</v>
      </c>
      <c r="D831" s="2">
        <v>4500</v>
      </c>
      <c r="E831" s="1">
        <v>43262</v>
      </c>
      <c r="F831" t="str">
        <f>"201806061395"</f>
        <v>201806061395</v>
      </c>
      <c r="G831" t="str">
        <f>"VETERINARY SVCS-MAY 2018"</f>
        <v>VETERINARY SVCS-MAY 2018</v>
      </c>
      <c r="H831">
        <v>4500</v>
      </c>
      <c r="I831" t="str">
        <f>"VETERINARY SVCS-MAY 2018"</f>
        <v>VETERINARY SVCS-MAY 2018</v>
      </c>
    </row>
    <row r="832" spans="1:9" x14ac:dyDescent="0.3">
      <c r="A832" t="str">
        <f>"005497"</f>
        <v>005497</v>
      </c>
      <c r="B832" t="s">
        <v>251</v>
      </c>
      <c r="C832">
        <v>77131</v>
      </c>
      <c r="D832" s="2">
        <v>1044</v>
      </c>
      <c r="E832" s="1">
        <v>43262</v>
      </c>
      <c r="F832" t="str">
        <f>"10474"</f>
        <v>10474</v>
      </c>
      <c r="G832" t="str">
        <f>"RESEARCH THRU 05/31/18"</f>
        <v>RESEARCH THRU 05/31/18</v>
      </c>
      <c r="H832">
        <v>1044</v>
      </c>
      <c r="I832" t="str">
        <f>"RESEARCH THRU 05/31/18"</f>
        <v>RESEARCH THRU 05/31/18</v>
      </c>
    </row>
    <row r="833" spans="1:9" x14ac:dyDescent="0.3">
      <c r="A833" t="str">
        <f>"005242"</f>
        <v>005242</v>
      </c>
      <c r="B833" t="s">
        <v>252</v>
      </c>
      <c r="C833">
        <v>77132</v>
      </c>
      <c r="D833" s="2">
        <v>390</v>
      </c>
      <c r="E833" s="1">
        <v>43262</v>
      </c>
      <c r="F833" t="str">
        <f>"201806061437"</f>
        <v>201806061437</v>
      </c>
      <c r="G833" t="str">
        <f>"INDIGENT HEALTH"</f>
        <v>INDIGENT HEALTH</v>
      </c>
      <c r="H833">
        <v>390</v>
      </c>
      <c r="I833" t="str">
        <f>"INDIGENT HEALTH"</f>
        <v>INDIGENT HEALTH</v>
      </c>
    </row>
    <row r="834" spans="1:9" x14ac:dyDescent="0.3">
      <c r="A834" t="str">
        <f>"T13936"</f>
        <v>T13936</v>
      </c>
      <c r="B834" t="s">
        <v>253</v>
      </c>
      <c r="C834">
        <v>77133</v>
      </c>
      <c r="D834" s="2">
        <v>323.56</v>
      </c>
      <c r="E834" s="1">
        <v>43262</v>
      </c>
      <c r="F834" t="str">
        <f>"201806061441"</f>
        <v>201806061441</v>
      </c>
      <c r="G834" t="str">
        <f>"INDIGENT HEALTH"</f>
        <v>INDIGENT HEALTH</v>
      </c>
      <c r="H834">
        <v>323.56</v>
      </c>
      <c r="I834" t="str">
        <f>"INDIGENT HEALTH"</f>
        <v>INDIGENT HEALTH</v>
      </c>
    </row>
    <row r="835" spans="1:9" x14ac:dyDescent="0.3">
      <c r="A835" t="str">
        <f>""</f>
        <v/>
      </c>
      <c r="F835" t="str">
        <f>""</f>
        <v/>
      </c>
      <c r="G835" t="str">
        <f>""</f>
        <v/>
      </c>
      <c r="I835" t="str">
        <f>"INDIGENT HEALTH"</f>
        <v>INDIGENT HEALTH</v>
      </c>
    </row>
    <row r="836" spans="1:9" x14ac:dyDescent="0.3">
      <c r="A836" t="str">
        <f>"004620"</f>
        <v>004620</v>
      </c>
      <c r="B836" t="s">
        <v>254</v>
      </c>
      <c r="C836">
        <v>77134</v>
      </c>
      <c r="D836" s="2">
        <v>366.68</v>
      </c>
      <c r="E836" s="1">
        <v>43262</v>
      </c>
      <c r="F836" t="str">
        <f>"201806061401"</f>
        <v>201806061401</v>
      </c>
      <c r="G836" t="str">
        <f>"HOTEL STAY-DOCK JACKSON"</f>
        <v>HOTEL STAY-DOCK JACKSON</v>
      </c>
      <c r="H836">
        <v>366.68</v>
      </c>
      <c r="I836" t="str">
        <f>"HOTEL STAY-DOCK JACKSON"</f>
        <v>HOTEL STAY-DOCK JACKSON</v>
      </c>
    </row>
    <row r="837" spans="1:9" x14ac:dyDescent="0.3">
      <c r="A837" t="str">
        <f>"004144"</f>
        <v>004144</v>
      </c>
      <c r="B837" t="s">
        <v>255</v>
      </c>
      <c r="C837">
        <v>999999</v>
      </c>
      <c r="D837" s="2">
        <v>1663.75</v>
      </c>
      <c r="E837" s="1">
        <v>43263</v>
      </c>
      <c r="F837" t="str">
        <f>"201806051323"</f>
        <v>201806051323</v>
      </c>
      <c r="G837" t="str">
        <f>"18 19023"</f>
        <v>18 19023</v>
      </c>
      <c r="H837">
        <v>568.75</v>
      </c>
      <c r="I837" t="str">
        <f>"18 19023"</f>
        <v>18 19023</v>
      </c>
    </row>
    <row r="838" spans="1:9" x14ac:dyDescent="0.3">
      <c r="A838" t="str">
        <f>""</f>
        <v/>
      </c>
      <c r="F838" t="str">
        <f>"201806051327"</f>
        <v>201806051327</v>
      </c>
      <c r="G838" t="str">
        <f>"18-18966"</f>
        <v>18-18966</v>
      </c>
      <c r="H838">
        <v>288.75</v>
      </c>
      <c r="I838" t="str">
        <f>"18-18966"</f>
        <v>18-18966</v>
      </c>
    </row>
    <row r="839" spans="1:9" x14ac:dyDescent="0.3">
      <c r="A839" t="str">
        <f>""</f>
        <v/>
      </c>
      <c r="F839" t="str">
        <f>"201806051328"</f>
        <v>201806051328</v>
      </c>
      <c r="G839" t="str">
        <f>"18-19023"</f>
        <v>18-19023</v>
      </c>
      <c r="H839">
        <v>306.25</v>
      </c>
      <c r="I839" t="str">
        <f>"18-19023"</f>
        <v>18-19023</v>
      </c>
    </row>
    <row r="840" spans="1:9" x14ac:dyDescent="0.3">
      <c r="A840" t="str">
        <f>""</f>
        <v/>
      </c>
      <c r="F840" t="str">
        <f>"201806061352"</f>
        <v>201806061352</v>
      </c>
      <c r="G840" t="str">
        <f>"55 892"</f>
        <v>55 892</v>
      </c>
      <c r="H840">
        <v>250</v>
      </c>
      <c r="I840" t="str">
        <f>"55 892"</f>
        <v>55 892</v>
      </c>
    </row>
    <row r="841" spans="1:9" x14ac:dyDescent="0.3">
      <c r="A841" t="str">
        <f>""</f>
        <v/>
      </c>
      <c r="F841" t="str">
        <f>"201806061379"</f>
        <v>201806061379</v>
      </c>
      <c r="G841" t="str">
        <f>"55 434"</f>
        <v>55 434</v>
      </c>
      <c r="H841">
        <v>250</v>
      </c>
      <c r="I841" t="str">
        <f>"55 434"</f>
        <v>55 434</v>
      </c>
    </row>
    <row r="842" spans="1:9" x14ac:dyDescent="0.3">
      <c r="A842" t="str">
        <f>"004144"</f>
        <v>004144</v>
      </c>
      <c r="B842" t="s">
        <v>255</v>
      </c>
      <c r="C842">
        <v>999999</v>
      </c>
      <c r="D842" s="2">
        <v>1200</v>
      </c>
      <c r="E842" s="1">
        <v>43277</v>
      </c>
      <c r="F842" t="str">
        <f>"201806201659"</f>
        <v>201806201659</v>
      </c>
      <c r="G842" t="str">
        <f>"J-3114"</f>
        <v>J-3114</v>
      </c>
      <c r="H842">
        <v>250</v>
      </c>
      <c r="I842" t="str">
        <f>"J-3114"</f>
        <v>J-3114</v>
      </c>
    </row>
    <row r="843" spans="1:9" x14ac:dyDescent="0.3">
      <c r="A843" t="str">
        <f>""</f>
        <v/>
      </c>
      <c r="F843" t="str">
        <f>"201806201660"</f>
        <v>201806201660</v>
      </c>
      <c r="G843" t="str">
        <f>"J-3142"</f>
        <v>J-3142</v>
      </c>
      <c r="H843">
        <v>250</v>
      </c>
      <c r="I843" t="str">
        <f>"J-3142"</f>
        <v>J-3142</v>
      </c>
    </row>
    <row r="844" spans="1:9" x14ac:dyDescent="0.3">
      <c r="A844" t="str">
        <f>""</f>
        <v/>
      </c>
      <c r="F844" t="str">
        <f>"201806201664"</f>
        <v>201806201664</v>
      </c>
      <c r="G844" t="str">
        <f>"17-18493"</f>
        <v>17-18493</v>
      </c>
      <c r="H844">
        <v>100</v>
      </c>
      <c r="I844" t="str">
        <f>"17-18493"</f>
        <v>17-18493</v>
      </c>
    </row>
    <row r="845" spans="1:9" x14ac:dyDescent="0.3">
      <c r="A845" t="str">
        <f>""</f>
        <v/>
      </c>
      <c r="F845" t="str">
        <f>"201806201698"</f>
        <v>201806201698</v>
      </c>
      <c r="G845" t="str">
        <f>"55 618"</f>
        <v>55 618</v>
      </c>
      <c r="H845">
        <v>250</v>
      </c>
      <c r="I845" t="str">
        <f>"55 618"</f>
        <v>55 618</v>
      </c>
    </row>
    <row r="846" spans="1:9" x14ac:dyDescent="0.3">
      <c r="A846" t="str">
        <f>""</f>
        <v/>
      </c>
      <c r="F846" t="str">
        <f>"201806201699"</f>
        <v>201806201699</v>
      </c>
      <c r="G846" t="str">
        <f>"55 813"</f>
        <v>55 813</v>
      </c>
      <c r="H846">
        <v>250</v>
      </c>
      <c r="I846" t="str">
        <f>"55 813"</f>
        <v>55 813</v>
      </c>
    </row>
    <row r="847" spans="1:9" x14ac:dyDescent="0.3">
      <c r="A847" t="str">
        <f>""</f>
        <v/>
      </c>
      <c r="F847" t="str">
        <f>"201806201700"</f>
        <v>201806201700</v>
      </c>
      <c r="G847" t="str">
        <f>"CH2018 0305/92C-348 5027/20180"</f>
        <v>CH2018 0305/92C-348 5027/20180</v>
      </c>
      <c r="H847">
        <v>100</v>
      </c>
      <c r="I847" t="str">
        <f>"CH2018 0305/92C-348 5027/20180"</f>
        <v>CH2018 0305/92C-348 5027/20180</v>
      </c>
    </row>
    <row r="848" spans="1:9" x14ac:dyDescent="0.3">
      <c r="A848" t="str">
        <f>"TRIGA"</f>
        <v>TRIGA</v>
      </c>
      <c r="B848" t="s">
        <v>256</v>
      </c>
      <c r="C848">
        <v>77328</v>
      </c>
      <c r="D848" s="2">
        <v>201.08</v>
      </c>
      <c r="E848" s="1">
        <v>43276</v>
      </c>
      <c r="F848" t="str">
        <f>"17672983"</f>
        <v>17672983</v>
      </c>
      <c r="G848" t="str">
        <f>"CUST#41472/PCT#1"</f>
        <v>CUST#41472/PCT#1</v>
      </c>
      <c r="H848">
        <v>22.23</v>
      </c>
      <c r="I848" t="str">
        <f>"CUST#41472/PCT#1"</f>
        <v>CUST#41472/PCT#1</v>
      </c>
    </row>
    <row r="849" spans="1:9" x14ac:dyDescent="0.3">
      <c r="A849" t="str">
        <f>""</f>
        <v/>
      </c>
      <c r="F849" t="str">
        <f>"17673086"</f>
        <v>17673086</v>
      </c>
      <c r="G849" t="str">
        <f>"CUST#45057/PCT#4"</f>
        <v>CUST#45057/PCT#4</v>
      </c>
      <c r="H849">
        <v>39.729999999999997</v>
      </c>
      <c r="I849" t="str">
        <f>"CUST#45057/PCT#4"</f>
        <v>CUST#45057/PCT#4</v>
      </c>
    </row>
    <row r="850" spans="1:9" x14ac:dyDescent="0.3">
      <c r="A850" t="str">
        <f>""</f>
        <v/>
      </c>
      <c r="F850" t="str">
        <f>"17673151"</f>
        <v>17673151</v>
      </c>
      <c r="G850" t="str">
        <f>"INV 17673151"</f>
        <v>INV 17673151</v>
      </c>
      <c r="H850">
        <v>49.12</v>
      </c>
      <c r="I850" t="str">
        <f>"INV 17673151"</f>
        <v>INV 17673151</v>
      </c>
    </row>
    <row r="851" spans="1:9" x14ac:dyDescent="0.3">
      <c r="A851" t="str">
        <f>""</f>
        <v/>
      </c>
      <c r="F851" t="str">
        <f>"201806151625"</f>
        <v>201806151625</v>
      </c>
      <c r="G851" t="str">
        <f>"CUST#S9547/PCT#1"</f>
        <v>CUST#S9547/PCT#1</v>
      </c>
      <c r="H851">
        <v>90</v>
      </c>
      <c r="I851" t="str">
        <f>"CUST#S9547/PCT#1"</f>
        <v>CUST#S9547/PCT#1</v>
      </c>
    </row>
    <row r="852" spans="1:9" x14ac:dyDescent="0.3">
      <c r="A852" t="str">
        <f>"T14501"</f>
        <v>T14501</v>
      </c>
      <c r="B852" t="s">
        <v>257</v>
      </c>
      <c r="C852">
        <v>77329</v>
      </c>
      <c r="D852" s="2">
        <v>1680</v>
      </c>
      <c r="E852" s="1">
        <v>43276</v>
      </c>
      <c r="F852" t="str">
        <f>"201806201657"</f>
        <v>201806201657</v>
      </c>
      <c r="G852" t="str">
        <f>"55 603"</f>
        <v>55 603</v>
      </c>
      <c r="H852">
        <v>1680</v>
      </c>
      <c r="I852" t="str">
        <f>"55 603"</f>
        <v>55 603</v>
      </c>
    </row>
    <row r="853" spans="1:9" x14ac:dyDescent="0.3">
      <c r="A853" t="str">
        <f>"MC COY"</f>
        <v>MC COY</v>
      </c>
      <c r="B853" t="s">
        <v>258</v>
      </c>
      <c r="C853">
        <v>999999</v>
      </c>
      <c r="D853" s="2">
        <v>27.28</v>
      </c>
      <c r="E853" s="1">
        <v>43263</v>
      </c>
      <c r="F853" t="str">
        <f>"6-00656437"</f>
        <v>6-00656437</v>
      </c>
      <c r="G853" t="str">
        <f>"ACCT#900-98011130 001/SIGN SHO"</f>
        <v>ACCT#900-98011130 001/SIGN SHO</v>
      </c>
      <c r="H853">
        <v>27.28</v>
      </c>
      <c r="I853" t="str">
        <f>"ACCT#900-98011130 001/SIGN SHO"</f>
        <v>ACCT#900-98011130 001/SIGN SHO</v>
      </c>
    </row>
    <row r="854" spans="1:9" x14ac:dyDescent="0.3">
      <c r="A854" t="str">
        <f>"MC CRE"</f>
        <v>MC CRE</v>
      </c>
      <c r="B854" t="s">
        <v>259</v>
      </c>
      <c r="C854">
        <v>77135</v>
      </c>
      <c r="D854" s="2">
        <v>17373.16</v>
      </c>
      <c r="E854" s="1">
        <v>43262</v>
      </c>
      <c r="F854" t="str">
        <f>"12010  04/03/18"</f>
        <v>12010  04/03/18</v>
      </c>
      <c r="G854" t="str">
        <f>"PRINTER FEE  04/03/18"</f>
        <v>PRINTER FEE  04/03/18</v>
      </c>
      <c r="H854">
        <v>75</v>
      </c>
      <c r="I854" t="str">
        <f>"PRINTER FEE  04/03/18"</f>
        <v>PRINTER FEE  04/03/18</v>
      </c>
    </row>
    <row r="855" spans="1:9" x14ac:dyDescent="0.3">
      <c r="A855" t="str">
        <f>""</f>
        <v/>
      </c>
      <c r="F855" t="str">
        <f>"12226"</f>
        <v>12226</v>
      </c>
      <c r="G855" t="str">
        <f>"ABST FEE  03/20/18"</f>
        <v>ABST FEE  03/20/18</v>
      </c>
      <c r="H855">
        <v>175</v>
      </c>
      <c r="I855" t="str">
        <f>"ABST FEE  03/20/18"</f>
        <v>ABST FEE  03/20/18</v>
      </c>
    </row>
    <row r="856" spans="1:9" x14ac:dyDescent="0.3">
      <c r="A856" t="str">
        <f>""</f>
        <v/>
      </c>
      <c r="F856" t="str">
        <f>"12369"</f>
        <v>12369</v>
      </c>
      <c r="G856" t="str">
        <f>"ABSTRACT FEE  03/29/18"</f>
        <v>ABSTRACT FEE  03/29/18</v>
      </c>
      <c r="H856">
        <v>175</v>
      </c>
      <c r="I856" t="str">
        <f>"ABSTRACT FEE  03/29/18"</f>
        <v>ABSTRACT FEE  03/29/18</v>
      </c>
    </row>
    <row r="857" spans="1:9" x14ac:dyDescent="0.3">
      <c r="A857" t="str">
        <f>""</f>
        <v/>
      </c>
      <c r="F857" t="str">
        <f>"12455"</f>
        <v>12455</v>
      </c>
      <c r="G857" t="str">
        <f>"ABST FEE-$175 + SERVICE-$55"</f>
        <v>ABST FEE-$175 + SERVICE-$55</v>
      </c>
      <c r="H857">
        <v>230</v>
      </c>
      <c r="I857" t="str">
        <f>"ABST FEE-$175 + SERVICE-$55"</f>
        <v>ABST FEE-$175 + SERVICE-$55</v>
      </c>
    </row>
    <row r="858" spans="1:9" x14ac:dyDescent="0.3">
      <c r="A858" t="str">
        <f>""</f>
        <v/>
      </c>
      <c r="F858" t="str">
        <f>"12462"</f>
        <v>12462</v>
      </c>
      <c r="G858" t="str">
        <f>"ABST FEE  03/20/18"</f>
        <v>ABST FEE  03/20/18</v>
      </c>
      <c r="H858">
        <v>175</v>
      </c>
      <c r="I858" t="str">
        <f>"ABST FEE  03/20/18"</f>
        <v>ABST FEE  03/20/18</v>
      </c>
    </row>
    <row r="859" spans="1:9" x14ac:dyDescent="0.3">
      <c r="A859" t="str">
        <f>""</f>
        <v/>
      </c>
      <c r="F859" t="str">
        <f>"12471"</f>
        <v>12471</v>
      </c>
      <c r="G859" t="str">
        <f>"ABST FEE  03/20/18"</f>
        <v>ABST FEE  03/20/18</v>
      </c>
      <c r="H859">
        <v>175</v>
      </c>
      <c r="I859" t="str">
        <f>"ABST FEE  03/20/18"</f>
        <v>ABST FEE  03/20/18</v>
      </c>
    </row>
    <row r="860" spans="1:9" x14ac:dyDescent="0.3">
      <c r="A860" t="str">
        <f>""</f>
        <v/>
      </c>
      <c r="F860" t="str">
        <f>"12621"</f>
        <v>12621</v>
      </c>
      <c r="G860" t="str">
        <f>"ABST FEE  04/02/18"</f>
        <v>ABST FEE  04/02/18</v>
      </c>
      <c r="H860">
        <v>175</v>
      </c>
      <c r="I860" t="str">
        <f>"ABST FEE  04/02/18"</f>
        <v>ABST FEE  04/02/18</v>
      </c>
    </row>
    <row r="861" spans="1:9" x14ac:dyDescent="0.3">
      <c r="A861" t="str">
        <f>""</f>
        <v/>
      </c>
      <c r="F861" t="str">
        <f>"12819"</f>
        <v>12819</v>
      </c>
      <c r="G861" t="str">
        <f>"ABST FEE  04/03/18"</f>
        <v>ABST FEE  04/03/18</v>
      </c>
      <c r="H861">
        <v>225</v>
      </c>
      <c r="I861" t="str">
        <f>"ABST FEE  04/03/18"</f>
        <v>ABST FEE  04/03/18</v>
      </c>
    </row>
    <row r="862" spans="1:9" x14ac:dyDescent="0.3">
      <c r="A862" t="str">
        <f>""</f>
        <v/>
      </c>
      <c r="F862" t="str">
        <f>"12824"</f>
        <v>12824</v>
      </c>
      <c r="G862" t="str">
        <f>"ABST FEE  04/02/2018"</f>
        <v>ABST FEE  04/02/2018</v>
      </c>
      <c r="H862">
        <v>225</v>
      </c>
      <c r="I862" t="str">
        <f>"ABST FEE  04/02/2018"</f>
        <v>ABST FEE  04/02/2018</v>
      </c>
    </row>
    <row r="863" spans="1:9" x14ac:dyDescent="0.3">
      <c r="A863" t="str">
        <f>""</f>
        <v/>
      </c>
      <c r="F863" t="str">
        <f>"12832"</f>
        <v>12832</v>
      </c>
      <c r="G863" t="str">
        <f>"ABST FEE  04/03/18"</f>
        <v>ABST FEE  04/03/18</v>
      </c>
      <c r="H863">
        <v>225</v>
      </c>
      <c r="I863" t="str">
        <f>"ABST FEE  04/03/18"</f>
        <v>ABST FEE  04/03/18</v>
      </c>
    </row>
    <row r="864" spans="1:9" x14ac:dyDescent="0.3">
      <c r="A864" t="str">
        <f>""</f>
        <v/>
      </c>
      <c r="F864" t="str">
        <f>"12841"</f>
        <v>12841</v>
      </c>
      <c r="G864" t="str">
        <f>"ABST FEE  04/19/18"</f>
        <v>ABST FEE  04/19/18</v>
      </c>
      <c r="H864">
        <v>225</v>
      </c>
      <c r="I864" t="str">
        <f>"ABST FEE  04/19/18"</f>
        <v>ABST FEE  04/19/18</v>
      </c>
    </row>
    <row r="865" spans="1:10" x14ac:dyDescent="0.3">
      <c r="A865" t="str">
        <f>""</f>
        <v/>
      </c>
      <c r="F865" t="str">
        <f>"12865"</f>
        <v>12865</v>
      </c>
      <c r="G865" t="str">
        <f>"ABST FEE  04/13/18"</f>
        <v>ABST FEE  04/13/18</v>
      </c>
      <c r="H865">
        <v>225</v>
      </c>
      <c r="I865" t="str">
        <f>"ABST FEE  04/13/18"</f>
        <v>ABST FEE  04/13/18</v>
      </c>
    </row>
    <row r="866" spans="1:10" x14ac:dyDescent="0.3">
      <c r="A866" t="str">
        <f>""</f>
        <v/>
      </c>
      <c r="F866" t="str">
        <f>"12894"</f>
        <v>12894</v>
      </c>
      <c r="G866" t="str">
        <f>"ABS$150 PRINTER$606.48 SVC$195"</f>
        <v>ABS$150 PRINTER$606.48 SVC$195</v>
      </c>
      <c r="H866">
        <v>951.48</v>
      </c>
      <c r="I866" t="str">
        <f>"ABS$150 PRINTER$606.48 SVC$195"</f>
        <v>ABS$150 PRINTER$606.48 SVC$195</v>
      </c>
    </row>
    <row r="867" spans="1:10" x14ac:dyDescent="0.3">
      <c r="A867" t="str">
        <f>""</f>
        <v/>
      </c>
      <c r="F867" t="str">
        <f>"12894  03/27/18"</f>
        <v>12894  03/27/18</v>
      </c>
      <c r="G867" t="str">
        <f>"ABST FEE  03/27/18"</f>
        <v>ABST FEE  03/27/18</v>
      </c>
      <c r="H867">
        <v>225</v>
      </c>
      <c r="I867" t="str">
        <f>"ABST FEE  03/27/18"</f>
        <v>ABST FEE  03/27/18</v>
      </c>
    </row>
    <row r="868" spans="1:10" x14ac:dyDescent="0.3">
      <c r="A868" t="str">
        <f>""</f>
        <v/>
      </c>
      <c r="F868" t="str">
        <f>"12896"</f>
        <v>12896</v>
      </c>
      <c r="G868" t="str">
        <f>"ABST FEE  04/02/18"</f>
        <v>ABST FEE  04/02/18</v>
      </c>
      <c r="H868">
        <v>225</v>
      </c>
      <c r="I868" t="str">
        <f>"ABST FEE  04/02/18"</f>
        <v>ABST FEE  04/02/18</v>
      </c>
    </row>
    <row r="869" spans="1:10" x14ac:dyDescent="0.3">
      <c r="A869" t="str">
        <f>""</f>
        <v/>
      </c>
      <c r="F869" t="str">
        <f>"12912"</f>
        <v>12912</v>
      </c>
      <c r="G869" t="str">
        <f>"ABST FEE  04/03/18"</f>
        <v>ABST FEE  04/03/18</v>
      </c>
      <c r="H869">
        <v>225</v>
      </c>
      <c r="I869" t="str">
        <f>"ABST FEE  04/03/18"</f>
        <v>ABST FEE  04/03/18</v>
      </c>
    </row>
    <row r="870" spans="1:10" x14ac:dyDescent="0.3">
      <c r="A870" t="str">
        <f>""</f>
        <v/>
      </c>
      <c r="F870" t="str">
        <f>"12913"</f>
        <v>12913</v>
      </c>
      <c r="G870" t="str">
        <f>"ABST FEE  04/02/18"</f>
        <v>ABST FEE  04/02/18</v>
      </c>
      <c r="H870">
        <v>225</v>
      </c>
      <c r="I870" t="str">
        <f>"ABST FEE  04/02/18"</f>
        <v>ABST FEE  04/02/18</v>
      </c>
    </row>
    <row r="871" spans="1:10" x14ac:dyDescent="0.3">
      <c r="A871" t="str">
        <f>""</f>
        <v/>
      </c>
      <c r="F871" t="str">
        <f>"201806051267"</f>
        <v>201806051267</v>
      </c>
      <c r="G871" t="str">
        <f>"COLLECTION OF DELIQUENT TAXES"</f>
        <v>COLLECTION OF DELIQUENT TAXES</v>
      </c>
      <c r="H871">
        <v>12351.68</v>
      </c>
      <c r="I871" t="str">
        <f>"COLLECTION OF DELIQUENT TAXES"</f>
        <v>COLLECTION OF DELIQUENT TAXES</v>
      </c>
    </row>
    <row r="872" spans="1:10" x14ac:dyDescent="0.3">
      <c r="A872" t="str">
        <f>""</f>
        <v/>
      </c>
      <c r="F872" t="str">
        <f>"8158"</f>
        <v>8158</v>
      </c>
      <c r="G872" t="str">
        <f>"ABST FEE $150/SERVICE $715"</f>
        <v>ABST FEE $150/SERVICE $715</v>
      </c>
      <c r="H872">
        <v>865</v>
      </c>
      <c r="I872" t="str">
        <f>"ABST FEE $150/SERVICE $715"</f>
        <v>ABST FEE $150/SERVICE $715</v>
      </c>
    </row>
    <row r="873" spans="1:10" x14ac:dyDescent="0.3">
      <c r="A873" t="str">
        <f>"MC CRE"</f>
        <v>MC CRE</v>
      </c>
      <c r="B873" t="s">
        <v>259</v>
      </c>
      <c r="C873">
        <v>77330</v>
      </c>
      <c r="D873" s="2">
        <v>400</v>
      </c>
      <c r="E873" s="1">
        <v>43276</v>
      </c>
      <c r="F873" t="str">
        <f>"12471  03/20/18"</f>
        <v>12471  03/20/18</v>
      </c>
      <c r="G873" t="str">
        <f>"ABST FEE"</f>
        <v>ABST FEE</v>
      </c>
      <c r="H873">
        <v>175</v>
      </c>
      <c r="I873" t="str">
        <f>"ABST FEE"</f>
        <v>ABST FEE</v>
      </c>
    </row>
    <row r="874" spans="1:10" x14ac:dyDescent="0.3">
      <c r="A874" t="str">
        <f>""</f>
        <v/>
      </c>
      <c r="F874" t="str">
        <f>"12927"</f>
        <v>12927</v>
      </c>
      <c r="G874" t="str">
        <f>"ABST FEE  04/30/18"</f>
        <v>ABST FEE  04/30/18</v>
      </c>
      <c r="H874">
        <v>225</v>
      </c>
      <c r="I874" t="str">
        <f>"ABST FEE  04/30/18"</f>
        <v>ABST FEE  04/30/18</v>
      </c>
    </row>
    <row r="875" spans="1:10" x14ac:dyDescent="0.3">
      <c r="A875" t="str">
        <f>"003624"</f>
        <v>003624</v>
      </c>
      <c r="B875" t="s">
        <v>260</v>
      </c>
      <c r="C875">
        <v>77136</v>
      </c>
      <c r="D875" s="2">
        <v>247.75</v>
      </c>
      <c r="E875" s="1">
        <v>43262</v>
      </c>
      <c r="F875" t="str">
        <f>"3262782-IN"</f>
        <v>3262782-IN</v>
      </c>
      <c r="G875" t="str">
        <f>"ACCT#10-BAS7110/ANIMAL SHELTER"</f>
        <v>ACCT#10-BAS7110/ANIMAL SHELTER</v>
      </c>
      <c r="H875">
        <v>247.75</v>
      </c>
      <c r="I875" t="str">
        <f>"ACCT#10-BAS7110/ANIMAL SHELTER"</f>
        <v>ACCT#10-BAS7110/ANIMAL SHELTER</v>
      </c>
    </row>
    <row r="876" spans="1:10" x14ac:dyDescent="0.3">
      <c r="A876" t="str">
        <f>"002271"</f>
        <v>002271</v>
      </c>
      <c r="B876" t="s">
        <v>261</v>
      </c>
      <c r="C876">
        <v>77137</v>
      </c>
      <c r="D876" s="2">
        <v>2445.91</v>
      </c>
      <c r="E876" s="1">
        <v>43262</v>
      </c>
      <c r="F876" t="str">
        <f>"201806061442"</f>
        <v>201806061442</v>
      </c>
      <c r="G876" t="str">
        <f>"INDIGENT HEALTH"</f>
        <v>INDIGENT HEALTH</v>
      </c>
      <c r="H876">
        <v>2445.91</v>
      </c>
      <c r="I876" t="str">
        <f>"INDIGENT HEALTH"</f>
        <v>INDIGENT HEALTH</v>
      </c>
    </row>
    <row r="877" spans="1:10" x14ac:dyDescent="0.3">
      <c r="A877" t="str">
        <f>"003745"</f>
        <v>003745</v>
      </c>
      <c r="B877" t="s">
        <v>262</v>
      </c>
      <c r="C877">
        <v>77331</v>
      </c>
      <c r="D877" s="2">
        <v>75</v>
      </c>
      <c r="E877" s="1">
        <v>43276</v>
      </c>
      <c r="F877" t="s">
        <v>182</v>
      </c>
      <c r="G877" t="s">
        <v>219</v>
      </c>
      <c r="H877" t="str">
        <f>"RESTITUTION-D.SPURK"</f>
        <v>RESTITUTION-D.SPURK</v>
      </c>
      <c r="I877" t="str">
        <f>"210-0000"</f>
        <v>210-0000</v>
      </c>
      <c r="J877" t="str">
        <f>""</f>
        <v/>
      </c>
    </row>
    <row r="878" spans="1:10" x14ac:dyDescent="0.3">
      <c r="A878" t="str">
        <f>"002312"</f>
        <v>002312</v>
      </c>
      <c r="B878" t="s">
        <v>263</v>
      </c>
      <c r="C878">
        <v>77138</v>
      </c>
      <c r="D878" s="2">
        <v>19256.72</v>
      </c>
      <c r="E878" s="1">
        <v>43262</v>
      </c>
      <c r="F878" t="str">
        <f>"17153"</f>
        <v>17153</v>
      </c>
      <c r="G878" t="str">
        <f>"FREIGHT SALES/PCT#2"</f>
        <v>FREIGHT SALES/PCT#2</v>
      </c>
      <c r="H878">
        <v>10504.4</v>
      </c>
      <c r="I878" t="str">
        <f>"FREIGHT SALES/PCT#2"</f>
        <v>FREIGHT SALES/PCT#2</v>
      </c>
    </row>
    <row r="879" spans="1:10" x14ac:dyDescent="0.3">
      <c r="A879" t="str">
        <f>""</f>
        <v/>
      </c>
      <c r="F879" t="str">
        <f>"17202"</f>
        <v>17202</v>
      </c>
      <c r="G879" t="str">
        <f>"FREIGHT SALES/ PCT#2"</f>
        <v>FREIGHT SALES/ PCT#2</v>
      </c>
      <c r="H879">
        <v>8752.32</v>
      </c>
      <c r="I879" t="str">
        <f>"FREIGHT SALES/ PCT#2"</f>
        <v>FREIGHT SALES/ PCT#2</v>
      </c>
    </row>
    <row r="880" spans="1:10" x14ac:dyDescent="0.3">
      <c r="A880" t="str">
        <f>"002312"</f>
        <v>002312</v>
      </c>
      <c r="B880" t="s">
        <v>263</v>
      </c>
      <c r="C880">
        <v>77332</v>
      </c>
      <c r="D880" s="2">
        <v>16427.84</v>
      </c>
      <c r="E880" s="1">
        <v>43276</v>
      </c>
      <c r="F880" t="str">
        <f>"17246"</f>
        <v>17246</v>
      </c>
      <c r="G880" t="str">
        <f>"FREIGHT SALES/PCT#2"</f>
        <v>FREIGHT SALES/PCT#2</v>
      </c>
      <c r="H880">
        <v>6462</v>
      </c>
      <c r="I880" t="str">
        <f>"FREIGHT SALES/PCT#2"</f>
        <v>FREIGHT SALES/PCT#2</v>
      </c>
    </row>
    <row r="881" spans="1:9" x14ac:dyDescent="0.3">
      <c r="A881" t="str">
        <f>""</f>
        <v/>
      </c>
      <c r="F881" t="str">
        <f>"17310"</f>
        <v>17310</v>
      </c>
      <c r="G881" t="str">
        <f>"FREIGHT SALES/PCT#2"</f>
        <v>FREIGHT SALES/PCT#2</v>
      </c>
      <c r="H881">
        <v>7345.28</v>
      </c>
      <c r="I881" t="str">
        <f>"FREIGHT SALES/PCT#2"</f>
        <v>FREIGHT SALES/PCT#2</v>
      </c>
    </row>
    <row r="882" spans="1:9" x14ac:dyDescent="0.3">
      <c r="A882" t="str">
        <f>""</f>
        <v/>
      </c>
      <c r="F882" t="str">
        <f>"17311"</f>
        <v>17311</v>
      </c>
      <c r="G882" t="str">
        <f>"FREIGHT SALES/PCT#2"</f>
        <v>FREIGHT SALES/PCT#2</v>
      </c>
      <c r="H882">
        <v>2620.56</v>
      </c>
      <c r="I882" t="str">
        <f>"FREIGHT SALES/PCT#2"</f>
        <v>FREIGHT SALES/PCT#2</v>
      </c>
    </row>
    <row r="883" spans="1:9" x14ac:dyDescent="0.3">
      <c r="A883" t="str">
        <f>"MU&amp;E"</f>
        <v>MU&amp;E</v>
      </c>
      <c r="B883" t="s">
        <v>264</v>
      </c>
      <c r="C883">
        <v>999999</v>
      </c>
      <c r="D883" s="2">
        <v>2186.42</v>
      </c>
      <c r="E883" s="1">
        <v>43263</v>
      </c>
      <c r="F883" t="str">
        <f>"107720  110532"</f>
        <v>107720  110532</v>
      </c>
      <c r="G883" t="str">
        <f>"INV 110532 / 107720"</f>
        <v>INV 110532 / 107720</v>
      </c>
      <c r="H883">
        <v>211.3</v>
      </c>
      <c r="I883" t="str">
        <f>"INV  107720"</f>
        <v>INV  107720</v>
      </c>
    </row>
    <row r="884" spans="1:9" x14ac:dyDescent="0.3">
      <c r="A884" t="str">
        <f>""</f>
        <v/>
      </c>
      <c r="F884" t="str">
        <f>""</f>
        <v/>
      </c>
      <c r="G884" t="str">
        <f>""</f>
        <v/>
      </c>
      <c r="I884" t="str">
        <f>"INV 110532"</f>
        <v>INV 110532</v>
      </c>
    </row>
    <row r="885" spans="1:9" x14ac:dyDescent="0.3">
      <c r="A885" t="str">
        <f>""</f>
        <v/>
      </c>
      <c r="F885" t="str">
        <f>"110808"</f>
        <v>110808</v>
      </c>
      <c r="G885" t="str">
        <f>"INV 110808"</f>
        <v>INV 110808</v>
      </c>
      <c r="H885">
        <v>103</v>
      </c>
      <c r="I885" t="str">
        <f>"INV 110808"</f>
        <v>INV 110808</v>
      </c>
    </row>
    <row r="886" spans="1:9" x14ac:dyDescent="0.3">
      <c r="A886" t="str">
        <f>""</f>
        <v/>
      </c>
      <c r="F886" t="str">
        <f>"110809"</f>
        <v>110809</v>
      </c>
      <c r="G886" t="str">
        <f>"INV 110809"</f>
        <v>INV 110809</v>
      </c>
      <c r="H886">
        <v>111</v>
      </c>
      <c r="I886" t="str">
        <f>"INV 110809"</f>
        <v>INV 110809</v>
      </c>
    </row>
    <row r="887" spans="1:9" x14ac:dyDescent="0.3">
      <c r="A887" t="str">
        <f>""</f>
        <v/>
      </c>
      <c r="F887" t="str">
        <f>"110828"</f>
        <v>110828</v>
      </c>
      <c r="G887" t="str">
        <f>"INV 110828"</f>
        <v>INV 110828</v>
      </c>
      <c r="H887">
        <v>531</v>
      </c>
      <c r="I887" t="str">
        <f>"INV 110828"</f>
        <v>INV 110828</v>
      </c>
    </row>
    <row r="888" spans="1:9" x14ac:dyDescent="0.3">
      <c r="A888" t="str">
        <f>""</f>
        <v/>
      </c>
      <c r="F888" t="str">
        <f>"110831"</f>
        <v>110831</v>
      </c>
      <c r="G888" t="str">
        <f>"INV 110831"</f>
        <v>INV 110831</v>
      </c>
      <c r="H888">
        <v>49.99</v>
      </c>
      <c r="I888" t="str">
        <f>"INV 110831"</f>
        <v>INV 110831</v>
      </c>
    </row>
    <row r="889" spans="1:9" x14ac:dyDescent="0.3">
      <c r="A889" t="str">
        <f>""</f>
        <v/>
      </c>
      <c r="F889" t="str">
        <f>"111125"</f>
        <v>111125</v>
      </c>
      <c r="G889" t="str">
        <f>"INV 111125"</f>
        <v>INV 111125</v>
      </c>
      <c r="H889">
        <v>979.63</v>
      </c>
      <c r="I889" t="str">
        <f>"INV 111125"</f>
        <v>INV 111125</v>
      </c>
    </row>
    <row r="890" spans="1:9" x14ac:dyDescent="0.3">
      <c r="A890" t="str">
        <f>""</f>
        <v/>
      </c>
      <c r="F890" t="str">
        <f>"111429"</f>
        <v>111429</v>
      </c>
      <c r="G890" t="str">
        <f>"INV 111429"</f>
        <v>INV 111429</v>
      </c>
      <c r="H890">
        <v>25</v>
      </c>
      <c r="I890" t="str">
        <f>"INV 111429"</f>
        <v>INV 111429</v>
      </c>
    </row>
    <row r="891" spans="1:9" x14ac:dyDescent="0.3">
      <c r="A891" t="str">
        <f>""</f>
        <v/>
      </c>
      <c r="F891" t="str">
        <f>"111430"</f>
        <v>111430</v>
      </c>
      <c r="G891" t="str">
        <f>"INV 111430"</f>
        <v>INV 111430</v>
      </c>
      <c r="H891">
        <v>12.5</v>
      </c>
      <c r="I891" t="str">
        <f>"INV 111430"</f>
        <v>INV 111430</v>
      </c>
    </row>
    <row r="892" spans="1:9" x14ac:dyDescent="0.3">
      <c r="A892" t="str">
        <f>""</f>
        <v/>
      </c>
      <c r="F892" t="str">
        <f>"111431  110099"</f>
        <v>111431  110099</v>
      </c>
      <c r="G892" t="str">
        <f>"INV 111431"</f>
        <v>INV 111431</v>
      </c>
      <c r="H892">
        <v>163</v>
      </c>
      <c r="I892" t="str">
        <f>"INV 111431"</f>
        <v>INV 111431</v>
      </c>
    </row>
    <row r="893" spans="1:9" x14ac:dyDescent="0.3">
      <c r="A893" t="str">
        <f>""</f>
        <v/>
      </c>
      <c r="F893" t="str">
        <f>""</f>
        <v/>
      </c>
      <c r="G893" t="str">
        <f>""</f>
        <v/>
      </c>
      <c r="I893" t="str">
        <f>"INV 110099"</f>
        <v>INV 110099</v>
      </c>
    </row>
    <row r="894" spans="1:9" x14ac:dyDescent="0.3">
      <c r="A894" t="str">
        <f>"MU&amp;E"</f>
        <v>MU&amp;E</v>
      </c>
      <c r="B894" t="s">
        <v>264</v>
      </c>
      <c r="C894">
        <v>999999</v>
      </c>
      <c r="D894" s="2">
        <v>389.2</v>
      </c>
      <c r="E894" s="1">
        <v>43277</v>
      </c>
      <c r="F894" t="str">
        <f>"112004"</f>
        <v>112004</v>
      </c>
      <c r="G894" t="str">
        <f>"INV 112004"</f>
        <v>INV 112004</v>
      </c>
      <c r="H894">
        <v>208.5</v>
      </c>
      <c r="I894" t="str">
        <f>"INV 112004"</f>
        <v>INV 112004</v>
      </c>
    </row>
    <row r="895" spans="1:9" x14ac:dyDescent="0.3">
      <c r="A895" t="str">
        <f>""</f>
        <v/>
      </c>
      <c r="F895" t="str">
        <f>"112007"</f>
        <v>112007</v>
      </c>
      <c r="G895" t="str">
        <f>"INV 112007"</f>
        <v>INV 112007</v>
      </c>
      <c r="H895">
        <v>180.7</v>
      </c>
      <c r="I895" t="str">
        <f>"INV 112007"</f>
        <v>INV 112007</v>
      </c>
    </row>
    <row r="896" spans="1:9" x14ac:dyDescent="0.3">
      <c r="A896" t="str">
        <f t="shared" ref="A896:A907" si="2">"1"</f>
        <v>1</v>
      </c>
      <c r="B896" t="s">
        <v>265</v>
      </c>
      <c r="C896">
        <v>77212</v>
      </c>
      <c r="D896" s="2">
        <v>40</v>
      </c>
      <c r="E896" s="1">
        <v>43264</v>
      </c>
      <c r="F896" t="str">
        <f>"201806131575"</f>
        <v>201806131575</v>
      </c>
      <c r="G896" t="str">
        <f>"Miscellan"</f>
        <v>Miscellan</v>
      </c>
      <c r="H896">
        <v>40</v>
      </c>
      <c r="I896" t="str">
        <f>"JANA HOFFMAN MOORE"</f>
        <v>JANA HOFFMAN MOORE</v>
      </c>
    </row>
    <row r="897" spans="1:9" x14ac:dyDescent="0.3">
      <c r="A897" t="str">
        <f t="shared" si="2"/>
        <v>1</v>
      </c>
      <c r="B897" t="s">
        <v>266</v>
      </c>
      <c r="C897">
        <v>77213</v>
      </c>
      <c r="D897" s="2">
        <v>40</v>
      </c>
      <c r="E897" s="1">
        <v>43264</v>
      </c>
      <c r="F897" t="str">
        <f>"201806131576"</f>
        <v>201806131576</v>
      </c>
      <c r="G897" t="str">
        <f>"Miscellaneous"</f>
        <v>Miscellaneous</v>
      </c>
      <c r="H897">
        <v>40</v>
      </c>
      <c r="I897" t="str">
        <f>"SCOTT A SHIKE"</f>
        <v>SCOTT A SHIKE</v>
      </c>
    </row>
    <row r="898" spans="1:9" x14ac:dyDescent="0.3">
      <c r="A898" t="str">
        <f t="shared" si="2"/>
        <v>1</v>
      </c>
      <c r="B898" t="s">
        <v>267</v>
      </c>
      <c r="C898">
        <v>77214</v>
      </c>
      <c r="D898" s="2">
        <v>40</v>
      </c>
      <c r="E898" s="1">
        <v>43264</v>
      </c>
      <c r="F898" t="str">
        <f>"201806131577"</f>
        <v>201806131577</v>
      </c>
      <c r="G898" t="str">
        <f>"Miscellan"</f>
        <v>Miscellan</v>
      </c>
      <c r="H898">
        <v>40</v>
      </c>
      <c r="I898" t="str">
        <f>"BRUCE ROBERT ALLYN"</f>
        <v>BRUCE ROBERT ALLYN</v>
      </c>
    </row>
    <row r="899" spans="1:9" x14ac:dyDescent="0.3">
      <c r="A899" t="str">
        <f t="shared" si="2"/>
        <v>1</v>
      </c>
      <c r="B899" t="s">
        <v>268</v>
      </c>
      <c r="C899">
        <v>77215</v>
      </c>
      <c r="D899" s="2">
        <v>40</v>
      </c>
      <c r="E899" s="1">
        <v>43264</v>
      </c>
      <c r="F899" t="str">
        <f>"201806131578"</f>
        <v>201806131578</v>
      </c>
      <c r="G899" t="str">
        <f>"Miscella"</f>
        <v>Miscella</v>
      </c>
      <c r="H899">
        <v>40</v>
      </c>
      <c r="I899" t="str">
        <f>"DAVID KYLE BRUMMITT"</f>
        <v>DAVID KYLE BRUMMITT</v>
      </c>
    </row>
    <row r="900" spans="1:9" x14ac:dyDescent="0.3">
      <c r="A900" t="str">
        <f t="shared" si="2"/>
        <v>1</v>
      </c>
      <c r="B900" t="s">
        <v>269</v>
      </c>
      <c r="C900">
        <v>77216</v>
      </c>
      <c r="D900" s="2">
        <v>40</v>
      </c>
      <c r="E900" s="1">
        <v>43264</v>
      </c>
      <c r="F900" t="str">
        <f>"201806131579"</f>
        <v>201806131579</v>
      </c>
      <c r="G900" t="str">
        <f>"Miscellan"</f>
        <v>Miscellan</v>
      </c>
      <c r="H900">
        <v>40</v>
      </c>
      <c r="I900" t="str">
        <f>"LAUREN N SCHECKTER"</f>
        <v>LAUREN N SCHECKTER</v>
      </c>
    </row>
    <row r="901" spans="1:9" x14ac:dyDescent="0.3">
      <c r="A901" t="str">
        <f t="shared" si="2"/>
        <v>1</v>
      </c>
      <c r="B901" t="s">
        <v>270</v>
      </c>
      <c r="C901">
        <v>77217</v>
      </c>
      <c r="D901" s="2">
        <v>40</v>
      </c>
      <c r="E901" s="1">
        <v>43264</v>
      </c>
      <c r="F901" t="str">
        <f>"201806131580"</f>
        <v>201806131580</v>
      </c>
      <c r="G901" t="str">
        <f>"Miscell"</f>
        <v>Miscell</v>
      </c>
      <c r="H901">
        <v>40</v>
      </c>
      <c r="I901" t="str">
        <f>"JOSE ADRION FIGUEROA"</f>
        <v>JOSE ADRION FIGUEROA</v>
      </c>
    </row>
    <row r="902" spans="1:9" x14ac:dyDescent="0.3">
      <c r="A902" t="str">
        <f t="shared" si="2"/>
        <v>1</v>
      </c>
      <c r="B902" t="s">
        <v>271</v>
      </c>
      <c r="C902">
        <v>77218</v>
      </c>
      <c r="D902" s="2">
        <v>40</v>
      </c>
      <c r="E902" s="1">
        <v>43264</v>
      </c>
      <c r="F902" t="str">
        <f>"201806131581"</f>
        <v>201806131581</v>
      </c>
      <c r="G902" t="str">
        <f>"M"</f>
        <v>M</v>
      </c>
      <c r="H902">
        <v>40</v>
      </c>
      <c r="I902" t="str">
        <f>"SARAH ELIZABETH-ANN EDSALL"</f>
        <v>SARAH ELIZABETH-ANN EDSALL</v>
      </c>
    </row>
    <row r="903" spans="1:9" x14ac:dyDescent="0.3">
      <c r="A903" t="str">
        <f t="shared" si="2"/>
        <v>1</v>
      </c>
      <c r="B903" t="s">
        <v>272</v>
      </c>
      <c r="C903">
        <v>77219</v>
      </c>
      <c r="D903" s="2">
        <v>40</v>
      </c>
      <c r="E903" s="1">
        <v>43264</v>
      </c>
      <c r="F903" t="str">
        <f>"201806131582"</f>
        <v>201806131582</v>
      </c>
      <c r="G903" t="str">
        <f>"Misce"</f>
        <v>Misce</v>
      </c>
      <c r="H903">
        <v>40</v>
      </c>
      <c r="I903" t="str">
        <f>"SYLVIA GONZALEZ WATSON"</f>
        <v>SYLVIA GONZALEZ WATSON</v>
      </c>
    </row>
    <row r="904" spans="1:9" x14ac:dyDescent="0.3">
      <c r="A904" t="str">
        <f t="shared" si="2"/>
        <v>1</v>
      </c>
      <c r="B904" t="s">
        <v>273</v>
      </c>
      <c r="C904">
        <v>77220</v>
      </c>
      <c r="D904" s="2">
        <v>40</v>
      </c>
      <c r="E904" s="1">
        <v>43264</v>
      </c>
      <c r="F904" t="str">
        <f>"201806131583"</f>
        <v>201806131583</v>
      </c>
      <c r="G904" t="str">
        <f>"Miscellane"</f>
        <v>Miscellane</v>
      </c>
      <c r="H904">
        <v>40</v>
      </c>
      <c r="I904" t="str">
        <f>"LARRY GENE HANSEN"</f>
        <v>LARRY GENE HANSEN</v>
      </c>
    </row>
    <row r="905" spans="1:9" x14ac:dyDescent="0.3">
      <c r="A905" t="str">
        <f t="shared" si="2"/>
        <v>1</v>
      </c>
      <c r="B905" t="s">
        <v>274</v>
      </c>
      <c r="C905">
        <v>77221</v>
      </c>
      <c r="D905" s="2">
        <v>40</v>
      </c>
      <c r="E905" s="1">
        <v>43264</v>
      </c>
      <c r="F905" t="str">
        <f>"201806131584"</f>
        <v>201806131584</v>
      </c>
      <c r="G905" t="str">
        <f>"Miscellan"</f>
        <v>Miscellan</v>
      </c>
      <c r="H905">
        <v>40</v>
      </c>
      <c r="I905" t="str">
        <f>"BETHANY RENEE COOK"</f>
        <v>BETHANY RENEE COOK</v>
      </c>
    </row>
    <row r="906" spans="1:9" x14ac:dyDescent="0.3">
      <c r="A906" t="str">
        <f t="shared" si="2"/>
        <v>1</v>
      </c>
      <c r="B906" t="s">
        <v>275</v>
      </c>
      <c r="C906">
        <v>77222</v>
      </c>
      <c r="D906" s="2">
        <v>40</v>
      </c>
      <c r="E906" s="1">
        <v>43264</v>
      </c>
      <c r="F906" t="str">
        <f>"201806131585"</f>
        <v>201806131585</v>
      </c>
      <c r="G906" t="str">
        <f>"Misc"</f>
        <v>Misc</v>
      </c>
      <c r="H906">
        <v>40</v>
      </c>
      <c r="I906" t="str">
        <f>"NICOLASA AGUILAR BISHOP"</f>
        <v>NICOLASA AGUILAR BISHOP</v>
      </c>
    </row>
    <row r="907" spans="1:9" x14ac:dyDescent="0.3">
      <c r="A907" t="str">
        <f t="shared" si="2"/>
        <v>1</v>
      </c>
      <c r="B907" t="s">
        <v>276</v>
      </c>
      <c r="C907">
        <v>77223</v>
      </c>
      <c r="D907" s="2">
        <v>40</v>
      </c>
      <c r="E907" s="1">
        <v>43264</v>
      </c>
      <c r="F907" t="str">
        <f>"201806131586"</f>
        <v>201806131586</v>
      </c>
      <c r="G907" t="str">
        <f>"Miscellan"</f>
        <v>Miscellan</v>
      </c>
      <c r="H907">
        <v>40</v>
      </c>
      <c r="I907" t="str">
        <f>"KATHRYN EVA ROGERS"</f>
        <v>KATHRYN EVA ROGERS</v>
      </c>
    </row>
    <row r="908" spans="1:9" x14ac:dyDescent="0.3">
      <c r="A908" t="str">
        <f>"005482"</f>
        <v>005482</v>
      </c>
      <c r="B908" t="s">
        <v>277</v>
      </c>
      <c r="C908">
        <v>77139</v>
      </c>
      <c r="D908" s="2">
        <v>33.79</v>
      </c>
      <c r="E908" s="1">
        <v>43262</v>
      </c>
      <c r="F908" t="str">
        <f>"201805301220"</f>
        <v>201805301220</v>
      </c>
      <c r="G908" t="str">
        <f>"MILEAGE REIMBURSEMENT"</f>
        <v>MILEAGE REIMBURSEMENT</v>
      </c>
      <c r="H908">
        <v>33.79</v>
      </c>
      <c r="I908" t="str">
        <f>"MILEAGE REIMBURSEMENT"</f>
        <v>MILEAGE REIMBURSEMENT</v>
      </c>
    </row>
    <row r="909" spans="1:9" x14ac:dyDescent="0.3">
      <c r="A909" t="str">
        <f>"005326"</f>
        <v>005326</v>
      </c>
      <c r="B909" t="s">
        <v>278</v>
      </c>
      <c r="C909">
        <v>77140</v>
      </c>
      <c r="D909" s="2">
        <v>145</v>
      </c>
      <c r="E909" s="1">
        <v>43262</v>
      </c>
      <c r="F909" t="str">
        <f>"15143"</f>
        <v>15143</v>
      </c>
      <c r="G909" t="str">
        <f>"MAY DUMPSTER RENTAL"</f>
        <v>MAY DUMPSTER RENTAL</v>
      </c>
      <c r="H909">
        <v>145</v>
      </c>
      <c r="I909" t="str">
        <f>"MAY DUMPSTER RENTAL"</f>
        <v>MAY DUMPSTER RENTAL</v>
      </c>
    </row>
    <row r="910" spans="1:9" x14ac:dyDescent="0.3">
      <c r="A910" t="str">
        <f>"000654"</f>
        <v>000654</v>
      </c>
      <c r="B910" t="s">
        <v>279</v>
      </c>
      <c r="C910">
        <v>77141</v>
      </c>
      <c r="D910" s="2">
        <v>450</v>
      </c>
      <c r="E910" s="1">
        <v>43262</v>
      </c>
      <c r="F910" t="str">
        <f>"13469"</f>
        <v>13469</v>
      </c>
      <c r="G910" t="str">
        <f>"SWEEPING"</f>
        <v>SWEEPING</v>
      </c>
      <c r="H910">
        <v>450</v>
      </c>
      <c r="I910" t="str">
        <f>"SWEEPING"</f>
        <v>SWEEPING</v>
      </c>
    </row>
    <row r="911" spans="1:9" x14ac:dyDescent="0.3">
      <c r="A911" t="str">
        <f>"MOORE"</f>
        <v>MOORE</v>
      </c>
      <c r="B911" t="s">
        <v>280</v>
      </c>
      <c r="C911">
        <v>77142</v>
      </c>
      <c r="D911" s="2">
        <v>542.48</v>
      </c>
      <c r="E911" s="1">
        <v>43262</v>
      </c>
      <c r="F911" t="str">
        <f>"99812288"</f>
        <v>99812288</v>
      </c>
      <c r="G911" t="str">
        <f>"INV 99812288"</f>
        <v>INV 99812288</v>
      </c>
      <c r="H911">
        <v>542.48</v>
      </c>
      <c r="I911" t="str">
        <f>"INV 99812288"</f>
        <v>INV 99812288</v>
      </c>
    </row>
    <row r="912" spans="1:9" x14ac:dyDescent="0.3">
      <c r="A912" t="str">
        <f>"MOORE"</f>
        <v>MOORE</v>
      </c>
      <c r="B912" t="s">
        <v>280</v>
      </c>
      <c r="C912">
        <v>77333</v>
      </c>
      <c r="D912" s="2">
        <v>515.87</v>
      </c>
      <c r="E912" s="1">
        <v>43276</v>
      </c>
      <c r="F912" t="str">
        <f>"99919964/90639102"</f>
        <v>99919964/90639102</v>
      </c>
      <c r="G912" t="str">
        <f>"INV 99919964"</f>
        <v>INV 99919964</v>
      </c>
      <c r="H912">
        <v>515.87</v>
      </c>
      <c r="I912" t="str">
        <f>"INV 99919964"</f>
        <v>INV 99919964</v>
      </c>
    </row>
    <row r="913" spans="1:9" x14ac:dyDescent="0.3">
      <c r="A913" t="str">
        <f>""</f>
        <v/>
      </c>
      <c r="F913" t="str">
        <f>""</f>
        <v/>
      </c>
      <c r="G913" t="str">
        <f>""</f>
        <v/>
      </c>
      <c r="I913" t="str">
        <f>"CM 90639102"</f>
        <v>CM 90639102</v>
      </c>
    </row>
    <row r="914" spans="1:9" x14ac:dyDescent="0.3">
      <c r="A914" t="str">
        <f>""</f>
        <v/>
      </c>
      <c r="F914" t="str">
        <f>""</f>
        <v/>
      </c>
      <c r="G914" t="str">
        <f>""</f>
        <v/>
      </c>
      <c r="I914" t="str">
        <f>"CM 90639073"</f>
        <v>CM 90639073</v>
      </c>
    </row>
    <row r="915" spans="1:9" x14ac:dyDescent="0.3">
      <c r="A915" t="str">
        <f>"003544"</f>
        <v>003544</v>
      </c>
      <c r="B915" t="s">
        <v>281</v>
      </c>
      <c r="C915">
        <v>77143</v>
      </c>
      <c r="D915" s="2">
        <v>1265.52</v>
      </c>
      <c r="E915" s="1">
        <v>43262</v>
      </c>
      <c r="F915" t="str">
        <f>"S104174281.001"</f>
        <v>S104174281.001</v>
      </c>
      <c r="G915" t="str">
        <f>"INV S104174281.001"</f>
        <v>INV S104174281.001</v>
      </c>
      <c r="H915">
        <v>1265.52</v>
      </c>
      <c r="I915" t="str">
        <f>"INV S104174281.001"</f>
        <v>INV S104174281.001</v>
      </c>
    </row>
    <row r="916" spans="1:9" x14ac:dyDescent="0.3">
      <c r="A916" t="str">
        <f>"189"</f>
        <v>189</v>
      </c>
      <c r="B916" t="s">
        <v>282</v>
      </c>
      <c r="C916">
        <v>77144</v>
      </c>
      <c r="D916" s="2">
        <v>214.25</v>
      </c>
      <c r="E916" s="1">
        <v>43262</v>
      </c>
      <c r="F916" t="str">
        <f>"13218697"</f>
        <v>13218697</v>
      </c>
      <c r="G916" t="str">
        <f>"APX700 Keyload RS-232"</f>
        <v>APX700 Keyload RS-232</v>
      </c>
      <c r="H916">
        <v>214.25</v>
      </c>
      <c r="I916" t="str">
        <f>"WPNLN6905B"</f>
        <v>WPNLN6905B</v>
      </c>
    </row>
    <row r="917" spans="1:9" x14ac:dyDescent="0.3">
      <c r="A917" t="str">
        <f>""</f>
        <v/>
      </c>
      <c r="F917" t="str">
        <f>""</f>
        <v/>
      </c>
      <c r="G917" t="str">
        <f>""</f>
        <v/>
      </c>
      <c r="I917" t="str">
        <f>"WPNLN6904A"</f>
        <v>WPNLN6904A</v>
      </c>
    </row>
    <row r="918" spans="1:9" x14ac:dyDescent="0.3">
      <c r="A918" t="str">
        <f>"189"</f>
        <v>189</v>
      </c>
      <c r="B918" t="s">
        <v>282</v>
      </c>
      <c r="C918">
        <v>77334</v>
      </c>
      <c r="D918" s="2">
        <v>165086.06</v>
      </c>
      <c r="E918" s="1">
        <v>43276</v>
      </c>
      <c r="F918" t="str">
        <f>"201806131570"</f>
        <v>201806131570</v>
      </c>
      <c r="G918" t="str">
        <f>"RADIO SVC AGREEMENT-JUNE 2018"</f>
        <v>RADIO SVC AGREEMENT-JUNE 2018</v>
      </c>
      <c r="H918">
        <v>20462.349999999999</v>
      </c>
      <c r="I918" t="str">
        <f>"RADIO SVC AGREEMENT-JUNE 2018"</f>
        <v>RADIO SVC AGREEMENT-JUNE 2018</v>
      </c>
    </row>
    <row r="919" spans="1:9" x14ac:dyDescent="0.3">
      <c r="A919" t="str">
        <f>""</f>
        <v/>
      </c>
      <c r="F919" t="str">
        <f>"41251866"</f>
        <v>41251866</v>
      </c>
      <c r="G919" t="str">
        <f>"H91TGD9PW7 N"</f>
        <v>H91TGD9PW7 N</v>
      </c>
      <c r="H919">
        <v>144623.71</v>
      </c>
      <c r="I919" t="str">
        <f>"H91TGD9PW7 N"</f>
        <v>H91TGD9PW7 N</v>
      </c>
    </row>
    <row r="920" spans="1:9" x14ac:dyDescent="0.3">
      <c r="A920" t="str">
        <f>""</f>
        <v/>
      </c>
      <c r="F920" t="str">
        <f>""</f>
        <v/>
      </c>
      <c r="G920" t="str">
        <f>""</f>
        <v/>
      </c>
      <c r="I920" t="str">
        <f>"QA02006"</f>
        <v>QA02006</v>
      </c>
    </row>
    <row r="921" spans="1:9" x14ac:dyDescent="0.3">
      <c r="A921" t="str">
        <f>""</f>
        <v/>
      </c>
      <c r="F921" t="str">
        <f>""</f>
        <v/>
      </c>
      <c r="G921" t="str">
        <f>""</f>
        <v/>
      </c>
      <c r="I921" t="str">
        <f>"Q806"</f>
        <v>Q806</v>
      </c>
    </row>
    <row r="922" spans="1:9" x14ac:dyDescent="0.3">
      <c r="A922" t="str">
        <f>""</f>
        <v/>
      </c>
      <c r="F922" t="str">
        <f>""</f>
        <v/>
      </c>
      <c r="G922" t="str">
        <f>""</f>
        <v/>
      </c>
      <c r="I922" t="str">
        <f>"H38"</f>
        <v>H38</v>
      </c>
    </row>
    <row r="923" spans="1:9" x14ac:dyDescent="0.3">
      <c r="A923" t="str">
        <f>""</f>
        <v/>
      </c>
      <c r="F923" t="str">
        <f>""</f>
        <v/>
      </c>
      <c r="G923" t="str">
        <f>""</f>
        <v/>
      </c>
      <c r="I923" t="str">
        <f>"Q361"</f>
        <v>Q361</v>
      </c>
    </row>
    <row r="924" spans="1:9" x14ac:dyDescent="0.3">
      <c r="A924" t="str">
        <f>""</f>
        <v/>
      </c>
      <c r="F924" t="str">
        <f>""</f>
        <v/>
      </c>
      <c r="G924" t="str">
        <f>""</f>
        <v/>
      </c>
      <c r="I924" t="str">
        <f>"QA00580"</f>
        <v>QA00580</v>
      </c>
    </row>
    <row r="925" spans="1:9" x14ac:dyDescent="0.3">
      <c r="A925" t="str">
        <f>""</f>
        <v/>
      </c>
      <c r="F925" t="str">
        <f>""</f>
        <v/>
      </c>
      <c r="G925" t="str">
        <f>""</f>
        <v/>
      </c>
      <c r="I925" t="str">
        <f>"Q887AY"</f>
        <v>Q887AY</v>
      </c>
    </row>
    <row r="926" spans="1:9" x14ac:dyDescent="0.3">
      <c r="A926" t="str">
        <f>""</f>
        <v/>
      </c>
      <c r="F926" t="str">
        <f>""</f>
        <v/>
      </c>
      <c r="G926" t="str">
        <f>""</f>
        <v/>
      </c>
      <c r="I926" t="str">
        <f>"QA01648"</f>
        <v>QA01648</v>
      </c>
    </row>
    <row r="927" spans="1:9" x14ac:dyDescent="0.3">
      <c r="A927" t="str">
        <f>""</f>
        <v/>
      </c>
      <c r="F927" t="str">
        <f>""</f>
        <v/>
      </c>
      <c r="G927" t="str">
        <f>""</f>
        <v/>
      </c>
      <c r="I927" t="str">
        <f>"G996"</f>
        <v>G996</v>
      </c>
    </row>
    <row r="928" spans="1:9" x14ac:dyDescent="0.3">
      <c r="A928" t="str">
        <f>""</f>
        <v/>
      </c>
      <c r="F928" t="str">
        <f>""</f>
        <v/>
      </c>
      <c r="G928" t="str">
        <f>""</f>
        <v/>
      </c>
      <c r="I928" t="str">
        <f>"QA01767"</f>
        <v>QA01767</v>
      </c>
    </row>
    <row r="929" spans="1:9" x14ac:dyDescent="0.3">
      <c r="A929" t="str">
        <f>""</f>
        <v/>
      </c>
      <c r="F929" t="str">
        <f>""</f>
        <v/>
      </c>
      <c r="G929" t="str">
        <f>""</f>
        <v/>
      </c>
      <c r="I929" t="str">
        <f>"QA09008"</f>
        <v>QA09008</v>
      </c>
    </row>
    <row r="930" spans="1:9" x14ac:dyDescent="0.3">
      <c r="A930" t="str">
        <f>""</f>
        <v/>
      </c>
      <c r="F930" t="str">
        <f>""</f>
        <v/>
      </c>
      <c r="G930" t="str">
        <f>""</f>
        <v/>
      </c>
      <c r="I930" t="str">
        <f>"T7914"</f>
        <v>T7914</v>
      </c>
    </row>
    <row r="931" spans="1:9" x14ac:dyDescent="0.3">
      <c r="A931" t="str">
        <f>""</f>
        <v/>
      </c>
      <c r="F931" t="str">
        <f>""</f>
        <v/>
      </c>
      <c r="G931" t="str">
        <f>""</f>
        <v/>
      </c>
      <c r="I931" t="str">
        <f>"H869"</f>
        <v>H869</v>
      </c>
    </row>
    <row r="932" spans="1:9" x14ac:dyDescent="0.3">
      <c r="A932" t="str">
        <f>""</f>
        <v/>
      </c>
      <c r="F932" t="str">
        <f>""</f>
        <v/>
      </c>
      <c r="G932" t="str">
        <f>""</f>
        <v/>
      </c>
      <c r="I932" t="str">
        <f>"CREDIT"</f>
        <v>CREDIT</v>
      </c>
    </row>
    <row r="933" spans="1:9" x14ac:dyDescent="0.3">
      <c r="A933" t="str">
        <f>""</f>
        <v/>
      </c>
      <c r="F933" t="str">
        <f>""</f>
        <v/>
      </c>
      <c r="G933" t="str">
        <f>""</f>
        <v/>
      </c>
      <c r="I933" t="str">
        <f>"PROMO"</f>
        <v>PROMO</v>
      </c>
    </row>
    <row r="934" spans="1:9" x14ac:dyDescent="0.3">
      <c r="A934" t="str">
        <f>""</f>
        <v/>
      </c>
      <c r="F934" t="str">
        <f>""</f>
        <v/>
      </c>
      <c r="G934" t="str">
        <f>""</f>
        <v/>
      </c>
      <c r="I934" t="str">
        <f>"QA05509"</f>
        <v>QA05509</v>
      </c>
    </row>
    <row r="935" spans="1:9" x14ac:dyDescent="0.3">
      <c r="A935" t="str">
        <f>""</f>
        <v/>
      </c>
      <c r="F935" t="str">
        <f>""</f>
        <v/>
      </c>
      <c r="G935" t="str">
        <f>""</f>
        <v/>
      </c>
      <c r="I935" t="str">
        <f>"QA01427"</f>
        <v>QA01427</v>
      </c>
    </row>
    <row r="936" spans="1:9" x14ac:dyDescent="0.3">
      <c r="A936" t="str">
        <f>""</f>
        <v/>
      </c>
      <c r="F936" t="str">
        <f>""</f>
        <v/>
      </c>
      <c r="G936" t="str">
        <f>""</f>
        <v/>
      </c>
      <c r="I936" t="str">
        <f>"Q53"</f>
        <v>Q53</v>
      </c>
    </row>
    <row r="937" spans="1:9" x14ac:dyDescent="0.3">
      <c r="A937" t="str">
        <f>""</f>
        <v/>
      </c>
      <c r="F937" t="str">
        <f>""</f>
        <v/>
      </c>
      <c r="G937" t="str">
        <f>""</f>
        <v/>
      </c>
      <c r="I937" t="str">
        <f>"QA09000"</f>
        <v>QA09000</v>
      </c>
    </row>
    <row r="938" spans="1:9" x14ac:dyDescent="0.3">
      <c r="A938" t="str">
        <f>""</f>
        <v/>
      </c>
      <c r="F938" t="str">
        <f>""</f>
        <v/>
      </c>
      <c r="G938" t="str">
        <f>""</f>
        <v/>
      </c>
      <c r="I938" t="str">
        <f>"PMNN4505"</f>
        <v>PMNN4505</v>
      </c>
    </row>
    <row r="939" spans="1:9" x14ac:dyDescent="0.3">
      <c r="A939" t="str">
        <f>""</f>
        <v/>
      </c>
      <c r="F939" t="str">
        <f>""</f>
        <v/>
      </c>
      <c r="G939" t="str">
        <f>""</f>
        <v/>
      </c>
      <c r="I939" t="str">
        <f>"NNTN8860A"</f>
        <v>NNTN8860A</v>
      </c>
    </row>
    <row r="940" spans="1:9" x14ac:dyDescent="0.3">
      <c r="A940" t="str">
        <f>""</f>
        <v/>
      </c>
      <c r="F940" t="str">
        <f>""</f>
        <v/>
      </c>
      <c r="G940" t="str">
        <f>""</f>
        <v/>
      </c>
      <c r="I940" t="str">
        <f>"NNTN7073B"</f>
        <v>NNTN7073B</v>
      </c>
    </row>
    <row r="941" spans="1:9" x14ac:dyDescent="0.3">
      <c r="A941" t="str">
        <f>""</f>
        <v/>
      </c>
      <c r="F941" t="str">
        <f>""</f>
        <v/>
      </c>
      <c r="G941" t="str">
        <f>""</f>
        <v/>
      </c>
      <c r="I941" t="str">
        <f>"H91TGD9PW7 N"</f>
        <v>H91TGD9PW7 N</v>
      </c>
    </row>
    <row r="942" spans="1:9" x14ac:dyDescent="0.3">
      <c r="A942" t="str">
        <f>""</f>
        <v/>
      </c>
      <c r="F942" t="str">
        <f>""</f>
        <v/>
      </c>
      <c r="G942" t="str">
        <f>""</f>
        <v/>
      </c>
      <c r="I942" t="str">
        <f>"QA02006"</f>
        <v>QA02006</v>
      </c>
    </row>
    <row r="943" spans="1:9" x14ac:dyDescent="0.3">
      <c r="A943" t="str">
        <f>""</f>
        <v/>
      </c>
      <c r="F943" t="str">
        <f>""</f>
        <v/>
      </c>
      <c r="G943" t="str">
        <f>""</f>
        <v/>
      </c>
      <c r="I943" t="str">
        <f>"Q806"</f>
        <v>Q806</v>
      </c>
    </row>
    <row r="944" spans="1:9" x14ac:dyDescent="0.3">
      <c r="A944" t="str">
        <f>""</f>
        <v/>
      </c>
      <c r="F944" t="str">
        <f>""</f>
        <v/>
      </c>
      <c r="G944" t="str">
        <f>""</f>
        <v/>
      </c>
      <c r="I944" t="str">
        <f>"H38"</f>
        <v>H38</v>
      </c>
    </row>
    <row r="945" spans="1:9" x14ac:dyDescent="0.3">
      <c r="A945" t="str">
        <f>""</f>
        <v/>
      </c>
      <c r="F945" t="str">
        <f>""</f>
        <v/>
      </c>
      <c r="G945" t="str">
        <f>""</f>
        <v/>
      </c>
      <c r="I945" t="str">
        <f>"Q361"</f>
        <v>Q361</v>
      </c>
    </row>
    <row r="946" spans="1:9" x14ac:dyDescent="0.3">
      <c r="A946" t="str">
        <f>""</f>
        <v/>
      </c>
      <c r="F946" t="str">
        <f>""</f>
        <v/>
      </c>
      <c r="G946" t="str">
        <f>""</f>
        <v/>
      </c>
      <c r="I946" t="str">
        <f>"QA00580"</f>
        <v>QA00580</v>
      </c>
    </row>
    <row r="947" spans="1:9" x14ac:dyDescent="0.3">
      <c r="A947" t="str">
        <f>""</f>
        <v/>
      </c>
      <c r="F947" t="str">
        <f>""</f>
        <v/>
      </c>
      <c r="G947" t="str">
        <f>""</f>
        <v/>
      </c>
      <c r="I947" t="str">
        <f>"Q887AY"</f>
        <v>Q887AY</v>
      </c>
    </row>
    <row r="948" spans="1:9" x14ac:dyDescent="0.3">
      <c r="A948" t="str">
        <f>""</f>
        <v/>
      </c>
      <c r="F948" t="str">
        <f>""</f>
        <v/>
      </c>
      <c r="G948" t="str">
        <f>""</f>
        <v/>
      </c>
      <c r="I948" t="str">
        <f>"QA01648"</f>
        <v>QA01648</v>
      </c>
    </row>
    <row r="949" spans="1:9" x14ac:dyDescent="0.3">
      <c r="A949" t="str">
        <f>""</f>
        <v/>
      </c>
      <c r="F949" t="str">
        <f>""</f>
        <v/>
      </c>
      <c r="G949" t="str">
        <f>""</f>
        <v/>
      </c>
      <c r="I949" t="str">
        <f>"G996"</f>
        <v>G996</v>
      </c>
    </row>
    <row r="950" spans="1:9" x14ac:dyDescent="0.3">
      <c r="A950" t="str">
        <f>""</f>
        <v/>
      </c>
      <c r="F950" t="str">
        <f>""</f>
        <v/>
      </c>
      <c r="G950" t="str">
        <f>""</f>
        <v/>
      </c>
      <c r="I950" t="str">
        <f>"QA01767"</f>
        <v>QA01767</v>
      </c>
    </row>
    <row r="951" spans="1:9" x14ac:dyDescent="0.3">
      <c r="A951" t="str">
        <f>""</f>
        <v/>
      </c>
      <c r="F951" t="str">
        <f>""</f>
        <v/>
      </c>
      <c r="G951" t="str">
        <f>""</f>
        <v/>
      </c>
      <c r="I951" t="str">
        <f>"QA09008"</f>
        <v>QA09008</v>
      </c>
    </row>
    <row r="952" spans="1:9" x14ac:dyDescent="0.3">
      <c r="A952" t="str">
        <f>""</f>
        <v/>
      </c>
      <c r="F952" t="str">
        <f>""</f>
        <v/>
      </c>
      <c r="G952" t="str">
        <f>""</f>
        <v/>
      </c>
      <c r="I952" t="str">
        <f>"T7914"</f>
        <v>T7914</v>
      </c>
    </row>
    <row r="953" spans="1:9" x14ac:dyDescent="0.3">
      <c r="A953" t="str">
        <f>""</f>
        <v/>
      </c>
      <c r="F953" t="str">
        <f>""</f>
        <v/>
      </c>
      <c r="G953" t="str">
        <f>""</f>
        <v/>
      </c>
      <c r="I953" t="str">
        <f>"PROMO"</f>
        <v>PROMO</v>
      </c>
    </row>
    <row r="954" spans="1:9" x14ac:dyDescent="0.3">
      <c r="A954" t="str">
        <f>""</f>
        <v/>
      </c>
      <c r="F954" t="str">
        <f>""</f>
        <v/>
      </c>
      <c r="G954" t="str">
        <f>""</f>
        <v/>
      </c>
      <c r="I954" t="str">
        <f>"QA01427"</f>
        <v>QA01427</v>
      </c>
    </row>
    <row r="955" spans="1:9" x14ac:dyDescent="0.3">
      <c r="A955" t="str">
        <f>""</f>
        <v/>
      </c>
      <c r="F955" t="str">
        <f>""</f>
        <v/>
      </c>
      <c r="G955" t="str">
        <f>""</f>
        <v/>
      </c>
      <c r="I955" t="str">
        <f>"Q15"</f>
        <v>Q15</v>
      </c>
    </row>
    <row r="956" spans="1:9" x14ac:dyDescent="0.3">
      <c r="A956" t="str">
        <f>""</f>
        <v/>
      </c>
      <c r="F956" t="str">
        <f>""</f>
        <v/>
      </c>
      <c r="G956" t="str">
        <f>""</f>
        <v/>
      </c>
      <c r="I956" t="str">
        <f>"Q53"</f>
        <v>Q53</v>
      </c>
    </row>
    <row r="957" spans="1:9" x14ac:dyDescent="0.3">
      <c r="A957" t="str">
        <f>""</f>
        <v/>
      </c>
      <c r="F957" t="str">
        <f>""</f>
        <v/>
      </c>
      <c r="G957" t="str">
        <f>""</f>
        <v/>
      </c>
      <c r="I957" t="str">
        <f>"QA09000"</f>
        <v>QA09000</v>
      </c>
    </row>
    <row r="958" spans="1:9" x14ac:dyDescent="0.3">
      <c r="A958" t="str">
        <f>""</f>
        <v/>
      </c>
      <c r="F958" t="str">
        <f>""</f>
        <v/>
      </c>
      <c r="G958" t="str">
        <f>""</f>
        <v/>
      </c>
      <c r="I958" t="str">
        <f>"Q498"</f>
        <v>Q498</v>
      </c>
    </row>
    <row r="959" spans="1:9" x14ac:dyDescent="0.3">
      <c r="A959" t="str">
        <f>""</f>
        <v/>
      </c>
      <c r="F959" t="str">
        <f>""</f>
        <v/>
      </c>
      <c r="G959" t="str">
        <f>""</f>
        <v/>
      </c>
      <c r="I959" t="str">
        <f>"H51UCH9PW7 N"</f>
        <v>H51UCH9PW7 N</v>
      </c>
    </row>
    <row r="960" spans="1:9" x14ac:dyDescent="0.3">
      <c r="A960" t="str">
        <f>""</f>
        <v/>
      </c>
      <c r="F960" t="str">
        <f>""</f>
        <v/>
      </c>
      <c r="G960" t="str">
        <f>""</f>
        <v/>
      </c>
      <c r="I960" t="str">
        <f>"QA02756"</f>
        <v>QA02756</v>
      </c>
    </row>
    <row r="961" spans="1:9" x14ac:dyDescent="0.3">
      <c r="A961" t="str">
        <f>""</f>
        <v/>
      </c>
      <c r="F961" t="str">
        <f>""</f>
        <v/>
      </c>
      <c r="G961" t="str">
        <f>""</f>
        <v/>
      </c>
      <c r="I961" t="str">
        <f>"G996"</f>
        <v>G996</v>
      </c>
    </row>
    <row r="962" spans="1:9" x14ac:dyDescent="0.3">
      <c r="A962" t="str">
        <f>""</f>
        <v/>
      </c>
      <c r="F962" t="str">
        <f>""</f>
        <v/>
      </c>
      <c r="G962" t="str">
        <f>""</f>
        <v/>
      </c>
      <c r="I962" t="str">
        <f>"QA00580"</f>
        <v>QA00580</v>
      </c>
    </row>
    <row r="963" spans="1:9" x14ac:dyDescent="0.3">
      <c r="A963" t="str">
        <f>""</f>
        <v/>
      </c>
      <c r="F963" t="str">
        <f>""</f>
        <v/>
      </c>
      <c r="G963" t="str">
        <f>""</f>
        <v/>
      </c>
      <c r="I963" t="str">
        <f>"QA01648"</f>
        <v>QA01648</v>
      </c>
    </row>
    <row r="964" spans="1:9" x14ac:dyDescent="0.3">
      <c r="A964" t="str">
        <f>""</f>
        <v/>
      </c>
      <c r="F964" t="str">
        <f>""</f>
        <v/>
      </c>
      <c r="G964" t="str">
        <f>""</f>
        <v/>
      </c>
      <c r="I964" t="str">
        <f>"QA01767"</f>
        <v>QA01767</v>
      </c>
    </row>
    <row r="965" spans="1:9" x14ac:dyDescent="0.3">
      <c r="A965" t="str">
        <f>""</f>
        <v/>
      </c>
      <c r="F965" t="str">
        <f>""</f>
        <v/>
      </c>
      <c r="G965" t="str">
        <f>""</f>
        <v/>
      </c>
      <c r="I965" t="str">
        <f>"QA09008"</f>
        <v>QA09008</v>
      </c>
    </row>
    <row r="966" spans="1:9" x14ac:dyDescent="0.3">
      <c r="A966" t="str">
        <f>""</f>
        <v/>
      </c>
      <c r="F966" t="str">
        <f>""</f>
        <v/>
      </c>
      <c r="G966" t="str">
        <f>""</f>
        <v/>
      </c>
      <c r="I966" t="str">
        <f>"QA00582"</f>
        <v>QA00582</v>
      </c>
    </row>
    <row r="967" spans="1:9" x14ac:dyDescent="0.3">
      <c r="A967" t="str">
        <f>""</f>
        <v/>
      </c>
      <c r="F967" t="str">
        <f>""</f>
        <v/>
      </c>
      <c r="G967" t="str">
        <f>""</f>
        <v/>
      </c>
      <c r="I967" t="str">
        <f>"Q887"</f>
        <v>Q887</v>
      </c>
    </row>
    <row r="968" spans="1:9" x14ac:dyDescent="0.3">
      <c r="A968" t="str">
        <f>""</f>
        <v/>
      </c>
      <c r="F968" t="str">
        <f>""</f>
        <v/>
      </c>
      <c r="G968" t="str">
        <f>""</f>
        <v/>
      </c>
      <c r="I968" t="str">
        <f>"T7914"</f>
        <v>T7914</v>
      </c>
    </row>
    <row r="969" spans="1:9" x14ac:dyDescent="0.3">
      <c r="A969" t="str">
        <f>""</f>
        <v/>
      </c>
      <c r="F969" t="str">
        <f>""</f>
        <v/>
      </c>
      <c r="G969" t="str">
        <f>""</f>
        <v/>
      </c>
      <c r="I969" t="str">
        <f>"H869"</f>
        <v>H869</v>
      </c>
    </row>
    <row r="970" spans="1:9" x14ac:dyDescent="0.3">
      <c r="A970" t="str">
        <f>""</f>
        <v/>
      </c>
      <c r="F970" t="str">
        <f>""</f>
        <v/>
      </c>
      <c r="G970" t="str">
        <f>""</f>
        <v/>
      </c>
      <c r="I970" t="str">
        <f>"CREDIT"</f>
        <v>CREDIT</v>
      </c>
    </row>
    <row r="971" spans="1:9" x14ac:dyDescent="0.3">
      <c r="A971" t="str">
        <f>""</f>
        <v/>
      </c>
      <c r="F971" t="str">
        <f>""</f>
        <v/>
      </c>
      <c r="G971" t="str">
        <f>""</f>
        <v/>
      </c>
      <c r="I971" t="str">
        <f>"PROMO"</f>
        <v>PROMO</v>
      </c>
    </row>
    <row r="972" spans="1:9" x14ac:dyDescent="0.3">
      <c r="A972" t="str">
        <f>""</f>
        <v/>
      </c>
      <c r="F972" t="str">
        <f>""</f>
        <v/>
      </c>
      <c r="G972" t="str">
        <f>""</f>
        <v/>
      </c>
      <c r="I972" t="str">
        <f>"QA01833"</f>
        <v>QA01833</v>
      </c>
    </row>
    <row r="973" spans="1:9" x14ac:dyDescent="0.3">
      <c r="A973" t="str">
        <f>""</f>
        <v/>
      </c>
      <c r="F973" t="str">
        <f>""</f>
        <v/>
      </c>
      <c r="G973" t="str">
        <f>""</f>
        <v/>
      </c>
      <c r="I973" t="str">
        <f>"WPLN4232A"</f>
        <v>WPLN4232A</v>
      </c>
    </row>
    <row r="974" spans="1:9" x14ac:dyDescent="0.3">
      <c r="A974" t="str">
        <f>""</f>
        <v/>
      </c>
      <c r="F974" t="str">
        <f>""</f>
        <v/>
      </c>
      <c r="G974" t="str">
        <f>""</f>
        <v/>
      </c>
      <c r="I974" t="str">
        <f>"PMPN4284A"</f>
        <v>PMPN4284A</v>
      </c>
    </row>
    <row r="975" spans="1:9" x14ac:dyDescent="0.3">
      <c r="A975" t="str">
        <f>""</f>
        <v/>
      </c>
      <c r="F975" t="str">
        <f>""</f>
        <v/>
      </c>
      <c r="G975" t="str">
        <f>""</f>
        <v/>
      </c>
      <c r="I975" t="str">
        <f>"H51UCH9PW7 N"</f>
        <v>H51UCH9PW7 N</v>
      </c>
    </row>
    <row r="976" spans="1:9" x14ac:dyDescent="0.3">
      <c r="A976" t="str">
        <f>""</f>
        <v/>
      </c>
      <c r="F976" t="str">
        <f>""</f>
        <v/>
      </c>
      <c r="G976" t="str">
        <f>""</f>
        <v/>
      </c>
      <c r="I976" t="str">
        <f>"QA02756"</f>
        <v>QA02756</v>
      </c>
    </row>
    <row r="977" spans="1:9" x14ac:dyDescent="0.3">
      <c r="A977" t="str">
        <f>""</f>
        <v/>
      </c>
      <c r="F977" t="str">
        <f>""</f>
        <v/>
      </c>
      <c r="G977" t="str">
        <f>""</f>
        <v/>
      </c>
      <c r="I977" t="str">
        <f>"G996"</f>
        <v>G996</v>
      </c>
    </row>
    <row r="978" spans="1:9" x14ac:dyDescent="0.3">
      <c r="A978" t="str">
        <f>""</f>
        <v/>
      </c>
      <c r="F978" t="str">
        <f>""</f>
        <v/>
      </c>
      <c r="G978" t="str">
        <f>""</f>
        <v/>
      </c>
      <c r="I978" t="str">
        <f>"QA00580"</f>
        <v>QA00580</v>
      </c>
    </row>
    <row r="979" spans="1:9" x14ac:dyDescent="0.3">
      <c r="A979" t="str">
        <f>""</f>
        <v/>
      </c>
      <c r="F979" t="str">
        <f>""</f>
        <v/>
      </c>
      <c r="G979" t="str">
        <f>""</f>
        <v/>
      </c>
      <c r="I979" t="str">
        <f>"QA01648"</f>
        <v>QA01648</v>
      </c>
    </row>
    <row r="980" spans="1:9" x14ac:dyDescent="0.3">
      <c r="A980" t="str">
        <f>""</f>
        <v/>
      </c>
      <c r="F980" t="str">
        <f>""</f>
        <v/>
      </c>
      <c r="G980" t="str">
        <f>""</f>
        <v/>
      </c>
      <c r="I980" t="str">
        <f>"QA01767"</f>
        <v>QA01767</v>
      </c>
    </row>
    <row r="981" spans="1:9" x14ac:dyDescent="0.3">
      <c r="A981" t="str">
        <f>""</f>
        <v/>
      </c>
      <c r="F981" t="str">
        <f>""</f>
        <v/>
      </c>
      <c r="G981" t="str">
        <f>""</f>
        <v/>
      </c>
      <c r="I981" t="str">
        <f>"QA09008"</f>
        <v>QA09008</v>
      </c>
    </row>
    <row r="982" spans="1:9" x14ac:dyDescent="0.3">
      <c r="A982" t="str">
        <f>""</f>
        <v/>
      </c>
      <c r="F982" t="str">
        <f>""</f>
        <v/>
      </c>
      <c r="G982" t="str">
        <f>""</f>
        <v/>
      </c>
      <c r="I982" t="str">
        <f>"QA00582"</f>
        <v>QA00582</v>
      </c>
    </row>
    <row r="983" spans="1:9" x14ac:dyDescent="0.3">
      <c r="A983" t="str">
        <f>""</f>
        <v/>
      </c>
      <c r="F983" t="str">
        <f>""</f>
        <v/>
      </c>
      <c r="G983" t="str">
        <f>""</f>
        <v/>
      </c>
      <c r="I983" t="str">
        <f>"Q887"</f>
        <v>Q887</v>
      </c>
    </row>
    <row r="984" spans="1:9" x14ac:dyDescent="0.3">
      <c r="A984" t="str">
        <f>""</f>
        <v/>
      </c>
      <c r="F984" t="str">
        <f>""</f>
        <v/>
      </c>
      <c r="G984" t="str">
        <f>""</f>
        <v/>
      </c>
      <c r="I984" t="str">
        <f>"T7914"</f>
        <v>T7914</v>
      </c>
    </row>
    <row r="985" spans="1:9" x14ac:dyDescent="0.3">
      <c r="A985" t="str">
        <f>""</f>
        <v/>
      </c>
      <c r="F985" t="str">
        <f>""</f>
        <v/>
      </c>
      <c r="G985" t="str">
        <f>""</f>
        <v/>
      </c>
      <c r="I985" t="str">
        <f>"H869"</f>
        <v>H869</v>
      </c>
    </row>
    <row r="986" spans="1:9" x14ac:dyDescent="0.3">
      <c r="A986" t="str">
        <f>""</f>
        <v/>
      </c>
      <c r="F986" t="str">
        <f>""</f>
        <v/>
      </c>
      <c r="G986" t="str">
        <f>""</f>
        <v/>
      </c>
      <c r="I986" t="str">
        <f>"CREDIT"</f>
        <v>CREDIT</v>
      </c>
    </row>
    <row r="987" spans="1:9" x14ac:dyDescent="0.3">
      <c r="A987" t="str">
        <f>""</f>
        <v/>
      </c>
      <c r="F987" t="str">
        <f>""</f>
        <v/>
      </c>
      <c r="G987" t="str">
        <f>""</f>
        <v/>
      </c>
      <c r="I987" t="str">
        <f>"PROMO"</f>
        <v>PROMO</v>
      </c>
    </row>
    <row r="988" spans="1:9" x14ac:dyDescent="0.3">
      <c r="A988" t="str">
        <f>""</f>
        <v/>
      </c>
      <c r="F988" t="str">
        <f>""</f>
        <v/>
      </c>
      <c r="G988" t="str">
        <f>""</f>
        <v/>
      </c>
      <c r="I988" t="str">
        <f>"Q498"</f>
        <v>Q498</v>
      </c>
    </row>
    <row r="989" spans="1:9" x14ac:dyDescent="0.3">
      <c r="A989" t="str">
        <f>""</f>
        <v/>
      </c>
      <c r="F989" t="str">
        <f>""</f>
        <v/>
      </c>
      <c r="G989" t="str">
        <f>""</f>
        <v/>
      </c>
      <c r="I989" t="str">
        <f>"Q629"</f>
        <v>Q629</v>
      </c>
    </row>
    <row r="990" spans="1:9" x14ac:dyDescent="0.3">
      <c r="A990" t="str">
        <f>""</f>
        <v/>
      </c>
      <c r="F990" t="str">
        <f>""</f>
        <v/>
      </c>
      <c r="G990" t="str">
        <f>""</f>
        <v/>
      </c>
      <c r="I990" t="str">
        <f>"QA01833"</f>
        <v>QA01833</v>
      </c>
    </row>
    <row r="991" spans="1:9" x14ac:dyDescent="0.3">
      <c r="A991" t="str">
        <f>""</f>
        <v/>
      </c>
      <c r="F991" t="str">
        <f>""</f>
        <v/>
      </c>
      <c r="G991" t="str">
        <f>""</f>
        <v/>
      </c>
      <c r="I991" t="str">
        <f>"NAR6595A"</f>
        <v>NAR6595A</v>
      </c>
    </row>
    <row r="992" spans="1:9" x14ac:dyDescent="0.3">
      <c r="A992" t="str">
        <f>""</f>
        <v/>
      </c>
      <c r="F992" t="str">
        <f>""</f>
        <v/>
      </c>
      <c r="G992" t="str">
        <f>""</f>
        <v/>
      </c>
      <c r="I992" t="str">
        <f>"NTN2570C"</f>
        <v>NTN2570C</v>
      </c>
    </row>
    <row r="993" spans="1:9" x14ac:dyDescent="0.3">
      <c r="A993" t="str">
        <f>""</f>
        <v/>
      </c>
      <c r="F993" t="str">
        <f>""</f>
        <v/>
      </c>
      <c r="G993" t="str">
        <f>""</f>
        <v/>
      </c>
      <c r="I993" t="str">
        <f>"RLN6554A"</f>
        <v>RLN6554A</v>
      </c>
    </row>
    <row r="994" spans="1:9" x14ac:dyDescent="0.3">
      <c r="A994" t="str">
        <f>""</f>
        <v/>
      </c>
      <c r="F994" t="str">
        <f>""</f>
        <v/>
      </c>
      <c r="G994" t="str">
        <f>""</f>
        <v/>
      </c>
      <c r="I994" t="str">
        <f>"NNTN7686A"</f>
        <v>NNTN7686A</v>
      </c>
    </row>
    <row r="995" spans="1:9" x14ac:dyDescent="0.3">
      <c r="A995" t="str">
        <f>""</f>
        <v/>
      </c>
      <c r="F995" t="str">
        <f>""</f>
        <v/>
      </c>
      <c r="G995" t="str">
        <f>""</f>
        <v/>
      </c>
      <c r="I995" t="str">
        <f>"NNTN7687A"</f>
        <v>NNTN7687A</v>
      </c>
    </row>
    <row r="996" spans="1:9" x14ac:dyDescent="0.3">
      <c r="A996" t="str">
        <f>"004694"</f>
        <v>004694</v>
      </c>
      <c r="B996" t="s">
        <v>283</v>
      </c>
      <c r="C996">
        <v>77335</v>
      </c>
      <c r="D996" s="2">
        <v>795</v>
      </c>
      <c r="E996" s="1">
        <v>43276</v>
      </c>
      <c r="F996" t="str">
        <f>"86491830"</f>
        <v>86491830</v>
      </c>
      <c r="G996" t="str">
        <f>"ACCT#150344157/WATER TRMT SVCS"</f>
        <v>ACCT#150344157/WATER TRMT SVCS</v>
      </c>
      <c r="H996">
        <v>795</v>
      </c>
      <c r="I996" t="str">
        <f>"ACCT#150344157/WATER TRMT SVCS"</f>
        <v>ACCT#150344157/WATER TRMT SVCS</v>
      </c>
    </row>
    <row r="997" spans="1:9" x14ac:dyDescent="0.3">
      <c r="A997" t="str">
        <f>"000562"</f>
        <v>000562</v>
      </c>
      <c r="B997" t="s">
        <v>284</v>
      </c>
      <c r="C997">
        <v>999999</v>
      </c>
      <c r="D997" s="2">
        <v>5676.8</v>
      </c>
      <c r="E997" s="1">
        <v>43263</v>
      </c>
      <c r="F997" t="str">
        <f>"IN0800549"</f>
        <v>IN0800549</v>
      </c>
      <c r="G997" t="str">
        <f>"INV IN0800549"</f>
        <v>INV IN0800549</v>
      </c>
      <c r="H997">
        <v>5676.8</v>
      </c>
      <c r="I997" t="str">
        <f>"INV IN0800549"</f>
        <v>INV IN0800549</v>
      </c>
    </row>
    <row r="998" spans="1:9" x14ac:dyDescent="0.3">
      <c r="A998" t="str">
        <f>"000562"</f>
        <v>000562</v>
      </c>
      <c r="B998" t="s">
        <v>284</v>
      </c>
      <c r="C998">
        <v>999999</v>
      </c>
      <c r="D998" s="2">
        <v>6566.5</v>
      </c>
      <c r="E998" s="1">
        <v>43277</v>
      </c>
      <c r="F998" t="str">
        <f>"IN0803899/IN080354"</f>
        <v>IN0803899/IN080354</v>
      </c>
      <c r="G998" t="str">
        <f>"INV IN0803899"</f>
        <v>INV IN0803899</v>
      </c>
      <c r="H998">
        <v>6566.5</v>
      </c>
      <c r="I998" t="str">
        <f>"INV IN0803899"</f>
        <v>INV IN0803899</v>
      </c>
    </row>
    <row r="999" spans="1:9" x14ac:dyDescent="0.3">
      <c r="A999" t="str">
        <f>""</f>
        <v/>
      </c>
      <c r="F999" t="str">
        <f>""</f>
        <v/>
      </c>
      <c r="G999" t="str">
        <f>""</f>
        <v/>
      </c>
      <c r="I999" t="str">
        <f>"INV IN0803540"</f>
        <v>INV IN0803540</v>
      </c>
    </row>
    <row r="1000" spans="1:9" x14ac:dyDescent="0.3">
      <c r="A1000" t="str">
        <f>"002830"</f>
        <v>002830</v>
      </c>
      <c r="B1000" t="s">
        <v>285</v>
      </c>
      <c r="C1000">
        <v>77145</v>
      </c>
      <c r="D1000" s="2">
        <v>75</v>
      </c>
      <c r="E1000" s="1">
        <v>43262</v>
      </c>
      <c r="F1000" t="str">
        <f>"12705"</f>
        <v>12705</v>
      </c>
      <c r="G1000" t="str">
        <f>"SERVICE  03/29/2018"</f>
        <v>SERVICE  03/29/2018</v>
      </c>
      <c r="H1000">
        <v>75</v>
      </c>
      <c r="I1000" t="str">
        <f>"SERVICE  03/29/2018"</f>
        <v>SERVICE  03/29/2018</v>
      </c>
    </row>
    <row r="1001" spans="1:9" x14ac:dyDescent="0.3">
      <c r="A1001" t="str">
        <f>"T6614"</f>
        <v>T6614</v>
      </c>
      <c r="B1001" t="s">
        <v>286</v>
      </c>
      <c r="C1001">
        <v>999999</v>
      </c>
      <c r="D1001" s="2">
        <v>424.47</v>
      </c>
      <c r="E1001" s="1">
        <v>43263</v>
      </c>
      <c r="F1001" t="str">
        <f>"0581-364439"</f>
        <v>0581-364439</v>
      </c>
      <c r="G1001" t="str">
        <f>"INV 0581-364439"</f>
        <v>INV 0581-364439</v>
      </c>
      <c r="H1001">
        <v>17.37</v>
      </c>
      <c r="I1001" t="str">
        <f>"INV 0581-364439"</f>
        <v>INV 0581-364439</v>
      </c>
    </row>
    <row r="1002" spans="1:9" x14ac:dyDescent="0.3">
      <c r="A1002" t="str">
        <f>""</f>
        <v/>
      </c>
      <c r="F1002" t="str">
        <f>"0581358418"</f>
        <v>0581358418</v>
      </c>
      <c r="G1002" t="str">
        <f>"CUST#198406/PCT#3"</f>
        <v>CUST#198406/PCT#3</v>
      </c>
      <c r="H1002">
        <v>19.97</v>
      </c>
      <c r="I1002" t="str">
        <f>"CUST#198406/PCT#3"</f>
        <v>CUST#198406/PCT#3</v>
      </c>
    </row>
    <row r="1003" spans="1:9" x14ac:dyDescent="0.3">
      <c r="A1003" t="str">
        <f>""</f>
        <v/>
      </c>
      <c r="F1003" t="str">
        <f>"201806061415"</f>
        <v>201806061415</v>
      </c>
      <c r="G1003" t="str">
        <f>"CUST#99088/PCT#4"</f>
        <v>CUST#99088/PCT#4</v>
      </c>
      <c r="H1003">
        <v>387.13</v>
      </c>
      <c r="I1003" t="str">
        <f>"CUST#99088/PCT#4"</f>
        <v>CUST#99088/PCT#4</v>
      </c>
    </row>
    <row r="1004" spans="1:9" x14ac:dyDescent="0.3">
      <c r="A1004" t="str">
        <f>"001015"</f>
        <v>001015</v>
      </c>
      <c r="B1004" t="s">
        <v>287</v>
      </c>
      <c r="C1004">
        <v>77146</v>
      </c>
      <c r="D1004" s="2">
        <v>944</v>
      </c>
      <c r="E1004" s="1">
        <v>43262</v>
      </c>
      <c r="F1004" t="str">
        <f>"DAIRY INVOICES"</f>
        <v>DAIRY INVOICES</v>
      </c>
      <c r="G1004" t="str">
        <f>"INV 1254891"</f>
        <v>INV 1254891</v>
      </c>
      <c r="H1004">
        <v>944</v>
      </c>
      <c r="I1004" t="str">
        <f>"INV 1254891"</f>
        <v>INV 1254891</v>
      </c>
    </row>
    <row r="1005" spans="1:9" x14ac:dyDescent="0.3">
      <c r="A1005" t="str">
        <f>""</f>
        <v/>
      </c>
      <c r="F1005" t="str">
        <f>""</f>
        <v/>
      </c>
      <c r="G1005" t="str">
        <f>""</f>
        <v/>
      </c>
      <c r="I1005" t="str">
        <f>"INV 1259837"</f>
        <v>INV 1259837</v>
      </c>
    </row>
    <row r="1006" spans="1:9" x14ac:dyDescent="0.3">
      <c r="A1006" t="str">
        <f>""</f>
        <v/>
      </c>
      <c r="F1006" t="str">
        <f>""</f>
        <v/>
      </c>
      <c r="G1006" t="str">
        <f>""</f>
        <v/>
      </c>
      <c r="I1006" t="str">
        <f>"INV 1263111"</f>
        <v>INV 1263111</v>
      </c>
    </row>
    <row r="1007" spans="1:9" x14ac:dyDescent="0.3">
      <c r="A1007" t="str">
        <f>""</f>
        <v/>
      </c>
      <c r="F1007" t="str">
        <f>""</f>
        <v/>
      </c>
      <c r="G1007" t="str">
        <f>""</f>
        <v/>
      </c>
      <c r="I1007" t="str">
        <f>"INV 40151615"</f>
        <v>INV 40151615</v>
      </c>
    </row>
    <row r="1008" spans="1:9" x14ac:dyDescent="0.3">
      <c r="A1008" t="str">
        <f>""</f>
        <v/>
      </c>
      <c r="F1008" t="str">
        <f>""</f>
        <v/>
      </c>
      <c r="G1008" t="str">
        <f>""</f>
        <v/>
      </c>
      <c r="I1008" t="str">
        <f>"INV 1267388"</f>
        <v>INV 1267388</v>
      </c>
    </row>
    <row r="1009" spans="1:9" x14ac:dyDescent="0.3">
      <c r="A1009" t="str">
        <f>"001015"</f>
        <v>001015</v>
      </c>
      <c r="B1009" t="s">
        <v>287</v>
      </c>
      <c r="C1009">
        <v>77336</v>
      </c>
      <c r="D1009" s="2">
        <v>901</v>
      </c>
      <c r="E1009" s="1">
        <v>43276</v>
      </c>
      <c r="F1009" t="str">
        <f>"1270294/1274528/12"</f>
        <v>1270294/1274528/12</v>
      </c>
      <c r="G1009" t="str">
        <f>"INV 1270294"</f>
        <v>INV 1270294</v>
      </c>
      <c r="H1009">
        <v>901</v>
      </c>
      <c r="I1009" t="str">
        <f>"INV 1270294"</f>
        <v>INV 1270294</v>
      </c>
    </row>
    <row r="1010" spans="1:9" x14ac:dyDescent="0.3">
      <c r="A1010" t="str">
        <f>""</f>
        <v/>
      </c>
      <c r="F1010" t="str">
        <f>""</f>
        <v/>
      </c>
      <c r="G1010" t="str">
        <f>""</f>
        <v/>
      </c>
      <c r="I1010" t="str">
        <f>"INV 1274528"</f>
        <v>INV 1274528</v>
      </c>
    </row>
    <row r="1011" spans="1:9" x14ac:dyDescent="0.3">
      <c r="A1011" t="str">
        <f>""</f>
        <v/>
      </c>
      <c r="F1011" t="str">
        <f>""</f>
        <v/>
      </c>
      <c r="G1011" t="str">
        <f>""</f>
        <v/>
      </c>
      <c r="I1011" t="str">
        <f>"INV 1277296"</f>
        <v>INV 1277296</v>
      </c>
    </row>
    <row r="1012" spans="1:9" x14ac:dyDescent="0.3">
      <c r="A1012" t="str">
        <f>""</f>
        <v/>
      </c>
      <c r="F1012" t="str">
        <f>""</f>
        <v/>
      </c>
      <c r="G1012" t="str">
        <f>""</f>
        <v/>
      </c>
      <c r="I1012" t="str">
        <f>"INV 1280840"</f>
        <v>INV 1280840</v>
      </c>
    </row>
    <row r="1013" spans="1:9" x14ac:dyDescent="0.3">
      <c r="A1013" t="str">
        <f>"T5769"</f>
        <v>T5769</v>
      </c>
      <c r="B1013" t="s">
        <v>288</v>
      </c>
      <c r="C1013">
        <v>77147</v>
      </c>
      <c r="D1013" s="2">
        <v>2352.92</v>
      </c>
      <c r="E1013" s="1">
        <v>43262</v>
      </c>
      <c r="F1013" t="str">
        <f>"9632899"</f>
        <v>9632899</v>
      </c>
      <c r="G1013" t="str">
        <f>"Bill# 9632899"</f>
        <v>Bill# 9632899</v>
      </c>
      <c r="H1013">
        <v>2352.92</v>
      </c>
      <c r="I1013" t="str">
        <f>"Ord# 145671214001"</f>
        <v>Ord# 145671214001</v>
      </c>
    </row>
    <row r="1014" spans="1:9" x14ac:dyDescent="0.3">
      <c r="A1014" t="str">
        <f>""</f>
        <v/>
      </c>
      <c r="F1014" t="str">
        <f>""</f>
        <v/>
      </c>
      <c r="G1014" t="str">
        <f>""</f>
        <v/>
      </c>
      <c r="I1014" t="str">
        <f>"Ord# 145671923001"</f>
        <v>Ord# 145671923001</v>
      </c>
    </row>
    <row r="1015" spans="1:9" x14ac:dyDescent="0.3">
      <c r="A1015" t="str">
        <f>""</f>
        <v/>
      </c>
      <c r="F1015" t="str">
        <f>""</f>
        <v/>
      </c>
      <c r="G1015" t="str">
        <f>""</f>
        <v/>
      </c>
      <c r="I1015" t="str">
        <f>"Ord# 144497733001"</f>
        <v>Ord# 144497733001</v>
      </c>
    </row>
    <row r="1016" spans="1:9" x14ac:dyDescent="0.3">
      <c r="A1016" t="str">
        <f>""</f>
        <v/>
      </c>
      <c r="F1016" t="str">
        <f>""</f>
        <v/>
      </c>
      <c r="G1016" t="str">
        <f>""</f>
        <v/>
      </c>
      <c r="I1016" t="str">
        <f>"Ord# 146370283001"</f>
        <v>Ord# 146370283001</v>
      </c>
    </row>
    <row r="1017" spans="1:9" x14ac:dyDescent="0.3">
      <c r="A1017" t="str">
        <f>""</f>
        <v/>
      </c>
      <c r="F1017" t="str">
        <f>""</f>
        <v/>
      </c>
      <c r="G1017" t="str">
        <f>""</f>
        <v/>
      </c>
      <c r="I1017" t="str">
        <f>"Ord# 146374165001"</f>
        <v>Ord# 146374165001</v>
      </c>
    </row>
    <row r="1018" spans="1:9" x14ac:dyDescent="0.3">
      <c r="A1018" t="str">
        <f>""</f>
        <v/>
      </c>
      <c r="F1018" t="str">
        <f>""</f>
        <v/>
      </c>
      <c r="G1018" t="str">
        <f>""</f>
        <v/>
      </c>
      <c r="I1018" t="str">
        <f>"Ord# 143013204001"</f>
        <v>Ord# 143013204001</v>
      </c>
    </row>
    <row r="1019" spans="1:9" x14ac:dyDescent="0.3">
      <c r="A1019" t="str">
        <f>""</f>
        <v/>
      </c>
      <c r="F1019" t="str">
        <f>""</f>
        <v/>
      </c>
      <c r="G1019" t="str">
        <f>""</f>
        <v/>
      </c>
      <c r="I1019" t="str">
        <f>"Ord# 143015006001"</f>
        <v>Ord# 143015006001</v>
      </c>
    </row>
    <row r="1020" spans="1:9" x14ac:dyDescent="0.3">
      <c r="A1020" t="str">
        <f>""</f>
        <v/>
      </c>
      <c r="F1020" t="str">
        <f>""</f>
        <v/>
      </c>
      <c r="G1020" t="str">
        <f>""</f>
        <v/>
      </c>
      <c r="I1020" t="str">
        <f>"Ord# 145991594001"</f>
        <v>Ord# 145991594001</v>
      </c>
    </row>
    <row r="1021" spans="1:9" x14ac:dyDescent="0.3">
      <c r="A1021" t="str">
        <f>""</f>
        <v/>
      </c>
      <c r="F1021" t="str">
        <f>""</f>
        <v/>
      </c>
      <c r="G1021" t="str">
        <f>""</f>
        <v/>
      </c>
      <c r="I1021" t="str">
        <f>"Ord# 140797379001"</f>
        <v>Ord# 140797379001</v>
      </c>
    </row>
    <row r="1022" spans="1:9" x14ac:dyDescent="0.3">
      <c r="A1022" t="str">
        <f>""</f>
        <v/>
      </c>
      <c r="F1022" t="str">
        <f>""</f>
        <v/>
      </c>
      <c r="G1022" t="str">
        <f>""</f>
        <v/>
      </c>
      <c r="I1022" t="str">
        <f>"Ord# 140798651001"</f>
        <v>Ord# 140798651001</v>
      </c>
    </row>
    <row r="1023" spans="1:9" x14ac:dyDescent="0.3">
      <c r="A1023" t="str">
        <f>""</f>
        <v/>
      </c>
      <c r="F1023" t="str">
        <f>""</f>
        <v/>
      </c>
      <c r="G1023" t="str">
        <f>""</f>
        <v/>
      </c>
      <c r="I1023" t="str">
        <f>"Ord# 146285305001"</f>
        <v>Ord# 146285305001</v>
      </c>
    </row>
    <row r="1024" spans="1:9" x14ac:dyDescent="0.3">
      <c r="A1024" t="str">
        <f>"T5769"</f>
        <v>T5769</v>
      </c>
      <c r="B1024" t="s">
        <v>288</v>
      </c>
      <c r="C1024">
        <v>77337</v>
      </c>
      <c r="D1024" s="2">
        <v>1548.68</v>
      </c>
      <c r="E1024" s="1">
        <v>43276</v>
      </c>
      <c r="F1024" t="str">
        <f>"9679450"</f>
        <v>9679450</v>
      </c>
      <c r="G1024" t="str">
        <f>"Bill# 9679450"</f>
        <v>Bill# 9679450</v>
      </c>
      <c r="H1024">
        <v>1548.68</v>
      </c>
      <c r="I1024" t="str">
        <f>"Order# 147192901001"</f>
        <v>Order# 147192901001</v>
      </c>
    </row>
    <row r="1025" spans="1:9" x14ac:dyDescent="0.3">
      <c r="A1025" t="str">
        <f>""</f>
        <v/>
      </c>
      <c r="F1025" t="str">
        <f>""</f>
        <v/>
      </c>
      <c r="G1025" t="str">
        <f>""</f>
        <v/>
      </c>
      <c r="I1025" t="str">
        <f>"Order# 147194113001"</f>
        <v>Order# 147194113001</v>
      </c>
    </row>
    <row r="1026" spans="1:9" x14ac:dyDescent="0.3">
      <c r="A1026" t="str">
        <f>""</f>
        <v/>
      </c>
      <c r="F1026" t="str">
        <f>""</f>
        <v/>
      </c>
      <c r="G1026" t="str">
        <f>""</f>
        <v/>
      </c>
      <c r="I1026" t="str">
        <f>"Order# 146374166002"</f>
        <v>Order# 146374166002</v>
      </c>
    </row>
    <row r="1027" spans="1:9" x14ac:dyDescent="0.3">
      <c r="A1027" t="str">
        <f>""</f>
        <v/>
      </c>
      <c r="F1027" t="str">
        <f>""</f>
        <v/>
      </c>
      <c r="G1027" t="str">
        <f>""</f>
        <v/>
      </c>
      <c r="I1027" t="str">
        <f>"Order# 147170709001"</f>
        <v>Order# 147170709001</v>
      </c>
    </row>
    <row r="1028" spans="1:9" x14ac:dyDescent="0.3">
      <c r="A1028" t="str">
        <f>""</f>
        <v/>
      </c>
      <c r="F1028" t="str">
        <f>""</f>
        <v/>
      </c>
      <c r="G1028" t="str">
        <f>""</f>
        <v/>
      </c>
      <c r="I1028" t="str">
        <f>"Order# 150906225001"</f>
        <v>Order# 150906225001</v>
      </c>
    </row>
    <row r="1029" spans="1:9" x14ac:dyDescent="0.3">
      <c r="A1029" t="str">
        <f>""</f>
        <v/>
      </c>
      <c r="F1029" t="str">
        <f>""</f>
        <v/>
      </c>
      <c r="G1029" t="str">
        <f>""</f>
        <v/>
      </c>
      <c r="I1029" t="str">
        <f>"Order# 150910891001"</f>
        <v>Order# 150910891001</v>
      </c>
    </row>
    <row r="1030" spans="1:9" x14ac:dyDescent="0.3">
      <c r="A1030" t="str">
        <f>""</f>
        <v/>
      </c>
      <c r="F1030" t="str">
        <f>""</f>
        <v/>
      </c>
      <c r="G1030" t="str">
        <f>""</f>
        <v/>
      </c>
      <c r="I1030" t="str">
        <f>"Order# 14741091001"</f>
        <v>Order# 14741091001</v>
      </c>
    </row>
    <row r="1031" spans="1:9" x14ac:dyDescent="0.3">
      <c r="A1031" t="str">
        <f>""</f>
        <v/>
      </c>
      <c r="F1031" t="str">
        <f>""</f>
        <v/>
      </c>
      <c r="G1031" t="str">
        <f>""</f>
        <v/>
      </c>
      <c r="I1031" t="str">
        <f>"Order# 147414216001"</f>
        <v>Order# 147414216001</v>
      </c>
    </row>
    <row r="1032" spans="1:9" x14ac:dyDescent="0.3">
      <c r="A1032" t="str">
        <f>""</f>
        <v/>
      </c>
      <c r="F1032" t="str">
        <f>""</f>
        <v/>
      </c>
      <c r="G1032" t="str">
        <f>""</f>
        <v/>
      </c>
      <c r="I1032" t="str">
        <f>"Order# 153628800001"</f>
        <v>Order# 153628800001</v>
      </c>
    </row>
    <row r="1033" spans="1:9" x14ac:dyDescent="0.3">
      <c r="A1033" t="str">
        <f>""</f>
        <v/>
      </c>
      <c r="F1033" t="str">
        <f>""</f>
        <v/>
      </c>
      <c r="G1033" t="str">
        <f>""</f>
        <v/>
      </c>
      <c r="I1033" t="str">
        <f>"Order# 153634306001"</f>
        <v>Order# 153634306001</v>
      </c>
    </row>
    <row r="1034" spans="1:9" x14ac:dyDescent="0.3">
      <c r="A1034" t="str">
        <f>""</f>
        <v/>
      </c>
      <c r="F1034" t="str">
        <f>""</f>
        <v/>
      </c>
      <c r="G1034" t="str">
        <f>""</f>
        <v/>
      </c>
      <c r="I1034" t="str">
        <f>"Order# 148040772001"</f>
        <v>Order# 148040772001</v>
      </c>
    </row>
    <row r="1035" spans="1:9" x14ac:dyDescent="0.3">
      <c r="A1035" t="str">
        <f>"000877"</f>
        <v>000877</v>
      </c>
      <c r="B1035" t="s">
        <v>289</v>
      </c>
      <c r="C1035">
        <v>77338</v>
      </c>
      <c r="D1035" s="2">
        <v>135</v>
      </c>
      <c r="E1035" s="1">
        <v>43276</v>
      </c>
      <c r="F1035" t="str">
        <f>"284286"</f>
        <v>284286</v>
      </c>
      <c r="G1035" t="str">
        <f>"CUST ID#BASCOU/DRUG SCREEN/GS"</f>
        <v>CUST ID#BASCOU/DRUG SCREEN/GS</v>
      </c>
      <c r="H1035">
        <v>30</v>
      </c>
      <c r="I1035" t="str">
        <f>"CUST ID#BASCOU/DRUG SCREEN/GS"</f>
        <v>CUST ID#BASCOU/DRUG SCREEN/GS</v>
      </c>
    </row>
    <row r="1036" spans="1:9" x14ac:dyDescent="0.3">
      <c r="A1036" t="str">
        <f>""</f>
        <v/>
      </c>
      <c r="F1036" t="str">
        <f>"284286  P3"</f>
        <v>284286  P3</v>
      </c>
      <c r="G1036" t="str">
        <f>"CUST ID#BASCOU/DRUG SCREEN/P3"</f>
        <v>CUST ID#BASCOU/DRUG SCREEN/P3</v>
      </c>
      <c r="H1036">
        <v>70</v>
      </c>
      <c r="I1036" t="str">
        <f>"CUST ID#BASCOU/DRUG SCREEN/P3"</f>
        <v>CUST ID#BASCOU/DRUG SCREEN/P3</v>
      </c>
    </row>
    <row r="1037" spans="1:9" x14ac:dyDescent="0.3">
      <c r="A1037" t="str">
        <f>""</f>
        <v/>
      </c>
      <c r="F1037" t="str">
        <f>"284286  P4"</f>
        <v>284286  P4</v>
      </c>
      <c r="G1037" t="str">
        <f>"CUST ID#BASCOU/DRUG SCREEN/P4"</f>
        <v>CUST ID#BASCOU/DRUG SCREEN/P4</v>
      </c>
      <c r="H1037">
        <v>35</v>
      </c>
      <c r="I1037" t="str">
        <f>"CUST ID#BASCOU/DRUG SCREEN/P4"</f>
        <v>CUST ID#BASCOU/DRUG SCREEN/P4</v>
      </c>
    </row>
    <row r="1038" spans="1:9" x14ac:dyDescent="0.3">
      <c r="A1038" t="str">
        <f>"005588"</f>
        <v>005588</v>
      </c>
      <c r="B1038" t="s">
        <v>290</v>
      </c>
      <c r="C1038">
        <v>77339</v>
      </c>
      <c r="D1038" s="2">
        <v>225</v>
      </c>
      <c r="E1038" s="1">
        <v>43276</v>
      </c>
      <c r="F1038" t="str">
        <f>"12471"</f>
        <v>12471</v>
      </c>
      <c r="G1038" t="str">
        <f>"SERVICE  03/20/18"</f>
        <v>SERVICE  03/20/18</v>
      </c>
      <c r="H1038">
        <v>225</v>
      </c>
      <c r="I1038" t="str">
        <f>"SERVICE  03/20/18"</f>
        <v>SERVICE  03/20/18</v>
      </c>
    </row>
    <row r="1039" spans="1:9" x14ac:dyDescent="0.3">
      <c r="A1039" t="str">
        <f>"OP"</f>
        <v>OP</v>
      </c>
      <c r="B1039" t="s">
        <v>291</v>
      </c>
      <c r="C1039">
        <v>77148</v>
      </c>
      <c r="D1039" s="2">
        <v>1946.73</v>
      </c>
      <c r="E1039" s="1">
        <v>43262</v>
      </c>
      <c r="F1039" t="str">
        <f>"17575"</f>
        <v>17575</v>
      </c>
      <c r="G1039" t="str">
        <f>"PLUMBING SVCS/DPS BUILDING"</f>
        <v>PLUMBING SVCS/DPS BUILDING</v>
      </c>
      <c r="H1039">
        <v>198</v>
      </c>
      <c r="I1039" t="str">
        <f>"PLUMBING SVCS/DPS BUILDING"</f>
        <v>PLUMBING SVCS/DPS BUILDING</v>
      </c>
    </row>
    <row r="1040" spans="1:9" x14ac:dyDescent="0.3">
      <c r="A1040" t="str">
        <f>""</f>
        <v/>
      </c>
      <c r="F1040" t="str">
        <f>"17617"</f>
        <v>17617</v>
      </c>
      <c r="G1040" t="str">
        <f>"PLUMBING SVCS/CEDAR CREEK PARK"</f>
        <v>PLUMBING SVCS/CEDAR CREEK PARK</v>
      </c>
      <c r="H1040">
        <v>1748.73</v>
      </c>
      <c r="I1040" t="str">
        <f>"PLUMBING SVCS/CEDAR CREEK PARK"</f>
        <v>PLUMBING SVCS/CEDAR CREEK PARK</v>
      </c>
    </row>
    <row r="1041" spans="1:9" x14ac:dyDescent="0.3">
      <c r="A1041" t="str">
        <f>"OP"</f>
        <v>OP</v>
      </c>
      <c r="B1041" t="s">
        <v>291</v>
      </c>
      <c r="C1041">
        <v>77340</v>
      </c>
      <c r="D1041" s="2">
        <v>2063.11</v>
      </c>
      <c r="E1041" s="1">
        <v>43276</v>
      </c>
      <c r="F1041" t="str">
        <f>"17651"</f>
        <v>17651</v>
      </c>
      <c r="G1041" t="str">
        <f>"PLUMBING SVCS/CEDAR CREEK PARK"</f>
        <v>PLUMBING SVCS/CEDAR CREEK PARK</v>
      </c>
      <c r="H1041">
        <v>1755.61</v>
      </c>
      <c r="I1041" t="str">
        <f>"PLUMBING SVCS/CEDAR CREEK PARK"</f>
        <v>PLUMBING SVCS/CEDAR CREEK PARK</v>
      </c>
    </row>
    <row r="1042" spans="1:9" x14ac:dyDescent="0.3">
      <c r="A1042" t="str">
        <f>""</f>
        <v/>
      </c>
      <c r="F1042" t="str">
        <f>"17666"</f>
        <v>17666</v>
      </c>
      <c r="G1042" t="str">
        <f>"PLUMBING SVCS/ANIMAL SHELTER"</f>
        <v>PLUMBING SVCS/ANIMAL SHELTER</v>
      </c>
      <c r="H1042">
        <v>307.5</v>
      </c>
      <c r="I1042" t="str">
        <f>"PLUMBING SVCS/ANIMAL SHELTER"</f>
        <v>PLUMBING SVCS/ANIMAL SHELTER</v>
      </c>
    </row>
    <row r="1043" spans="1:9" x14ac:dyDescent="0.3">
      <c r="A1043" t="str">
        <f>"004123"</f>
        <v>004123</v>
      </c>
      <c r="B1043" t="s">
        <v>292</v>
      </c>
      <c r="C1043">
        <v>77341</v>
      </c>
      <c r="D1043" s="2">
        <v>355</v>
      </c>
      <c r="E1043" s="1">
        <v>43276</v>
      </c>
      <c r="F1043" t="str">
        <f>"201806131587"</f>
        <v>201806131587</v>
      </c>
      <c r="G1043" t="str">
        <f>"REIMBURSE ST BAR DUES/CONT ED"</f>
        <v>REIMBURSE ST BAR DUES/CONT ED</v>
      </c>
      <c r="H1043">
        <v>355</v>
      </c>
      <c r="I1043" t="str">
        <f>"REIMBURSE ST BAR DUES/CONT ED"</f>
        <v>REIMBURSE ST BAR DUES/CONT ED</v>
      </c>
    </row>
    <row r="1044" spans="1:9" x14ac:dyDescent="0.3">
      <c r="A1044" t="str">
        <f>""</f>
        <v/>
      </c>
      <c r="F1044" t="str">
        <f>""</f>
        <v/>
      </c>
      <c r="G1044" t="str">
        <f>""</f>
        <v/>
      </c>
      <c r="I1044" t="str">
        <f>"REIMBURSE ST BAR DUES/CONT ED"</f>
        <v>REIMBURSE ST BAR DUES/CONT ED</v>
      </c>
    </row>
    <row r="1045" spans="1:9" x14ac:dyDescent="0.3">
      <c r="A1045" t="str">
        <f>"003959"</f>
        <v>003959</v>
      </c>
      <c r="B1045" t="s">
        <v>293</v>
      </c>
      <c r="C1045">
        <v>77149</v>
      </c>
      <c r="D1045" s="2">
        <v>112.5</v>
      </c>
      <c r="E1045" s="1">
        <v>43262</v>
      </c>
      <c r="F1045" t="str">
        <f>"54460"</f>
        <v>54460</v>
      </c>
      <c r="G1045" t="str">
        <f>"INV 54460"</f>
        <v>INV 54460</v>
      </c>
      <c r="H1045">
        <v>112.5</v>
      </c>
      <c r="I1045" t="str">
        <f>"INV 54460"</f>
        <v>INV 54460</v>
      </c>
    </row>
    <row r="1046" spans="1:9" x14ac:dyDescent="0.3">
      <c r="A1046" t="str">
        <f>"005143"</f>
        <v>005143</v>
      </c>
      <c r="B1046" t="s">
        <v>294</v>
      </c>
      <c r="C1046">
        <v>77342</v>
      </c>
      <c r="D1046" s="2">
        <v>50</v>
      </c>
      <c r="E1046" s="1">
        <v>43276</v>
      </c>
      <c r="F1046" t="str">
        <f>"1293"</f>
        <v>1293</v>
      </c>
      <c r="G1046" t="str">
        <f>"TRAINING INV 1293"</f>
        <v>TRAINING INV 1293</v>
      </c>
      <c r="H1046">
        <v>50</v>
      </c>
      <c r="I1046" t="str">
        <f>"TRAINING INV 1293"</f>
        <v>TRAINING INV 1293</v>
      </c>
    </row>
    <row r="1047" spans="1:9" x14ac:dyDescent="0.3">
      <c r="A1047" t="str">
        <f>"PAIGE"</f>
        <v>PAIGE</v>
      </c>
      <c r="B1047" t="s">
        <v>295</v>
      </c>
      <c r="C1047">
        <v>77150</v>
      </c>
      <c r="D1047" s="2">
        <v>89.98</v>
      </c>
      <c r="E1047" s="1">
        <v>43262</v>
      </c>
      <c r="F1047" t="str">
        <f>"61285"</f>
        <v>61285</v>
      </c>
      <c r="G1047" t="str">
        <f>"GATORLINE 3 LB/PCT#4"</f>
        <v>GATORLINE 3 LB/PCT#4</v>
      </c>
      <c r="H1047">
        <v>89.98</v>
      </c>
      <c r="I1047" t="str">
        <f>"GATORLINE 3 LB/PCT#4"</f>
        <v>GATORLINE 3 LB/PCT#4</v>
      </c>
    </row>
    <row r="1048" spans="1:9" x14ac:dyDescent="0.3">
      <c r="A1048" t="str">
        <f>"PAIGE"</f>
        <v>PAIGE</v>
      </c>
      <c r="B1048" t="s">
        <v>295</v>
      </c>
      <c r="C1048">
        <v>77343</v>
      </c>
      <c r="D1048" s="2">
        <v>308.11</v>
      </c>
      <c r="E1048" s="1">
        <v>43276</v>
      </c>
      <c r="F1048" t="str">
        <f>"61739"</f>
        <v>61739</v>
      </c>
      <c r="G1048" t="str">
        <f>"PARTS/PCT#2"</f>
        <v>PARTS/PCT#2</v>
      </c>
      <c r="H1048">
        <v>308.11</v>
      </c>
      <c r="I1048" t="str">
        <f>"PARTS/PCT#2"</f>
        <v>PARTS/PCT#2</v>
      </c>
    </row>
    <row r="1049" spans="1:9" x14ac:dyDescent="0.3">
      <c r="A1049" t="str">
        <f>"WEBSTE"</f>
        <v>WEBSTE</v>
      </c>
      <c r="B1049" t="s">
        <v>296</v>
      </c>
      <c r="C1049">
        <v>77151</v>
      </c>
      <c r="D1049" s="2">
        <v>2125.2399999999998</v>
      </c>
      <c r="E1049" s="1">
        <v>43262</v>
      </c>
      <c r="F1049" t="str">
        <f>"0031533127"</f>
        <v>0031533127</v>
      </c>
      <c r="G1049" t="str">
        <f>"INV# 0031533127"</f>
        <v>INV# 0031533127</v>
      </c>
      <c r="H1049">
        <v>1408.16</v>
      </c>
      <c r="I1049" t="str">
        <f>"INV# 0031533127"</f>
        <v>INV# 0031533127</v>
      </c>
    </row>
    <row r="1050" spans="1:9" x14ac:dyDescent="0.3">
      <c r="A1050" t="str">
        <f>""</f>
        <v/>
      </c>
      <c r="F1050" t="str">
        <f>"201806061431"</f>
        <v>201806061431</v>
      </c>
      <c r="G1050" t="str">
        <f>"ACCT#0200140783/ANIMAL SVCS"</f>
        <v>ACCT#0200140783/ANIMAL SVCS</v>
      </c>
      <c r="H1050">
        <v>717.08</v>
      </c>
      <c r="I1050" t="str">
        <f>"ACCT#0200140783/ANIMAL SVCS"</f>
        <v>ACCT#0200140783/ANIMAL SVCS</v>
      </c>
    </row>
    <row r="1051" spans="1:9" x14ac:dyDescent="0.3">
      <c r="A1051" t="str">
        <f>"T10906"</f>
        <v>T10906</v>
      </c>
      <c r="B1051" t="s">
        <v>297</v>
      </c>
      <c r="C1051">
        <v>77344</v>
      </c>
      <c r="D1051" s="2">
        <v>70</v>
      </c>
      <c r="E1051" s="1">
        <v>43276</v>
      </c>
      <c r="F1051" t="str">
        <f>"PER DIEM"</f>
        <v>PER DIEM</v>
      </c>
      <c r="G1051" t="str">
        <f>"PER DIEM"</f>
        <v>PER DIEM</v>
      </c>
      <c r="H1051">
        <v>70</v>
      </c>
      <c r="I1051" t="str">
        <f>"PER DIEM"</f>
        <v>PER DIEM</v>
      </c>
    </row>
    <row r="1052" spans="1:9" x14ac:dyDescent="0.3">
      <c r="A1052" t="str">
        <f>"PET"</f>
        <v>PET</v>
      </c>
      <c r="B1052" t="s">
        <v>298</v>
      </c>
      <c r="C1052">
        <v>77345</v>
      </c>
      <c r="D1052" s="2">
        <v>63.05</v>
      </c>
      <c r="E1052" s="1">
        <v>43276</v>
      </c>
      <c r="F1052" t="str">
        <f>"SIUN11812046"</f>
        <v>SIUN11812046</v>
      </c>
      <c r="G1052" t="str">
        <f>"ACCT#CUN000000233/ANIMAL CONTR"</f>
        <v>ACCT#CUN000000233/ANIMAL CONTR</v>
      </c>
      <c r="H1052">
        <v>63.05</v>
      </c>
      <c r="I1052" t="str">
        <f>"ACCT#CUN000000233/ANIMAL CONTR"</f>
        <v>ACCT#CUN000000233/ANIMAL CONTR</v>
      </c>
    </row>
    <row r="1053" spans="1:9" x14ac:dyDescent="0.3">
      <c r="A1053" t="str">
        <f>"PRD"</f>
        <v>PRD</v>
      </c>
      <c r="B1053" t="s">
        <v>299</v>
      </c>
      <c r="C1053">
        <v>999999</v>
      </c>
      <c r="D1053" s="2">
        <v>2173</v>
      </c>
      <c r="E1053" s="1">
        <v>43263</v>
      </c>
      <c r="F1053" t="str">
        <f>"201806051295"</f>
        <v>201806051295</v>
      </c>
      <c r="G1053" t="str">
        <f>"55603  55604  55605"</f>
        <v>55603  55604  55605</v>
      </c>
      <c r="H1053">
        <v>500</v>
      </c>
      <c r="I1053" t="str">
        <f>"55603  55604  55605"</f>
        <v>55603  55604  55605</v>
      </c>
    </row>
    <row r="1054" spans="1:9" x14ac:dyDescent="0.3">
      <c r="A1054" t="str">
        <f>""</f>
        <v/>
      </c>
      <c r="F1054" t="str">
        <f>"201806051298"</f>
        <v>201806051298</v>
      </c>
      <c r="G1054" t="str">
        <f>"55954  55955  55956  55957"</f>
        <v>55954  55955  55956  55957</v>
      </c>
      <c r="H1054">
        <v>625</v>
      </c>
      <c r="I1054" t="str">
        <f>"55954  55955  55956  55957"</f>
        <v>55954  55955  55956  55957</v>
      </c>
    </row>
    <row r="1055" spans="1:9" x14ac:dyDescent="0.3">
      <c r="A1055" t="str">
        <f>""</f>
        <v/>
      </c>
      <c r="F1055" t="str">
        <f>"201806051319"</f>
        <v>201806051319</v>
      </c>
      <c r="G1055" t="str">
        <f>"55859"</f>
        <v>55859</v>
      </c>
      <c r="H1055">
        <v>250</v>
      </c>
      <c r="I1055" t="str">
        <f>"55859"</f>
        <v>55859</v>
      </c>
    </row>
    <row r="1056" spans="1:9" x14ac:dyDescent="0.3">
      <c r="A1056" t="str">
        <f>""</f>
        <v/>
      </c>
      <c r="F1056" t="str">
        <f>"201806051320"</f>
        <v>201806051320</v>
      </c>
      <c r="G1056" t="str">
        <f>"55854  55855"</f>
        <v>55854  55855</v>
      </c>
      <c r="H1056">
        <v>375</v>
      </c>
      <c r="I1056" t="str">
        <f>"55854  55855"</f>
        <v>55854  55855</v>
      </c>
    </row>
    <row r="1057" spans="1:9" x14ac:dyDescent="0.3">
      <c r="A1057" t="str">
        <f>""</f>
        <v/>
      </c>
      <c r="F1057" t="str">
        <f>"201806051324"</f>
        <v>201806051324</v>
      </c>
      <c r="G1057" t="str">
        <f>"18-19039"</f>
        <v>18-19039</v>
      </c>
      <c r="H1057">
        <v>423</v>
      </c>
      <c r="I1057" t="str">
        <f>"18-19039"</f>
        <v>18-19039</v>
      </c>
    </row>
    <row r="1058" spans="1:9" x14ac:dyDescent="0.3">
      <c r="A1058" t="str">
        <f>"PRD"</f>
        <v>PRD</v>
      </c>
      <c r="B1058" t="s">
        <v>299</v>
      </c>
      <c r="C1058">
        <v>999999</v>
      </c>
      <c r="D1058" s="2">
        <v>1405</v>
      </c>
      <c r="E1058" s="1">
        <v>43277</v>
      </c>
      <c r="F1058" t="str">
        <f>"201806201661"</f>
        <v>201806201661</v>
      </c>
      <c r="G1058" t="str">
        <f>"J3060"</f>
        <v>J3060</v>
      </c>
      <c r="H1058">
        <v>100</v>
      </c>
      <c r="I1058" t="str">
        <f>"J3060"</f>
        <v>J3060</v>
      </c>
    </row>
    <row r="1059" spans="1:9" x14ac:dyDescent="0.3">
      <c r="A1059" t="str">
        <f>""</f>
        <v/>
      </c>
      <c r="F1059" t="str">
        <f>"201806201665"</f>
        <v>201806201665</v>
      </c>
      <c r="G1059" t="str">
        <f>"17-18616"</f>
        <v>17-18616</v>
      </c>
      <c r="H1059">
        <v>160</v>
      </c>
      <c r="I1059" t="str">
        <f>"17-18616"</f>
        <v>17-18616</v>
      </c>
    </row>
    <row r="1060" spans="1:9" x14ac:dyDescent="0.3">
      <c r="A1060" t="str">
        <f>""</f>
        <v/>
      </c>
      <c r="F1060" t="str">
        <f>"201806201666"</f>
        <v>201806201666</v>
      </c>
      <c r="G1060" t="str">
        <f>"18-18997"</f>
        <v>18-18997</v>
      </c>
      <c r="H1060">
        <v>160</v>
      </c>
      <c r="I1060" t="str">
        <f>"18-18997"</f>
        <v>18-18997</v>
      </c>
    </row>
    <row r="1061" spans="1:9" x14ac:dyDescent="0.3">
      <c r="A1061" t="str">
        <f>""</f>
        <v/>
      </c>
      <c r="F1061" t="str">
        <f>"201806201692"</f>
        <v>201806201692</v>
      </c>
      <c r="G1061" t="str">
        <f>"17-18493"</f>
        <v>17-18493</v>
      </c>
      <c r="H1061">
        <v>985</v>
      </c>
      <c r="I1061" t="str">
        <f>"17-18493"</f>
        <v>17-18493</v>
      </c>
    </row>
    <row r="1062" spans="1:9" x14ac:dyDescent="0.3">
      <c r="A1062" t="str">
        <f>"PCAS"</f>
        <v>PCAS</v>
      </c>
      <c r="B1062" t="s">
        <v>300</v>
      </c>
      <c r="C1062">
        <v>77152</v>
      </c>
      <c r="D1062" s="2">
        <v>80</v>
      </c>
      <c r="E1062" s="1">
        <v>43262</v>
      </c>
      <c r="F1062" t="str">
        <f>"003138"</f>
        <v>003138</v>
      </c>
      <c r="G1062" t="str">
        <f>"2008 FREIGHT/PCT#4"</f>
        <v>2008 FREIGHT/PCT#4</v>
      </c>
      <c r="H1062">
        <v>40</v>
      </c>
      <c r="I1062" t="str">
        <f>"2008 FREIGHT/PCT#4"</f>
        <v>2008 FREIGHT/PCT#4</v>
      </c>
    </row>
    <row r="1063" spans="1:9" x14ac:dyDescent="0.3">
      <c r="A1063" t="str">
        <f>""</f>
        <v/>
      </c>
      <c r="F1063" t="str">
        <f>"003138 P3"</f>
        <v>003138 P3</v>
      </c>
      <c r="G1063" t="str">
        <f>"1984 INTL/PCT#3"</f>
        <v>1984 INTL/PCT#3</v>
      </c>
      <c r="H1063">
        <v>40</v>
      </c>
      <c r="I1063" t="str">
        <f>"1984 INTL/PCT#3"</f>
        <v>1984 INTL/PCT#3</v>
      </c>
    </row>
    <row r="1064" spans="1:9" x14ac:dyDescent="0.3">
      <c r="A1064" t="str">
        <f>"PB"</f>
        <v>PB</v>
      </c>
      <c r="B1064" t="s">
        <v>301</v>
      </c>
      <c r="C1064">
        <v>999999</v>
      </c>
      <c r="D1064" s="2">
        <v>1775.57</v>
      </c>
      <c r="E1064" s="1">
        <v>43277</v>
      </c>
      <c r="F1064" t="str">
        <f>"3306192522"</f>
        <v>3306192522</v>
      </c>
      <c r="G1064" t="str">
        <f>"LEASING CHARGES/TAX OFFICE"</f>
        <v>LEASING CHARGES/TAX OFFICE</v>
      </c>
      <c r="H1064">
        <v>195.96</v>
      </c>
      <c r="I1064" t="str">
        <f>"LEASING CHARGES/TAX OFFICE"</f>
        <v>LEASING CHARGES/TAX OFFICE</v>
      </c>
    </row>
    <row r="1065" spans="1:9" x14ac:dyDescent="0.3">
      <c r="A1065" t="str">
        <f>""</f>
        <v/>
      </c>
      <c r="F1065" t="str">
        <f>"3306230398"</f>
        <v>3306230398</v>
      </c>
      <c r="G1065" t="str">
        <f>"ACCT#0017315717/TAX ASSESSOR"</f>
        <v>ACCT#0017315717/TAX ASSESSOR</v>
      </c>
      <c r="H1065">
        <v>1164</v>
      </c>
      <c r="I1065" t="str">
        <f>"ACCT#0017315717/TAX ASSESSOR"</f>
        <v>ACCT#0017315717/TAX ASSESSOR</v>
      </c>
    </row>
    <row r="1066" spans="1:9" x14ac:dyDescent="0.3">
      <c r="A1066" t="str">
        <f>""</f>
        <v/>
      </c>
      <c r="F1066" t="str">
        <f>"3306258078"</f>
        <v>3306258078</v>
      </c>
      <c r="G1066" t="str">
        <f>"INV 3306258078"</f>
        <v>INV 3306258078</v>
      </c>
      <c r="H1066">
        <v>415.61</v>
      </c>
      <c r="I1066" t="str">
        <f>"INV 3306258078"</f>
        <v>INV 3306258078</v>
      </c>
    </row>
    <row r="1067" spans="1:9" x14ac:dyDescent="0.3">
      <c r="A1067" t="str">
        <f>"003293"</f>
        <v>003293</v>
      </c>
      <c r="B1067" t="s">
        <v>302</v>
      </c>
      <c r="C1067">
        <v>77346</v>
      </c>
      <c r="D1067" s="2">
        <v>7105</v>
      </c>
      <c r="E1067" s="1">
        <v>43276</v>
      </c>
      <c r="F1067" t="str">
        <f>"201806201667"</f>
        <v>201806201667</v>
      </c>
      <c r="G1067" t="str">
        <f>"16-17765 12/07/17-12/24/17"</f>
        <v>16-17765 12/07/17-12/24/17</v>
      </c>
      <c r="H1067">
        <v>142.5</v>
      </c>
      <c r="I1067" t="str">
        <f>"16-17765"</f>
        <v>16-17765</v>
      </c>
    </row>
    <row r="1068" spans="1:9" x14ac:dyDescent="0.3">
      <c r="A1068" t="str">
        <f>""</f>
        <v/>
      </c>
      <c r="F1068" t="str">
        <f>"201806201668"</f>
        <v>201806201668</v>
      </c>
      <c r="G1068" t="str">
        <f>"17-18269 12/19/17-12/26/17"</f>
        <v>17-18269 12/19/17-12/26/17</v>
      </c>
      <c r="H1068">
        <v>255</v>
      </c>
      <c r="I1068" t="str">
        <f>"17-18269"</f>
        <v>17-18269</v>
      </c>
    </row>
    <row r="1069" spans="1:9" x14ac:dyDescent="0.3">
      <c r="A1069" t="str">
        <f>""</f>
        <v/>
      </c>
      <c r="F1069" t="str">
        <f>"201806201669"</f>
        <v>201806201669</v>
      </c>
      <c r="G1069" t="str">
        <f>"17-18120  12/14/17-12/24/17"</f>
        <v>17-18120  12/14/17-12/24/17</v>
      </c>
      <c r="H1069">
        <v>262.5</v>
      </c>
      <c r="I1069" t="str">
        <f>"17-18120"</f>
        <v>17-18120</v>
      </c>
    </row>
    <row r="1070" spans="1:9" x14ac:dyDescent="0.3">
      <c r="A1070" t="str">
        <f>""</f>
        <v/>
      </c>
      <c r="F1070" t="str">
        <f>"201806201670"</f>
        <v>201806201670</v>
      </c>
      <c r="G1070" t="str">
        <f>"17-18578  11/27/17-11/30/17"</f>
        <v>17-18578  11/27/17-11/30/17</v>
      </c>
      <c r="H1070">
        <v>60</v>
      </c>
      <c r="I1070" t="str">
        <f>"17-18578"</f>
        <v>17-18578</v>
      </c>
    </row>
    <row r="1071" spans="1:9" x14ac:dyDescent="0.3">
      <c r="A1071" t="str">
        <f>""</f>
        <v/>
      </c>
      <c r="F1071" t="str">
        <f>"201806201671"</f>
        <v>201806201671</v>
      </c>
      <c r="G1071" t="str">
        <f>"16-17894  11/14/17-11/29/17"</f>
        <v>16-17894  11/14/17-11/29/17</v>
      </c>
      <c r="H1071">
        <v>206.25</v>
      </c>
      <c r="I1071" t="str">
        <f>"16-17894"</f>
        <v>16-17894</v>
      </c>
    </row>
    <row r="1072" spans="1:9" x14ac:dyDescent="0.3">
      <c r="A1072" t="str">
        <f>""</f>
        <v/>
      </c>
      <c r="F1072" t="str">
        <f>"201806201672"</f>
        <v>201806201672</v>
      </c>
      <c r="G1072" t="str">
        <f>"17-18527  11/28/17"</f>
        <v>17-18527  11/28/17</v>
      </c>
      <c r="H1072">
        <v>82.5</v>
      </c>
      <c r="I1072" t="str">
        <f>"17-18527"</f>
        <v>17-18527</v>
      </c>
    </row>
    <row r="1073" spans="1:9" x14ac:dyDescent="0.3">
      <c r="A1073" t="str">
        <f>""</f>
        <v/>
      </c>
      <c r="F1073" t="str">
        <f>"201806201673"</f>
        <v>201806201673</v>
      </c>
      <c r="G1073" t="str">
        <f>"17-18615  11/13/17-11/29/17"</f>
        <v>17-18615  11/13/17-11/29/17</v>
      </c>
      <c r="H1073">
        <v>270</v>
      </c>
      <c r="I1073" t="str">
        <f>"17-18615"</f>
        <v>17-18615</v>
      </c>
    </row>
    <row r="1074" spans="1:9" x14ac:dyDescent="0.3">
      <c r="A1074" t="str">
        <f>""</f>
        <v/>
      </c>
      <c r="F1074" t="str">
        <f>"201806201674"</f>
        <v>201806201674</v>
      </c>
      <c r="G1074" t="str">
        <f>"17-18120  11/1/17-11/14/17"</f>
        <v>17-18120  11/1/17-11/14/17</v>
      </c>
      <c r="H1074">
        <v>347.5</v>
      </c>
      <c r="I1074" t="str">
        <f>"17-18120"</f>
        <v>17-18120</v>
      </c>
    </row>
    <row r="1075" spans="1:9" x14ac:dyDescent="0.3">
      <c r="A1075" t="str">
        <f>""</f>
        <v/>
      </c>
      <c r="F1075" t="str">
        <f>"201806201675"</f>
        <v>201806201675</v>
      </c>
      <c r="G1075" t="str">
        <f>"17-18615  12/7/17-12/24/17"</f>
        <v>17-18615  12/7/17-12/24/17</v>
      </c>
      <c r="H1075">
        <v>187.5</v>
      </c>
      <c r="I1075" t="str">
        <f>"17-18615"</f>
        <v>17-18615</v>
      </c>
    </row>
    <row r="1076" spans="1:9" x14ac:dyDescent="0.3">
      <c r="A1076" t="str">
        <f>""</f>
        <v/>
      </c>
      <c r="F1076" t="str">
        <f>"201806201676"</f>
        <v>201806201676</v>
      </c>
      <c r="G1076" t="str">
        <f>"16-17944  12/13/17-12/15/17"</f>
        <v>16-17944  12/13/17-12/15/17</v>
      </c>
      <c r="H1076">
        <v>90</v>
      </c>
      <c r="I1076" t="str">
        <f>"16-17944"</f>
        <v>16-17944</v>
      </c>
    </row>
    <row r="1077" spans="1:9" x14ac:dyDescent="0.3">
      <c r="A1077" t="str">
        <f>""</f>
        <v/>
      </c>
      <c r="F1077" t="str">
        <f>"201806201677"</f>
        <v>201806201677</v>
      </c>
      <c r="G1077" t="str">
        <f>"16-17894  12/11/17-12/27/17"</f>
        <v>16-17894  12/11/17-12/27/17</v>
      </c>
      <c r="H1077">
        <v>202.5</v>
      </c>
      <c r="I1077" t="str">
        <f>"16-17894"</f>
        <v>16-17894</v>
      </c>
    </row>
    <row r="1078" spans="1:9" x14ac:dyDescent="0.3">
      <c r="A1078" t="str">
        <f>""</f>
        <v/>
      </c>
      <c r="F1078" t="str">
        <f>"201806201678"</f>
        <v>201806201678</v>
      </c>
      <c r="G1078" t="str">
        <f>"16-17760  12/4/17-12/12/17"</f>
        <v>16-17760  12/4/17-12/12/17</v>
      </c>
      <c r="H1078">
        <v>258.75</v>
      </c>
      <c r="I1078" t="str">
        <f>"16-17760"</f>
        <v>16-17760</v>
      </c>
    </row>
    <row r="1079" spans="1:9" x14ac:dyDescent="0.3">
      <c r="A1079" t="str">
        <f>""</f>
        <v/>
      </c>
      <c r="F1079" t="str">
        <f>"201806201680"</f>
        <v>201806201680</v>
      </c>
      <c r="G1079" t="str">
        <f>"18-18864  01/08/18-01/29/18"</f>
        <v>18-18864  01/08/18-01/29/18</v>
      </c>
      <c r="H1079">
        <v>310</v>
      </c>
      <c r="I1079" t="str">
        <f>"18-18864"</f>
        <v>18-18864</v>
      </c>
    </row>
    <row r="1080" spans="1:9" x14ac:dyDescent="0.3">
      <c r="A1080" t="str">
        <f>""</f>
        <v/>
      </c>
      <c r="F1080" t="str">
        <f>"201806201681"</f>
        <v>201806201681</v>
      </c>
      <c r="G1080" t="str">
        <f>"17-18269  01/29/18"</f>
        <v>17-18269  01/29/18</v>
      </c>
      <c r="H1080">
        <v>135</v>
      </c>
      <c r="I1080" t="str">
        <f>"17-18269"</f>
        <v>17-18269</v>
      </c>
    </row>
    <row r="1081" spans="1:9" x14ac:dyDescent="0.3">
      <c r="A1081" t="str">
        <f>""</f>
        <v/>
      </c>
      <c r="F1081" t="str">
        <f>"201806201682"</f>
        <v>201806201682</v>
      </c>
      <c r="G1081" t="str">
        <f>"17-18120  01/02/18-01/29/18"</f>
        <v>17-18120  01/02/18-01/29/18</v>
      </c>
      <c r="H1081">
        <v>157.5</v>
      </c>
      <c r="I1081" t="str">
        <f>"17-18120"</f>
        <v>17-18120</v>
      </c>
    </row>
    <row r="1082" spans="1:9" x14ac:dyDescent="0.3">
      <c r="A1082" t="str">
        <f>""</f>
        <v/>
      </c>
      <c r="F1082" t="str">
        <f>"201806201683"</f>
        <v>201806201683</v>
      </c>
      <c r="G1082" t="str">
        <f>"17-18578  01/24/18"</f>
        <v>17-18578  01/24/18</v>
      </c>
      <c r="H1082">
        <v>168.75</v>
      </c>
      <c r="I1082" t="str">
        <f>"17-18578"</f>
        <v>17-18578</v>
      </c>
    </row>
    <row r="1083" spans="1:9" x14ac:dyDescent="0.3">
      <c r="A1083" t="str">
        <f>""</f>
        <v/>
      </c>
      <c r="F1083" t="str">
        <f>"201806201684"</f>
        <v>201806201684</v>
      </c>
      <c r="G1083" t="str">
        <f>"16-17765  01/11/18"</f>
        <v>16-17765  01/11/18</v>
      </c>
      <c r="H1083">
        <v>60</v>
      </c>
      <c r="I1083" t="str">
        <f>"16-17765"</f>
        <v>16-17765</v>
      </c>
    </row>
    <row r="1084" spans="1:9" x14ac:dyDescent="0.3">
      <c r="A1084" t="str">
        <f>""</f>
        <v/>
      </c>
      <c r="F1084" t="str">
        <f>"201806201685"</f>
        <v>201806201685</v>
      </c>
      <c r="G1084" t="str">
        <f>"17-18615  01/02/18-01/29/18"</f>
        <v>17-18615  01/02/18-01/29/18</v>
      </c>
      <c r="H1084">
        <v>438.75</v>
      </c>
      <c r="I1084" t="str">
        <f>"17-18615"</f>
        <v>17-18615</v>
      </c>
    </row>
    <row r="1085" spans="1:9" x14ac:dyDescent="0.3">
      <c r="A1085" t="str">
        <f>""</f>
        <v/>
      </c>
      <c r="F1085" t="str">
        <f>"201806201686"</f>
        <v>201806201686</v>
      </c>
      <c r="G1085" t="str">
        <f>"17-18527  01/03/18-01/30/18"</f>
        <v>17-18527  01/03/18-01/30/18</v>
      </c>
      <c r="H1085">
        <v>557.5</v>
      </c>
      <c r="I1085" t="str">
        <f>"17-18527"</f>
        <v>17-18527</v>
      </c>
    </row>
    <row r="1086" spans="1:9" x14ac:dyDescent="0.3">
      <c r="A1086" t="str">
        <f>""</f>
        <v/>
      </c>
      <c r="F1086" t="str">
        <f>"201806201687"</f>
        <v>201806201687</v>
      </c>
      <c r="G1086" t="str">
        <f>"16-17944  01/06/18-01/26/18"</f>
        <v>16-17944  01/06/18-01/26/18</v>
      </c>
      <c r="H1086">
        <v>405</v>
      </c>
      <c r="I1086" t="str">
        <f>"16-17944"</f>
        <v>16-17944</v>
      </c>
    </row>
    <row r="1087" spans="1:9" x14ac:dyDescent="0.3">
      <c r="A1087" t="str">
        <f>""</f>
        <v/>
      </c>
      <c r="F1087" t="str">
        <f>"201806201688"</f>
        <v>201806201688</v>
      </c>
      <c r="G1087" t="str">
        <f>"17-18738  12/15/17-01/24/18"</f>
        <v>17-18738  12/15/17-01/24/18</v>
      </c>
      <c r="H1087">
        <v>663.75</v>
      </c>
      <c r="I1087" t="str">
        <f>"17-18738"</f>
        <v>17-18738</v>
      </c>
    </row>
    <row r="1088" spans="1:9" x14ac:dyDescent="0.3">
      <c r="A1088" t="str">
        <f>""</f>
        <v/>
      </c>
      <c r="F1088" t="str">
        <f>"201806201689"</f>
        <v>201806201689</v>
      </c>
      <c r="G1088" t="str">
        <f>"17-18229  01/04/18-01/30/18"</f>
        <v>17-18229  01/04/18-01/30/18</v>
      </c>
      <c r="H1088">
        <v>490</v>
      </c>
      <c r="I1088" t="str">
        <f>"17-18229"</f>
        <v>17-18229</v>
      </c>
    </row>
    <row r="1089" spans="1:9" x14ac:dyDescent="0.3">
      <c r="A1089" t="str">
        <f>""</f>
        <v/>
      </c>
      <c r="F1089" t="str">
        <f>"201806201690"</f>
        <v>201806201690</v>
      </c>
      <c r="G1089" t="str">
        <f>"16-17765  11/06/17-11/18/17"</f>
        <v>16-17765  11/06/17-11/18/17</v>
      </c>
      <c r="H1089">
        <v>716.25</v>
      </c>
      <c r="I1089" t="str">
        <f>"16-17765"</f>
        <v>16-17765</v>
      </c>
    </row>
    <row r="1090" spans="1:9" x14ac:dyDescent="0.3">
      <c r="A1090" t="str">
        <f>""</f>
        <v/>
      </c>
      <c r="F1090" t="str">
        <f>"201806201691"</f>
        <v>201806201691</v>
      </c>
      <c r="G1090" t="str">
        <f>"17-18269  11/01/17-11/21/17"</f>
        <v>17-18269  11/01/17-11/21/17</v>
      </c>
      <c r="H1090">
        <v>637.5</v>
      </c>
      <c r="I1090" t="str">
        <f>"17-18269"</f>
        <v>17-18269</v>
      </c>
    </row>
    <row r="1091" spans="1:9" x14ac:dyDescent="0.3">
      <c r="A1091" t="str">
        <f>"PM"</f>
        <v>PM</v>
      </c>
      <c r="B1091" t="s">
        <v>303</v>
      </c>
      <c r="C1091">
        <v>77153</v>
      </c>
      <c r="D1091" s="2">
        <v>102</v>
      </c>
      <c r="E1091" s="1">
        <v>43262</v>
      </c>
      <c r="F1091" t="str">
        <f>"201806051280"</f>
        <v>201806051280</v>
      </c>
      <c r="G1091" t="str">
        <f>"BOX 676/TREASURER'S OFFICE"</f>
        <v>BOX 676/TREASURER'S OFFICE</v>
      </c>
      <c r="H1091">
        <v>102</v>
      </c>
      <c r="I1091" t="str">
        <f>"BOX 676/TREASURER'S OFFICE"</f>
        <v>BOX 676/TREASURER'S OFFICE</v>
      </c>
    </row>
    <row r="1092" spans="1:9" x14ac:dyDescent="0.3">
      <c r="A1092" t="str">
        <f>"PM"</f>
        <v>PM</v>
      </c>
      <c r="B1092" t="s">
        <v>303</v>
      </c>
      <c r="C1092">
        <v>77154</v>
      </c>
      <c r="D1092" s="2">
        <v>182</v>
      </c>
      <c r="E1092" s="1">
        <v>43262</v>
      </c>
      <c r="F1092" t="str">
        <f>"201806051281"</f>
        <v>201806051281</v>
      </c>
      <c r="G1092" t="str">
        <f>"BOX 577/COUNTY CLERK"</f>
        <v>BOX 577/COUNTY CLERK</v>
      </c>
      <c r="H1092">
        <v>182</v>
      </c>
      <c r="I1092" t="str">
        <f>"BOX 577/COUNTY CLERK"</f>
        <v>BOX 577/COUNTY CLERK</v>
      </c>
    </row>
    <row r="1093" spans="1:9" x14ac:dyDescent="0.3">
      <c r="A1093" t="str">
        <f>"POST"</f>
        <v>POST</v>
      </c>
      <c r="B1093" t="s">
        <v>303</v>
      </c>
      <c r="C1093">
        <v>77155</v>
      </c>
      <c r="D1093" s="2">
        <v>225</v>
      </c>
      <c r="E1093" s="1">
        <v>43262</v>
      </c>
      <c r="F1093" t="str">
        <f>"201806011246"</f>
        <v>201806011246</v>
      </c>
      <c r="G1093" t="str">
        <f>"BRM PERMIT/ELECTIONS"</f>
        <v>BRM PERMIT/ELECTIONS</v>
      </c>
      <c r="H1093">
        <v>225</v>
      </c>
      <c r="I1093" t="str">
        <f>"BRM PERMIT/ELECTIONS"</f>
        <v>BRM PERMIT/ELECTIONS</v>
      </c>
    </row>
    <row r="1094" spans="1:9" x14ac:dyDescent="0.3">
      <c r="A1094" t="str">
        <f>"PM"</f>
        <v>PM</v>
      </c>
      <c r="B1094" t="s">
        <v>303</v>
      </c>
      <c r="C1094">
        <v>77347</v>
      </c>
      <c r="D1094" s="2">
        <v>182</v>
      </c>
      <c r="E1094" s="1">
        <v>43276</v>
      </c>
      <c r="F1094" t="str">
        <f>"201806131588"</f>
        <v>201806131588</v>
      </c>
      <c r="G1094" t="str">
        <f>"BOX 579/12 MONTHS/TAX OFFICE"</f>
        <v>BOX 579/12 MONTHS/TAX OFFICE</v>
      </c>
      <c r="H1094">
        <v>182</v>
      </c>
      <c r="I1094" t="str">
        <f>"BOX 579/12 MONTHS/TAX OFFICE"</f>
        <v>BOX 579/12 MONTHS/TAX OFFICE</v>
      </c>
    </row>
    <row r="1095" spans="1:9" x14ac:dyDescent="0.3">
      <c r="A1095" t="str">
        <f>"WOSC"</f>
        <v>WOSC</v>
      </c>
      <c r="B1095" t="s">
        <v>304</v>
      </c>
      <c r="C1095">
        <v>77348</v>
      </c>
      <c r="D1095" s="2">
        <v>135.94999999999999</v>
      </c>
      <c r="E1095" s="1">
        <v>43276</v>
      </c>
      <c r="F1095" t="str">
        <f>"83323021"</f>
        <v>83323021</v>
      </c>
      <c r="G1095" t="str">
        <f>"CUST#71745122/OXYGEN/ANIMAL CO"</f>
        <v>CUST#71745122/OXYGEN/ANIMAL CO</v>
      </c>
      <c r="H1095">
        <v>135.94999999999999</v>
      </c>
      <c r="I1095" t="str">
        <f>"CUST#71745122/OXYGEN/ANIMAL CO"</f>
        <v>CUST#71745122/OXYGEN/ANIMAL CO</v>
      </c>
    </row>
    <row r="1096" spans="1:9" x14ac:dyDescent="0.3">
      <c r="A1096" t="str">
        <f>"T11244"</f>
        <v>T11244</v>
      </c>
      <c r="B1096" t="s">
        <v>305</v>
      </c>
      <c r="C1096">
        <v>77349</v>
      </c>
      <c r="D1096" s="2">
        <v>150</v>
      </c>
      <c r="E1096" s="1">
        <v>43276</v>
      </c>
      <c r="F1096" t="str">
        <f>"1079452"</f>
        <v>1079452</v>
      </c>
      <c r="G1096" t="str">
        <f>"WORKORDER/PCT#4"</f>
        <v>WORKORDER/PCT#4</v>
      </c>
      <c r="H1096">
        <v>150</v>
      </c>
      <c r="I1096" t="str">
        <f>"WORKORDER/PCT#4"</f>
        <v>WORKORDER/PCT#4</v>
      </c>
    </row>
    <row r="1097" spans="1:9" x14ac:dyDescent="0.3">
      <c r="A1097" t="str">
        <f>"T8663"</f>
        <v>T8663</v>
      </c>
      <c r="B1097" t="s">
        <v>306</v>
      </c>
      <c r="C1097">
        <v>77230</v>
      </c>
      <c r="D1097" s="2">
        <v>300</v>
      </c>
      <c r="E1097" s="1">
        <v>43273</v>
      </c>
      <c r="F1097" t="str">
        <f>"BCSD00782817 Reiss"</f>
        <v>BCSD00782817 Reiss</v>
      </c>
      <c r="G1097" t="str">
        <f>"BCSD00782817 /TCLEDDS RENEWAL"</f>
        <v>BCSD00782817 /TCLEDDS RENEWAL</v>
      </c>
      <c r="H1097">
        <v>300</v>
      </c>
      <c r="I1097" t="str">
        <f>"BCSD00782817 /TCLEDDS RENEWAL"</f>
        <v>BCSD00782817 /TCLEDDS RENEWAL</v>
      </c>
    </row>
    <row r="1098" spans="1:9" x14ac:dyDescent="0.3">
      <c r="A1098" t="str">
        <f>"T11156"</f>
        <v>T11156</v>
      </c>
      <c r="B1098" t="s">
        <v>307</v>
      </c>
      <c r="C1098">
        <v>77156</v>
      </c>
      <c r="D1098" s="2">
        <v>287.14999999999998</v>
      </c>
      <c r="E1098" s="1">
        <v>43262</v>
      </c>
      <c r="F1098" t="str">
        <f>"201806061444"</f>
        <v>201806061444</v>
      </c>
      <c r="G1098" t="str">
        <f>"INDIGENT HEALTH"</f>
        <v>INDIGENT HEALTH</v>
      </c>
      <c r="H1098">
        <v>287.14999999999998</v>
      </c>
      <c r="I1098" t="str">
        <f>"INDIGENT HEALTH"</f>
        <v>INDIGENT HEALTH</v>
      </c>
    </row>
    <row r="1099" spans="1:9" x14ac:dyDescent="0.3">
      <c r="A1099" t="str">
        <f>""</f>
        <v/>
      </c>
      <c r="F1099" t="str">
        <f>""</f>
        <v/>
      </c>
      <c r="G1099" t="str">
        <f>""</f>
        <v/>
      </c>
      <c r="I1099" t="str">
        <f>"INDIGENT HEALTH"</f>
        <v>INDIGENT HEALTH</v>
      </c>
    </row>
    <row r="1100" spans="1:9" x14ac:dyDescent="0.3">
      <c r="A1100" t="str">
        <f>"000303"</f>
        <v>000303</v>
      </c>
      <c r="B1100" t="s">
        <v>308</v>
      </c>
      <c r="C1100">
        <v>999999</v>
      </c>
      <c r="D1100" s="2">
        <v>604.79</v>
      </c>
      <c r="E1100" s="1">
        <v>43277</v>
      </c>
      <c r="F1100" t="str">
        <f>"201806201649"</f>
        <v>201806201649</v>
      </c>
      <c r="G1100" t="str">
        <f>"HOTEL/PARKING REIMBURSEMENT"</f>
        <v>HOTEL/PARKING REIMBURSEMENT</v>
      </c>
      <c r="H1100">
        <v>110.21</v>
      </c>
      <c r="I1100" t="str">
        <f>"HOTEL/PARKING REIMBURSEMENT"</f>
        <v>HOTEL/PARKING REIMBURSEMENT</v>
      </c>
    </row>
    <row r="1101" spans="1:9" x14ac:dyDescent="0.3">
      <c r="A1101" t="str">
        <f>""</f>
        <v/>
      </c>
      <c r="F1101" t="str">
        <f>"201806201650"</f>
        <v>201806201650</v>
      </c>
      <c r="G1101" t="str">
        <f>"REGISTRATION-TX CTY AG AGENTS"</f>
        <v>REGISTRATION-TX CTY AG AGENTS</v>
      </c>
      <c r="H1101">
        <v>300</v>
      </c>
      <c r="I1101" t="str">
        <f>"REGISTRATION-TX CTY AG AGENTS"</f>
        <v>REGISTRATION-TX CTY AG AGENTS</v>
      </c>
    </row>
    <row r="1102" spans="1:9" x14ac:dyDescent="0.3">
      <c r="A1102" t="str">
        <f>""</f>
        <v/>
      </c>
      <c r="F1102" t="str">
        <f>"201806201653"</f>
        <v>201806201653</v>
      </c>
      <c r="G1102" t="str">
        <f>"REIMBURSE HOTEL/MEALS"</f>
        <v>REIMBURSE HOTEL/MEALS</v>
      </c>
      <c r="H1102">
        <v>194.58</v>
      </c>
      <c r="I1102" t="str">
        <f>"REIMBURSE HOTEL/MEALS"</f>
        <v>REIMBURSE HOTEL/MEALS</v>
      </c>
    </row>
    <row r="1103" spans="1:9" x14ac:dyDescent="0.3">
      <c r="A1103" t="str">
        <f>"000591"</f>
        <v>000591</v>
      </c>
      <c r="B1103" t="s">
        <v>309</v>
      </c>
      <c r="C1103">
        <v>999999</v>
      </c>
      <c r="D1103" s="2">
        <v>271.58999999999997</v>
      </c>
      <c r="E1103" s="1">
        <v>43277</v>
      </c>
      <c r="F1103" t="str">
        <f>"08F0121569859"</f>
        <v>08F0121569859</v>
      </c>
      <c r="G1103" t="str">
        <f>"ACCT#0121569859/JP#4"</f>
        <v>ACCT#0121569859/JP#4</v>
      </c>
      <c r="H1103">
        <v>5.95</v>
      </c>
      <c r="I1103" t="str">
        <f>"ACCT#0121569859/JP#4"</f>
        <v>ACCT#0121569859/JP#4</v>
      </c>
    </row>
    <row r="1104" spans="1:9" x14ac:dyDescent="0.3">
      <c r="A1104" t="str">
        <f>""</f>
        <v/>
      </c>
      <c r="F1104" t="str">
        <f>"08F0121587851"</f>
        <v>08F0121587851</v>
      </c>
      <c r="G1104" t="str">
        <f>"ACCT#0121587851/PCT#4"</f>
        <v>ACCT#0121587851/PCT#4</v>
      </c>
      <c r="H1104">
        <v>265.64</v>
      </c>
      <c r="I1104" t="str">
        <f>"ACCT#0121587851/PCT#4"</f>
        <v>ACCT#0121587851/PCT#4</v>
      </c>
    </row>
    <row r="1105" spans="1:9" x14ac:dyDescent="0.3">
      <c r="A1105" t="str">
        <f>"T14113"</f>
        <v>T14113</v>
      </c>
      <c r="B1105" t="s">
        <v>310</v>
      </c>
      <c r="C1105">
        <v>77350</v>
      </c>
      <c r="D1105" s="2">
        <v>30.3</v>
      </c>
      <c r="E1105" s="1">
        <v>43276</v>
      </c>
      <c r="F1105" t="str">
        <f>"0794-41"</f>
        <v>0794-41</v>
      </c>
      <c r="G1105" t="str">
        <f>"SUPPLIES/PCT#3"</f>
        <v>SUPPLIES/PCT#3</v>
      </c>
      <c r="H1105">
        <v>30.3</v>
      </c>
      <c r="I1105" t="str">
        <f>"SUPPLIES/PCT#3"</f>
        <v>SUPPLIES/PCT#3</v>
      </c>
    </row>
    <row r="1106" spans="1:9" x14ac:dyDescent="0.3">
      <c r="A1106" t="str">
        <f>"003737"</f>
        <v>003737</v>
      </c>
      <c r="B1106" t="s">
        <v>311</v>
      </c>
      <c r="C1106">
        <v>77157</v>
      </c>
      <c r="D1106" s="2">
        <v>638.14</v>
      </c>
      <c r="E1106" s="1">
        <v>43262</v>
      </c>
      <c r="F1106" t="str">
        <f>"0843-001463212"</f>
        <v>0843-001463212</v>
      </c>
      <c r="G1106" t="str">
        <f>"ACCT#3-0843-1269216/ANIMAL CON"</f>
        <v>ACCT#3-0843-1269216/ANIMAL CON</v>
      </c>
      <c r="H1106">
        <v>638.14</v>
      </c>
      <c r="I1106" t="str">
        <f>"ACCT#3-0843-1269216/ANIMAL CON"</f>
        <v>ACCT#3-0843-1269216/ANIMAL CON</v>
      </c>
    </row>
    <row r="1107" spans="1:9" x14ac:dyDescent="0.3">
      <c r="A1107" t="str">
        <f>"004822"</f>
        <v>004822</v>
      </c>
      <c r="B1107" t="s">
        <v>312</v>
      </c>
      <c r="C1107">
        <v>77351</v>
      </c>
      <c r="D1107" s="2">
        <v>861.57</v>
      </c>
      <c r="E1107" s="1">
        <v>43276</v>
      </c>
      <c r="F1107" t="str">
        <f>"0000010039"</f>
        <v>0000010039</v>
      </c>
      <c r="G1107" t="str">
        <f>"WK ORD#0000010989/PCT#4"</f>
        <v>WK ORD#0000010989/PCT#4</v>
      </c>
      <c r="H1107">
        <v>861.57</v>
      </c>
      <c r="I1107" t="str">
        <f>"WK ORD#0000010989/PCT#4"</f>
        <v>WK ORD#0000010989/PCT#4</v>
      </c>
    </row>
    <row r="1108" spans="1:9" x14ac:dyDescent="0.3">
      <c r="A1108" t="str">
        <f>"RESERV"</f>
        <v>RESERV</v>
      </c>
      <c r="B1108" t="s">
        <v>313</v>
      </c>
      <c r="C1108">
        <v>77352</v>
      </c>
      <c r="D1108" s="2">
        <v>9000</v>
      </c>
      <c r="E1108" s="1">
        <v>43276</v>
      </c>
      <c r="F1108" t="str">
        <f>"201806131572"</f>
        <v>201806131572</v>
      </c>
      <c r="G1108" t="str">
        <f>"ACCT#34549337/POSTAGE"</f>
        <v>ACCT#34549337/POSTAGE</v>
      </c>
      <c r="H1108">
        <v>9000</v>
      </c>
      <c r="I1108" t="str">
        <f>"ACCT#34549337/POSTAGE"</f>
        <v>ACCT#34549337/POSTAGE</v>
      </c>
    </row>
    <row r="1109" spans="1:9" x14ac:dyDescent="0.3">
      <c r="A1109" t="str">
        <f>"T11385"</f>
        <v>T11385</v>
      </c>
      <c r="B1109" t="s">
        <v>314</v>
      </c>
      <c r="C1109">
        <v>999999</v>
      </c>
      <c r="D1109" s="2">
        <v>875</v>
      </c>
      <c r="E1109" s="1">
        <v>43263</v>
      </c>
      <c r="F1109" t="str">
        <f>"201806061354"</f>
        <v>201806061354</v>
      </c>
      <c r="G1109" t="str">
        <f>"407127-4"</f>
        <v>407127-4</v>
      </c>
      <c r="H1109">
        <v>250</v>
      </c>
      <c r="I1109" t="str">
        <f>"407127-4"</f>
        <v>407127-4</v>
      </c>
    </row>
    <row r="1110" spans="1:9" x14ac:dyDescent="0.3">
      <c r="A1110" t="str">
        <f>""</f>
        <v/>
      </c>
      <c r="F1110" t="str">
        <f>"201806061355"</f>
        <v>201806061355</v>
      </c>
      <c r="G1110" t="str">
        <f>"02-0430-1  55542    03/29/2018"</f>
        <v>02-0430-1  55542    03/29/2018</v>
      </c>
      <c r="H1110">
        <v>375</v>
      </c>
      <c r="I1110" t="str">
        <f>"02-0430-1  55542    03/29/2018"</f>
        <v>02-0430-1  55542    03/29/2018</v>
      </c>
    </row>
    <row r="1111" spans="1:9" x14ac:dyDescent="0.3">
      <c r="A1111" t="str">
        <f>""</f>
        <v/>
      </c>
      <c r="F1111" t="str">
        <f>"201806061384"</f>
        <v>201806061384</v>
      </c>
      <c r="G1111" t="str">
        <f>"309032017B"</f>
        <v>309032017B</v>
      </c>
      <c r="H1111">
        <v>250</v>
      </c>
      <c r="I1111" t="str">
        <f>"309032017B"</f>
        <v>309032017B</v>
      </c>
    </row>
    <row r="1112" spans="1:9" x14ac:dyDescent="0.3">
      <c r="A1112" t="str">
        <f>"T11385"</f>
        <v>T11385</v>
      </c>
      <c r="B1112" t="s">
        <v>314</v>
      </c>
      <c r="C1112">
        <v>999999</v>
      </c>
      <c r="D1112" s="2">
        <v>100</v>
      </c>
      <c r="E1112" s="1">
        <v>43277</v>
      </c>
      <c r="F1112" t="str">
        <f>"201806201679"</f>
        <v>201806201679</v>
      </c>
      <c r="G1112" t="str">
        <f>"DCPC-18-097"</f>
        <v>DCPC-18-097</v>
      </c>
      <c r="H1112">
        <v>100</v>
      </c>
      <c r="I1112" t="str">
        <f>"DCPC-18-097"</f>
        <v>DCPC-18-097</v>
      </c>
    </row>
    <row r="1113" spans="1:9" x14ac:dyDescent="0.3">
      <c r="A1113" t="str">
        <f>"005158"</f>
        <v>005158</v>
      </c>
      <c r="B1113" t="s">
        <v>315</v>
      </c>
      <c r="C1113">
        <v>77158</v>
      </c>
      <c r="D1113" s="2">
        <v>100</v>
      </c>
      <c r="E1113" s="1">
        <v>43262</v>
      </c>
      <c r="F1113" t="str">
        <f>"18030903"</f>
        <v>18030903</v>
      </c>
      <c r="G1113" t="str">
        <f>"INV 18030903"</f>
        <v>INV 18030903</v>
      </c>
      <c r="H1113">
        <v>100</v>
      </c>
      <c r="I1113" t="str">
        <f>"INV 18030903"</f>
        <v>INV 18030903</v>
      </c>
    </row>
    <row r="1114" spans="1:9" x14ac:dyDescent="0.3">
      <c r="A1114" t="str">
        <f>"001322"</f>
        <v>001322</v>
      </c>
      <c r="B1114" t="s">
        <v>316</v>
      </c>
      <c r="C1114">
        <v>999999</v>
      </c>
      <c r="D1114" s="2">
        <v>1940.33</v>
      </c>
      <c r="E1114" s="1">
        <v>43263</v>
      </c>
      <c r="F1114" t="str">
        <f>"5053451334"</f>
        <v>5053451334</v>
      </c>
      <c r="G1114" t="str">
        <f>"CONTRACT#4457471"</f>
        <v>CONTRACT#4457471</v>
      </c>
      <c r="H1114">
        <v>1811.39</v>
      </c>
      <c r="I1114" t="str">
        <f t="shared" ref="I1114:I1132" si="3">"CONTRACT#4457471"</f>
        <v>CONTRACT#4457471</v>
      </c>
    </row>
    <row r="1115" spans="1:9" x14ac:dyDescent="0.3">
      <c r="A1115" t="str">
        <f>""</f>
        <v/>
      </c>
      <c r="F1115" t="str">
        <f>""</f>
        <v/>
      </c>
      <c r="G1115" t="str">
        <f>""</f>
        <v/>
      </c>
      <c r="I1115" t="str">
        <f t="shared" si="3"/>
        <v>CONTRACT#4457471</v>
      </c>
    </row>
    <row r="1116" spans="1:9" x14ac:dyDescent="0.3">
      <c r="A1116" t="str">
        <f>""</f>
        <v/>
      </c>
      <c r="F1116" t="str">
        <f>""</f>
        <v/>
      </c>
      <c r="G1116" t="str">
        <f>""</f>
        <v/>
      </c>
      <c r="I1116" t="str">
        <f t="shared" si="3"/>
        <v>CONTRACT#4457471</v>
      </c>
    </row>
    <row r="1117" spans="1:9" x14ac:dyDescent="0.3">
      <c r="A1117" t="str">
        <f>""</f>
        <v/>
      </c>
      <c r="F1117" t="str">
        <f>""</f>
        <v/>
      </c>
      <c r="G1117" t="str">
        <f>""</f>
        <v/>
      </c>
      <c r="I1117" t="str">
        <f t="shared" si="3"/>
        <v>CONTRACT#4457471</v>
      </c>
    </row>
    <row r="1118" spans="1:9" x14ac:dyDescent="0.3">
      <c r="A1118" t="str">
        <f>""</f>
        <v/>
      </c>
      <c r="F1118" t="str">
        <f>""</f>
        <v/>
      </c>
      <c r="G1118" t="str">
        <f>""</f>
        <v/>
      </c>
      <c r="I1118" t="str">
        <f t="shared" si="3"/>
        <v>CONTRACT#4457471</v>
      </c>
    </row>
    <row r="1119" spans="1:9" x14ac:dyDescent="0.3">
      <c r="A1119" t="str">
        <f>""</f>
        <v/>
      </c>
      <c r="F1119" t="str">
        <f>""</f>
        <v/>
      </c>
      <c r="G1119" t="str">
        <f>""</f>
        <v/>
      </c>
      <c r="I1119" t="str">
        <f t="shared" si="3"/>
        <v>CONTRACT#4457471</v>
      </c>
    </row>
    <row r="1120" spans="1:9" x14ac:dyDescent="0.3">
      <c r="A1120" t="str">
        <f>""</f>
        <v/>
      </c>
      <c r="F1120" t="str">
        <f>""</f>
        <v/>
      </c>
      <c r="G1120" t="str">
        <f>""</f>
        <v/>
      </c>
      <c r="I1120" t="str">
        <f t="shared" si="3"/>
        <v>CONTRACT#4457471</v>
      </c>
    </row>
    <row r="1121" spans="1:9" x14ac:dyDescent="0.3">
      <c r="A1121" t="str">
        <f>""</f>
        <v/>
      </c>
      <c r="F1121" t="str">
        <f>""</f>
        <v/>
      </c>
      <c r="G1121" t="str">
        <f>""</f>
        <v/>
      </c>
      <c r="I1121" t="str">
        <f t="shared" si="3"/>
        <v>CONTRACT#4457471</v>
      </c>
    </row>
    <row r="1122" spans="1:9" x14ac:dyDescent="0.3">
      <c r="A1122" t="str">
        <f>""</f>
        <v/>
      </c>
      <c r="F1122" t="str">
        <f>""</f>
        <v/>
      </c>
      <c r="G1122" t="str">
        <f>""</f>
        <v/>
      </c>
      <c r="I1122" t="str">
        <f t="shared" si="3"/>
        <v>CONTRACT#4457471</v>
      </c>
    </row>
    <row r="1123" spans="1:9" x14ac:dyDescent="0.3">
      <c r="A1123" t="str">
        <f>""</f>
        <v/>
      </c>
      <c r="F1123" t="str">
        <f>""</f>
        <v/>
      </c>
      <c r="G1123" t="str">
        <f>""</f>
        <v/>
      </c>
      <c r="I1123" t="str">
        <f t="shared" si="3"/>
        <v>CONTRACT#4457471</v>
      </c>
    </row>
    <row r="1124" spans="1:9" x14ac:dyDescent="0.3">
      <c r="A1124" t="str">
        <f>""</f>
        <v/>
      </c>
      <c r="F1124" t="str">
        <f>""</f>
        <v/>
      </c>
      <c r="G1124" t="str">
        <f>""</f>
        <v/>
      </c>
      <c r="I1124" t="str">
        <f t="shared" si="3"/>
        <v>CONTRACT#4457471</v>
      </c>
    </row>
    <row r="1125" spans="1:9" x14ac:dyDescent="0.3">
      <c r="A1125" t="str">
        <f>""</f>
        <v/>
      </c>
      <c r="F1125" t="str">
        <f>""</f>
        <v/>
      </c>
      <c r="G1125" t="str">
        <f>""</f>
        <v/>
      </c>
      <c r="I1125" t="str">
        <f t="shared" si="3"/>
        <v>CONTRACT#4457471</v>
      </c>
    </row>
    <row r="1126" spans="1:9" x14ac:dyDescent="0.3">
      <c r="A1126" t="str">
        <f>""</f>
        <v/>
      </c>
      <c r="F1126" t="str">
        <f>""</f>
        <v/>
      </c>
      <c r="G1126" t="str">
        <f>""</f>
        <v/>
      </c>
      <c r="I1126" t="str">
        <f t="shared" si="3"/>
        <v>CONTRACT#4457471</v>
      </c>
    </row>
    <row r="1127" spans="1:9" x14ac:dyDescent="0.3">
      <c r="A1127" t="str">
        <f>""</f>
        <v/>
      </c>
      <c r="F1127" t="str">
        <f>""</f>
        <v/>
      </c>
      <c r="G1127" t="str">
        <f>""</f>
        <v/>
      </c>
      <c r="I1127" t="str">
        <f t="shared" si="3"/>
        <v>CONTRACT#4457471</v>
      </c>
    </row>
    <row r="1128" spans="1:9" x14ac:dyDescent="0.3">
      <c r="A1128" t="str">
        <f>""</f>
        <v/>
      </c>
      <c r="F1128" t="str">
        <f>""</f>
        <v/>
      </c>
      <c r="G1128" t="str">
        <f>""</f>
        <v/>
      </c>
      <c r="I1128" t="str">
        <f t="shared" si="3"/>
        <v>CONTRACT#4457471</v>
      </c>
    </row>
    <row r="1129" spans="1:9" x14ac:dyDescent="0.3">
      <c r="A1129" t="str">
        <f>""</f>
        <v/>
      </c>
      <c r="F1129" t="str">
        <f>""</f>
        <v/>
      </c>
      <c r="G1129" t="str">
        <f>""</f>
        <v/>
      </c>
      <c r="I1129" t="str">
        <f t="shared" si="3"/>
        <v>CONTRACT#4457471</v>
      </c>
    </row>
    <row r="1130" spans="1:9" x14ac:dyDescent="0.3">
      <c r="A1130" t="str">
        <f>""</f>
        <v/>
      </c>
      <c r="F1130" t="str">
        <f>""</f>
        <v/>
      </c>
      <c r="G1130" t="str">
        <f>""</f>
        <v/>
      </c>
      <c r="I1130" t="str">
        <f t="shared" si="3"/>
        <v>CONTRACT#4457471</v>
      </c>
    </row>
    <row r="1131" spans="1:9" x14ac:dyDescent="0.3">
      <c r="A1131" t="str">
        <f>""</f>
        <v/>
      </c>
      <c r="F1131" t="str">
        <f>""</f>
        <v/>
      </c>
      <c r="G1131" t="str">
        <f>""</f>
        <v/>
      </c>
      <c r="I1131" t="str">
        <f t="shared" si="3"/>
        <v>CONTRACT#4457471</v>
      </c>
    </row>
    <row r="1132" spans="1:9" x14ac:dyDescent="0.3">
      <c r="A1132" t="str">
        <f>""</f>
        <v/>
      </c>
      <c r="F1132" t="str">
        <f>""</f>
        <v/>
      </c>
      <c r="G1132" t="str">
        <f>""</f>
        <v/>
      </c>
      <c r="I1132" t="str">
        <f t="shared" si="3"/>
        <v>CONTRACT#4457471</v>
      </c>
    </row>
    <row r="1133" spans="1:9" x14ac:dyDescent="0.3">
      <c r="A1133" t="str">
        <f>""</f>
        <v/>
      </c>
      <c r="F1133" t="str">
        <f>"5053451334 P2"</f>
        <v>5053451334 P2</v>
      </c>
      <c r="G1133" t="str">
        <f>"CONTRACT#4457471/PCT#2"</f>
        <v>CONTRACT#4457471/PCT#2</v>
      </c>
      <c r="H1133">
        <v>128.94</v>
      </c>
      <c r="I1133" t="str">
        <f>"CONTRACT#4457471/PCT#2"</f>
        <v>CONTRACT#4457471/PCT#2</v>
      </c>
    </row>
    <row r="1134" spans="1:9" x14ac:dyDescent="0.3">
      <c r="A1134" t="str">
        <f>"000374"</f>
        <v>000374</v>
      </c>
      <c r="B1134" t="s">
        <v>317</v>
      </c>
      <c r="C1134">
        <v>77159</v>
      </c>
      <c r="D1134" s="2">
        <v>263.98</v>
      </c>
      <c r="E1134" s="1">
        <v>43262</v>
      </c>
      <c r="F1134" t="str">
        <f>"IO11707"</f>
        <v>IO11707</v>
      </c>
      <c r="G1134" t="str">
        <f>"PATTERN CLEAR LEXAN/PCT#3"</f>
        <v>PATTERN CLEAR LEXAN/PCT#3</v>
      </c>
      <c r="H1134">
        <v>163.99</v>
      </c>
      <c r="I1134" t="str">
        <f>"PATTERN CLEAR LEXAN/PCT#3"</f>
        <v>PATTERN CLEAR LEXAN/PCT#3</v>
      </c>
    </row>
    <row r="1135" spans="1:9" x14ac:dyDescent="0.3">
      <c r="A1135" t="str">
        <f>""</f>
        <v/>
      </c>
      <c r="F1135" t="str">
        <f>"W011592"</f>
        <v>W011592</v>
      </c>
      <c r="G1135" t="str">
        <f>"GLASS FOR DESK TOP/COUNTY DPS"</f>
        <v>GLASS FOR DESK TOP/COUNTY DPS</v>
      </c>
      <c r="H1135">
        <v>99.99</v>
      </c>
      <c r="I1135" t="str">
        <f>"GLASS FOR DESK TOP/COUNTY DPS"</f>
        <v>GLASS FOR DESK TOP/COUNTY DPS</v>
      </c>
    </row>
    <row r="1136" spans="1:9" x14ac:dyDescent="0.3">
      <c r="A1136" t="str">
        <f>"004417"</f>
        <v>004417</v>
      </c>
      <c r="B1136" t="s">
        <v>318</v>
      </c>
      <c r="C1136">
        <v>999999</v>
      </c>
      <c r="D1136" s="2">
        <v>950</v>
      </c>
      <c r="E1136" s="1">
        <v>43277</v>
      </c>
      <c r="F1136" t="str">
        <f>"MAY 2018 XRAY SVCS"</f>
        <v>MAY 2018 XRAY SVCS</v>
      </c>
      <c r="G1136" t="str">
        <f>"INV BCSO MAY18"</f>
        <v>INV BCSO MAY18</v>
      </c>
      <c r="H1136">
        <v>950</v>
      </c>
      <c r="I1136" t="str">
        <f>"INV BCSO MAY18"</f>
        <v>INV BCSO MAY18</v>
      </c>
    </row>
    <row r="1137" spans="1:9" x14ac:dyDescent="0.3">
      <c r="A1137" t="str">
        <f>"005165"</f>
        <v>005165</v>
      </c>
      <c r="B1137" t="s">
        <v>319</v>
      </c>
      <c r="C1137">
        <v>77353</v>
      </c>
      <c r="D1137" s="2">
        <v>500</v>
      </c>
      <c r="E1137" s="1">
        <v>43276</v>
      </c>
      <c r="F1137" t="str">
        <f>"201806151624"</f>
        <v>201806151624</v>
      </c>
      <c r="G1137" t="str">
        <f>"WA#1575-2017/FOHN RD/PCT#3"</f>
        <v>WA#1575-2017/FOHN RD/PCT#3</v>
      </c>
      <c r="H1137">
        <v>500</v>
      </c>
      <c r="I1137" t="str">
        <f>"WA#1575-2017/FOHN RD/PCT#3"</f>
        <v>WA#1575-2017/FOHN RD/PCT#3</v>
      </c>
    </row>
    <row r="1138" spans="1:9" x14ac:dyDescent="0.3">
      <c r="A1138" t="str">
        <f>"MADDEN"</f>
        <v>MADDEN</v>
      </c>
      <c r="B1138" t="s">
        <v>320</v>
      </c>
      <c r="C1138">
        <v>77160</v>
      </c>
      <c r="D1138" s="2">
        <v>42.66</v>
      </c>
      <c r="E1138" s="1">
        <v>43262</v>
      </c>
      <c r="F1138" t="str">
        <f>"4285146"</f>
        <v>4285146</v>
      </c>
      <c r="G1138" t="str">
        <f>"CUST ID:90564/ORD#2273227"</f>
        <v>CUST ID:90564/ORD#2273227</v>
      </c>
      <c r="H1138">
        <v>42.66</v>
      </c>
      <c r="I1138" t="str">
        <f>"CUST ID:90564/ORD#2273227"</f>
        <v>CUST ID:90564/ORD#2273227</v>
      </c>
    </row>
    <row r="1139" spans="1:9" x14ac:dyDescent="0.3">
      <c r="A1139" t="str">
        <f>"T12894"</f>
        <v>T12894</v>
      </c>
      <c r="B1139" t="s">
        <v>321</v>
      </c>
      <c r="C1139">
        <v>77354</v>
      </c>
      <c r="D1139" s="2">
        <v>300</v>
      </c>
      <c r="E1139" s="1">
        <v>43276</v>
      </c>
      <c r="F1139" t="str">
        <f>"0040771"</f>
        <v>0040771</v>
      </c>
      <c r="G1139" t="str">
        <f>"INV 0040771-IN"</f>
        <v>INV 0040771-IN</v>
      </c>
      <c r="H1139">
        <v>300</v>
      </c>
      <c r="I1139" t="str">
        <f>"INV 0040771-IN"</f>
        <v>INV 0040771-IN</v>
      </c>
    </row>
    <row r="1140" spans="1:9" x14ac:dyDescent="0.3">
      <c r="A1140" t="str">
        <f>"003334"</f>
        <v>003334</v>
      </c>
      <c r="B1140" t="s">
        <v>322</v>
      </c>
      <c r="C1140">
        <v>77355</v>
      </c>
      <c r="D1140" s="2">
        <v>33.58</v>
      </c>
      <c r="E1140" s="1">
        <v>43276</v>
      </c>
      <c r="F1140" t="str">
        <f>"87663"</f>
        <v>87663</v>
      </c>
      <c r="G1140" t="str">
        <f>"CUST#10411/ANIMAL CONTROL"</f>
        <v>CUST#10411/ANIMAL CONTROL</v>
      </c>
      <c r="H1140">
        <v>33.58</v>
      </c>
      <c r="I1140" t="str">
        <f>"CUST#10411/ANIMAL CONTROL"</f>
        <v>CUST#10411/ANIMAL CONTROL</v>
      </c>
    </row>
    <row r="1141" spans="1:9" x14ac:dyDescent="0.3">
      <c r="A1141" t="str">
        <f>"004991"</f>
        <v>004991</v>
      </c>
      <c r="B1141" t="s">
        <v>323</v>
      </c>
      <c r="C1141">
        <v>77161</v>
      </c>
      <c r="D1141" s="2">
        <v>66</v>
      </c>
      <c r="E1141" s="1">
        <v>43262</v>
      </c>
      <c r="F1141" t="str">
        <f>"201806051292"</f>
        <v>201806051292</v>
      </c>
      <c r="G1141" t="str">
        <f>"LPHCP RECORDING FEES"</f>
        <v>LPHCP RECORDING FEES</v>
      </c>
      <c r="H1141">
        <v>66</v>
      </c>
      <c r="I1141" t="str">
        <f>"LPHCP RECORDING FEES"</f>
        <v>LPHCP RECORDING FEES</v>
      </c>
    </row>
    <row r="1142" spans="1:9" x14ac:dyDescent="0.3">
      <c r="A1142" t="str">
        <f>"RP-CC"</f>
        <v>RP-CC</v>
      </c>
      <c r="B1142" t="s">
        <v>323</v>
      </c>
      <c r="C1142">
        <v>77356</v>
      </c>
      <c r="D1142" s="2">
        <v>639</v>
      </c>
      <c r="E1142" s="1">
        <v>43276</v>
      </c>
      <c r="F1142" t="str">
        <f>"201806201712"</f>
        <v>201806201712</v>
      </c>
      <c r="G1142" t="str">
        <f>"DEVELOPMENT SVCS RECORDING FEE"</f>
        <v>DEVELOPMENT SVCS RECORDING FEE</v>
      </c>
      <c r="H1142">
        <v>639</v>
      </c>
      <c r="I1142" t="str">
        <f>"DEVELOPMENT SVCS RECORDING FEE"</f>
        <v>DEVELOPMENT SVCS RECORDING FEE</v>
      </c>
    </row>
    <row r="1143" spans="1:9" x14ac:dyDescent="0.3">
      <c r="A1143" t="str">
        <f>"003749"</f>
        <v>003749</v>
      </c>
      <c r="B1143" t="s">
        <v>324</v>
      </c>
      <c r="C1143">
        <v>77357</v>
      </c>
      <c r="D1143" s="2">
        <v>9405</v>
      </c>
      <c r="E1143" s="1">
        <v>43276</v>
      </c>
      <c r="F1143" t="str">
        <f>"12114"</f>
        <v>12114</v>
      </c>
      <c r="G1143" t="str">
        <f>"SAFELANE TRAFFIC SUPPLY LLC"</f>
        <v>SAFELANE TRAFFIC SUPPLY LLC</v>
      </c>
      <c r="H1143">
        <v>9405</v>
      </c>
      <c r="I1143" t="str">
        <f>"6' Green U-Channel"</f>
        <v>6' Green U-Channel</v>
      </c>
    </row>
    <row r="1144" spans="1:9" x14ac:dyDescent="0.3">
      <c r="A1144" t="str">
        <f>"004352"</f>
        <v>004352</v>
      </c>
      <c r="B1144" t="s">
        <v>325</v>
      </c>
      <c r="C1144">
        <v>77162</v>
      </c>
      <c r="D1144" s="2">
        <v>21.6</v>
      </c>
      <c r="E1144" s="1">
        <v>43262</v>
      </c>
      <c r="F1144" t="str">
        <f>"201806011245"</f>
        <v>201806011245</v>
      </c>
      <c r="G1144" t="str">
        <f>"REIMBURSEMENT-POSTAGE"</f>
        <v>REIMBURSEMENT-POSTAGE</v>
      </c>
      <c r="H1144">
        <v>21.6</v>
      </c>
      <c r="I1144" t="str">
        <f>"REIMBURSEMENT-POSTAGE"</f>
        <v>REIMBURSEMENT-POSTAGE</v>
      </c>
    </row>
    <row r="1145" spans="1:9" x14ac:dyDescent="0.3">
      <c r="A1145" t="str">
        <f>"003697"</f>
        <v>003697</v>
      </c>
      <c r="B1145" t="s">
        <v>326</v>
      </c>
      <c r="C1145">
        <v>77358</v>
      </c>
      <c r="D1145" s="2">
        <v>72.8</v>
      </c>
      <c r="E1145" s="1">
        <v>43276</v>
      </c>
      <c r="F1145" t="str">
        <f>"27281"</f>
        <v>27281</v>
      </c>
      <c r="G1145" t="str">
        <f>"ACCT#52648/LAMP/PCT#1"</f>
        <v>ACCT#52648/LAMP/PCT#1</v>
      </c>
      <c r="H1145">
        <v>72.8</v>
      </c>
      <c r="I1145" t="str">
        <f>"ACCT#52648/LAMP/PCT#1"</f>
        <v>ACCT#52648/LAMP/PCT#1</v>
      </c>
    </row>
    <row r="1146" spans="1:9" x14ac:dyDescent="0.3">
      <c r="A1146" t="str">
        <f>"T11973"</f>
        <v>T11973</v>
      </c>
      <c r="B1146" t="s">
        <v>327</v>
      </c>
      <c r="C1146">
        <v>999999</v>
      </c>
      <c r="D1146" s="2">
        <v>352.37</v>
      </c>
      <c r="E1146" s="1">
        <v>43263</v>
      </c>
      <c r="F1146" t="str">
        <f>"201806061445"</f>
        <v>201806061445</v>
      </c>
      <c r="G1146" t="str">
        <f>"INDIGENT HEALTH"</f>
        <v>INDIGENT HEALTH</v>
      </c>
      <c r="H1146">
        <v>352.37</v>
      </c>
      <c r="I1146" t="str">
        <f>"INDIGENT HEALTH"</f>
        <v>INDIGENT HEALTH</v>
      </c>
    </row>
    <row r="1147" spans="1:9" x14ac:dyDescent="0.3">
      <c r="A1147" t="str">
        <f>""</f>
        <v/>
      </c>
      <c r="F1147" t="str">
        <f>""</f>
        <v/>
      </c>
      <c r="G1147" t="str">
        <f>""</f>
        <v/>
      </c>
      <c r="I1147" t="str">
        <f>"INDIGENT HEALTH"</f>
        <v>INDIGENT HEALTH</v>
      </c>
    </row>
    <row r="1148" spans="1:9" x14ac:dyDescent="0.3">
      <c r="A1148" t="str">
        <f>"T13173"</f>
        <v>T13173</v>
      </c>
      <c r="B1148" t="s">
        <v>328</v>
      </c>
      <c r="C1148">
        <v>999999</v>
      </c>
      <c r="D1148" s="2">
        <v>605.37</v>
      </c>
      <c r="E1148" s="1">
        <v>43263</v>
      </c>
      <c r="F1148" t="str">
        <f>"061818"</f>
        <v>061818</v>
      </c>
      <c r="G1148" t="str">
        <f>"CASEBINDERS/DISTRICT CLERK"</f>
        <v>CASEBINDERS/DISTRICT CLERK</v>
      </c>
      <c r="H1148">
        <v>605.37</v>
      </c>
      <c r="I1148" t="str">
        <f>"CASEBINDERS/DISTRICT CLERK"</f>
        <v>CASEBINDERS/DISTRICT CLERK</v>
      </c>
    </row>
    <row r="1149" spans="1:9" x14ac:dyDescent="0.3">
      <c r="A1149" t="str">
        <f>"T4840"</f>
        <v>T4840</v>
      </c>
      <c r="B1149" t="s">
        <v>329</v>
      </c>
      <c r="C1149">
        <v>77359</v>
      </c>
      <c r="D1149" s="2">
        <v>210</v>
      </c>
      <c r="E1149" s="1">
        <v>43276</v>
      </c>
      <c r="F1149" t="str">
        <f>"REG. CODE 19580"</f>
        <v>REG. CODE 19580</v>
      </c>
      <c r="G1149" t="str">
        <f>"CNTY ELECT. OFF.-JORDAN FROST"</f>
        <v>CNTY ELECT. OFF.-JORDAN FROST</v>
      </c>
      <c r="H1149">
        <v>210</v>
      </c>
      <c r="I1149" t="str">
        <f>"CNTY ELECT. OFF.-JORDAN FROST"</f>
        <v>CNTY ELECT. OFF.-JORDAN FROST</v>
      </c>
    </row>
    <row r="1150" spans="1:9" x14ac:dyDescent="0.3">
      <c r="A1150" t="str">
        <f>"005570"</f>
        <v>005570</v>
      </c>
      <c r="B1150" t="s">
        <v>330</v>
      </c>
      <c r="C1150">
        <v>77163</v>
      </c>
      <c r="D1150" s="2">
        <v>1182.0899999999999</v>
      </c>
      <c r="E1150" s="1">
        <v>43262</v>
      </c>
      <c r="F1150" t="str">
        <f>"020458"</f>
        <v>020458</v>
      </c>
      <c r="G1150" t="str">
        <f>"INV 020458"</f>
        <v>INV 020458</v>
      </c>
      <c r="H1150">
        <v>1182.0899999999999</v>
      </c>
      <c r="I1150" t="str">
        <f>"INV 020458"</f>
        <v>INV 020458</v>
      </c>
    </row>
    <row r="1151" spans="1:9" x14ac:dyDescent="0.3">
      <c r="A1151" t="str">
        <f>"003131"</f>
        <v>003131</v>
      </c>
      <c r="B1151" t="s">
        <v>331</v>
      </c>
      <c r="C1151">
        <v>77164</v>
      </c>
      <c r="D1151" s="2">
        <v>3333</v>
      </c>
      <c r="E1151" s="1">
        <v>43262</v>
      </c>
      <c r="F1151" t="str">
        <f>"420181"</f>
        <v>420181</v>
      </c>
      <c r="G1151" t="str">
        <f>"SETON PRESCRIPTION ASSISTANCE"</f>
        <v>SETON PRESCRIPTION ASSISTANCE</v>
      </c>
      <c r="H1151">
        <v>3333</v>
      </c>
      <c r="I1151" t="str">
        <f>"SETON PRESCRIPTION ASSISTANCE"</f>
        <v>SETON PRESCRIPTION ASSISTANCE</v>
      </c>
    </row>
    <row r="1152" spans="1:9" x14ac:dyDescent="0.3">
      <c r="A1152" t="str">
        <f>"003086"</f>
        <v>003086</v>
      </c>
      <c r="B1152" t="s">
        <v>332</v>
      </c>
      <c r="C1152">
        <v>77165</v>
      </c>
      <c r="D1152" s="2">
        <v>6430.58</v>
      </c>
      <c r="E1152" s="1">
        <v>43262</v>
      </c>
      <c r="F1152" t="str">
        <f>"201806061413"</f>
        <v>201806061413</v>
      </c>
      <c r="G1152" t="str">
        <f>"JAIL MEDICAL"</f>
        <v>JAIL MEDICAL</v>
      </c>
      <c r="H1152">
        <v>1449.32</v>
      </c>
      <c r="I1152" t="str">
        <f>"JAIL MEDICAL"</f>
        <v>JAIL MEDICAL</v>
      </c>
    </row>
    <row r="1153" spans="1:10" x14ac:dyDescent="0.3">
      <c r="A1153" t="str">
        <f>""</f>
        <v/>
      </c>
      <c r="F1153" t="str">
        <f>"201806061446"</f>
        <v>201806061446</v>
      </c>
      <c r="G1153" t="str">
        <f>"INDIGENT HEALTH"</f>
        <v>INDIGENT HEALTH</v>
      </c>
      <c r="H1153">
        <v>3799.59</v>
      </c>
      <c r="I1153" t="str">
        <f>"INDIGENT HEALTH"</f>
        <v>INDIGENT HEALTH</v>
      </c>
    </row>
    <row r="1154" spans="1:10" x14ac:dyDescent="0.3">
      <c r="A1154" t="str">
        <f>""</f>
        <v/>
      </c>
      <c r="F1154" t="str">
        <f>"201806061451"</f>
        <v>201806061451</v>
      </c>
      <c r="G1154" t="str">
        <f>"INDIGENT HEALTH"</f>
        <v>INDIGENT HEALTH</v>
      </c>
      <c r="H1154">
        <v>1181.67</v>
      </c>
      <c r="I1154" t="str">
        <f>"INDIGENT HEALTH"</f>
        <v>INDIGENT HEALTH</v>
      </c>
    </row>
    <row r="1155" spans="1:10" x14ac:dyDescent="0.3">
      <c r="A1155" t="str">
        <f>"003086"</f>
        <v>003086</v>
      </c>
      <c r="B1155" t="s">
        <v>332</v>
      </c>
      <c r="C1155">
        <v>77360</v>
      </c>
      <c r="D1155" s="2">
        <v>2030.64</v>
      </c>
      <c r="E1155" s="1">
        <v>43276</v>
      </c>
      <c r="F1155" t="str">
        <f>"4399*98041*1 &amp; *2"</f>
        <v>4399*98041*1 &amp; *2</v>
      </c>
      <c r="G1155" t="str">
        <f>"JAIL MEDICAL"</f>
        <v>JAIL MEDICAL</v>
      </c>
      <c r="H1155">
        <v>2030.64</v>
      </c>
      <c r="I1155" t="str">
        <f>"JAIL MEDICAL"</f>
        <v>JAIL MEDICAL</v>
      </c>
    </row>
    <row r="1156" spans="1:10" x14ac:dyDescent="0.3">
      <c r="A1156" t="str">
        <f>"004521"</f>
        <v>004521</v>
      </c>
      <c r="B1156" t="s">
        <v>333</v>
      </c>
      <c r="C1156">
        <v>77361</v>
      </c>
      <c r="D1156" s="2">
        <v>63</v>
      </c>
      <c r="E1156" s="1">
        <v>43276</v>
      </c>
      <c r="F1156" t="s">
        <v>156</v>
      </c>
      <c r="G1156" t="s">
        <v>334</v>
      </c>
      <c r="H1156" t="str">
        <f>"RESTITUTION-D. MCCOMB"</f>
        <v>RESTITUTION-D. MCCOMB</v>
      </c>
      <c r="I1156" t="str">
        <f>"210-0000"</f>
        <v>210-0000</v>
      </c>
      <c r="J1156" t="str">
        <f>""</f>
        <v/>
      </c>
    </row>
    <row r="1157" spans="1:10" x14ac:dyDescent="0.3">
      <c r="A1157" t="str">
        <f>"005081"</f>
        <v>005081</v>
      </c>
      <c r="B1157" t="s">
        <v>335</v>
      </c>
      <c r="C1157">
        <v>77166</v>
      </c>
      <c r="D1157" s="2">
        <v>484.25</v>
      </c>
      <c r="E1157" s="1">
        <v>43262</v>
      </c>
      <c r="F1157" t="str">
        <f>"201806061394"</f>
        <v>201806061394</v>
      </c>
      <c r="G1157" t="str">
        <f>"ACCT#20147/ANIMAL SHELTER"</f>
        <v>ACCT#20147/ANIMAL SHELTER</v>
      </c>
      <c r="H1157">
        <v>484.25</v>
      </c>
      <c r="I1157" t="str">
        <f>"ACCT#20147/ANIMAL SHELTER"</f>
        <v>ACCT#20147/ANIMAL SHELTER</v>
      </c>
    </row>
    <row r="1158" spans="1:10" x14ac:dyDescent="0.3">
      <c r="A1158" t="str">
        <f>"T10195"</f>
        <v>T10195</v>
      </c>
      <c r="B1158" t="s">
        <v>336</v>
      </c>
      <c r="C1158">
        <v>77167</v>
      </c>
      <c r="D1158" s="2">
        <v>2029.38</v>
      </c>
      <c r="E1158" s="1">
        <v>43262</v>
      </c>
      <c r="F1158" t="str">
        <f>"GB00283352"</f>
        <v>GB00283352</v>
      </c>
      <c r="G1158" t="str">
        <f>"CISCO"</f>
        <v>CISCO</v>
      </c>
      <c r="H1158">
        <v>1632.82</v>
      </c>
      <c r="I1158" t="str">
        <f>"Cisco VG204XM Analog"</f>
        <v>Cisco VG204XM Analog</v>
      </c>
    </row>
    <row r="1159" spans="1:10" x14ac:dyDescent="0.3">
      <c r="A1159" t="str">
        <f>""</f>
        <v/>
      </c>
      <c r="F1159" t="str">
        <f>"GB00283517"</f>
        <v>GB00283517</v>
      </c>
      <c r="G1159" t="str">
        <f>"ASUS Chromebox 2"</f>
        <v>ASUS Chromebox 2</v>
      </c>
      <c r="H1159">
        <v>396.56</v>
      </c>
      <c r="I1159" t="str">
        <f>"ASUS Chromebox 2"</f>
        <v>ASUS Chromebox 2</v>
      </c>
    </row>
    <row r="1160" spans="1:10" x14ac:dyDescent="0.3">
      <c r="A1160" t="str">
        <f>"T10195"</f>
        <v>T10195</v>
      </c>
      <c r="B1160" t="s">
        <v>336</v>
      </c>
      <c r="C1160">
        <v>77362</v>
      </c>
      <c r="D1160" s="2">
        <v>4671.5</v>
      </c>
      <c r="E1160" s="1">
        <v>43276</v>
      </c>
      <c r="F1160" t="str">
        <f>"GB00284277"</f>
        <v>GB00284277</v>
      </c>
      <c r="G1160" t="str">
        <f>"ESET CALs"</f>
        <v>ESET CALs</v>
      </c>
      <c r="H1160">
        <v>2937.5</v>
      </c>
      <c r="I1160" t="str">
        <f>" Part#: ESE-G1-F "</f>
        <v> Part#: ESE-G1-F </v>
      </c>
    </row>
    <row r="1161" spans="1:10" x14ac:dyDescent="0.3">
      <c r="A1161" t="str">
        <f>""</f>
        <v/>
      </c>
      <c r="F1161" t="str">
        <f>"GB00285522"</f>
        <v>GB00285522</v>
      </c>
      <c r="G1161" t="str">
        <f>"3 Meraki Switches"</f>
        <v>3 Meraki Switches</v>
      </c>
      <c r="H1161">
        <v>1734</v>
      </c>
      <c r="I1161" t="str">
        <f>"Part#: MS120-8LP-HW "</f>
        <v>Part#: MS120-8LP-HW </v>
      </c>
    </row>
    <row r="1162" spans="1:10" x14ac:dyDescent="0.3">
      <c r="A1162" t="str">
        <f>""</f>
        <v/>
      </c>
      <c r="F1162" t="str">
        <f>""</f>
        <v/>
      </c>
      <c r="G1162" t="str">
        <f>""</f>
        <v/>
      </c>
      <c r="I1162" t="str">
        <f>"Part#: LIC-MS120-8L"</f>
        <v>Part#: LIC-MS120-8L</v>
      </c>
    </row>
    <row r="1163" spans="1:10" x14ac:dyDescent="0.3">
      <c r="A1163" t="str">
        <f>"005569"</f>
        <v>005569</v>
      </c>
      <c r="B1163" t="s">
        <v>337</v>
      </c>
      <c r="C1163">
        <v>77168</v>
      </c>
      <c r="D1163" s="2">
        <v>534.75</v>
      </c>
      <c r="E1163" s="1">
        <v>43262</v>
      </c>
      <c r="F1163" t="str">
        <f>"LODGING"</f>
        <v>LODGING</v>
      </c>
      <c r="G1163" t="str">
        <f>"LODGING"</f>
        <v>LODGING</v>
      </c>
      <c r="H1163">
        <v>534.75</v>
      </c>
      <c r="I1163" t="str">
        <f>"LODGING"</f>
        <v>LODGING</v>
      </c>
    </row>
    <row r="1164" spans="1:10" x14ac:dyDescent="0.3">
      <c r="A1164" t="str">
        <f>"004840"</f>
        <v>004840</v>
      </c>
      <c r="B1164" t="s">
        <v>338</v>
      </c>
      <c r="C1164">
        <v>77169</v>
      </c>
      <c r="D1164" s="2">
        <v>577.58000000000004</v>
      </c>
      <c r="E1164" s="1">
        <v>43262</v>
      </c>
      <c r="F1164" t="str">
        <f>"201806051277"</f>
        <v>201806051277</v>
      </c>
      <c r="G1164" t="str">
        <f>"ACCT#550615/WK ORD#121622/PCT3"</f>
        <v>ACCT#550615/WK ORD#121622/PCT3</v>
      </c>
      <c r="H1164">
        <v>577.58000000000004</v>
      </c>
      <c r="I1164" t="str">
        <f>"ACCT#550615/WK ORD#121622/PCT3"</f>
        <v>ACCT#550615/WK ORD#121622/PCT3</v>
      </c>
    </row>
    <row r="1165" spans="1:10" x14ac:dyDescent="0.3">
      <c r="A1165" t="str">
        <f>"004840"</f>
        <v>004840</v>
      </c>
      <c r="B1165" t="s">
        <v>338</v>
      </c>
      <c r="C1165">
        <v>77363</v>
      </c>
      <c r="D1165" s="2">
        <v>134.84</v>
      </c>
      <c r="E1165" s="1">
        <v>43276</v>
      </c>
      <c r="F1165" t="str">
        <f>"124343"</f>
        <v>124343</v>
      </c>
      <c r="G1165" t="str">
        <f>"ACCT#564591/CHECK A/C/PCT#2"</f>
        <v>ACCT#564591/CHECK A/C/PCT#2</v>
      </c>
      <c r="H1165">
        <v>134.84</v>
      </c>
      <c r="I1165" t="str">
        <f>"ACCT#564591/CHECK A/C/PCT#2"</f>
        <v>ACCT#564591/CHECK A/C/PCT#2</v>
      </c>
    </row>
    <row r="1166" spans="1:10" x14ac:dyDescent="0.3">
      <c r="A1166" t="str">
        <f>"004740"</f>
        <v>004740</v>
      </c>
      <c r="B1166" t="s">
        <v>339</v>
      </c>
      <c r="C1166">
        <v>77170</v>
      </c>
      <c r="D1166" s="2">
        <v>390</v>
      </c>
      <c r="E1166" s="1">
        <v>43262</v>
      </c>
      <c r="F1166" t="str">
        <f>"8124911276"</f>
        <v>8124911276</v>
      </c>
      <c r="G1166" t="str">
        <f>"INV 8124911276"</f>
        <v>INV 8124911276</v>
      </c>
      <c r="H1166">
        <v>244</v>
      </c>
      <c r="I1166" t="str">
        <f>"INV 8124911276 - LE"</f>
        <v>INV 8124911276 - LE</v>
      </c>
    </row>
    <row r="1167" spans="1:10" x14ac:dyDescent="0.3">
      <c r="A1167" t="str">
        <f>""</f>
        <v/>
      </c>
      <c r="F1167" t="str">
        <f>""</f>
        <v/>
      </c>
      <c r="G1167" t="str">
        <f>""</f>
        <v/>
      </c>
      <c r="I1167" t="str">
        <f>"INV 8124911276 - JAI"</f>
        <v>INV 8124911276 - JAI</v>
      </c>
    </row>
    <row r="1168" spans="1:10" x14ac:dyDescent="0.3">
      <c r="A1168" t="str">
        <f>""</f>
        <v/>
      </c>
      <c r="F1168" t="str">
        <f>"8124911920"</f>
        <v>8124911920</v>
      </c>
      <c r="G1168" t="str">
        <f>"CUST#16155373/SHREDDING SVCS"</f>
        <v>CUST#16155373/SHREDDING SVCS</v>
      </c>
      <c r="H1168">
        <v>146</v>
      </c>
      <c r="I1168" t="str">
        <f t="shared" ref="I1168:I1173" si="4">"CUST#16155373/SHREDDING SVCS"</f>
        <v>CUST#16155373/SHREDDING SVCS</v>
      </c>
    </row>
    <row r="1169" spans="1:9" x14ac:dyDescent="0.3">
      <c r="A1169" t="str">
        <f>""</f>
        <v/>
      </c>
      <c r="F1169" t="str">
        <f>""</f>
        <v/>
      </c>
      <c r="G1169" t="str">
        <f>""</f>
        <v/>
      </c>
      <c r="I1169" t="str">
        <f t="shared" si="4"/>
        <v>CUST#16155373/SHREDDING SVCS</v>
      </c>
    </row>
    <row r="1170" spans="1:9" x14ac:dyDescent="0.3">
      <c r="A1170" t="str">
        <f>""</f>
        <v/>
      </c>
      <c r="F1170" t="str">
        <f>""</f>
        <v/>
      </c>
      <c r="G1170" t="str">
        <f>""</f>
        <v/>
      </c>
      <c r="I1170" t="str">
        <f t="shared" si="4"/>
        <v>CUST#16155373/SHREDDING SVCS</v>
      </c>
    </row>
    <row r="1171" spans="1:9" x14ac:dyDescent="0.3">
      <c r="A1171" t="str">
        <f>""</f>
        <v/>
      </c>
      <c r="F1171" t="str">
        <f>""</f>
        <v/>
      </c>
      <c r="G1171" t="str">
        <f>""</f>
        <v/>
      </c>
      <c r="I1171" t="str">
        <f t="shared" si="4"/>
        <v>CUST#16155373/SHREDDING SVCS</v>
      </c>
    </row>
    <row r="1172" spans="1:9" x14ac:dyDescent="0.3">
      <c r="A1172" t="str">
        <f>""</f>
        <v/>
      </c>
      <c r="F1172" t="str">
        <f>""</f>
        <v/>
      </c>
      <c r="G1172" t="str">
        <f>""</f>
        <v/>
      </c>
      <c r="I1172" t="str">
        <f t="shared" si="4"/>
        <v>CUST#16155373/SHREDDING SVCS</v>
      </c>
    </row>
    <row r="1173" spans="1:9" x14ac:dyDescent="0.3">
      <c r="A1173" t="str">
        <f>""</f>
        <v/>
      </c>
      <c r="F1173" t="str">
        <f>""</f>
        <v/>
      </c>
      <c r="G1173" t="str">
        <f>""</f>
        <v/>
      </c>
      <c r="I1173" t="str">
        <f t="shared" si="4"/>
        <v>CUST#16155373/SHREDDING SVCS</v>
      </c>
    </row>
    <row r="1174" spans="1:9" x14ac:dyDescent="0.3">
      <c r="A1174" t="str">
        <f>"004740"</f>
        <v>004740</v>
      </c>
      <c r="B1174" t="s">
        <v>339</v>
      </c>
      <c r="C1174">
        <v>77364</v>
      </c>
      <c r="D1174" s="2">
        <v>374.5</v>
      </c>
      <c r="E1174" s="1">
        <v>43276</v>
      </c>
      <c r="F1174" t="str">
        <f>"8124706433"</f>
        <v>8124706433</v>
      </c>
      <c r="G1174" t="str">
        <f>"CUST#16160327/OEM/VET SVCS/IND"</f>
        <v>CUST#16160327/OEM/VET SVCS/IND</v>
      </c>
      <c r="H1174">
        <v>220</v>
      </c>
      <c r="I1174" t="str">
        <f>"CUST#16160327/OEM/VET SVCS/IND"</f>
        <v>CUST#16160327/OEM/VET SVCS/IND</v>
      </c>
    </row>
    <row r="1175" spans="1:9" x14ac:dyDescent="0.3">
      <c r="A1175" t="str">
        <f>""</f>
        <v/>
      </c>
      <c r="F1175" t="str">
        <f>""</f>
        <v/>
      </c>
      <c r="G1175" t="str">
        <f>""</f>
        <v/>
      </c>
      <c r="I1175" t="str">
        <f>"CUST#16160327/OEM/VET SVCS/IND"</f>
        <v>CUST#16160327/OEM/VET SVCS/IND</v>
      </c>
    </row>
    <row r="1176" spans="1:9" x14ac:dyDescent="0.3">
      <c r="A1176" t="str">
        <f>""</f>
        <v/>
      </c>
      <c r="F1176" t="str">
        <f>""</f>
        <v/>
      </c>
      <c r="G1176" t="str">
        <f>""</f>
        <v/>
      </c>
      <c r="I1176" t="str">
        <f>"CUST#16160327/OEM/VET SVCS/IND"</f>
        <v>CUST#16160327/OEM/VET SVCS/IND</v>
      </c>
    </row>
    <row r="1177" spans="1:9" x14ac:dyDescent="0.3">
      <c r="A1177" t="str">
        <f>""</f>
        <v/>
      </c>
      <c r="F1177" t="str">
        <f>"8124911971"</f>
        <v>8124911971</v>
      </c>
      <c r="G1177" t="str">
        <f>"CUST#16156071/SHREDDING SVCS"</f>
        <v>CUST#16156071/SHREDDING SVCS</v>
      </c>
      <c r="H1177">
        <v>103</v>
      </c>
      <c r="I1177" t="str">
        <f>"CUST#16156071/SHREDDING SVCS"</f>
        <v>CUST#16156071/SHREDDING SVCS</v>
      </c>
    </row>
    <row r="1178" spans="1:9" x14ac:dyDescent="0.3">
      <c r="A1178" t="str">
        <f>""</f>
        <v/>
      </c>
      <c r="F1178" t="str">
        <f>"8124912061"</f>
        <v>8124912061</v>
      </c>
      <c r="G1178" t="str">
        <f>"CUST#16158670/JP#4"</f>
        <v>CUST#16158670/JP#4</v>
      </c>
      <c r="H1178">
        <v>51.5</v>
      </c>
      <c r="I1178" t="str">
        <f>"CUST#16158670/JP#4"</f>
        <v>CUST#16158670/JP#4</v>
      </c>
    </row>
    <row r="1179" spans="1:9" x14ac:dyDescent="0.3">
      <c r="A1179" t="str">
        <f>"005580"</f>
        <v>005580</v>
      </c>
      <c r="B1179" t="s">
        <v>340</v>
      </c>
      <c r="C1179">
        <v>77171</v>
      </c>
      <c r="D1179" s="2">
        <v>105</v>
      </c>
      <c r="E1179" s="1">
        <v>43262</v>
      </c>
      <c r="F1179" t="str">
        <f>"1120"</f>
        <v>1120</v>
      </c>
      <c r="G1179" t="str">
        <f>"MESH BANNER-TOUGH MUDDER"</f>
        <v>MESH BANNER-TOUGH MUDDER</v>
      </c>
      <c r="H1179">
        <v>105</v>
      </c>
      <c r="I1179" t="str">
        <f>"MESH BANNER-TOUGH MUDDER"</f>
        <v>MESH BANNER-TOUGH MUDDER</v>
      </c>
    </row>
    <row r="1180" spans="1:9" x14ac:dyDescent="0.3">
      <c r="A1180" t="str">
        <f>"001260"</f>
        <v>001260</v>
      </c>
      <c r="B1180" t="s">
        <v>341</v>
      </c>
      <c r="C1180">
        <v>77172</v>
      </c>
      <c r="D1180" s="2">
        <v>36.24</v>
      </c>
      <c r="E1180" s="1">
        <v>43262</v>
      </c>
      <c r="F1180" t="str">
        <f>"201806061447"</f>
        <v>201806061447</v>
      </c>
      <c r="G1180" t="str">
        <f>"INDIGENT HEALTH"</f>
        <v>INDIGENT HEALTH</v>
      </c>
      <c r="H1180">
        <v>36.24</v>
      </c>
      <c r="I1180" t="str">
        <f>"INDIGENT HEALTH"</f>
        <v>INDIGENT HEALTH</v>
      </c>
    </row>
    <row r="1181" spans="1:9" x14ac:dyDescent="0.3">
      <c r="A1181" t="str">
        <f>"SEI"</f>
        <v>SEI</v>
      </c>
      <c r="B1181" t="s">
        <v>342</v>
      </c>
      <c r="C1181">
        <v>999999</v>
      </c>
      <c r="D1181" s="2">
        <v>116.95</v>
      </c>
      <c r="E1181" s="1">
        <v>43263</v>
      </c>
      <c r="F1181" t="str">
        <f>"70733"</f>
        <v>70733</v>
      </c>
      <c r="G1181" t="str">
        <f>"INV 70733"</f>
        <v>INV 70733</v>
      </c>
      <c r="H1181">
        <v>116.95</v>
      </c>
      <c r="I1181" t="str">
        <f>"INV 70733"</f>
        <v>INV 70733</v>
      </c>
    </row>
    <row r="1182" spans="1:9" x14ac:dyDescent="0.3">
      <c r="A1182" t="str">
        <f>"SS"</f>
        <v>SS</v>
      </c>
      <c r="B1182" t="s">
        <v>343</v>
      </c>
      <c r="C1182">
        <v>77365</v>
      </c>
      <c r="D1182" s="2">
        <v>699.99</v>
      </c>
      <c r="E1182" s="1">
        <v>43276</v>
      </c>
      <c r="F1182" t="str">
        <f>"201806131591"</f>
        <v>201806131591</v>
      </c>
      <c r="G1182" t="str">
        <f>"STATEMENT#27519/PCT#2"</f>
        <v>STATEMENT#27519/PCT#2</v>
      </c>
      <c r="H1182">
        <v>480.09</v>
      </c>
      <c r="I1182" t="str">
        <f>"STATEMENT#27519/PCT#2"</f>
        <v>STATEMENT#27519/PCT#2</v>
      </c>
    </row>
    <row r="1183" spans="1:9" x14ac:dyDescent="0.3">
      <c r="A1183" t="str">
        <f>""</f>
        <v/>
      </c>
      <c r="F1183" t="str">
        <f>"383632"</f>
        <v>383632</v>
      </c>
      <c r="G1183" t="str">
        <f>"STATEMENT#27518/PCT#1"</f>
        <v>STATEMENT#27518/PCT#1</v>
      </c>
      <c r="H1183">
        <v>219.9</v>
      </c>
      <c r="I1183" t="str">
        <f>"STATEMENT#27518/PCT#1"</f>
        <v>STATEMENT#27518/PCT#1</v>
      </c>
    </row>
    <row r="1184" spans="1:9" x14ac:dyDescent="0.3">
      <c r="A1184" t="str">
        <f>"SAP"</f>
        <v>SAP</v>
      </c>
      <c r="B1184" t="s">
        <v>344</v>
      </c>
      <c r="C1184">
        <v>77366</v>
      </c>
      <c r="D1184" s="2">
        <v>2163.3200000000002</v>
      </c>
      <c r="E1184" s="1">
        <v>43276</v>
      </c>
      <c r="F1184" t="str">
        <f>"201806131592"</f>
        <v>201806131592</v>
      </c>
      <c r="G1184" t="str">
        <f>"ACCT#260/PCT#2"</f>
        <v>ACCT#260/PCT#2</v>
      </c>
      <c r="H1184">
        <v>2163.3200000000002</v>
      </c>
      <c r="I1184" t="str">
        <f>"ACCT#260/PCT#2"</f>
        <v>ACCT#260/PCT#2</v>
      </c>
    </row>
    <row r="1185" spans="1:9" x14ac:dyDescent="0.3">
      <c r="A1185" t="str">
        <f>"STM"</f>
        <v>STM</v>
      </c>
      <c r="B1185" t="s">
        <v>345</v>
      </c>
      <c r="C1185">
        <v>77173</v>
      </c>
      <c r="D1185" s="2">
        <v>3324.07</v>
      </c>
      <c r="E1185" s="1">
        <v>43262</v>
      </c>
      <c r="F1185" t="str">
        <f>"63249690"</f>
        <v>63249690</v>
      </c>
      <c r="G1185" t="str">
        <f>"ACCT#52157/TIRE SVCS/PCT#3"</f>
        <v>ACCT#52157/TIRE SVCS/PCT#3</v>
      </c>
      <c r="H1185">
        <v>1853.37</v>
      </c>
      <c r="I1185" t="str">
        <f>"ACCT#52157/TIRE SVCS/PCT#3"</f>
        <v>ACCT#52157/TIRE SVCS/PCT#3</v>
      </c>
    </row>
    <row r="1186" spans="1:9" x14ac:dyDescent="0.3">
      <c r="A1186" t="str">
        <f>""</f>
        <v/>
      </c>
      <c r="F1186" t="str">
        <f>"63249854"</f>
        <v>63249854</v>
      </c>
      <c r="G1186" t="str">
        <f>"CUST#52157/PCT#4"</f>
        <v>CUST#52157/PCT#4</v>
      </c>
      <c r="H1186">
        <v>132.94999999999999</v>
      </c>
      <c r="I1186" t="str">
        <f>"CUST#52157/PCT#4"</f>
        <v>CUST#52157/PCT#4</v>
      </c>
    </row>
    <row r="1187" spans="1:9" x14ac:dyDescent="0.3">
      <c r="A1187" t="str">
        <f>""</f>
        <v/>
      </c>
      <c r="F1187" t="str">
        <f>"63250107"</f>
        <v>63250107</v>
      </c>
      <c r="G1187" t="str">
        <f>"CUST#52157/PCT#3"</f>
        <v>CUST#52157/PCT#3</v>
      </c>
      <c r="H1187">
        <v>1187.8</v>
      </c>
      <c r="I1187" t="str">
        <f>"CUST#52157/PCT#3"</f>
        <v>CUST#52157/PCT#3</v>
      </c>
    </row>
    <row r="1188" spans="1:9" x14ac:dyDescent="0.3">
      <c r="A1188" t="str">
        <f>""</f>
        <v/>
      </c>
      <c r="F1188" t="str">
        <f>"63250360"</f>
        <v>63250360</v>
      </c>
      <c r="G1188" t="str">
        <f>"CUST#52157/PCT#4"</f>
        <v>CUST#52157/PCT#4</v>
      </c>
      <c r="H1188">
        <v>149.94999999999999</v>
      </c>
      <c r="I1188" t="str">
        <f>"CUST#52157/PCT#4"</f>
        <v>CUST#52157/PCT#4</v>
      </c>
    </row>
    <row r="1189" spans="1:9" x14ac:dyDescent="0.3">
      <c r="A1189" t="str">
        <f>"STM"</f>
        <v>STM</v>
      </c>
      <c r="B1189" t="s">
        <v>345</v>
      </c>
      <c r="C1189">
        <v>77367</v>
      </c>
      <c r="D1189" s="2">
        <v>214.3</v>
      </c>
      <c r="E1189" s="1">
        <v>43276</v>
      </c>
      <c r="F1189" t="str">
        <f>"63251684"</f>
        <v>63251684</v>
      </c>
      <c r="G1189" t="str">
        <f>"CUST#52157/PCT#4"</f>
        <v>CUST#52157/PCT#4</v>
      </c>
      <c r="H1189">
        <v>214.3</v>
      </c>
      <c r="I1189" t="str">
        <f>"CUST#52157/PCT#4"</f>
        <v>CUST#52157/PCT#4</v>
      </c>
    </row>
    <row r="1190" spans="1:9" x14ac:dyDescent="0.3">
      <c r="A1190" t="str">
        <f>"T11061"</f>
        <v>T11061</v>
      </c>
      <c r="B1190" t="s">
        <v>346</v>
      </c>
      <c r="C1190">
        <v>77174</v>
      </c>
      <c r="D1190" s="2">
        <v>9.5</v>
      </c>
      <c r="E1190" s="1">
        <v>43262</v>
      </c>
      <c r="F1190" t="str">
        <f>"9604456 052418"</f>
        <v>9604456 052418</v>
      </c>
      <c r="G1190" t="str">
        <f>"ACCT#46668439604456/JP#2"</f>
        <v>ACCT#46668439604456/JP#2</v>
      </c>
      <c r="H1190">
        <v>9.5</v>
      </c>
      <c r="I1190" t="str">
        <f>"ACCT#46668439604456/JP#2"</f>
        <v>ACCT#46668439604456/JP#2</v>
      </c>
    </row>
    <row r="1191" spans="1:9" x14ac:dyDescent="0.3">
      <c r="A1191" t="str">
        <f>"T11061"</f>
        <v>T11061</v>
      </c>
      <c r="B1191" t="s">
        <v>346</v>
      </c>
      <c r="C1191">
        <v>77368</v>
      </c>
      <c r="D1191" s="2">
        <v>136.12</v>
      </c>
      <c r="E1191" s="1">
        <v>43276</v>
      </c>
      <c r="F1191" t="str">
        <f>"11969495 060818"</f>
        <v>11969495 060818</v>
      </c>
      <c r="G1191" t="str">
        <f>"ACCT#556850411969495/DA'S OFF"</f>
        <v>ACCT#556850411969495/DA'S OFF</v>
      </c>
      <c r="H1191">
        <v>136.12</v>
      </c>
      <c r="I1191" t="str">
        <f>"ACCT#556850411969495/DA'S OFF"</f>
        <v>ACCT#556850411969495/DA'S OFF</v>
      </c>
    </row>
    <row r="1192" spans="1:9" x14ac:dyDescent="0.3">
      <c r="A1192" t="str">
        <f>"T2987"</f>
        <v>T2987</v>
      </c>
      <c r="B1192" t="s">
        <v>347</v>
      </c>
      <c r="C1192">
        <v>77369</v>
      </c>
      <c r="D1192" s="2">
        <v>435</v>
      </c>
      <c r="E1192" s="1">
        <v>43276</v>
      </c>
      <c r="F1192" t="str">
        <f>"16648"</f>
        <v>16648</v>
      </c>
      <c r="G1192" t="str">
        <f>"WINDOW GRILLE-WG11B/PCT#2"</f>
        <v>WINDOW GRILLE-WG11B/PCT#2</v>
      </c>
      <c r="H1192">
        <v>435</v>
      </c>
      <c r="I1192" t="str">
        <f>"WINDOW GRILLE-WG11B/PCT#2"</f>
        <v>WINDOW GRILLE-WG11B/PCT#2</v>
      </c>
    </row>
    <row r="1193" spans="1:9" x14ac:dyDescent="0.3">
      <c r="A1193" t="str">
        <f>"REDDY"</f>
        <v>REDDY</v>
      </c>
      <c r="B1193" t="s">
        <v>348</v>
      </c>
      <c r="C1193">
        <v>77175</v>
      </c>
      <c r="D1193" s="2">
        <v>392.44</v>
      </c>
      <c r="E1193" s="1">
        <v>43262</v>
      </c>
      <c r="F1193" t="str">
        <f>"201806061448"</f>
        <v>201806061448</v>
      </c>
      <c r="G1193" t="str">
        <f>"INDIGENT HEALTH"</f>
        <v>INDIGENT HEALTH</v>
      </c>
      <c r="H1193">
        <v>392.44</v>
      </c>
      <c r="I1193" t="str">
        <f>"INDIGENT HEALTH"</f>
        <v>INDIGENT HEALTH</v>
      </c>
    </row>
    <row r="1194" spans="1:9" x14ac:dyDescent="0.3">
      <c r="A1194" t="str">
        <f>"SDHCS"</f>
        <v>SDHCS</v>
      </c>
      <c r="B1194" t="s">
        <v>349</v>
      </c>
      <c r="C1194">
        <v>77176</v>
      </c>
      <c r="D1194" s="2">
        <v>14538.5</v>
      </c>
      <c r="E1194" s="1">
        <v>43262</v>
      </c>
      <c r="F1194" t="str">
        <f>"201806061449"</f>
        <v>201806061449</v>
      </c>
      <c r="G1194" t="str">
        <f>"INDIGENT HEALTH"</f>
        <v>INDIGENT HEALTH</v>
      </c>
      <c r="H1194">
        <v>14013.98</v>
      </c>
      <c r="I1194" t="str">
        <f>"INDIGENT HEALTH"</f>
        <v>INDIGENT HEALTH</v>
      </c>
    </row>
    <row r="1195" spans="1:9" x14ac:dyDescent="0.3">
      <c r="A1195" t="str">
        <f>""</f>
        <v/>
      </c>
      <c r="F1195" t="str">
        <f>"201806061450"</f>
        <v>201806061450</v>
      </c>
      <c r="G1195" t="str">
        <f>"INDIGENT HEALTH"</f>
        <v>INDIGENT HEALTH</v>
      </c>
      <c r="H1195">
        <v>524.52</v>
      </c>
      <c r="I1195" t="str">
        <f>"INDIGENT HEALTH"</f>
        <v>INDIGENT HEALTH</v>
      </c>
    </row>
    <row r="1196" spans="1:9" x14ac:dyDescent="0.3">
      <c r="A1196" t="str">
        <f>"SDHCS"</f>
        <v>SDHCS</v>
      </c>
      <c r="B1196" t="s">
        <v>349</v>
      </c>
      <c r="C1196">
        <v>77370</v>
      </c>
      <c r="D1196" s="2">
        <v>1295.46</v>
      </c>
      <c r="E1196" s="1">
        <v>43276</v>
      </c>
      <c r="F1196" t="str">
        <f>"4396*98030*1"</f>
        <v>4396*98030*1</v>
      </c>
      <c r="G1196" t="str">
        <f>"JAIL MEDICAL"</f>
        <v>JAIL MEDICAL</v>
      </c>
      <c r="H1196">
        <v>1295.46</v>
      </c>
      <c r="I1196" t="str">
        <f>"JAIL MEDICAL"</f>
        <v>JAIL MEDICAL</v>
      </c>
    </row>
    <row r="1197" spans="1:9" x14ac:dyDescent="0.3">
      <c r="A1197" t="str">
        <f>"003508"</f>
        <v>003508</v>
      </c>
      <c r="B1197" t="s">
        <v>350</v>
      </c>
      <c r="C1197">
        <v>77177</v>
      </c>
      <c r="D1197" s="2">
        <v>2068.88</v>
      </c>
      <c r="E1197" s="1">
        <v>43262</v>
      </c>
      <c r="F1197" t="str">
        <f>"8049910896"</f>
        <v>8049910896</v>
      </c>
      <c r="G1197" t="str">
        <f>"Sum Inv# 8049910896"</f>
        <v>Sum Inv# 8049910896</v>
      </c>
      <c r="H1197">
        <v>2068.88</v>
      </c>
      <c r="I1197" t="str">
        <f>"Inv# 3378157058"</f>
        <v>Inv# 3378157058</v>
      </c>
    </row>
    <row r="1198" spans="1:9" x14ac:dyDescent="0.3">
      <c r="A1198" t="str">
        <f>""</f>
        <v/>
      </c>
      <c r="F1198" t="str">
        <f>""</f>
        <v/>
      </c>
      <c r="G1198" t="str">
        <f>""</f>
        <v/>
      </c>
      <c r="I1198" t="str">
        <f>"Inv# 3378157059"</f>
        <v>Inv# 3378157059</v>
      </c>
    </row>
    <row r="1199" spans="1:9" x14ac:dyDescent="0.3">
      <c r="A1199" t="str">
        <f>""</f>
        <v/>
      </c>
      <c r="F1199" t="str">
        <f>""</f>
        <v/>
      </c>
      <c r="G1199" t="str">
        <f>""</f>
        <v/>
      </c>
      <c r="I1199" t="str">
        <f>"Inv# 338157070"</f>
        <v>Inv# 338157070</v>
      </c>
    </row>
    <row r="1200" spans="1:9" x14ac:dyDescent="0.3">
      <c r="A1200" t="str">
        <f>""</f>
        <v/>
      </c>
      <c r="F1200" t="str">
        <f>""</f>
        <v/>
      </c>
      <c r="G1200" t="str">
        <f>""</f>
        <v/>
      </c>
      <c r="I1200" t="str">
        <f>"Inv# 3378157071"</f>
        <v>Inv# 3378157071</v>
      </c>
    </row>
    <row r="1201" spans="1:9" x14ac:dyDescent="0.3">
      <c r="A1201" t="str">
        <f>""</f>
        <v/>
      </c>
      <c r="F1201" t="str">
        <f>""</f>
        <v/>
      </c>
      <c r="G1201" t="str">
        <f>""</f>
        <v/>
      </c>
      <c r="I1201" t="str">
        <f>"Inv# 3378157062"</f>
        <v>Inv# 3378157062</v>
      </c>
    </row>
    <row r="1202" spans="1:9" x14ac:dyDescent="0.3">
      <c r="A1202" t="str">
        <f>""</f>
        <v/>
      </c>
      <c r="F1202" t="str">
        <f>""</f>
        <v/>
      </c>
      <c r="G1202" t="str">
        <f>""</f>
        <v/>
      </c>
      <c r="I1202" t="str">
        <f>"Inv# 3378157063"</f>
        <v>Inv# 3378157063</v>
      </c>
    </row>
    <row r="1203" spans="1:9" x14ac:dyDescent="0.3">
      <c r="A1203" t="str">
        <f>""</f>
        <v/>
      </c>
      <c r="F1203" t="str">
        <f>""</f>
        <v/>
      </c>
      <c r="G1203" t="str">
        <f>""</f>
        <v/>
      </c>
      <c r="I1203" t="str">
        <f>"Inv# 3378157074"</f>
        <v>Inv# 3378157074</v>
      </c>
    </row>
    <row r="1204" spans="1:9" x14ac:dyDescent="0.3">
      <c r="A1204" t="str">
        <f>""</f>
        <v/>
      </c>
      <c r="F1204" t="str">
        <f>""</f>
        <v/>
      </c>
      <c r="G1204" t="str">
        <f>""</f>
        <v/>
      </c>
      <c r="I1204" t="str">
        <f>"Inv# 3378157075"</f>
        <v>Inv# 3378157075</v>
      </c>
    </row>
    <row r="1205" spans="1:9" x14ac:dyDescent="0.3">
      <c r="A1205" t="str">
        <f>""</f>
        <v/>
      </c>
      <c r="F1205" t="str">
        <f>""</f>
        <v/>
      </c>
      <c r="G1205" t="str">
        <f>""</f>
        <v/>
      </c>
      <c r="I1205" t="str">
        <f>"Inv# 3378157076"</f>
        <v>Inv# 3378157076</v>
      </c>
    </row>
    <row r="1206" spans="1:9" x14ac:dyDescent="0.3">
      <c r="A1206" t="str">
        <f>""</f>
        <v/>
      </c>
      <c r="F1206" t="str">
        <f>""</f>
        <v/>
      </c>
      <c r="G1206" t="str">
        <f>""</f>
        <v/>
      </c>
      <c r="I1206" t="str">
        <f>"Inv# 3378157077"</f>
        <v>Inv# 3378157077</v>
      </c>
    </row>
    <row r="1207" spans="1:9" x14ac:dyDescent="0.3">
      <c r="A1207" t="str">
        <f>""</f>
        <v/>
      </c>
      <c r="F1207" t="str">
        <f>""</f>
        <v/>
      </c>
      <c r="G1207" t="str">
        <f>""</f>
        <v/>
      </c>
      <c r="I1207" t="str">
        <f>"Inv# 3378157081"</f>
        <v>Inv# 3378157081</v>
      </c>
    </row>
    <row r="1208" spans="1:9" x14ac:dyDescent="0.3">
      <c r="A1208" t="str">
        <f>""</f>
        <v/>
      </c>
      <c r="F1208" t="str">
        <f>""</f>
        <v/>
      </c>
      <c r="G1208" t="str">
        <f>""</f>
        <v/>
      </c>
      <c r="I1208" t="str">
        <f>"Inv# 3378157078"</f>
        <v>Inv# 3378157078</v>
      </c>
    </row>
    <row r="1209" spans="1:9" x14ac:dyDescent="0.3">
      <c r="A1209" t="str">
        <f>""</f>
        <v/>
      </c>
      <c r="F1209" t="str">
        <f>""</f>
        <v/>
      </c>
      <c r="G1209" t="str">
        <f>""</f>
        <v/>
      </c>
      <c r="I1209" t="str">
        <f>"Inv# 3378157079"</f>
        <v>Inv# 3378157079</v>
      </c>
    </row>
    <row r="1210" spans="1:9" x14ac:dyDescent="0.3">
      <c r="A1210" t="str">
        <f>""</f>
        <v/>
      </c>
      <c r="F1210" t="str">
        <f>""</f>
        <v/>
      </c>
      <c r="G1210" t="str">
        <f>""</f>
        <v/>
      </c>
      <c r="I1210" t="str">
        <f>"Inv# 3378157080"</f>
        <v>Inv# 3378157080</v>
      </c>
    </row>
    <row r="1211" spans="1:9" x14ac:dyDescent="0.3">
      <c r="A1211" t="str">
        <f>""</f>
        <v/>
      </c>
      <c r="F1211" t="str">
        <f>""</f>
        <v/>
      </c>
      <c r="G1211" t="str">
        <f>""</f>
        <v/>
      </c>
      <c r="I1211" t="str">
        <f>"Inv# 3378157072"</f>
        <v>Inv# 3378157072</v>
      </c>
    </row>
    <row r="1212" spans="1:9" x14ac:dyDescent="0.3">
      <c r="A1212" t="str">
        <f>""</f>
        <v/>
      </c>
      <c r="F1212" t="str">
        <f>""</f>
        <v/>
      </c>
      <c r="G1212" t="str">
        <f>""</f>
        <v/>
      </c>
      <c r="I1212" t="str">
        <f>"Inv# 3378157065"</f>
        <v>Inv# 3378157065</v>
      </c>
    </row>
    <row r="1213" spans="1:9" x14ac:dyDescent="0.3">
      <c r="A1213" t="str">
        <f>""</f>
        <v/>
      </c>
      <c r="F1213" t="str">
        <f>""</f>
        <v/>
      </c>
      <c r="G1213" t="str">
        <f>""</f>
        <v/>
      </c>
      <c r="I1213" t="str">
        <f>"Inv# 3378157066"</f>
        <v>Inv# 3378157066</v>
      </c>
    </row>
    <row r="1214" spans="1:9" x14ac:dyDescent="0.3">
      <c r="A1214" t="str">
        <f>""</f>
        <v/>
      </c>
      <c r="F1214" t="str">
        <f>""</f>
        <v/>
      </c>
      <c r="G1214" t="str">
        <f>""</f>
        <v/>
      </c>
      <c r="I1214" t="str">
        <f>"Inv# 3378157067"</f>
        <v>Inv# 3378157067</v>
      </c>
    </row>
    <row r="1215" spans="1:9" x14ac:dyDescent="0.3">
      <c r="A1215" t="str">
        <f>""</f>
        <v/>
      </c>
      <c r="F1215" t="str">
        <f>""</f>
        <v/>
      </c>
      <c r="G1215" t="str">
        <f>""</f>
        <v/>
      </c>
      <c r="I1215" t="str">
        <f>"Inv# 3378157068"</f>
        <v>Inv# 3378157068</v>
      </c>
    </row>
    <row r="1216" spans="1:9" x14ac:dyDescent="0.3">
      <c r="A1216" t="str">
        <f>""</f>
        <v/>
      </c>
      <c r="F1216" t="str">
        <f>""</f>
        <v/>
      </c>
      <c r="G1216" t="str">
        <f>""</f>
        <v/>
      </c>
      <c r="I1216" t="str">
        <f>"Inv# 3378157069"</f>
        <v>Inv# 3378157069</v>
      </c>
    </row>
    <row r="1217" spans="1:9" x14ac:dyDescent="0.3">
      <c r="A1217" t="str">
        <f>""</f>
        <v/>
      </c>
      <c r="F1217" t="str">
        <f>""</f>
        <v/>
      </c>
      <c r="G1217" t="str">
        <f>""</f>
        <v/>
      </c>
      <c r="I1217" t="str">
        <f>"Inv# 3378157060"</f>
        <v>Inv# 3378157060</v>
      </c>
    </row>
    <row r="1218" spans="1:9" x14ac:dyDescent="0.3">
      <c r="A1218" t="str">
        <f>"003508"</f>
        <v>003508</v>
      </c>
      <c r="B1218" t="s">
        <v>350</v>
      </c>
      <c r="C1218">
        <v>77371</v>
      </c>
      <c r="D1218" s="2">
        <v>4212.71</v>
      </c>
      <c r="E1218" s="1">
        <v>43276</v>
      </c>
      <c r="F1218" t="str">
        <f>"8050097778"</f>
        <v>8050097778</v>
      </c>
      <c r="G1218" t="str">
        <f>"Sum Inv 8050097778"</f>
        <v>Sum Inv 8050097778</v>
      </c>
      <c r="H1218">
        <v>4212.71</v>
      </c>
      <c r="I1218" t="str">
        <f>"Inv# 3379760485"</f>
        <v>Inv# 3379760485</v>
      </c>
    </row>
    <row r="1219" spans="1:9" x14ac:dyDescent="0.3">
      <c r="A1219" t="str">
        <f>""</f>
        <v/>
      </c>
      <c r="F1219" t="str">
        <f>""</f>
        <v/>
      </c>
      <c r="G1219" t="str">
        <f>""</f>
        <v/>
      </c>
      <c r="I1219" t="str">
        <f>"Inv# 3379760486"</f>
        <v>Inv# 3379760486</v>
      </c>
    </row>
    <row r="1220" spans="1:9" x14ac:dyDescent="0.3">
      <c r="A1220" t="str">
        <f>""</f>
        <v/>
      </c>
      <c r="F1220" t="str">
        <f>""</f>
        <v/>
      </c>
      <c r="G1220" t="str">
        <f>""</f>
        <v/>
      </c>
      <c r="I1220" t="str">
        <f>"Inv# 3379760487"</f>
        <v>Inv# 3379760487</v>
      </c>
    </row>
    <row r="1221" spans="1:9" x14ac:dyDescent="0.3">
      <c r="A1221" t="str">
        <f>""</f>
        <v/>
      </c>
      <c r="F1221" t="str">
        <f>""</f>
        <v/>
      </c>
      <c r="G1221" t="str">
        <f>""</f>
        <v/>
      </c>
      <c r="I1221" t="str">
        <f>"Inv# 3379760490"</f>
        <v>Inv# 3379760490</v>
      </c>
    </row>
    <row r="1222" spans="1:9" x14ac:dyDescent="0.3">
      <c r="A1222" t="str">
        <f>""</f>
        <v/>
      </c>
      <c r="F1222" t="str">
        <f>""</f>
        <v/>
      </c>
      <c r="G1222" t="str">
        <f>""</f>
        <v/>
      </c>
      <c r="I1222" t="str">
        <f>"Inv# 3379760491"</f>
        <v>Inv# 3379760491</v>
      </c>
    </row>
    <row r="1223" spans="1:9" x14ac:dyDescent="0.3">
      <c r="A1223" t="str">
        <f>""</f>
        <v/>
      </c>
      <c r="F1223" t="str">
        <f>""</f>
        <v/>
      </c>
      <c r="G1223" t="str">
        <f>""</f>
        <v/>
      </c>
      <c r="I1223" t="str">
        <f>"Inv# 3379760484"</f>
        <v>Inv# 3379760484</v>
      </c>
    </row>
    <row r="1224" spans="1:9" x14ac:dyDescent="0.3">
      <c r="A1224" t="str">
        <f>""</f>
        <v/>
      </c>
      <c r="F1224" t="str">
        <f>""</f>
        <v/>
      </c>
      <c r="G1224" t="str">
        <f>""</f>
        <v/>
      </c>
      <c r="I1224" t="str">
        <f>"Inv# 3379760473"</f>
        <v>Inv# 3379760473</v>
      </c>
    </row>
    <row r="1225" spans="1:9" x14ac:dyDescent="0.3">
      <c r="A1225" t="str">
        <f>""</f>
        <v/>
      </c>
      <c r="F1225" t="str">
        <f>""</f>
        <v/>
      </c>
      <c r="G1225" t="str">
        <f>""</f>
        <v/>
      </c>
      <c r="I1225" t="str">
        <f>"Inv# 3379760474"</f>
        <v>Inv# 3379760474</v>
      </c>
    </row>
    <row r="1226" spans="1:9" x14ac:dyDescent="0.3">
      <c r="A1226" t="str">
        <f>""</f>
        <v/>
      </c>
      <c r="F1226" t="str">
        <f>""</f>
        <v/>
      </c>
      <c r="G1226" t="str">
        <f>""</f>
        <v/>
      </c>
      <c r="I1226" t="str">
        <f>"Inv# 3379760475"</f>
        <v>Inv# 3379760475</v>
      </c>
    </row>
    <row r="1227" spans="1:9" x14ac:dyDescent="0.3">
      <c r="A1227" t="str">
        <f>""</f>
        <v/>
      </c>
      <c r="F1227" t="str">
        <f>""</f>
        <v/>
      </c>
      <c r="G1227" t="str">
        <f>""</f>
        <v/>
      </c>
      <c r="I1227" t="str">
        <f>"Inv# 3379760471"</f>
        <v>Inv# 3379760471</v>
      </c>
    </row>
    <row r="1228" spans="1:9" x14ac:dyDescent="0.3">
      <c r="A1228" t="str">
        <f>""</f>
        <v/>
      </c>
      <c r="F1228" t="str">
        <f>""</f>
        <v/>
      </c>
      <c r="G1228" t="str">
        <f>""</f>
        <v/>
      </c>
      <c r="I1228" t="str">
        <f>"Inv# 3379760498"</f>
        <v>Inv# 3379760498</v>
      </c>
    </row>
    <row r="1229" spans="1:9" x14ac:dyDescent="0.3">
      <c r="A1229" t="str">
        <f>""</f>
        <v/>
      </c>
      <c r="F1229" t="str">
        <f>""</f>
        <v/>
      </c>
      <c r="G1229" t="str">
        <f>""</f>
        <v/>
      </c>
      <c r="I1229" t="str">
        <f>"Inv# 3379760488"</f>
        <v>Inv# 3379760488</v>
      </c>
    </row>
    <row r="1230" spans="1:9" x14ac:dyDescent="0.3">
      <c r="A1230" t="str">
        <f>""</f>
        <v/>
      </c>
      <c r="F1230" t="str">
        <f>""</f>
        <v/>
      </c>
      <c r="G1230" t="str">
        <f>""</f>
        <v/>
      </c>
      <c r="I1230" t="str">
        <f>"Inv# 3379760489"</f>
        <v>Inv# 3379760489</v>
      </c>
    </row>
    <row r="1231" spans="1:9" x14ac:dyDescent="0.3">
      <c r="A1231" t="str">
        <f>""</f>
        <v/>
      </c>
      <c r="F1231" t="str">
        <f>""</f>
        <v/>
      </c>
      <c r="G1231" t="str">
        <f>""</f>
        <v/>
      </c>
      <c r="I1231" t="str">
        <f>"Inv# 3379460497"</f>
        <v>Inv# 3379460497</v>
      </c>
    </row>
    <row r="1232" spans="1:9" x14ac:dyDescent="0.3">
      <c r="A1232" t="str">
        <f>""</f>
        <v/>
      </c>
      <c r="F1232" t="str">
        <f>""</f>
        <v/>
      </c>
      <c r="G1232" t="str">
        <f>""</f>
        <v/>
      </c>
      <c r="I1232" t="str">
        <f>"Inv# 3379760492"</f>
        <v>Inv# 3379760492</v>
      </c>
    </row>
    <row r="1233" spans="1:9" x14ac:dyDescent="0.3">
      <c r="A1233" t="str">
        <f>""</f>
        <v/>
      </c>
      <c r="F1233" t="str">
        <f>""</f>
        <v/>
      </c>
      <c r="G1233" t="str">
        <f>""</f>
        <v/>
      </c>
      <c r="I1233" t="str">
        <f>"Inv# 3379760494"</f>
        <v>Inv# 3379760494</v>
      </c>
    </row>
    <row r="1234" spans="1:9" x14ac:dyDescent="0.3">
      <c r="A1234" t="str">
        <f>""</f>
        <v/>
      </c>
      <c r="F1234" t="str">
        <f>""</f>
        <v/>
      </c>
      <c r="G1234" t="str">
        <f>""</f>
        <v/>
      </c>
      <c r="I1234" t="str">
        <f>"Inv# 3379760495"</f>
        <v>Inv# 3379760495</v>
      </c>
    </row>
    <row r="1235" spans="1:9" x14ac:dyDescent="0.3">
      <c r="A1235" t="str">
        <f>""</f>
        <v/>
      </c>
      <c r="F1235" t="str">
        <f>""</f>
        <v/>
      </c>
      <c r="G1235" t="str">
        <f>""</f>
        <v/>
      </c>
      <c r="I1235" t="str">
        <f>"Inv# 3379760496"</f>
        <v>Inv# 3379760496</v>
      </c>
    </row>
    <row r="1236" spans="1:9" x14ac:dyDescent="0.3">
      <c r="A1236" t="str">
        <f>""</f>
        <v/>
      </c>
      <c r="F1236" t="str">
        <f>""</f>
        <v/>
      </c>
      <c r="G1236" t="str">
        <f>""</f>
        <v/>
      </c>
      <c r="I1236" t="str">
        <f>"Inv# 3379760476"</f>
        <v>Inv# 3379760476</v>
      </c>
    </row>
    <row r="1237" spans="1:9" x14ac:dyDescent="0.3">
      <c r="A1237" t="str">
        <f>""</f>
        <v/>
      </c>
      <c r="F1237" t="str">
        <f>""</f>
        <v/>
      </c>
      <c r="G1237" t="str">
        <f>""</f>
        <v/>
      </c>
      <c r="I1237" t="str">
        <f>"Inv# 3379760477"</f>
        <v>Inv# 3379760477</v>
      </c>
    </row>
    <row r="1238" spans="1:9" x14ac:dyDescent="0.3">
      <c r="A1238" t="str">
        <f>""</f>
        <v/>
      </c>
      <c r="F1238" t="str">
        <f>""</f>
        <v/>
      </c>
      <c r="G1238" t="str">
        <f>""</f>
        <v/>
      </c>
      <c r="I1238" t="str">
        <f>"Inv# 3379760478"</f>
        <v>Inv# 3379760478</v>
      </c>
    </row>
    <row r="1239" spans="1:9" x14ac:dyDescent="0.3">
      <c r="A1239" t="str">
        <f>""</f>
        <v/>
      </c>
      <c r="F1239" t="str">
        <f>""</f>
        <v/>
      </c>
      <c r="G1239" t="str">
        <f>""</f>
        <v/>
      </c>
      <c r="I1239" t="str">
        <f>"Inv# 3379760479"</f>
        <v>Inv# 3379760479</v>
      </c>
    </row>
    <row r="1240" spans="1:9" x14ac:dyDescent="0.3">
      <c r="A1240" t="str">
        <f>""</f>
        <v/>
      </c>
      <c r="F1240" t="str">
        <f>""</f>
        <v/>
      </c>
      <c r="G1240" t="str">
        <f>""</f>
        <v/>
      </c>
      <c r="I1240" t="str">
        <f>"Inv# 3379760481"</f>
        <v>Inv# 3379760481</v>
      </c>
    </row>
    <row r="1241" spans="1:9" x14ac:dyDescent="0.3">
      <c r="A1241" t="str">
        <f>""</f>
        <v/>
      </c>
      <c r="F1241" t="str">
        <f>""</f>
        <v/>
      </c>
      <c r="G1241" t="str">
        <f>""</f>
        <v/>
      </c>
      <c r="I1241" t="str">
        <f>"Inv# 3379760482"</f>
        <v>Inv# 3379760482</v>
      </c>
    </row>
    <row r="1242" spans="1:9" x14ac:dyDescent="0.3">
      <c r="A1242" t="str">
        <f>"T459"</f>
        <v>T459</v>
      </c>
      <c r="B1242" t="s">
        <v>351</v>
      </c>
      <c r="C1242">
        <v>77178</v>
      </c>
      <c r="D1242" s="2">
        <v>676.54</v>
      </c>
      <c r="E1242" s="1">
        <v>43262</v>
      </c>
      <c r="F1242" t="str">
        <f>"201806051278"</f>
        <v>201806051278</v>
      </c>
      <c r="G1242" t="str">
        <f>"MAY 2018"</f>
        <v>MAY 2018</v>
      </c>
      <c r="H1242">
        <v>676.54</v>
      </c>
      <c r="I1242" t="str">
        <f>"MAY 2018"</f>
        <v>MAY 2018</v>
      </c>
    </row>
    <row r="1243" spans="1:9" x14ac:dyDescent="0.3">
      <c r="A1243" t="str">
        <f>"000666"</f>
        <v>000666</v>
      </c>
      <c r="B1243" t="s">
        <v>352</v>
      </c>
      <c r="C1243">
        <v>77372</v>
      </c>
      <c r="D1243" s="2">
        <v>107.3</v>
      </c>
      <c r="E1243" s="1">
        <v>43276</v>
      </c>
      <c r="F1243" t="str">
        <f>"SMT188472"</f>
        <v>SMT188472</v>
      </c>
      <c r="G1243" t="str">
        <f>"JOB:SW26872/PCT#2"</f>
        <v>JOB:SW26872/PCT#2</v>
      </c>
      <c r="H1243">
        <v>107.3</v>
      </c>
      <c r="I1243" t="str">
        <f>"JOB:SW26872/PCT#2"</f>
        <v>JOB:SW26872/PCT#2</v>
      </c>
    </row>
    <row r="1244" spans="1:9" x14ac:dyDescent="0.3">
      <c r="A1244" t="str">
        <f>"T8648"</f>
        <v>T8648</v>
      </c>
      <c r="B1244" t="s">
        <v>353</v>
      </c>
      <c r="C1244">
        <v>77373</v>
      </c>
      <c r="D1244" s="2">
        <v>7475.08</v>
      </c>
      <c r="E1244" s="1">
        <v>43276</v>
      </c>
      <c r="F1244" t="str">
        <f>"62802131964"</f>
        <v>62802131964</v>
      </c>
      <c r="G1244" t="str">
        <f>"Inv# 62802131964"</f>
        <v>Inv# 62802131964</v>
      </c>
      <c r="H1244">
        <v>7475.08</v>
      </c>
      <c r="I1244" t="str">
        <f>"Inv# 62802131964"</f>
        <v>Inv# 62802131964</v>
      </c>
    </row>
    <row r="1245" spans="1:9" x14ac:dyDescent="0.3">
      <c r="A1245" t="str">
        <f>"002260"</f>
        <v>002260</v>
      </c>
      <c r="B1245" t="s">
        <v>354</v>
      </c>
      <c r="C1245">
        <v>77179</v>
      </c>
      <c r="D1245" s="2">
        <v>299</v>
      </c>
      <c r="E1245" s="1">
        <v>43262</v>
      </c>
      <c r="F1245" t="str">
        <f>"201806051287"</f>
        <v>201806051287</v>
      </c>
      <c r="G1245" t="str">
        <f>"TRASH REMOVAL 05/28-05/31/PCT4"</f>
        <v>TRASH REMOVAL 05/28-05/31/PCT4</v>
      </c>
      <c r="H1245">
        <v>156</v>
      </c>
      <c r="I1245" t="str">
        <f>"TRASH REMOVAL 05/28-05/31/PCT4"</f>
        <v>TRASH REMOVAL 05/28-05/31/PCT4</v>
      </c>
    </row>
    <row r="1246" spans="1:9" x14ac:dyDescent="0.3">
      <c r="A1246" t="str">
        <f>""</f>
        <v/>
      </c>
      <c r="F1246" t="str">
        <f>"201806051288"</f>
        <v>201806051288</v>
      </c>
      <c r="G1246" t="str">
        <f>"TRASH REMOVAL 06/04-06/08/PCT4"</f>
        <v>TRASH REMOVAL 06/04-06/08/PCT4</v>
      </c>
      <c r="H1246">
        <v>143</v>
      </c>
      <c r="I1246" t="str">
        <f>"TRASH REMOVAL 06/04-06/08/PCT4"</f>
        <v>TRASH REMOVAL 06/04-06/08/PCT4</v>
      </c>
    </row>
    <row r="1247" spans="1:9" x14ac:dyDescent="0.3">
      <c r="A1247" t="str">
        <f>"002260"</f>
        <v>002260</v>
      </c>
      <c r="B1247" t="s">
        <v>354</v>
      </c>
      <c r="C1247">
        <v>77374</v>
      </c>
      <c r="D1247" s="2">
        <v>435.5</v>
      </c>
      <c r="E1247" s="1">
        <v>43276</v>
      </c>
      <c r="F1247" t="str">
        <f>"201806181637"</f>
        <v>201806181637</v>
      </c>
      <c r="G1247" t="str">
        <f>"TRASH REMOVAL 6/11-6/22/PCT#4"</f>
        <v>TRASH REMOVAL 6/11-6/22/PCT#4</v>
      </c>
      <c r="H1247">
        <v>435.5</v>
      </c>
      <c r="I1247" t="str">
        <f>"TRASH REMOVAL 6/11-6/22/PCT#4"</f>
        <v>TRASH REMOVAL 6/11-6/22/PCT#4</v>
      </c>
    </row>
    <row r="1248" spans="1:9" x14ac:dyDescent="0.3">
      <c r="A1248" t="str">
        <f>"004775"</f>
        <v>004775</v>
      </c>
      <c r="B1248" t="s">
        <v>355</v>
      </c>
      <c r="C1248">
        <v>999999</v>
      </c>
      <c r="D1248" s="2">
        <v>7860</v>
      </c>
      <c r="E1248" s="1">
        <v>43263</v>
      </c>
      <c r="F1248" t="str">
        <f>"198"</f>
        <v>198</v>
      </c>
      <c r="G1248" t="str">
        <f>"SHREDDING/MOWING/PCT#2"</f>
        <v>SHREDDING/MOWING/PCT#2</v>
      </c>
      <c r="H1248">
        <v>7860</v>
      </c>
      <c r="I1248" t="str">
        <f>"SHREDDING/MOWING/PCT#2"</f>
        <v>SHREDDING/MOWING/PCT#2</v>
      </c>
    </row>
    <row r="1249" spans="1:9" x14ac:dyDescent="0.3">
      <c r="A1249" t="str">
        <f>"004775"</f>
        <v>004775</v>
      </c>
      <c r="B1249" t="s">
        <v>355</v>
      </c>
      <c r="C1249">
        <v>999999</v>
      </c>
      <c r="D1249" s="2">
        <v>11520</v>
      </c>
      <c r="E1249" s="1">
        <v>43277</v>
      </c>
      <c r="F1249" t="str">
        <f>"204"</f>
        <v>204</v>
      </c>
      <c r="G1249" t="str">
        <f>"SHREDDING/MOWING/PCT#2"</f>
        <v>SHREDDING/MOWING/PCT#2</v>
      </c>
      <c r="H1249">
        <v>11520</v>
      </c>
      <c r="I1249" t="str">
        <f>"SHREDDING/MOWING/PCT#2"</f>
        <v>SHREDDING/MOWING/PCT#2</v>
      </c>
    </row>
    <row r="1250" spans="1:9" x14ac:dyDescent="0.3">
      <c r="A1250" t="str">
        <f>"002848"</f>
        <v>002848</v>
      </c>
      <c r="B1250" t="s">
        <v>356</v>
      </c>
      <c r="C1250">
        <v>77375</v>
      </c>
      <c r="D1250" s="2">
        <v>1273.08</v>
      </c>
      <c r="E1250" s="1">
        <v>43276</v>
      </c>
      <c r="F1250" t="str">
        <f>"2403990"</f>
        <v>2403990</v>
      </c>
      <c r="G1250" t="str">
        <f>"CUST#3451510/SUPPLIES/CTY CLRK"</f>
        <v>CUST#3451510/SUPPLIES/CTY CLRK</v>
      </c>
      <c r="H1250">
        <v>1273.08</v>
      </c>
      <c r="I1250" t="str">
        <f>"CUST#3451510/SUPPLIES/CTY CLRK"</f>
        <v>CUST#3451510/SUPPLIES/CTY CLRK</v>
      </c>
    </row>
    <row r="1251" spans="1:9" x14ac:dyDescent="0.3">
      <c r="A1251" t="str">
        <f>"004087"</f>
        <v>004087</v>
      </c>
      <c r="B1251" t="s">
        <v>357</v>
      </c>
      <c r="C1251">
        <v>999999</v>
      </c>
      <c r="D1251" s="2">
        <v>89.2</v>
      </c>
      <c r="E1251" s="1">
        <v>43263</v>
      </c>
      <c r="F1251" t="str">
        <f>"18060101"</f>
        <v>18060101</v>
      </c>
      <c r="G1251" t="str">
        <f>"SVC CONTRACT/COUNTY CLERK"</f>
        <v>SVC CONTRACT/COUNTY CLERK</v>
      </c>
      <c r="H1251">
        <v>89.2</v>
      </c>
      <c r="I1251" t="str">
        <f>"SVC CONTRACT/COUNTY CLERK"</f>
        <v>SVC CONTRACT/COUNTY CLERK</v>
      </c>
    </row>
    <row r="1252" spans="1:9" x14ac:dyDescent="0.3">
      <c r="A1252" t="str">
        <f>"TIMW"</f>
        <v>TIMW</v>
      </c>
      <c r="B1252" t="s">
        <v>358</v>
      </c>
      <c r="C1252">
        <v>999999</v>
      </c>
      <c r="D1252" s="2">
        <v>129.81</v>
      </c>
      <c r="E1252" s="1">
        <v>43277</v>
      </c>
      <c r="F1252" t="str">
        <f>"011984"</f>
        <v>011984</v>
      </c>
      <c r="G1252" t="str">
        <f>"SALES ORD#11947/PCT#4"</f>
        <v>SALES ORD#11947/PCT#4</v>
      </c>
      <c r="H1252">
        <v>51.16</v>
      </c>
      <c r="I1252" t="str">
        <f>"SALES ORD#11947/PCT#4"</f>
        <v>SALES ORD#11947/PCT#4</v>
      </c>
    </row>
    <row r="1253" spans="1:9" x14ac:dyDescent="0.3">
      <c r="A1253" t="str">
        <f>""</f>
        <v/>
      </c>
      <c r="F1253" t="str">
        <f>"11924"</f>
        <v>11924</v>
      </c>
      <c r="G1253" t="str">
        <f>"ORD#11884/PCT#4"</f>
        <v>ORD#11884/PCT#4</v>
      </c>
      <c r="H1253">
        <v>78.650000000000006</v>
      </c>
      <c r="I1253" t="str">
        <f>"ORD#11884/PCT#4"</f>
        <v>ORD#11884/PCT#4</v>
      </c>
    </row>
    <row r="1254" spans="1:9" x14ac:dyDescent="0.3">
      <c r="A1254" t="str">
        <f>"T14477"</f>
        <v>T14477</v>
      </c>
      <c r="B1254" t="s">
        <v>359</v>
      </c>
      <c r="C1254">
        <v>77180</v>
      </c>
      <c r="D1254" s="2">
        <v>25</v>
      </c>
      <c r="E1254" s="1">
        <v>43262</v>
      </c>
      <c r="F1254" t="str">
        <f>"201805301222"</f>
        <v>201805301222</v>
      </c>
      <c r="G1254" t="str">
        <f>"EXAM FEE-JOHN HUNTER"</f>
        <v>EXAM FEE-JOHN HUNTER</v>
      </c>
      <c r="H1254">
        <v>25</v>
      </c>
      <c r="I1254" t="str">
        <f>"EXAM FEE-JOHN HUNTER"</f>
        <v>EXAM FEE-JOHN HUNTER</v>
      </c>
    </row>
    <row r="1255" spans="1:9" x14ac:dyDescent="0.3">
      <c r="A1255" t="str">
        <f>"T2897"</f>
        <v>T2897</v>
      </c>
      <c r="B1255" t="s">
        <v>360</v>
      </c>
      <c r="C1255">
        <v>77181</v>
      </c>
      <c r="D1255" s="2">
        <v>60</v>
      </c>
      <c r="E1255" s="1">
        <v>43262</v>
      </c>
      <c r="F1255" t="str">
        <f>"ONLINE TRAINING"</f>
        <v>ONLINE TRAINING</v>
      </c>
      <c r="G1255" t="str">
        <f>"ONLINE TRAINING"</f>
        <v>ONLINE TRAINING</v>
      </c>
      <c r="H1255">
        <v>60</v>
      </c>
      <c r="I1255" t="str">
        <f>"ONLINE TRAINING"</f>
        <v>ONLINE TRAINING</v>
      </c>
    </row>
    <row r="1256" spans="1:9" x14ac:dyDescent="0.3">
      <c r="A1256" t="str">
        <f>"T8745"</f>
        <v>T8745</v>
      </c>
      <c r="B1256" t="s">
        <v>361</v>
      </c>
      <c r="C1256">
        <v>999999</v>
      </c>
      <c r="D1256" s="2">
        <v>201</v>
      </c>
      <c r="E1256" s="1">
        <v>43277</v>
      </c>
      <c r="F1256" t="str">
        <f>"1807060"</f>
        <v>1807060</v>
      </c>
      <c r="G1256" t="str">
        <f>"MONTHLY CONTRACT BILLING"</f>
        <v>MONTHLY CONTRACT BILLING</v>
      </c>
      <c r="H1256">
        <v>201</v>
      </c>
      <c r="I1256" t="str">
        <f>"MONTHLY CONTRACT BILLING"</f>
        <v>MONTHLY CONTRACT BILLING</v>
      </c>
    </row>
    <row r="1257" spans="1:9" x14ac:dyDescent="0.3">
      <c r="A1257" t="str">
        <f>"004677"</f>
        <v>004677</v>
      </c>
      <c r="B1257" t="s">
        <v>362</v>
      </c>
      <c r="C1257">
        <v>77376</v>
      </c>
      <c r="D1257" s="2">
        <v>432.77</v>
      </c>
      <c r="E1257" s="1">
        <v>43276</v>
      </c>
      <c r="F1257" t="str">
        <f>"201806131555"</f>
        <v>201806131555</v>
      </c>
      <c r="G1257" t="str">
        <f>"COURT REPORTING SVCS 04/25/18"</f>
        <v>COURT REPORTING SVCS 04/25/18</v>
      </c>
      <c r="H1257">
        <v>432.77</v>
      </c>
      <c r="I1257" t="str">
        <f>"COURT REPORTING SVCS 04/25/18"</f>
        <v>COURT REPORTING SVCS 04/25/18</v>
      </c>
    </row>
    <row r="1258" spans="1:9" x14ac:dyDescent="0.3">
      <c r="A1258" t="str">
        <f>"T11830"</f>
        <v>T11830</v>
      </c>
      <c r="B1258" t="s">
        <v>363</v>
      </c>
      <c r="C1258">
        <v>77182</v>
      </c>
      <c r="D1258" s="2">
        <v>130.85</v>
      </c>
      <c r="E1258" s="1">
        <v>43262</v>
      </c>
      <c r="F1258" t="str">
        <f>"201806011243"</f>
        <v>201806011243</v>
      </c>
      <c r="G1258" t="str">
        <f>"MILEAGE REIMBURSEMENT"</f>
        <v>MILEAGE REIMBURSEMENT</v>
      </c>
      <c r="H1258">
        <v>130.85</v>
      </c>
      <c r="I1258" t="str">
        <f>"MILEAGE REIMBURSEMENT"</f>
        <v>MILEAGE REIMBURSEMENT</v>
      </c>
    </row>
    <row r="1259" spans="1:9" x14ac:dyDescent="0.3">
      <c r="A1259" t="str">
        <f>"T6855"</f>
        <v>T6855</v>
      </c>
      <c r="B1259" t="s">
        <v>364</v>
      </c>
      <c r="C1259">
        <v>77183</v>
      </c>
      <c r="D1259" s="2">
        <v>8754.2900000000009</v>
      </c>
      <c r="E1259" s="1">
        <v>43262</v>
      </c>
      <c r="F1259" t="str">
        <f>"0750695-IN"</f>
        <v>0750695-IN</v>
      </c>
      <c r="G1259" t="str">
        <f>"ACCT#01-0112917/FUEL/PCT#2"</f>
        <v>ACCT#01-0112917/FUEL/PCT#2</v>
      </c>
      <c r="H1259">
        <v>3945.68</v>
      </c>
      <c r="I1259" t="str">
        <f>"ACCT#01-0112917/FUEL/PCT#2"</f>
        <v>ACCT#01-0112917/FUEL/PCT#2</v>
      </c>
    </row>
    <row r="1260" spans="1:9" x14ac:dyDescent="0.3">
      <c r="A1260" t="str">
        <f>""</f>
        <v/>
      </c>
      <c r="F1260" t="str">
        <f>"0752330-IN"</f>
        <v>0752330-IN</v>
      </c>
      <c r="G1260" t="str">
        <f>"ACCT#01-01112917/FUEL/PCT#3"</f>
        <v>ACCT#01-01112917/FUEL/PCT#3</v>
      </c>
      <c r="H1260">
        <v>4808.6099999999997</v>
      </c>
      <c r="I1260" t="str">
        <f>"ACCT#01-01112917/FUEL/PCT#3"</f>
        <v>ACCT#01-01112917/FUEL/PCT#3</v>
      </c>
    </row>
    <row r="1261" spans="1:9" x14ac:dyDescent="0.3">
      <c r="A1261" t="str">
        <f>"T6855"</f>
        <v>T6855</v>
      </c>
      <c r="B1261" t="s">
        <v>364</v>
      </c>
      <c r="C1261">
        <v>77377</v>
      </c>
      <c r="D1261" s="2">
        <v>19923.12</v>
      </c>
      <c r="E1261" s="1">
        <v>43276</v>
      </c>
      <c r="F1261" t="str">
        <f>"0753917-IN"</f>
        <v>0753917-IN</v>
      </c>
      <c r="G1261" t="str">
        <f>"ACCT#01-0112917/BOL#519433/P2"</f>
        <v>ACCT#01-0112917/BOL#519433/P2</v>
      </c>
      <c r="H1261">
        <v>3536.63</v>
      </c>
      <c r="I1261" t="str">
        <f>"ACCT#01-0112917/BOL#519433/P2"</f>
        <v>ACCT#01-0112917/BOL#519433/P2</v>
      </c>
    </row>
    <row r="1262" spans="1:9" x14ac:dyDescent="0.3">
      <c r="A1262" t="str">
        <f>""</f>
        <v/>
      </c>
      <c r="F1262" t="str">
        <f>"0754627-IN"</f>
        <v>0754627-IN</v>
      </c>
      <c r="G1262" t="str">
        <f>"ACCT#01-0112917/BOL#273724/P3"</f>
        <v>ACCT#01-0112917/BOL#273724/P3</v>
      </c>
      <c r="H1262">
        <v>4022.45</v>
      </c>
      <c r="I1262" t="str">
        <f>"ACCT#01-0112917/BOL#273724/P3"</f>
        <v>ACCT#01-0112917/BOL#273724/P3</v>
      </c>
    </row>
    <row r="1263" spans="1:9" x14ac:dyDescent="0.3">
      <c r="A1263" t="str">
        <f>""</f>
        <v/>
      </c>
      <c r="F1263" t="str">
        <f>"0754829-IN"</f>
        <v>0754829-IN</v>
      </c>
      <c r="G1263" t="str">
        <f>"ACCT#01-0112917/PCT#2"</f>
        <v>ACCT#01-0112917/PCT#2</v>
      </c>
      <c r="H1263">
        <v>255.6</v>
      </c>
      <c r="I1263" t="str">
        <f>"ACCT#01-0112917/PCT#2"</f>
        <v>ACCT#01-0112917/PCT#2</v>
      </c>
    </row>
    <row r="1264" spans="1:9" x14ac:dyDescent="0.3">
      <c r="A1264" t="str">
        <f>""</f>
        <v/>
      </c>
      <c r="F1264" t="str">
        <f>"0754830-IN"</f>
        <v>0754830-IN</v>
      </c>
      <c r="G1264" t="str">
        <f>"ACCT#01-0112917/P2"</f>
        <v>ACCT#01-0112917/P2</v>
      </c>
      <c r="H1264">
        <v>1136</v>
      </c>
      <c r="I1264" t="str">
        <f>"ACCT#01-0112917/ORD#0754830/P2"</f>
        <v>ACCT#01-0112917/ORD#0754830/P2</v>
      </c>
    </row>
    <row r="1265" spans="1:9" x14ac:dyDescent="0.3">
      <c r="A1265" t="str">
        <f>""</f>
        <v/>
      </c>
      <c r="F1265" t="str">
        <f>"0756517-IN"</f>
        <v>0756517-IN</v>
      </c>
      <c r="G1265" t="str">
        <f>"ACCT#01-0112917/BOL#274520/P1"</f>
        <v>ACCT#01-0112917/BOL#274520/P1</v>
      </c>
      <c r="H1265">
        <v>6303.63</v>
      </c>
      <c r="I1265" t="str">
        <f>"ACCT#01-0112917/BOL#274520/P1"</f>
        <v>ACCT#01-0112917/BOL#274520/P1</v>
      </c>
    </row>
    <row r="1266" spans="1:9" x14ac:dyDescent="0.3">
      <c r="A1266" t="str">
        <f>""</f>
        <v/>
      </c>
      <c r="F1266" t="str">
        <f>"0757866-IN"</f>
        <v>0757866-IN</v>
      </c>
      <c r="G1266" t="str">
        <f>"ACCT#01-0112917/FUEL/PCT#3"</f>
        <v>ACCT#01-0112917/FUEL/PCT#3</v>
      </c>
      <c r="H1266">
        <v>4668.8100000000004</v>
      </c>
      <c r="I1266" t="str">
        <f>"ACCT#01-0112917/FUEL/PCT#3"</f>
        <v>ACCT#01-0112917/FUEL/PCT#3</v>
      </c>
    </row>
    <row r="1267" spans="1:9" x14ac:dyDescent="0.3">
      <c r="A1267" t="str">
        <f>"TXAGG"</f>
        <v>TXAGG</v>
      </c>
      <c r="B1267" t="s">
        <v>365</v>
      </c>
      <c r="C1267">
        <v>999999</v>
      </c>
      <c r="D1267" s="2">
        <v>1434.44</v>
      </c>
      <c r="E1267" s="1">
        <v>43277</v>
      </c>
      <c r="F1267" t="str">
        <f>"95196"</f>
        <v>95196</v>
      </c>
      <c r="G1267" t="str">
        <f>"TKT#10874629/1084679/BULLROCK"</f>
        <v>TKT#10874629/1084679/BULLROCK</v>
      </c>
      <c r="H1267">
        <v>340.62</v>
      </c>
      <c r="I1267" t="str">
        <f>"TKT#10874629/1084679/BULLROCK"</f>
        <v>TKT#10874629/1084679/BULLROCK</v>
      </c>
    </row>
    <row r="1268" spans="1:9" x14ac:dyDescent="0.3">
      <c r="A1268" t="str">
        <f>""</f>
        <v/>
      </c>
      <c r="F1268" t="str">
        <f>"95220"</f>
        <v>95220</v>
      </c>
      <c r="G1268" t="str">
        <f>"BULLROCK/PCT#4"</f>
        <v>BULLROCK/PCT#4</v>
      </c>
      <c r="H1268">
        <v>563.91999999999996</v>
      </c>
      <c r="I1268" t="str">
        <f>"BULLROCK/PCT#4"</f>
        <v>BULLROCK/PCT#4</v>
      </c>
    </row>
    <row r="1269" spans="1:9" x14ac:dyDescent="0.3">
      <c r="A1269" t="str">
        <f>""</f>
        <v/>
      </c>
      <c r="F1269" t="str">
        <f>"95269"</f>
        <v>95269</v>
      </c>
      <c r="G1269" t="str">
        <f>"TICKET#1085286/RIP RAP/PCT#1"</f>
        <v>TICKET#1085286/RIP RAP/PCT#1</v>
      </c>
      <c r="H1269">
        <v>529.9</v>
      </c>
      <c r="I1269" t="str">
        <f>"TICKET#1085286/RIP RAP/PCT#1"</f>
        <v>TICKET#1085286/RIP RAP/PCT#1</v>
      </c>
    </row>
    <row r="1270" spans="1:9" x14ac:dyDescent="0.3">
      <c r="A1270" t="str">
        <f>"001468"</f>
        <v>001468</v>
      </c>
      <c r="B1270" t="s">
        <v>366</v>
      </c>
      <c r="C1270">
        <v>77184</v>
      </c>
      <c r="D1270" s="2">
        <v>100</v>
      </c>
      <c r="E1270" s="1">
        <v>43262</v>
      </c>
      <c r="F1270" t="str">
        <f>"1286"</f>
        <v>1286</v>
      </c>
      <c r="G1270" t="str">
        <f>"INV 1286"</f>
        <v>INV 1286</v>
      </c>
      <c r="H1270">
        <v>50</v>
      </c>
      <c r="I1270" t="str">
        <f>"INV 1286"</f>
        <v>INV 1286</v>
      </c>
    </row>
    <row r="1271" spans="1:9" x14ac:dyDescent="0.3">
      <c r="A1271" t="str">
        <f>""</f>
        <v/>
      </c>
      <c r="F1271" t="str">
        <f>"1294"</f>
        <v>1294</v>
      </c>
      <c r="G1271" t="str">
        <f>"Inv# 1294 Bond for Leon"</f>
        <v>Inv# 1294 Bond for Leon</v>
      </c>
      <c r="H1271">
        <v>50</v>
      </c>
      <c r="I1271" t="str">
        <f>"payment"</f>
        <v>payment</v>
      </c>
    </row>
    <row r="1272" spans="1:9" x14ac:dyDescent="0.3">
      <c r="A1272" t="str">
        <f>"001468"</f>
        <v>001468</v>
      </c>
      <c r="B1272" t="s">
        <v>366</v>
      </c>
      <c r="C1272">
        <v>77378</v>
      </c>
      <c r="D1272" s="2">
        <v>400</v>
      </c>
      <c r="E1272" s="1">
        <v>43276</v>
      </c>
      <c r="F1272" t="str">
        <f>"JULY BOND RENEWALS"</f>
        <v>JULY BOND RENEWALS</v>
      </c>
      <c r="G1272" t="str">
        <f>"JULY BOND RENEWALS"</f>
        <v>JULY BOND RENEWALS</v>
      </c>
      <c r="H1272">
        <v>400</v>
      </c>
      <c r="I1272" t="str">
        <f>"JULY BOND RENEWALS"</f>
        <v>JULY BOND RENEWALS</v>
      </c>
    </row>
    <row r="1273" spans="1:9" x14ac:dyDescent="0.3">
      <c r="A1273" t="str">
        <f>"T1562"</f>
        <v>T1562</v>
      </c>
      <c r="B1273" t="s">
        <v>367</v>
      </c>
      <c r="C1273">
        <v>77185</v>
      </c>
      <c r="D1273" s="2">
        <v>75</v>
      </c>
      <c r="E1273" s="1">
        <v>43262</v>
      </c>
      <c r="F1273" t="str">
        <f>"201806011244"</f>
        <v>201806011244</v>
      </c>
      <c r="G1273" t="str">
        <f>"MEMBERSHIP-DEBORAH SHIROCKY"</f>
        <v>MEMBERSHIP-DEBORAH SHIROCKY</v>
      </c>
      <c r="H1273">
        <v>75</v>
      </c>
      <c r="I1273" t="str">
        <f>"MEMBERSHIP-DEBORAH SHIROCKY"</f>
        <v>MEMBERSHIP-DEBORAH SHIROCKY</v>
      </c>
    </row>
    <row r="1274" spans="1:9" x14ac:dyDescent="0.3">
      <c r="A1274" t="str">
        <f>"TAC1"</f>
        <v>TAC1</v>
      </c>
      <c r="B1274" t="s">
        <v>368</v>
      </c>
      <c r="C1274">
        <v>77379</v>
      </c>
      <c r="D1274" s="2">
        <v>77718.850000000006</v>
      </c>
      <c r="E1274" s="1">
        <v>43276</v>
      </c>
      <c r="F1274" t="str">
        <f>"20509-WC3"</f>
        <v>20509-WC3</v>
      </c>
      <c r="G1274" t="str">
        <f>"3RD QTR 2018 WRKRS COMP/#0110"</f>
        <v>3RD QTR 2018 WRKRS COMP/#0110</v>
      </c>
      <c r="H1274">
        <v>52805.45</v>
      </c>
      <c r="I1274" t="str">
        <f t="shared" ref="I1274:I1316" si="5">"3RD QTR 2018 WRKRS COMP/#0110"</f>
        <v>3RD QTR 2018 WRKRS COMP/#0110</v>
      </c>
    </row>
    <row r="1275" spans="1:9" x14ac:dyDescent="0.3">
      <c r="A1275" t="str">
        <f>""</f>
        <v/>
      </c>
      <c r="F1275" t="str">
        <f>""</f>
        <v/>
      </c>
      <c r="G1275" t="str">
        <f>""</f>
        <v/>
      </c>
      <c r="I1275" t="str">
        <f t="shared" si="5"/>
        <v>3RD QTR 2018 WRKRS COMP/#0110</v>
      </c>
    </row>
    <row r="1276" spans="1:9" x14ac:dyDescent="0.3">
      <c r="A1276" t="str">
        <f>""</f>
        <v/>
      </c>
      <c r="F1276" t="str">
        <f>""</f>
        <v/>
      </c>
      <c r="G1276" t="str">
        <f>""</f>
        <v/>
      </c>
      <c r="I1276" t="str">
        <f t="shared" si="5"/>
        <v>3RD QTR 2018 WRKRS COMP/#0110</v>
      </c>
    </row>
    <row r="1277" spans="1:9" x14ac:dyDescent="0.3">
      <c r="A1277" t="str">
        <f>""</f>
        <v/>
      </c>
      <c r="F1277" t="str">
        <f>""</f>
        <v/>
      </c>
      <c r="G1277" t="str">
        <f>""</f>
        <v/>
      </c>
      <c r="I1277" t="str">
        <f t="shared" si="5"/>
        <v>3RD QTR 2018 WRKRS COMP/#0110</v>
      </c>
    </row>
    <row r="1278" spans="1:9" x14ac:dyDescent="0.3">
      <c r="A1278" t="str">
        <f>""</f>
        <v/>
      </c>
      <c r="F1278" t="str">
        <f>""</f>
        <v/>
      </c>
      <c r="G1278" t="str">
        <f>""</f>
        <v/>
      </c>
      <c r="I1278" t="str">
        <f t="shared" si="5"/>
        <v>3RD QTR 2018 WRKRS COMP/#0110</v>
      </c>
    </row>
    <row r="1279" spans="1:9" x14ac:dyDescent="0.3">
      <c r="A1279" t="str">
        <f>""</f>
        <v/>
      </c>
      <c r="F1279" t="str">
        <f>""</f>
        <v/>
      </c>
      <c r="G1279" t="str">
        <f>""</f>
        <v/>
      </c>
      <c r="I1279" t="str">
        <f t="shared" si="5"/>
        <v>3RD QTR 2018 WRKRS COMP/#0110</v>
      </c>
    </row>
    <row r="1280" spans="1:9" x14ac:dyDescent="0.3">
      <c r="A1280" t="str">
        <f>""</f>
        <v/>
      </c>
      <c r="F1280" t="str">
        <f>""</f>
        <v/>
      </c>
      <c r="G1280" t="str">
        <f>""</f>
        <v/>
      </c>
      <c r="I1280" t="str">
        <f t="shared" si="5"/>
        <v>3RD QTR 2018 WRKRS COMP/#0110</v>
      </c>
    </row>
    <row r="1281" spans="1:9" x14ac:dyDescent="0.3">
      <c r="A1281" t="str">
        <f>""</f>
        <v/>
      </c>
      <c r="F1281" t="str">
        <f>""</f>
        <v/>
      </c>
      <c r="G1281" t="str">
        <f>""</f>
        <v/>
      </c>
      <c r="I1281" t="str">
        <f t="shared" si="5"/>
        <v>3RD QTR 2018 WRKRS COMP/#0110</v>
      </c>
    </row>
    <row r="1282" spans="1:9" x14ac:dyDescent="0.3">
      <c r="A1282" t="str">
        <f>""</f>
        <v/>
      </c>
      <c r="F1282" t="str">
        <f>""</f>
        <v/>
      </c>
      <c r="G1282" t="str">
        <f>""</f>
        <v/>
      </c>
      <c r="I1282" t="str">
        <f t="shared" si="5"/>
        <v>3RD QTR 2018 WRKRS COMP/#0110</v>
      </c>
    </row>
    <row r="1283" spans="1:9" x14ac:dyDescent="0.3">
      <c r="A1283" t="str">
        <f>""</f>
        <v/>
      </c>
      <c r="F1283" t="str">
        <f>""</f>
        <v/>
      </c>
      <c r="G1283" t="str">
        <f>""</f>
        <v/>
      </c>
      <c r="I1283" t="str">
        <f t="shared" si="5"/>
        <v>3RD QTR 2018 WRKRS COMP/#0110</v>
      </c>
    </row>
    <row r="1284" spans="1:9" x14ac:dyDescent="0.3">
      <c r="A1284" t="str">
        <f>""</f>
        <v/>
      </c>
      <c r="F1284" t="str">
        <f>""</f>
        <v/>
      </c>
      <c r="G1284" t="str">
        <f>""</f>
        <v/>
      </c>
      <c r="I1284" t="str">
        <f t="shared" si="5"/>
        <v>3RD QTR 2018 WRKRS COMP/#0110</v>
      </c>
    </row>
    <row r="1285" spans="1:9" x14ac:dyDescent="0.3">
      <c r="A1285" t="str">
        <f>""</f>
        <v/>
      </c>
      <c r="F1285" t="str">
        <f>""</f>
        <v/>
      </c>
      <c r="G1285" t="str">
        <f>""</f>
        <v/>
      </c>
      <c r="I1285" t="str">
        <f t="shared" si="5"/>
        <v>3RD QTR 2018 WRKRS COMP/#0110</v>
      </c>
    </row>
    <row r="1286" spans="1:9" x14ac:dyDescent="0.3">
      <c r="A1286" t="str">
        <f>""</f>
        <v/>
      </c>
      <c r="F1286" t="str">
        <f>""</f>
        <v/>
      </c>
      <c r="G1286" t="str">
        <f>""</f>
        <v/>
      </c>
      <c r="I1286" t="str">
        <f t="shared" si="5"/>
        <v>3RD QTR 2018 WRKRS COMP/#0110</v>
      </c>
    </row>
    <row r="1287" spans="1:9" x14ac:dyDescent="0.3">
      <c r="A1287" t="str">
        <f>""</f>
        <v/>
      </c>
      <c r="F1287" t="str">
        <f>""</f>
        <v/>
      </c>
      <c r="G1287" t="str">
        <f>""</f>
        <v/>
      </c>
      <c r="I1287" t="str">
        <f t="shared" si="5"/>
        <v>3RD QTR 2018 WRKRS COMP/#0110</v>
      </c>
    </row>
    <row r="1288" spans="1:9" x14ac:dyDescent="0.3">
      <c r="A1288" t="str">
        <f>""</f>
        <v/>
      </c>
      <c r="F1288" t="str">
        <f>""</f>
        <v/>
      </c>
      <c r="G1288" t="str">
        <f>""</f>
        <v/>
      </c>
      <c r="I1288" t="str">
        <f t="shared" si="5"/>
        <v>3RD QTR 2018 WRKRS COMP/#0110</v>
      </c>
    </row>
    <row r="1289" spans="1:9" x14ac:dyDescent="0.3">
      <c r="A1289" t="str">
        <f>""</f>
        <v/>
      </c>
      <c r="F1289" t="str">
        <f>""</f>
        <v/>
      </c>
      <c r="G1289" t="str">
        <f>""</f>
        <v/>
      </c>
      <c r="I1289" t="str">
        <f t="shared" si="5"/>
        <v>3RD QTR 2018 WRKRS COMP/#0110</v>
      </c>
    </row>
    <row r="1290" spans="1:9" x14ac:dyDescent="0.3">
      <c r="A1290" t="str">
        <f>""</f>
        <v/>
      </c>
      <c r="F1290" t="str">
        <f>""</f>
        <v/>
      </c>
      <c r="G1290" t="str">
        <f>""</f>
        <v/>
      </c>
      <c r="I1290" t="str">
        <f t="shared" si="5"/>
        <v>3RD QTR 2018 WRKRS COMP/#0110</v>
      </c>
    </row>
    <row r="1291" spans="1:9" x14ac:dyDescent="0.3">
      <c r="A1291" t="str">
        <f>""</f>
        <v/>
      </c>
      <c r="F1291" t="str">
        <f>""</f>
        <v/>
      </c>
      <c r="G1291" t="str">
        <f>""</f>
        <v/>
      </c>
      <c r="I1291" t="str">
        <f t="shared" si="5"/>
        <v>3RD QTR 2018 WRKRS COMP/#0110</v>
      </c>
    </row>
    <row r="1292" spans="1:9" x14ac:dyDescent="0.3">
      <c r="A1292" t="str">
        <f>""</f>
        <v/>
      </c>
      <c r="F1292" t="str">
        <f>""</f>
        <v/>
      </c>
      <c r="G1292" t="str">
        <f>""</f>
        <v/>
      </c>
      <c r="I1292" t="str">
        <f t="shared" si="5"/>
        <v>3RD QTR 2018 WRKRS COMP/#0110</v>
      </c>
    </row>
    <row r="1293" spans="1:9" x14ac:dyDescent="0.3">
      <c r="A1293" t="str">
        <f>""</f>
        <v/>
      </c>
      <c r="F1293" t="str">
        <f>""</f>
        <v/>
      </c>
      <c r="G1293" t="str">
        <f>""</f>
        <v/>
      </c>
      <c r="I1293" t="str">
        <f t="shared" si="5"/>
        <v>3RD QTR 2018 WRKRS COMP/#0110</v>
      </c>
    </row>
    <row r="1294" spans="1:9" x14ac:dyDescent="0.3">
      <c r="A1294" t="str">
        <f>""</f>
        <v/>
      </c>
      <c r="F1294" t="str">
        <f>""</f>
        <v/>
      </c>
      <c r="G1294" t="str">
        <f>""</f>
        <v/>
      </c>
      <c r="I1294" t="str">
        <f t="shared" si="5"/>
        <v>3RD QTR 2018 WRKRS COMP/#0110</v>
      </c>
    </row>
    <row r="1295" spans="1:9" x14ac:dyDescent="0.3">
      <c r="A1295" t="str">
        <f>""</f>
        <v/>
      </c>
      <c r="F1295" t="str">
        <f>""</f>
        <v/>
      </c>
      <c r="G1295" t="str">
        <f>""</f>
        <v/>
      </c>
      <c r="I1295" t="str">
        <f t="shared" si="5"/>
        <v>3RD QTR 2018 WRKRS COMP/#0110</v>
      </c>
    </row>
    <row r="1296" spans="1:9" x14ac:dyDescent="0.3">
      <c r="A1296" t="str">
        <f>""</f>
        <v/>
      </c>
      <c r="F1296" t="str">
        <f>""</f>
        <v/>
      </c>
      <c r="G1296" t="str">
        <f>""</f>
        <v/>
      </c>
      <c r="I1296" t="str">
        <f t="shared" si="5"/>
        <v>3RD QTR 2018 WRKRS COMP/#0110</v>
      </c>
    </row>
    <row r="1297" spans="1:9" x14ac:dyDescent="0.3">
      <c r="A1297" t="str">
        <f>""</f>
        <v/>
      </c>
      <c r="F1297" t="str">
        <f>""</f>
        <v/>
      </c>
      <c r="G1297" t="str">
        <f>""</f>
        <v/>
      </c>
      <c r="I1297" t="str">
        <f t="shared" si="5"/>
        <v>3RD QTR 2018 WRKRS COMP/#0110</v>
      </c>
    </row>
    <row r="1298" spans="1:9" x14ac:dyDescent="0.3">
      <c r="A1298" t="str">
        <f>""</f>
        <v/>
      </c>
      <c r="F1298" t="str">
        <f>""</f>
        <v/>
      </c>
      <c r="G1298" t="str">
        <f>""</f>
        <v/>
      </c>
      <c r="I1298" t="str">
        <f t="shared" si="5"/>
        <v>3RD QTR 2018 WRKRS COMP/#0110</v>
      </c>
    </row>
    <row r="1299" spans="1:9" x14ac:dyDescent="0.3">
      <c r="A1299" t="str">
        <f>""</f>
        <v/>
      </c>
      <c r="F1299" t="str">
        <f>""</f>
        <v/>
      </c>
      <c r="G1299" t="str">
        <f>""</f>
        <v/>
      </c>
      <c r="I1299" t="str">
        <f t="shared" si="5"/>
        <v>3RD QTR 2018 WRKRS COMP/#0110</v>
      </c>
    </row>
    <row r="1300" spans="1:9" x14ac:dyDescent="0.3">
      <c r="A1300" t="str">
        <f>""</f>
        <v/>
      </c>
      <c r="F1300" t="str">
        <f>""</f>
        <v/>
      </c>
      <c r="G1300" t="str">
        <f>""</f>
        <v/>
      </c>
      <c r="I1300" t="str">
        <f t="shared" si="5"/>
        <v>3RD QTR 2018 WRKRS COMP/#0110</v>
      </c>
    </row>
    <row r="1301" spans="1:9" x14ac:dyDescent="0.3">
      <c r="A1301" t="str">
        <f>""</f>
        <v/>
      </c>
      <c r="F1301" t="str">
        <f>""</f>
        <v/>
      </c>
      <c r="G1301" t="str">
        <f>""</f>
        <v/>
      </c>
      <c r="I1301" t="str">
        <f t="shared" si="5"/>
        <v>3RD QTR 2018 WRKRS COMP/#0110</v>
      </c>
    </row>
    <row r="1302" spans="1:9" x14ac:dyDescent="0.3">
      <c r="A1302" t="str">
        <f>""</f>
        <v/>
      </c>
      <c r="F1302" t="str">
        <f>""</f>
        <v/>
      </c>
      <c r="G1302" t="str">
        <f>""</f>
        <v/>
      </c>
      <c r="I1302" t="str">
        <f t="shared" si="5"/>
        <v>3RD QTR 2018 WRKRS COMP/#0110</v>
      </c>
    </row>
    <row r="1303" spans="1:9" x14ac:dyDescent="0.3">
      <c r="A1303" t="str">
        <f>""</f>
        <v/>
      </c>
      <c r="F1303" t="str">
        <f>""</f>
        <v/>
      </c>
      <c r="G1303" t="str">
        <f>""</f>
        <v/>
      </c>
      <c r="I1303" t="str">
        <f t="shared" si="5"/>
        <v>3RD QTR 2018 WRKRS COMP/#0110</v>
      </c>
    </row>
    <row r="1304" spans="1:9" x14ac:dyDescent="0.3">
      <c r="A1304" t="str">
        <f>""</f>
        <v/>
      </c>
      <c r="F1304" t="str">
        <f>""</f>
        <v/>
      </c>
      <c r="G1304" t="str">
        <f>""</f>
        <v/>
      </c>
      <c r="I1304" t="str">
        <f t="shared" si="5"/>
        <v>3RD QTR 2018 WRKRS COMP/#0110</v>
      </c>
    </row>
    <row r="1305" spans="1:9" x14ac:dyDescent="0.3">
      <c r="A1305" t="str">
        <f>""</f>
        <v/>
      </c>
      <c r="F1305" t="str">
        <f>""</f>
        <v/>
      </c>
      <c r="G1305" t="str">
        <f>""</f>
        <v/>
      </c>
      <c r="I1305" t="str">
        <f t="shared" si="5"/>
        <v>3RD QTR 2018 WRKRS COMP/#0110</v>
      </c>
    </row>
    <row r="1306" spans="1:9" x14ac:dyDescent="0.3">
      <c r="A1306" t="str">
        <f>""</f>
        <v/>
      </c>
      <c r="F1306" t="str">
        <f>""</f>
        <v/>
      </c>
      <c r="G1306" t="str">
        <f>""</f>
        <v/>
      </c>
      <c r="I1306" t="str">
        <f t="shared" si="5"/>
        <v>3RD QTR 2018 WRKRS COMP/#0110</v>
      </c>
    </row>
    <row r="1307" spans="1:9" x14ac:dyDescent="0.3">
      <c r="A1307" t="str">
        <f>""</f>
        <v/>
      </c>
      <c r="F1307" t="str">
        <f>""</f>
        <v/>
      </c>
      <c r="G1307" t="str">
        <f>""</f>
        <v/>
      </c>
      <c r="I1307" t="str">
        <f t="shared" si="5"/>
        <v>3RD QTR 2018 WRKRS COMP/#0110</v>
      </c>
    </row>
    <row r="1308" spans="1:9" x14ac:dyDescent="0.3">
      <c r="A1308" t="str">
        <f>""</f>
        <v/>
      </c>
      <c r="F1308" t="str">
        <f>""</f>
        <v/>
      </c>
      <c r="G1308" t="str">
        <f>""</f>
        <v/>
      </c>
      <c r="I1308" t="str">
        <f t="shared" si="5"/>
        <v>3RD QTR 2018 WRKRS COMP/#0110</v>
      </c>
    </row>
    <row r="1309" spans="1:9" x14ac:dyDescent="0.3">
      <c r="A1309" t="str">
        <f>""</f>
        <v/>
      </c>
      <c r="F1309" t="str">
        <f>""</f>
        <v/>
      </c>
      <c r="G1309" t="str">
        <f>""</f>
        <v/>
      </c>
      <c r="I1309" t="str">
        <f t="shared" si="5"/>
        <v>3RD QTR 2018 WRKRS COMP/#0110</v>
      </c>
    </row>
    <row r="1310" spans="1:9" x14ac:dyDescent="0.3">
      <c r="A1310" t="str">
        <f>""</f>
        <v/>
      </c>
      <c r="F1310" t="str">
        <f>""</f>
        <v/>
      </c>
      <c r="G1310" t="str">
        <f>""</f>
        <v/>
      </c>
      <c r="I1310" t="str">
        <f t="shared" si="5"/>
        <v>3RD QTR 2018 WRKRS COMP/#0110</v>
      </c>
    </row>
    <row r="1311" spans="1:9" x14ac:dyDescent="0.3">
      <c r="A1311" t="str">
        <f>""</f>
        <v/>
      </c>
      <c r="F1311" t="str">
        <f>""</f>
        <v/>
      </c>
      <c r="G1311" t="str">
        <f>""</f>
        <v/>
      </c>
      <c r="I1311" t="str">
        <f t="shared" si="5"/>
        <v>3RD QTR 2018 WRKRS COMP/#0110</v>
      </c>
    </row>
    <row r="1312" spans="1:9" x14ac:dyDescent="0.3">
      <c r="A1312" t="str">
        <f>""</f>
        <v/>
      </c>
      <c r="F1312" t="str">
        <f>""</f>
        <v/>
      </c>
      <c r="G1312" t="str">
        <f>""</f>
        <v/>
      </c>
      <c r="I1312" t="str">
        <f t="shared" si="5"/>
        <v>3RD QTR 2018 WRKRS COMP/#0110</v>
      </c>
    </row>
    <row r="1313" spans="1:10" x14ac:dyDescent="0.3">
      <c r="A1313" t="str">
        <f>""</f>
        <v/>
      </c>
      <c r="F1313" t="str">
        <f>"20509-WC3  P1"</f>
        <v>20509-WC3  P1</v>
      </c>
      <c r="G1313" t="str">
        <f>"3RD QTR 2018 WRKRS COMP/#0110"</f>
        <v>3RD QTR 2018 WRKRS COMP/#0110</v>
      </c>
      <c r="H1313">
        <v>4808.29</v>
      </c>
      <c r="I1313" t="str">
        <f t="shared" si="5"/>
        <v>3RD QTR 2018 WRKRS COMP/#0110</v>
      </c>
    </row>
    <row r="1314" spans="1:10" x14ac:dyDescent="0.3">
      <c r="A1314" t="str">
        <f>""</f>
        <v/>
      </c>
      <c r="F1314" t="str">
        <f>"20509-WC3  P2"</f>
        <v>20509-WC3  P2</v>
      </c>
      <c r="G1314" t="str">
        <f>"3RD QTR 2018 WRKRS COMP/#0110"</f>
        <v>3RD QTR 2018 WRKRS COMP/#0110</v>
      </c>
      <c r="H1314">
        <v>6303.09</v>
      </c>
      <c r="I1314" t="str">
        <f t="shared" si="5"/>
        <v>3RD QTR 2018 WRKRS COMP/#0110</v>
      </c>
    </row>
    <row r="1315" spans="1:10" x14ac:dyDescent="0.3">
      <c r="A1315" t="str">
        <f>""</f>
        <v/>
      </c>
      <c r="F1315" t="str">
        <f>"20509-WC3  P3"</f>
        <v>20509-WC3  P3</v>
      </c>
      <c r="G1315" t="str">
        <f>"3RD QTR 2018 WRKRS COMP/#0110"</f>
        <v>3RD QTR 2018 WRKRS COMP/#0110</v>
      </c>
      <c r="H1315">
        <v>5854.65</v>
      </c>
      <c r="I1315" t="str">
        <f t="shared" si="5"/>
        <v>3RD QTR 2018 WRKRS COMP/#0110</v>
      </c>
    </row>
    <row r="1316" spans="1:10" x14ac:dyDescent="0.3">
      <c r="A1316" t="str">
        <f>""</f>
        <v/>
      </c>
      <c r="F1316" t="str">
        <f>"20509-WC3  P4"</f>
        <v>20509-WC3  P4</v>
      </c>
      <c r="G1316" t="str">
        <f>"3RD QTR 2018 WRKRS COMP/#0110"</f>
        <v>3RD QTR 2018 WRKRS COMP/#0110</v>
      </c>
      <c r="H1316">
        <v>7947.37</v>
      </c>
      <c r="I1316" t="str">
        <f t="shared" si="5"/>
        <v>3RD QTR 2018 WRKRS COMP/#0110</v>
      </c>
    </row>
    <row r="1317" spans="1:10" x14ac:dyDescent="0.3">
      <c r="A1317" t="str">
        <f>"TACRMP"</f>
        <v>TACRMP</v>
      </c>
      <c r="B1317" t="s">
        <v>368</v>
      </c>
      <c r="C1317">
        <v>77380</v>
      </c>
      <c r="D1317" s="2">
        <v>210</v>
      </c>
      <c r="E1317" s="1">
        <v>43276</v>
      </c>
      <c r="F1317" t="str">
        <f>"201806151628"</f>
        <v>201806151628</v>
      </c>
      <c r="G1317" t="str">
        <f>"JPCA CONFERENCE REF-T.SPARKMAN"</f>
        <v>JPCA CONFERENCE REF-T.SPARKMAN</v>
      </c>
      <c r="H1317">
        <v>210</v>
      </c>
      <c r="I1317" t="str">
        <f>"JPCA CONFERENCE REF-T.SPARKMAN"</f>
        <v>JPCA CONFERENCE REF-T.SPARKMAN</v>
      </c>
    </row>
    <row r="1318" spans="1:10" x14ac:dyDescent="0.3">
      <c r="A1318" t="str">
        <f>"TACRMP"</f>
        <v>TACRMP</v>
      </c>
      <c r="B1318" t="s">
        <v>368</v>
      </c>
      <c r="C1318">
        <v>77381</v>
      </c>
      <c r="D1318" s="2">
        <v>215</v>
      </c>
      <c r="E1318" s="1">
        <v>43276</v>
      </c>
      <c r="F1318" t="str">
        <f>"201806151629"</f>
        <v>201806151629</v>
      </c>
      <c r="G1318" t="str">
        <f>"JPCA CONFERENCFE REG-W. WOOD"</f>
        <v>JPCA CONFERENCFE REG-W. WOOD</v>
      </c>
      <c r="H1318">
        <v>215</v>
      </c>
      <c r="I1318" t="str">
        <f>"JPCA CONFERENCFE REG-W. WOOD"</f>
        <v>JPCA CONFERENCFE REG-W. WOOD</v>
      </c>
    </row>
    <row r="1319" spans="1:10" x14ac:dyDescent="0.3">
      <c r="A1319" t="str">
        <f>"002122"</f>
        <v>002122</v>
      </c>
      <c r="B1319" t="s">
        <v>369</v>
      </c>
      <c r="C1319">
        <v>999999</v>
      </c>
      <c r="D1319" s="2">
        <v>375.08</v>
      </c>
      <c r="E1319" s="1">
        <v>43263</v>
      </c>
      <c r="F1319" t="str">
        <f>"201806051290"</f>
        <v>201806051290</v>
      </c>
      <c r="G1319" t="str">
        <f>"ACCT#0005/PCT#4"</f>
        <v>ACCT#0005/PCT#4</v>
      </c>
      <c r="H1319">
        <v>375.08</v>
      </c>
      <c r="I1319" t="str">
        <f>"ACCT#0005/PCT#4"</f>
        <v>ACCT#0005/PCT#4</v>
      </c>
    </row>
    <row r="1320" spans="1:10" x14ac:dyDescent="0.3">
      <c r="A1320" t="str">
        <f>"004799"</f>
        <v>004799</v>
      </c>
      <c r="B1320" t="s">
        <v>370</v>
      </c>
      <c r="C1320">
        <v>77225</v>
      </c>
      <c r="D1320" s="2">
        <v>360</v>
      </c>
      <c r="E1320" s="1">
        <v>43265</v>
      </c>
      <c r="F1320" t="str">
        <f>"QUOTE: 560871"</f>
        <v>QUOTE: 560871</v>
      </c>
      <c r="G1320" t="str">
        <f>"CURB CUT - P3"</f>
        <v>CURB CUT - P3</v>
      </c>
      <c r="H1320">
        <v>360</v>
      </c>
      <c r="I1320" t="str">
        <f>"CURB CUT - P3"</f>
        <v>CURB CUT - P3</v>
      </c>
    </row>
    <row r="1321" spans="1:10" x14ac:dyDescent="0.3">
      <c r="A1321" t="str">
        <f>"TDOL&amp;R"</f>
        <v>TDOL&amp;R</v>
      </c>
      <c r="B1321" t="s">
        <v>371</v>
      </c>
      <c r="C1321">
        <v>77186</v>
      </c>
      <c r="D1321" s="2">
        <v>95</v>
      </c>
      <c r="E1321" s="1">
        <v>43262</v>
      </c>
      <c r="F1321" t="str">
        <f>"10075151"</f>
        <v>10075151</v>
      </c>
      <c r="G1321" t="str">
        <f>"INV 10075151"</f>
        <v>INV 10075151</v>
      </c>
      <c r="H1321">
        <v>95</v>
      </c>
      <c r="I1321" t="str">
        <f>"INV 10075151"</f>
        <v>INV 10075151</v>
      </c>
    </row>
    <row r="1322" spans="1:10" x14ac:dyDescent="0.3">
      <c r="A1322" t="str">
        <f>"002354"</f>
        <v>002354</v>
      </c>
      <c r="B1322" t="s">
        <v>372</v>
      </c>
      <c r="C1322">
        <v>77382</v>
      </c>
      <c r="D1322" s="2">
        <v>121</v>
      </c>
      <c r="E1322" s="1">
        <v>43276</v>
      </c>
      <c r="F1322" t="s">
        <v>21</v>
      </c>
      <c r="G1322" t="s">
        <v>373</v>
      </c>
      <c r="H1322" t="str">
        <f>"RESTITUTION-R. STEPHENS"</f>
        <v>RESTITUTION-R. STEPHENS</v>
      </c>
      <c r="I1322" t="str">
        <f>"210-0000"</f>
        <v>210-0000</v>
      </c>
      <c r="J1322" t="str">
        <f>""</f>
        <v/>
      </c>
    </row>
    <row r="1323" spans="1:10" x14ac:dyDescent="0.3">
      <c r="A1323" t="str">
        <f>""</f>
        <v/>
      </c>
      <c r="F1323" t="s">
        <v>21</v>
      </c>
      <c r="G1323" t="s">
        <v>374</v>
      </c>
      <c r="H1323" t="str">
        <f>"RESTITUTION-A. BERNAL"</f>
        <v>RESTITUTION-A. BERNAL</v>
      </c>
      <c r="I1323" t="str">
        <f>"210-0000"</f>
        <v>210-0000</v>
      </c>
      <c r="J1323" t="str">
        <f>""</f>
        <v/>
      </c>
    </row>
    <row r="1324" spans="1:10" x14ac:dyDescent="0.3">
      <c r="A1324" t="str">
        <f>"T5375"</f>
        <v>T5375</v>
      </c>
      <c r="B1324" t="s">
        <v>375</v>
      </c>
      <c r="C1324">
        <v>77383</v>
      </c>
      <c r="D1324" s="2">
        <v>36</v>
      </c>
      <c r="E1324" s="1">
        <v>43276</v>
      </c>
      <c r="F1324" t="str">
        <f>"1264-0719"</f>
        <v>1264-0719</v>
      </c>
      <c r="G1324" t="str">
        <f>"TX MUNICIPAL COURT-JUSTICE CT"</f>
        <v>TX MUNICIPAL COURT-JUSTICE CT</v>
      </c>
      <c r="H1324">
        <v>36</v>
      </c>
      <c r="I1324" t="str">
        <f>"TX MUNICIPAL COURT-JUSTICE CT"</f>
        <v>TX MUNICIPAL COURT-JUSTICE CT</v>
      </c>
    </row>
    <row r="1325" spans="1:10" x14ac:dyDescent="0.3">
      <c r="A1325" t="str">
        <f>"T6071"</f>
        <v>T6071</v>
      </c>
      <c r="B1325" t="s">
        <v>376</v>
      </c>
      <c r="C1325">
        <v>77187</v>
      </c>
      <c r="D1325" s="2">
        <v>238.23</v>
      </c>
      <c r="E1325" s="1">
        <v>43262</v>
      </c>
      <c r="F1325" t="str">
        <f>"201806061412"</f>
        <v>201806061412</v>
      </c>
      <c r="G1325" t="str">
        <f>"JAIL MEDICAL"</f>
        <v>JAIL MEDICAL</v>
      </c>
      <c r="H1325">
        <v>238.23</v>
      </c>
      <c r="I1325" t="str">
        <f>"JAIL MEDICAL"</f>
        <v>JAIL MEDICAL</v>
      </c>
    </row>
    <row r="1326" spans="1:10" x14ac:dyDescent="0.3">
      <c r="A1326" t="str">
        <f>"T7170"</f>
        <v>T7170</v>
      </c>
      <c r="B1326" t="s">
        <v>377</v>
      </c>
      <c r="C1326">
        <v>77188</v>
      </c>
      <c r="D1326" s="2">
        <v>114.95</v>
      </c>
      <c r="E1326" s="1">
        <v>43262</v>
      </c>
      <c r="F1326" t="str">
        <f>"17-1670J4"</f>
        <v>17-1670J4</v>
      </c>
      <c r="G1326" t="str">
        <f>"A8210916-G. ALANIZ"</f>
        <v>A8210916-G. ALANIZ</v>
      </c>
      <c r="H1326">
        <v>114.95</v>
      </c>
      <c r="I1326" t="str">
        <f>"A8210916-G. ALANIZ"</f>
        <v>A8210916-G. ALANIZ</v>
      </c>
    </row>
    <row r="1327" spans="1:10" x14ac:dyDescent="0.3">
      <c r="A1327" t="str">
        <f>"004848"</f>
        <v>004848</v>
      </c>
      <c r="B1327" t="s">
        <v>378</v>
      </c>
      <c r="C1327">
        <v>77189</v>
      </c>
      <c r="D1327" s="2">
        <v>293</v>
      </c>
      <c r="E1327" s="1">
        <v>43262</v>
      </c>
      <c r="F1327" t="str">
        <f>"18-11103"</f>
        <v>18-11103</v>
      </c>
      <c r="G1327" t="str">
        <f>"INV 18-11103 / UNIT 1672"</f>
        <v>INV 18-11103 / UNIT 1672</v>
      </c>
      <c r="H1327">
        <v>293</v>
      </c>
      <c r="I1327" t="str">
        <f>"INV 18-11103 / UNIT 1672"</f>
        <v>INV 18-11103 / UNIT 1672</v>
      </c>
    </row>
    <row r="1328" spans="1:10" x14ac:dyDescent="0.3">
      <c r="A1328" t="str">
        <f>"004848"</f>
        <v>004848</v>
      </c>
      <c r="B1328" t="s">
        <v>378</v>
      </c>
      <c r="C1328">
        <v>77384</v>
      </c>
      <c r="D1328" s="2">
        <v>300</v>
      </c>
      <c r="E1328" s="1">
        <v>43276</v>
      </c>
      <c r="F1328" t="str">
        <f>"00011768"</f>
        <v>00011768</v>
      </c>
      <c r="G1328" t="str">
        <f>"INV  CALL 00011768"</f>
        <v>INV  CALL 00011768</v>
      </c>
      <c r="H1328">
        <v>300</v>
      </c>
      <c r="I1328" t="str">
        <f>"INV  CALL 00011768"</f>
        <v>INV  CALL 00011768</v>
      </c>
    </row>
    <row r="1329" spans="1:9" x14ac:dyDescent="0.3">
      <c r="A1329" t="str">
        <f>"003077"</f>
        <v>003077</v>
      </c>
      <c r="B1329" t="s">
        <v>379</v>
      </c>
      <c r="C1329">
        <v>77385</v>
      </c>
      <c r="D1329" s="2">
        <v>332</v>
      </c>
      <c r="E1329" s="1">
        <v>43276</v>
      </c>
      <c r="F1329" t="str">
        <f>"7446"</f>
        <v>7446</v>
      </c>
      <c r="G1329" t="str">
        <f>"INV 7446"</f>
        <v>INV 7446</v>
      </c>
      <c r="H1329">
        <v>332</v>
      </c>
      <c r="I1329" t="str">
        <f>"INV 7446"</f>
        <v>INV 7446</v>
      </c>
    </row>
    <row r="1330" spans="1:9" x14ac:dyDescent="0.3">
      <c r="A1330" t="str">
        <f>"004635"</f>
        <v>004635</v>
      </c>
      <c r="B1330" t="s">
        <v>380</v>
      </c>
      <c r="C1330">
        <v>77062</v>
      </c>
      <c r="D1330" s="2">
        <v>1066.5</v>
      </c>
      <c r="E1330" s="1">
        <v>43262</v>
      </c>
      <c r="F1330" t="str">
        <f>"59870"</f>
        <v>59870</v>
      </c>
      <c r="G1330" t="str">
        <f>"ACCT#188757/LBJ BLDG/HLTH DPT"</f>
        <v>ACCT#188757/LBJ BLDG/HLTH DPT</v>
      </c>
      <c r="H1330">
        <v>69</v>
      </c>
      <c r="I1330" t="str">
        <f>"ACCT#188757/LBJ BLDG/HLTH DPT"</f>
        <v>ACCT#188757/LBJ BLDG/HLTH DPT</v>
      </c>
    </row>
    <row r="1331" spans="1:9" x14ac:dyDescent="0.3">
      <c r="A1331" t="str">
        <f>""</f>
        <v/>
      </c>
      <c r="F1331" t="str">
        <f>"59871"</f>
        <v>59871</v>
      </c>
      <c r="G1331" t="str">
        <f>"ACCT#188757/PCT#4 RD &amp; BRIDGE"</f>
        <v>ACCT#188757/PCT#4 RD &amp; BRIDGE</v>
      </c>
      <c r="H1331">
        <v>95.5</v>
      </c>
      <c r="I1331" t="str">
        <f>"ACCT#188757/PEST PREVENTION"</f>
        <v>ACCT#188757/PEST PREVENTION</v>
      </c>
    </row>
    <row r="1332" spans="1:9" x14ac:dyDescent="0.3">
      <c r="A1332" t="str">
        <f>""</f>
        <v/>
      </c>
      <c r="F1332" t="str">
        <f>"59906"</f>
        <v>59906</v>
      </c>
      <c r="G1332" t="str">
        <f>"ACCT#188757/TAX OFFICE"</f>
        <v>ACCT#188757/TAX OFFICE</v>
      </c>
      <c r="H1332">
        <v>102</v>
      </c>
      <c r="I1332" t="str">
        <f>"ACCT#188757/TAX OFFICE"</f>
        <v>ACCT#188757/TAX OFFICE</v>
      </c>
    </row>
    <row r="1333" spans="1:9" x14ac:dyDescent="0.3">
      <c r="A1333" t="str">
        <f>""</f>
        <v/>
      </c>
      <c r="F1333" t="str">
        <f>"60572"</f>
        <v>60572</v>
      </c>
      <c r="G1333" t="str">
        <f>"ACCT#188757/JUVENILE PROBATION"</f>
        <v>ACCT#188757/JUVENILE PROBATION</v>
      </c>
      <c r="H1333">
        <v>132</v>
      </c>
      <c r="I1333" t="str">
        <f>"ACCT#188757/JUVENILE PROBATION"</f>
        <v>ACCT#188757/JUVENILE PROBATION</v>
      </c>
    </row>
    <row r="1334" spans="1:9" x14ac:dyDescent="0.3">
      <c r="A1334" t="str">
        <f>""</f>
        <v/>
      </c>
      <c r="F1334" t="str">
        <f>"60583"</f>
        <v>60583</v>
      </c>
      <c r="G1334" t="str">
        <f>"ACCT#188757/DPS/TDL"</f>
        <v>ACCT#188757/DPS/TDL</v>
      </c>
      <c r="H1334">
        <v>76</v>
      </c>
      <c r="I1334" t="str">
        <f>"ACCT#188757/DPS/TDL"</f>
        <v>ACCT#188757/DPS/TDL</v>
      </c>
    </row>
    <row r="1335" spans="1:9" x14ac:dyDescent="0.3">
      <c r="A1335" t="str">
        <f>""</f>
        <v/>
      </c>
      <c r="F1335" t="str">
        <f>"60594"</f>
        <v>60594</v>
      </c>
      <c r="G1335" t="str">
        <f>"ACCT#188757/EXT HABITAT OFFICE"</f>
        <v>ACCT#188757/EXT HABITAT OFFICE</v>
      </c>
      <c r="H1335">
        <v>89</v>
      </c>
      <c r="I1335" t="str">
        <f>"ACCT#188757/EXT HABITAT OFFICE"</f>
        <v>ACCT#188757/EXT HABITAT OFFICE</v>
      </c>
    </row>
    <row r="1336" spans="1:9" x14ac:dyDescent="0.3">
      <c r="A1336" t="str">
        <f>""</f>
        <v/>
      </c>
      <c r="F1336" t="str">
        <f>"60598"</f>
        <v>60598</v>
      </c>
      <c r="G1336" t="str">
        <f>"ACCT#188757/HISTORIC JAIL"</f>
        <v>ACCT#188757/HISTORIC JAIL</v>
      </c>
      <c r="H1336">
        <v>76</v>
      </c>
      <c r="I1336" t="str">
        <f>"ACCT#188757/HISTORIC JAIL"</f>
        <v>ACCT#188757/HISTORIC JAIL</v>
      </c>
    </row>
    <row r="1337" spans="1:9" x14ac:dyDescent="0.3">
      <c r="A1337" t="str">
        <f>""</f>
        <v/>
      </c>
      <c r="F1337" t="str">
        <f>"60608"</f>
        <v>60608</v>
      </c>
      <c r="G1337" t="str">
        <f>"ACCT#188757/COURTHOUSE &amp; ANNEX"</f>
        <v>ACCT#188757/COURTHOUSE &amp; ANNEX</v>
      </c>
      <c r="H1337">
        <v>137</v>
      </c>
      <c r="I1337" t="str">
        <f>"ACCT#188757/COURTHOUSE &amp; ANNEX"</f>
        <v>ACCT#188757/COURTHOUSE &amp; ANNEX</v>
      </c>
    </row>
    <row r="1338" spans="1:9" x14ac:dyDescent="0.3">
      <c r="A1338" t="str">
        <f>""</f>
        <v/>
      </c>
      <c r="F1338" t="str">
        <f>"60639"</f>
        <v>60639</v>
      </c>
      <c r="G1338" t="str">
        <f>"ACCT#188757/ANIMAL SHELTER"</f>
        <v>ACCT#188757/ANIMAL SHELTER</v>
      </c>
      <c r="H1338">
        <v>290</v>
      </c>
      <c r="I1338" t="str">
        <f>"ACCT#188757/ANIMAL SHELTER"</f>
        <v>ACCT#188757/ANIMAL SHELTER</v>
      </c>
    </row>
    <row r="1339" spans="1:9" x14ac:dyDescent="0.3">
      <c r="A1339" t="str">
        <f>"003946"</f>
        <v>003946</v>
      </c>
      <c r="B1339" t="s">
        <v>381</v>
      </c>
      <c r="C1339">
        <v>77386</v>
      </c>
      <c r="D1339" s="2">
        <v>500</v>
      </c>
      <c r="E1339" s="1">
        <v>43276</v>
      </c>
      <c r="F1339" t="str">
        <f>"201806201695"</f>
        <v>201806201695</v>
      </c>
      <c r="G1339" t="str">
        <f>"55 151"</f>
        <v>55 151</v>
      </c>
      <c r="H1339">
        <v>250</v>
      </c>
      <c r="I1339" t="str">
        <f>"55 151"</f>
        <v>55 151</v>
      </c>
    </row>
    <row r="1340" spans="1:9" x14ac:dyDescent="0.3">
      <c r="A1340" t="str">
        <f>""</f>
        <v/>
      </c>
      <c r="F1340" t="str">
        <f>"201806201696"</f>
        <v>201806201696</v>
      </c>
      <c r="G1340" t="str">
        <f>"CH-20184264"</f>
        <v>CH-20184264</v>
      </c>
      <c r="H1340">
        <v>250</v>
      </c>
      <c r="I1340" t="str">
        <f>"CH-20184264"</f>
        <v>CH-20184264</v>
      </c>
    </row>
    <row r="1341" spans="1:9" x14ac:dyDescent="0.3">
      <c r="A1341" t="str">
        <f>"T10299"</f>
        <v>T10299</v>
      </c>
      <c r="B1341" t="s">
        <v>382</v>
      </c>
      <c r="C1341">
        <v>77190</v>
      </c>
      <c r="D1341" s="2">
        <v>185</v>
      </c>
      <c r="E1341" s="1">
        <v>43262</v>
      </c>
      <c r="F1341" t="str">
        <f>"213541"</f>
        <v>213541</v>
      </c>
      <c r="G1341" t="str">
        <f>"INV 213541"</f>
        <v>INV 213541</v>
      </c>
      <c r="H1341">
        <v>185</v>
      </c>
      <c r="I1341" t="str">
        <f>"INV 213541"</f>
        <v>INV 213541</v>
      </c>
    </row>
    <row r="1342" spans="1:9" x14ac:dyDescent="0.3">
      <c r="A1342" t="str">
        <f>"002317"</f>
        <v>002317</v>
      </c>
      <c r="B1342" t="s">
        <v>383</v>
      </c>
      <c r="C1342">
        <v>999999</v>
      </c>
      <c r="D1342" s="2">
        <v>3200</v>
      </c>
      <c r="E1342" s="1">
        <v>43263</v>
      </c>
      <c r="F1342" t="str">
        <f>"201806011235"</f>
        <v>201806011235</v>
      </c>
      <c r="G1342" t="str">
        <f>"410126-3"</f>
        <v>410126-3</v>
      </c>
      <c r="H1342">
        <v>400</v>
      </c>
      <c r="I1342" t="str">
        <f>"410126-3"</f>
        <v>410126-3</v>
      </c>
    </row>
    <row r="1343" spans="1:9" x14ac:dyDescent="0.3">
      <c r="A1343" t="str">
        <f>""</f>
        <v/>
      </c>
      <c r="F1343" t="str">
        <f>"201806011236"</f>
        <v>201806011236</v>
      </c>
      <c r="G1343" t="str">
        <f>"16347"</f>
        <v>16347</v>
      </c>
      <c r="H1343">
        <v>400</v>
      </c>
      <c r="I1343" t="str">
        <f>"16347"</f>
        <v>16347</v>
      </c>
    </row>
    <row r="1344" spans="1:9" x14ac:dyDescent="0.3">
      <c r="A1344" t="str">
        <f>""</f>
        <v/>
      </c>
      <c r="F1344" t="str">
        <f>"201806051299"</f>
        <v>201806051299</v>
      </c>
      <c r="G1344" t="str">
        <f>"43 127"</f>
        <v>43 127</v>
      </c>
      <c r="H1344">
        <v>250</v>
      </c>
      <c r="I1344" t="str">
        <f>"43 127"</f>
        <v>43 127</v>
      </c>
    </row>
    <row r="1345" spans="1:9" x14ac:dyDescent="0.3">
      <c r="A1345" t="str">
        <f>""</f>
        <v/>
      </c>
      <c r="F1345" t="str">
        <f>"201806051300"</f>
        <v>201806051300</v>
      </c>
      <c r="G1345" t="str">
        <f>"NO CAUSE # LISTED"</f>
        <v>NO CAUSE # LISTED</v>
      </c>
      <c r="H1345">
        <v>250</v>
      </c>
      <c r="I1345" t="str">
        <f>"NO CAUSE # LISTED"</f>
        <v>NO CAUSE # LISTED</v>
      </c>
    </row>
    <row r="1346" spans="1:9" x14ac:dyDescent="0.3">
      <c r="A1346" t="str">
        <f>""</f>
        <v/>
      </c>
      <c r="F1346" t="str">
        <f>"201806051306"</f>
        <v>201806051306</v>
      </c>
      <c r="G1346" t="str">
        <f>"17-18738"</f>
        <v>17-18738</v>
      </c>
      <c r="H1346">
        <v>325</v>
      </c>
      <c r="I1346" t="str">
        <f>"17-18738"</f>
        <v>17-18738</v>
      </c>
    </row>
    <row r="1347" spans="1:9" x14ac:dyDescent="0.3">
      <c r="A1347" t="str">
        <f>""</f>
        <v/>
      </c>
      <c r="F1347" t="str">
        <f>"201806051321"</f>
        <v>201806051321</v>
      </c>
      <c r="G1347" t="str">
        <f>"18-18269"</f>
        <v>18-18269</v>
      </c>
      <c r="H1347">
        <v>225</v>
      </c>
      <c r="I1347" t="str">
        <f>"18-18269"</f>
        <v>18-18269</v>
      </c>
    </row>
    <row r="1348" spans="1:9" x14ac:dyDescent="0.3">
      <c r="A1348" t="str">
        <f>""</f>
        <v/>
      </c>
      <c r="F1348" t="str">
        <f>"201806051322"</f>
        <v>201806051322</v>
      </c>
      <c r="G1348" t="str">
        <f>"18-18961"</f>
        <v>18-18961</v>
      </c>
      <c r="H1348">
        <v>150</v>
      </c>
      <c r="I1348" t="str">
        <f>"18-18961"</f>
        <v>18-18961</v>
      </c>
    </row>
    <row r="1349" spans="1:9" x14ac:dyDescent="0.3">
      <c r="A1349" t="str">
        <f>""</f>
        <v/>
      </c>
      <c r="F1349" t="str">
        <f>"201806051337"</f>
        <v>201806051337</v>
      </c>
      <c r="G1349" t="str">
        <f>"302112018-B/BF02-1215-2/18-190"</f>
        <v>302112018-B/BF02-1215-2/18-190</v>
      </c>
      <c r="H1349">
        <v>200</v>
      </c>
      <c r="I1349" t="str">
        <f>"302112018-B/BF02-1215-2/18-190"</f>
        <v>302112018-B/BF02-1215-2/18-190</v>
      </c>
    </row>
    <row r="1350" spans="1:9" x14ac:dyDescent="0.3">
      <c r="A1350" t="str">
        <f>""</f>
        <v/>
      </c>
      <c r="F1350" t="str">
        <f>"201806061364"</f>
        <v>201806061364</v>
      </c>
      <c r="G1350" t="str">
        <f>"55 700"</f>
        <v>55 700</v>
      </c>
      <c r="H1350">
        <v>250</v>
      </c>
      <c r="I1350" t="str">
        <f>"55 700"</f>
        <v>55 700</v>
      </c>
    </row>
    <row r="1351" spans="1:9" x14ac:dyDescent="0.3">
      <c r="A1351" t="str">
        <f>""</f>
        <v/>
      </c>
      <c r="F1351" t="str">
        <f>"201806061365"</f>
        <v>201806061365</v>
      </c>
      <c r="G1351" t="str">
        <f>"55 371"</f>
        <v>55 371</v>
      </c>
      <c r="H1351">
        <v>250</v>
      </c>
      <c r="I1351" t="str">
        <f>"55 371"</f>
        <v>55 371</v>
      </c>
    </row>
    <row r="1352" spans="1:9" x14ac:dyDescent="0.3">
      <c r="A1352" t="str">
        <f>""</f>
        <v/>
      </c>
      <c r="F1352" t="str">
        <f>"201806061366"</f>
        <v>201806061366</v>
      </c>
      <c r="G1352" t="str">
        <f>"55 409"</f>
        <v>55 409</v>
      </c>
      <c r="H1352">
        <v>250</v>
      </c>
      <c r="I1352" t="str">
        <f>"55 409"</f>
        <v>55 409</v>
      </c>
    </row>
    <row r="1353" spans="1:9" x14ac:dyDescent="0.3">
      <c r="A1353" t="str">
        <f>""</f>
        <v/>
      </c>
      <c r="F1353" t="str">
        <f>"201806061380"</f>
        <v>201806061380</v>
      </c>
      <c r="G1353" t="str">
        <f>"20170432-B"</f>
        <v>20170432-B</v>
      </c>
      <c r="H1353">
        <v>250</v>
      </c>
      <c r="I1353" t="str">
        <f>"20170432-B"</f>
        <v>20170432-B</v>
      </c>
    </row>
    <row r="1354" spans="1:9" x14ac:dyDescent="0.3">
      <c r="A1354" t="str">
        <f>"002317"</f>
        <v>002317</v>
      </c>
      <c r="B1354" t="s">
        <v>383</v>
      </c>
      <c r="C1354">
        <v>999999</v>
      </c>
      <c r="D1354" s="2">
        <v>1450</v>
      </c>
      <c r="E1354" s="1">
        <v>43277</v>
      </c>
      <c r="F1354" t="str">
        <f>"201806141618"</f>
        <v>201806141618</v>
      </c>
      <c r="G1354" t="str">
        <f>"C17-0001"</f>
        <v>C17-0001</v>
      </c>
      <c r="H1354">
        <v>400</v>
      </c>
      <c r="I1354" t="str">
        <f>"C17-0001"</f>
        <v>C17-0001</v>
      </c>
    </row>
    <row r="1355" spans="1:9" x14ac:dyDescent="0.3">
      <c r="A1355" t="str">
        <f>""</f>
        <v/>
      </c>
      <c r="F1355" t="str">
        <f>"201806141619"</f>
        <v>201806141619</v>
      </c>
      <c r="G1355" t="str">
        <f>"403306.3/403306.2/403306.1"</f>
        <v>403306.3/403306.2/403306.1</v>
      </c>
      <c r="H1355">
        <v>800</v>
      </c>
      <c r="I1355" t="str">
        <f>"403306.3/403306.2/403306.1"</f>
        <v>403306.3/403306.2/403306.1</v>
      </c>
    </row>
    <row r="1356" spans="1:9" x14ac:dyDescent="0.3">
      <c r="A1356" t="str">
        <f>""</f>
        <v/>
      </c>
      <c r="F1356" t="str">
        <f>"201806201709"</f>
        <v>201806201709</v>
      </c>
      <c r="G1356" t="str">
        <f>"30130215A"</f>
        <v>30130215A</v>
      </c>
      <c r="H1356">
        <v>250</v>
      </c>
      <c r="I1356" t="str">
        <f>"30130215A"</f>
        <v>30130215A</v>
      </c>
    </row>
    <row r="1357" spans="1:9" x14ac:dyDescent="0.3">
      <c r="A1357" t="str">
        <f>"T13860"</f>
        <v>T13860</v>
      </c>
      <c r="B1357" t="s">
        <v>384</v>
      </c>
      <c r="C1357">
        <v>999999</v>
      </c>
      <c r="D1357" s="2">
        <v>105</v>
      </c>
      <c r="E1357" s="1">
        <v>43277</v>
      </c>
      <c r="F1357" t="str">
        <f>"201806151630"</f>
        <v>201806151630</v>
      </c>
      <c r="G1357" t="str">
        <f>"PER DIEM"</f>
        <v>PER DIEM</v>
      </c>
      <c r="H1357">
        <v>105</v>
      </c>
      <c r="I1357" t="str">
        <f>"PER DIEM"</f>
        <v>PER DIEM</v>
      </c>
    </row>
    <row r="1358" spans="1:9" x14ac:dyDescent="0.3">
      <c r="A1358" t="str">
        <f>"TIME"</f>
        <v>TIME</v>
      </c>
      <c r="B1358" t="s">
        <v>385</v>
      </c>
      <c r="C1358">
        <v>77191</v>
      </c>
      <c r="D1358" s="2">
        <v>10696.98</v>
      </c>
      <c r="E1358" s="1">
        <v>43262</v>
      </c>
      <c r="F1358" t="str">
        <f>"201805301231"</f>
        <v>201805301231</v>
      </c>
      <c r="G1358" t="str">
        <f>"ACCT#8260163000003669"</f>
        <v>ACCT#8260163000003669</v>
      </c>
      <c r="H1358">
        <v>10696.98</v>
      </c>
      <c r="I1358" t="str">
        <f>"ACCT#8260163000003669"</f>
        <v>ACCT#8260163000003669</v>
      </c>
    </row>
    <row r="1359" spans="1:9" x14ac:dyDescent="0.3">
      <c r="A1359" t="str">
        <f>""</f>
        <v/>
      </c>
      <c r="F1359" t="str">
        <f>""</f>
        <v/>
      </c>
      <c r="G1359" t="str">
        <f>""</f>
        <v/>
      </c>
      <c r="I1359" t="str">
        <f>"ACCT#8260163000003669"</f>
        <v>ACCT#8260163000003669</v>
      </c>
    </row>
    <row r="1360" spans="1:9" x14ac:dyDescent="0.3">
      <c r="A1360" t="str">
        <f>""</f>
        <v/>
      </c>
      <c r="F1360" t="str">
        <f>""</f>
        <v/>
      </c>
      <c r="G1360" t="str">
        <f>""</f>
        <v/>
      </c>
      <c r="I1360" t="str">
        <f>"ACCT#8260163000003669"</f>
        <v>ACCT#8260163000003669</v>
      </c>
    </row>
    <row r="1361" spans="1:9" x14ac:dyDescent="0.3">
      <c r="A1361" t="str">
        <f>"T14043"</f>
        <v>T14043</v>
      </c>
      <c r="B1361" t="s">
        <v>386</v>
      </c>
      <c r="C1361">
        <v>77387</v>
      </c>
      <c r="D1361" s="2">
        <v>990.82</v>
      </c>
      <c r="E1361" s="1">
        <v>43276</v>
      </c>
      <c r="F1361" t="str">
        <f>"201806151626"</f>
        <v>201806151626</v>
      </c>
      <c r="G1361" t="str">
        <f>"LODGING - WAYNE WOOD"</f>
        <v>LODGING - WAYNE WOOD</v>
      </c>
      <c r="H1361">
        <v>495.41</v>
      </c>
      <c r="I1361" t="str">
        <f>"LODGING - WAYNE WOOD"</f>
        <v>LODGING - WAYNE WOOD</v>
      </c>
    </row>
    <row r="1362" spans="1:9" x14ac:dyDescent="0.3">
      <c r="A1362" t="str">
        <f>""</f>
        <v/>
      </c>
      <c r="F1362" t="str">
        <f>"201806151627"</f>
        <v>201806151627</v>
      </c>
      <c r="G1362" t="str">
        <f>"LODING - TIM SPARKMAN"</f>
        <v>LODING - TIM SPARKMAN</v>
      </c>
      <c r="H1362">
        <v>495.41</v>
      </c>
      <c r="I1362" t="str">
        <f>"LODING - TIM SPARKMAN"</f>
        <v>LODING - TIM SPARKMAN</v>
      </c>
    </row>
    <row r="1363" spans="1:9" x14ac:dyDescent="0.3">
      <c r="A1363" t="str">
        <f>"002337"</f>
        <v>002337</v>
      </c>
      <c r="B1363" t="s">
        <v>387</v>
      </c>
      <c r="C1363">
        <v>77192</v>
      </c>
      <c r="D1363" s="2">
        <v>220</v>
      </c>
      <c r="E1363" s="1">
        <v>43262</v>
      </c>
      <c r="F1363" t="str">
        <f>"12455"</f>
        <v>12455</v>
      </c>
      <c r="G1363" t="str">
        <f>"SERVICE  03/20/18"</f>
        <v>SERVICE  03/20/18</v>
      </c>
      <c r="H1363">
        <v>75</v>
      </c>
      <c r="I1363" t="str">
        <f>"SERVICE  03/20/18"</f>
        <v>SERVICE  03/20/18</v>
      </c>
    </row>
    <row r="1364" spans="1:9" x14ac:dyDescent="0.3">
      <c r="A1364" t="str">
        <f>""</f>
        <v/>
      </c>
      <c r="F1364" t="str">
        <f>"12462"</f>
        <v>12462</v>
      </c>
      <c r="G1364" t="str">
        <f>"SERVICE  03/20/18"</f>
        <v>SERVICE  03/20/18</v>
      </c>
      <c r="H1364">
        <v>75</v>
      </c>
      <c r="I1364" t="str">
        <f>"SERVICE  03/20/18"</f>
        <v>SERVICE  03/20/18</v>
      </c>
    </row>
    <row r="1365" spans="1:9" x14ac:dyDescent="0.3">
      <c r="A1365" t="str">
        <f>""</f>
        <v/>
      </c>
      <c r="F1365" t="str">
        <f>"8158"</f>
        <v>8158</v>
      </c>
      <c r="G1365" t="str">
        <f>"SERVICE  03/26/2018"</f>
        <v>SERVICE  03/26/2018</v>
      </c>
      <c r="H1365">
        <v>70</v>
      </c>
      <c r="I1365" t="str">
        <f>"SERVICE  03/26/2018"</f>
        <v>SERVICE  03/26/2018</v>
      </c>
    </row>
    <row r="1366" spans="1:9" x14ac:dyDescent="0.3">
      <c r="A1366" t="str">
        <f>"002337"</f>
        <v>002337</v>
      </c>
      <c r="B1366" t="s">
        <v>387</v>
      </c>
      <c r="C1366">
        <v>77388</v>
      </c>
      <c r="D1366" s="2">
        <v>204.32</v>
      </c>
      <c r="E1366" s="1">
        <v>43276</v>
      </c>
      <c r="F1366" t="str">
        <f>"12813"</f>
        <v>12813</v>
      </c>
      <c r="G1366" t="str">
        <f>"SERVICE  04/27/18"</f>
        <v>SERVICE  04/27/18</v>
      </c>
      <c r="H1366">
        <v>54.32</v>
      </c>
      <c r="I1366" t="str">
        <f>"SERVICE  04/27/18"</f>
        <v>SERVICE  04/27/18</v>
      </c>
    </row>
    <row r="1367" spans="1:9" x14ac:dyDescent="0.3">
      <c r="A1367" t="str">
        <f>""</f>
        <v/>
      </c>
      <c r="F1367" t="str">
        <f>"12862"</f>
        <v>12862</v>
      </c>
      <c r="G1367" t="str">
        <f>"SERVICE 04/30/18"</f>
        <v>SERVICE 04/30/18</v>
      </c>
      <c r="H1367">
        <v>75</v>
      </c>
      <c r="I1367" t="str">
        <f>"SERVICE 04/30/18"</f>
        <v>SERVICE 04/30/18</v>
      </c>
    </row>
    <row r="1368" spans="1:9" x14ac:dyDescent="0.3">
      <c r="A1368" t="str">
        <f>""</f>
        <v/>
      </c>
      <c r="F1368" t="str">
        <f>"12927"</f>
        <v>12927</v>
      </c>
      <c r="G1368" t="str">
        <f>"SERVICE  04/30/18"</f>
        <v>SERVICE  04/30/18</v>
      </c>
      <c r="H1368">
        <v>75</v>
      </c>
      <c r="I1368" t="str">
        <f>"SERVICE  04/30/18"</f>
        <v>SERVICE  04/30/18</v>
      </c>
    </row>
    <row r="1369" spans="1:9" x14ac:dyDescent="0.3">
      <c r="A1369" t="str">
        <f>"TCC"</f>
        <v>TCC</v>
      </c>
      <c r="B1369" t="s">
        <v>388</v>
      </c>
      <c r="C1369">
        <v>77193</v>
      </c>
      <c r="D1369" s="2">
        <v>883</v>
      </c>
      <c r="E1369" s="1">
        <v>43262</v>
      </c>
      <c r="F1369" t="str">
        <f>"18-000913"</f>
        <v>18-000913</v>
      </c>
      <c r="G1369" t="str">
        <f>"CAUSE#C-1-MH-18-000913"</f>
        <v>CAUSE#C-1-MH-18-000913</v>
      </c>
      <c r="H1369">
        <v>429</v>
      </c>
      <c r="I1369" t="str">
        <f>"CAUSE#C-1-MH-18-000913"</f>
        <v>CAUSE#C-1-MH-18-000913</v>
      </c>
    </row>
    <row r="1370" spans="1:9" x14ac:dyDescent="0.3">
      <c r="A1370" t="str">
        <f>""</f>
        <v/>
      </c>
      <c r="F1370" t="str">
        <f>"18-000947"</f>
        <v>18-000947</v>
      </c>
      <c r="G1370" t="str">
        <f>"CAUSE#C-1-MH-18-000947"</f>
        <v>CAUSE#C-1-MH-18-000947</v>
      </c>
      <c r="H1370">
        <v>454</v>
      </c>
      <c r="I1370" t="str">
        <f>"CAUSE#C-1-MH-18-000947"</f>
        <v>CAUSE#C-1-MH-18-000947</v>
      </c>
    </row>
    <row r="1371" spans="1:9" x14ac:dyDescent="0.3">
      <c r="A1371" t="str">
        <f>"TCC"</f>
        <v>TCC</v>
      </c>
      <c r="B1371" t="s">
        <v>388</v>
      </c>
      <c r="C1371">
        <v>77389</v>
      </c>
      <c r="D1371" s="2">
        <v>858</v>
      </c>
      <c r="E1371" s="1">
        <v>43276</v>
      </c>
      <c r="F1371" t="str">
        <f>"18-001021"</f>
        <v>18-001021</v>
      </c>
      <c r="G1371" t="str">
        <f>"CAUSE#C-1-MH-18-001021"</f>
        <v>CAUSE#C-1-MH-18-001021</v>
      </c>
      <c r="H1371">
        <v>429</v>
      </c>
      <c r="I1371" t="str">
        <f>"CAUSE#C-1-MH-18-001021"</f>
        <v>CAUSE#C-1-MH-18-001021</v>
      </c>
    </row>
    <row r="1372" spans="1:9" x14ac:dyDescent="0.3">
      <c r="A1372" t="str">
        <f>""</f>
        <v/>
      </c>
      <c r="F1372" t="str">
        <f>"18-001022"</f>
        <v>18-001022</v>
      </c>
      <c r="G1372" t="str">
        <f>"CAUSE#C-1-MH-18-001022"</f>
        <v>CAUSE#C-1-MH-18-001022</v>
      </c>
      <c r="H1372">
        <v>429</v>
      </c>
      <c r="I1372" t="str">
        <f>"CAUSE#C-1-MH-18-001022"</f>
        <v>CAUSE#C-1-MH-18-001022</v>
      </c>
    </row>
    <row r="1373" spans="1:9" x14ac:dyDescent="0.3">
      <c r="A1373" t="str">
        <f>"005534"</f>
        <v>005534</v>
      </c>
      <c r="B1373" t="s">
        <v>389</v>
      </c>
      <c r="C1373">
        <v>77194</v>
      </c>
      <c r="D1373" s="2">
        <v>8700</v>
      </c>
      <c r="E1373" s="1">
        <v>43262</v>
      </c>
      <c r="F1373" t="str">
        <f>"3300001324"</f>
        <v>3300001324</v>
      </c>
      <c r="G1373" t="str">
        <f>"CUST#100011/AUTOPSY FEE"</f>
        <v>CUST#100011/AUTOPSY FEE</v>
      </c>
      <c r="H1373">
        <v>5800</v>
      </c>
      <c r="I1373" t="str">
        <f>"CUST#100011/AUTOPSY FEE"</f>
        <v>CUST#100011/AUTOPSY FEE</v>
      </c>
    </row>
    <row r="1374" spans="1:9" x14ac:dyDescent="0.3">
      <c r="A1374" t="str">
        <f>""</f>
        <v/>
      </c>
      <c r="F1374" t="str">
        <f>"3300001376"</f>
        <v>3300001376</v>
      </c>
      <c r="G1374" t="str">
        <f>"CUST#100010/INV#3300001376"</f>
        <v>CUST#100010/INV#3300001376</v>
      </c>
      <c r="H1374">
        <v>2900</v>
      </c>
      <c r="I1374" t="str">
        <f>"CUST#100010/INV#3300001376"</f>
        <v>CUST#100010/INV#3300001376</v>
      </c>
    </row>
    <row r="1375" spans="1:9" x14ac:dyDescent="0.3">
      <c r="A1375" t="str">
        <f>"002944"</f>
        <v>002944</v>
      </c>
      <c r="B1375" t="s">
        <v>390</v>
      </c>
      <c r="C1375">
        <v>999999</v>
      </c>
      <c r="D1375" s="2">
        <v>138.24</v>
      </c>
      <c r="E1375" s="1">
        <v>43263</v>
      </c>
      <c r="F1375" t="str">
        <f>"INV#711209"</f>
        <v>INV#711209</v>
      </c>
      <c r="G1375" t="str">
        <f>"INV 711209 / UNIT 0127"</f>
        <v>INV 711209 / UNIT 0127</v>
      </c>
      <c r="H1375">
        <v>138.24</v>
      </c>
      <c r="I1375" t="str">
        <f>"INV 711209 / UNIT 0127"</f>
        <v>INV 711209 / UNIT 0127</v>
      </c>
    </row>
    <row r="1376" spans="1:9" x14ac:dyDescent="0.3">
      <c r="A1376" t="str">
        <f>"002944"</f>
        <v>002944</v>
      </c>
      <c r="B1376" t="s">
        <v>390</v>
      </c>
      <c r="C1376">
        <v>999999</v>
      </c>
      <c r="D1376" s="2">
        <v>1887.3</v>
      </c>
      <c r="E1376" s="1">
        <v>43277</v>
      </c>
      <c r="F1376" t="str">
        <f>"711208"</f>
        <v>711208</v>
      </c>
      <c r="G1376" t="str">
        <f>"INV 711208 / UNIT 1671"</f>
        <v>INV 711208 / UNIT 1671</v>
      </c>
      <c r="H1376">
        <v>276.48</v>
      </c>
      <c r="I1376" t="str">
        <f>"INV 711208 / UNIT 1671"</f>
        <v>INV 711208 / UNIT 1671</v>
      </c>
    </row>
    <row r="1377" spans="1:9" x14ac:dyDescent="0.3">
      <c r="A1377" t="str">
        <f>""</f>
        <v/>
      </c>
      <c r="F1377" t="str">
        <f>"711412"</f>
        <v>711412</v>
      </c>
      <c r="G1377" t="str">
        <f>"INV 711412 / UNIT 6556"</f>
        <v>INV 711412 / UNIT 6556</v>
      </c>
      <c r="H1377">
        <v>414.72</v>
      </c>
      <c r="I1377" t="str">
        <f>"INV 711412 / UNIT 6556"</f>
        <v>INV 711412 / UNIT 6556</v>
      </c>
    </row>
    <row r="1378" spans="1:9" x14ac:dyDescent="0.3">
      <c r="A1378" t="str">
        <f>""</f>
        <v/>
      </c>
      <c r="F1378" t="str">
        <f>"712572"</f>
        <v>712572</v>
      </c>
      <c r="G1378" t="str">
        <f>"INV 712572 / UNIT 0311"</f>
        <v>INV 712572 / UNIT 0311</v>
      </c>
      <c r="H1378">
        <v>120.58</v>
      </c>
      <c r="I1378" t="str">
        <f>"INV 712572 / UNIT 0311"</f>
        <v>INV 712572 / UNIT 0311</v>
      </c>
    </row>
    <row r="1379" spans="1:9" x14ac:dyDescent="0.3">
      <c r="A1379" t="str">
        <f>""</f>
        <v/>
      </c>
      <c r="F1379" t="str">
        <f>"714032"</f>
        <v>714032</v>
      </c>
      <c r="G1379" t="str">
        <f>"INV 714032 / UNIT 5511"</f>
        <v>INV 714032 / UNIT 5511</v>
      </c>
      <c r="H1379">
        <v>522.55999999999995</v>
      </c>
      <c r="I1379" t="str">
        <f>"INV 714032 / UNIT 5511"</f>
        <v>INV 714032 / UNIT 5511</v>
      </c>
    </row>
    <row r="1380" spans="1:9" x14ac:dyDescent="0.3">
      <c r="A1380" t="str">
        <f>""</f>
        <v/>
      </c>
      <c r="F1380" t="str">
        <f>"714249"</f>
        <v>714249</v>
      </c>
      <c r="G1380" t="str">
        <f>"INV 714249 / UNIT 6554"</f>
        <v>INV 714249 / UNIT 6554</v>
      </c>
      <c r="H1380">
        <v>552.96</v>
      </c>
      <c r="I1380" t="str">
        <f>"INV 714249 / UNIT 6554"</f>
        <v>INV 714249 / UNIT 6554</v>
      </c>
    </row>
    <row r="1381" spans="1:9" x14ac:dyDescent="0.3">
      <c r="A1381" t="str">
        <f>"TRIPLE"</f>
        <v>TRIPLE</v>
      </c>
      <c r="B1381" t="s">
        <v>391</v>
      </c>
      <c r="C1381">
        <v>999999</v>
      </c>
      <c r="D1381" s="2">
        <v>7917.51</v>
      </c>
      <c r="E1381" s="1">
        <v>43263</v>
      </c>
      <c r="F1381" t="str">
        <f>"0015523-IN"</f>
        <v>0015523-IN</v>
      </c>
      <c r="G1381" t="str">
        <f>"CUST#0009087/BOL#513807/PCT#4"</f>
        <v>CUST#0009087/BOL#513807/PCT#4</v>
      </c>
      <c r="H1381">
        <v>7917.51</v>
      </c>
      <c r="I1381" t="str">
        <f>"CUST#0009087/BOL#513807/PCT#4"</f>
        <v>CUST#0009087/BOL#513807/PCT#4</v>
      </c>
    </row>
    <row r="1382" spans="1:9" x14ac:dyDescent="0.3">
      <c r="A1382" t="str">
        <f>"TRACTO"</f>
        <v>TRACTO</v>
      </c>
      <c r="B1382" t="s">
        <v>392</v>
      </c>
      <c r="C1382">
        <v>77195</v>
      </c>
      <c r="D1382" s="2">
        <v>2027.87</v>
      </c>
      <c r="E1382" s="1">
        <v>43262</v>
      </c>
      <c r="F1382" t="str">
        <f>"ACCOUNT#6035301200"</f>
        <v>ACCOUNT#6035301200</v>
      </c>
      <c r="G1382" t="str">
        <f>"Acct# 6035301200160982"</f>
        <v>Acct# 6035301200160982</v>
      </c>
      <c r="H1382">
        <v>2027.87</v>
      </c>
      <c r="I1382" t="str">
        <f>"Inv# 200488895"</f>
        <v>Inv# 200488895</v>
      </c>
    </row>
    <row r="1383" spans="1:9" x14ac:dyDescent="0.3">
      <c r="A1383" t="str">
        <f>""</f>
        <v/>
      </c>
      <c r="F1383" t="str">
        <f>""</f>
        <v/>
      </c>
      <c r="G1383" t="str">
        <f>""</f>
        <v/>
      </c>
      <c r="I1383" t="str">
        <f>"Inv# 300456547"</f>
        <v>Inv# 300456547</v>
      </c>
    </row>
    <row r="1384" spans="1:9" x14ac:dyDescent="0.3">
      <c r="A1384" t="str">
        <f>""</f>
        <v/>
      </c>
      <c r="F1384" t="str">
        <f>""</f>
        <v/>
      </c>
      <c r="G1384" t="str">
        <f>""</f>
        <v/>
      </c>
      <c r="I1384" t="str">
        <f>"Inv# 300460123"</f>
        <v>Inv# 300460123</v>
      </c>
    </row>
    <row r="1385" spans="1:9" x14ac:dyDescent="0.3">
      <c r="A1385" t="str">
        <f>""</f>
        <v/>
      </c>
      <c r="F1385" t="str">
        <f>""</f>
        <v/>
      </c>
      <c r="G1385" t="str">
        <f>""</f>
        <v/>
      </c>
      <c r="I1385" t="str">
        <f>"Inv# 300460571"</f>
        <v>Inv# 300460571</v>
      </c>
    </row>
    <row r="1386" spans="1:9" x14ac:dyDescent="0.3">
      <c r="A1386" t="str">
        <f>""</f>
        <v/>
      </c>
      <c r="F1386" t="str">
        <f>""</f>
        <v/>
      </c>
      <c r="G1386" t="str">
        <f>""</f>
        <v/>
      </c>
      <c r="I1386" t="str">
        <f>"Inv# 300454836"</f>
        <v>Inv# 300454836</v>
      </c>
    </row>
    <row r="1387" spans="1:9" x14ac:dyDescent="0.3">
      <c r="A1387" t="str">
        <f>""</f>
        <v/>
      </c>
      <c r="F1387" t="str">
        <f>""</f>
        <v/>
      </c>
      <c r="G1387" t="str">
        <f>""</f>
        <v/>
      </c>
      <c r="I1387" t="str">
        <f>"Inv# 300461563"</f>
        <v>Inv# 300461563</v>
      </c>
    </row>
    <row r="1388" spans="1:9" x14ac:dyDescent="0.3">
      <c r="A1388" t="str">
        <f>""</f>
        <v/>
      </c>
      <c r="F1388" t="str">
        <f>""</f>
        <v/>
      </c>
      <c r="G1388" t="str">
        <f>""</f>
        <v/>
      </c>
      <c r="I1388" t="str">
        <f>"Inv# 200493777"</f>
        <v>Inv# 200493777</v>
      </c>
    </row>
    <row r="1389" spans="1:9" x14ac:dyDescent="0.3">
      <c r="A1389" t="str">
        <f>""</f>
        <v/>
      </c>
      <c r="F1389" t="str">
        <f>""</f>
        <v/>
      </c>
      <c r="G1389" t="str">
        <f>""</f>
        <v/>
      </c>
      <c r="I1389" t="str">
        <f>"Inv# 200493583"</f>
        <v>Inv# 200493583</v>
      </c>
    </row>
    <row r="1390" spans="1:9" x14ac:dyDescent="0.3">
      <c r="A1390" t="str">
        <f>""</f>
        <v/>
      </c>
      <c r="F1390" t="str">
        <f>""</f>
        <v/>
      </c>
      <c r="G1390" t="str">
        <f>""</f>
        <v/>
      </c>
      <c r="I1390" t="str">
        <f>"Inv# 300461954"</f>
        <v>Inv# 300461954</v>
      </c>
    </row>
    <row r="1391" spans="1:9" x14ac:dyDescent="0.3">
      <c r="A1391" t="str">
        <f>""</f>
        <v/>
      </c>
      <c r="F1391" t="str">
        <f>""</f>
        <v/>
      </c>
      <c r="G1391" t="str">
        <f>""</f>
        <v/>
      </c>
      <c r="I1391" t="str">
        <f>"Inv# 100553730"</f>
        <v>Inv# 100553730</v>
      </c>
    </row>
    <row r="1392" spans="1:9" x14ac:dyDescent="0.3">
      <c r="A1392" t="str">
        <f>""</f>
        <v/>
      </c>
      <c r="F1392" t="str">
        <f>""</f>
        <v/>
      </c>
      <c r="G1392" t="str">
        <f>""</f>
        <v/>
      </c>
      <c r="I1392" t="str">
        <f>"Inv# 200284027"</f>
        <v>Inv# 200284027</v>
      </c>
    </row>
    <row r="1393" spans="1:9" x14ac:dyDescent="0.3">
      <c r="A1393" t="str">
        <f>""</f>
        <v/>
      </c>
      <c r="F1393" t="str">
        <f>""</f>
        <v/>
      </c>
      <c r="G1393" t="str">
        <f>""</f>
        <v/>
      </c>
      <c r="I1393" t="str">
        <f>"Inv# 200493660"</f>
        <v>Inv# 200493660</v>
      </c>
    </row>
    <row r="1394" spans="1:9" x14ac:dyDescent="0.3">
      <c r="A1394" t="str">
        <f>""</f>
        <v/>
      </c>
      <c r="F1394" t="str">
        <f>""</f>
        <v/>
      </c>
      <c r="G1394" t="str">
        <f>""</f>
        <v/>
      </c>
      <c r="I1394" t="str">
        <f>"Inv# 200493705"</f>
        <v>Inv# 200493705</v>
      </c>
    </row>
    <row r="1395" spans="1:9" x14ac:dyDescent="0.3">
      <c r="A1395" t="str">
        <f>""</f>
        <v/>
      </c>
      <c r="F1395" t="str">
        <f>""</f>
        <v/>
      </c>
      <c r="G1395" t="str">
        <f>""</f>
        <v/>
      </c>
      <c r="I1395" t="str">
        <f>"Inv# 100027194"</f>
        <v>Inv# 100027194</v>
      </c>
    </row>
    <row r="1396" spans="1:9" x14ac:dyDescent="0.3">
      <c r="A1396" t="str">
        <f>""</f>
        <v/>
      </c>
      <c r="F1396" t="str">
        <f>""</f>
        <v/>
      </c>
      <c r="G1396" t="str">
        <f>""</f>
        <v/>
      </c>
      <c r="I1396" t="str">
        <f>"Inv# 10027436"</f>
        <v>Inv# 10027436</v>
      </c>
    </row>
    <row r="1397" spans="1:9" x14ac:dyDescent="0.3">
      <c r="A1397" t="str">
        <f>""</f>
        <v/>
      </c>
      <c r="F1397" t="str">
        <f>""</f>
        <v/>
      </c>
      <c r="G1397" t="str">
        <f>""</f>
        <v/>
      </c>
      <c r="I1397" t="str">
        <f>"Inv# 10029909"</f>
        <v>Inv# 10029909</v>
      </c>
    </row>
    <row r="1398" spans="1:9" x14ac:dyDescent="0.3">
      <c r="A1398" t="str">
        <f>"TULL"</f>
        <v>TULL</v>
      </c>
      <c r="B1398" t="s">
        <v>393</v>
      </c>
      <c r="C1398">
        <v>999999</v>
      </c>
      <c r="D1398" s="2">
        <v>2675</v>
      </c>
      <c r="E1398" s="1">
        <v>43263</v>
      </c>
      <c r="F1398" t="str">
        <f>"201805301213"</f>
        <v>201805301213</v>
      </c>
      <c r="G1398" t="str">
        <f>"DP 112516 A"</f>
        <v>DP 112516 A</v>
      </c>
      <c r="H1398">
        <v>400</v>
      </c>
      <c r="I1398" t="str">
        <f>"DP 112516 A"</f>
        <v>DP 112516 A</v>
      </c>
    </row>
    <row r="1399" spans="1:9" x14ac:dyDescent="0.3">
      <c r="A1399" t="str">
        <f>""</f>
        <v/>
      </c>
      <c r="F1399" t="str">
        <f>"201805301214"</f>
        <v>201805301214</v>
      </c>
      <c r="G1399" t="str">
        <f>"02-118-7-16  02-117-3-16"</f>
        <v>02-118-7-16  02-117-3-16</v>
      </c>
      <c r="H1399">
        <v>600</v>
      </c>
      <c r="I1399" t="str">
        <f>"02-118-7-16  02-117-3-16"</f>
        <v>02-118-7-16  02-117-3-16</v>
      </c>
    </row>
    <row r="1400" spans="1:9" x14ac:dyDescent="0.3">
      <c r="A1400" t="str">
        <f>""</f>
        <v/>
      </c>
      <c r="F1400" t="str">
        <f>"201805301215"</f>
        <v>201805301215</v>
      </c>
      <c r="G1400" t="str">
        <f>"WRIT 782-21"</f>
        <v>WRIT 782-21</v>
      </c>
      <c r="H1400">
        <v>100</v>
      </c>
      <c r="I1400" t="str">
        <f>"WRIT 782-21"</f>
        <v>WRIT 782-21</v>
      </c>
    </row>
    <row r="1401" spans="1:9" x14ac:dyDescent="0.3">
      <c r="A1401" t="str">
        <f>""</f>
        <v/>
      </c>
      <c r="F1401" t="str">
        <f>"201806051318"</f>
        <v>201806051318</v>
      </c>
      <c r="G1401" t="str">
        <f>"55684  305222016D"</f>
        <v>55684  305222016D</v>
      </c>
      <c r="H1401">
        <v>375</v>
      </c>
      <c r="I1401" t="str">
        <f>"55684  305222016D"</f>
        <v>55684  305222016D</v>
      </c>
    </row>
    <row r="1402" spans="1:9" x14ac:dyDescent="0.3">
      <c r="A1402" t="str">
        <f>""</f>
        <v/>
      </c>
      <c r="F1402" t="str">
        <f>"201806051338"</f>
        <v>201806051338</v>
      </c>
      <c r="G1402" t="str">
        <f>"18-19058"</f>
        <v>18-19058</v>
      </c>
      <c r="H1402">
        <v>100</v>
      </c>
      <c r="I1402" t="str">
        <f>"18-19058"</f>
        <v>18-19058</v>
      </c>
    </row>
    <row r="1403" spans="1:9" x14ac:dyDescent="0.3">
      <c r="A1403" t="str">
        <f>""</f>
        <v/>
      </c>
      <c r="F1403" t="str">
        <f>"201806051340"</f>
        <v>201806051340</v>
      </c>
      <c r="G1403" t="str">
        <f>"18-19059"</f>
        <v>18-19059</v>
      </c>
      <c r="H1403">
        <v>100</v>
      </c>
      <c r="I1403" t="str">
        <f>"18-19059"</f>
        <v>18-19059</v>
      </c>
    </row>
    <row r="1404" spans="1:9" x14ac:dyDescent="0.3">
      <c r="A1404" t="str">
        <f>""</f>
        <v/>
      </c>
      <c r="F1404" t="str">
        <f>"201806061361"</f>
        <v>201806061361</v>
      </c>
      <c r="G1404" t="str">
        <f>"55923"</f>
        <v>55923</v>
      </c>
      <c r="H1404">
        <v>250</v>
      </c>
      <c r="I1404" t="str">
        <f>"55923"</f>
        <v>55923</v>
      </c>
    </row>
    <row r="1405" spans="1:9" x14ac:dyDescent="0.3">
      <c r="A1405" t="str">
        <f>""</f>
        <v/>
      </c>
      <c r="F1405" t="str">
        <f>"201806061362"</f>
        <v>201806061362</v>
      </c>
      <c r="G1405" t="str">
        <f>"55877"</f>
        <v>55877</v>
      </c>
      <c r="H1405">
        <v>250</v>
      </c>
      <c r="I1405" t="str">
        <f>"55877"</f>
        <v>55877</v>
      </c>
    </row>
    <row r="1406" spans="1:9" x14ac:dyDescent="0.3">
      <c r="A1406" t="str">
        <f>""</f>
        <v/>
      </c>
      <c r="F1406" t="str">
        <f>"201806061363"</f>
        <v>201806061363</v>
      </c>
      <c r="G1406" t="str">
        <f>"56 097"</f>
        <v>56 097</v>
      </c>
      <c r="H1406">
        <v>250</v>
      </c>
      <c r="I1406" t="str">
        <f>"56 097"</f>
        <v>56 097</v>
      </c>
    </row>
    <row r="1407" spans="1:9" x14ac:dyDescent="0.3">
      <c r="A1407" t="str">
        <f>""</f>
        <v/>
      </c>
      <c r="F1407" t="str">
        <f>"201806061371"</f>
        <v>201806061371</v>
      </c>
      <c r="G1407" t="str">
        <f>"C160102"</f>
        <v>C160102</v>
      </c>
      <c r="H1407">
        <v>250</v>
      </c>
      <c r="I1407" t="str">
        <f>"C160102"</f>
        <v>C160102</v>
      </c>
    </row>
    <row r="1408" spans="1:9" x14ac:dyDescent="0.3">
      <c r="A1408" t="str">
        <f>"TULL"</f>
        <v>TULL</v>
      </c>
      <c r="B1408" t="s">
        <v>393</v>
      </c>
      <c r="C1408">
        <v>999999</v>
      </c>
      <c r="D1408" s="2">
        <v>2000</v>
      </c>
      <c r="E1408" s="1">
        <v>43277</v>
      </c>
      <c r="F1408" t="str">
        <f>"201806141610"</f>
        <v>201806141610</v>
      </c>
      <c r="G1408" t="str">
        <f>"16 464"</f>
        <v>16 464</v>
      </c>
      <c r="H1408">
        <v>400</v>
      </c>
      <c r="I1408" t="str">
        <f>"16 464"</f>
        <v>16 464</v>
      </c>
    </row>
    <row r="1409" spans="1:9" x14ac:dyDescent="0.3">
      <c r="A1409" t="str">
        <f>""</f>
        <v/>
      </c>
      <c r="F1409" t="str">
        <f>"201806141612"</f>
        <v>201806141612</v>
      </c>
      <c r="G1409" t="str">
        <f>"1JP81917B"</f>
        <v>1JP81917B</v>
      </c>
      <c r="H1409">
        <v>400</v>
      </c>
      <c r="I1409" t="str">
        <f>"1JP81917B"</f>
        <v>1JP81917B</v>
      </c>
    </row>
    <row r="1410" spans="1:9" x14ac:dyDescent="0.3">
      <c r="A1410" t="str">
        <f>""</f>
        <v/>
      </c>
      <c r="F1410" t="str">
        <f>"201806141613"</f>
        <v>201806141613</v>
      </c>
      <c r="G1410" t="str">
        <f>"404155M"</f>
        <v>404155M</v>
      </c>
      <c r="H1410">
        <v>400</v>
      </c>
      <c r="I1410" t="str">
        <f>"404155M"</f>
        <v>404155M</v>
      </c>
    </row>
    <row r="1411" spans="1:9" x14ac:dyDescent="0.3">
      <c r="A1411" t="str">
        <f>""</f>
        <v/>
      </c>
      <c r="F1411" t="str">
        <f>"201806141614"</f>
        <v>201806141614</v>
      </c>
      <c r="G1411" t="str">
        <f>"408126.5"</f>
        <v>408126.5</v>
      </c>
      <c r="H1411">
        <v>400</v>
      </c>
      <c r="I1411" t="str">
        <f>"408126.5"</f>
        <v>408126.5</v>
      </c>
    </row>
    <row r="1412" spans="1:9" x14ac:dyDescent="0.3">
      <c r="A1412" t="str">
        <f>""</f>
        <v/>
      </c>
      <c r="F1412" t="str">
        <f>"201806141615"</f>
        <v>201806141615</v>
      </c>
      <c r="G1412" t="str">
        <f>"410185.3M"</f>
        <v>410185.3M</v>
      </c>
      <c r="H1412">
        <v>400</v>
      </c>
      <c r="I1412" t="str">
        <f>"410185.3M"</f>
        <v>410185.3M</v>
      </c>
    </row>
    <row r="1413" spans="1:9" x14ac:dyDescent="0.3">
      <c r="A1413" t="str">
        <f>"005340"</f>
        <v>005340</v>
      </c>
      <c r="B1413" t="s">
        <v>394</v>
      </c>
      <c r="C1413">
        <v>999999</v>
      </c>
      <c r="D1413" s="2">
        <v>349.23</v>
      </c>
      <c r="E1413" s="1">
        <v>43277</v>
      </c>
      <c r="F1413" t="str">
        <f>"1171"</f>
        <v>1171</v>
      </c>
      <c r="G1413" t="str">
        <f>"HOURS/DIAGNOSTIC/SALES/PCT#2"</f>
        <v>HOURS/DIAGNOSTIC/SALES/PCT#2</v>
      </c>
      <c r="H1413">
        <v>335.23</v>
      </c>
      <c r="I1413" t="str">
        <f>"HOURS/DIAGNOSTIC/SALES/PCT#2"</f>
        <v>HOURS/DIAGNOSTIC/SALES/PCT#2</v>
      </c>
    </row>
    <row r="1414" spans="1:9" x14ac:dyDescent="0.3">
      <c r="A1414" t="str">
        <f>""</f>
        <v/>
      </c>
      <c r="F1414" t="str">
        <f>"1183"</f>
        <v>1183</v>
      </c>
      <c r="G1414" t="str">
        <f>"INSPECTION/PCT#2"</f>
        <v>INSPECTION/PCT#2</v>
      </c>
      <c r="H1414">
        <v>14</v>
      </c>
      <c r="I1414" t="str">
        <f>"INSPECTION/PCT#2"</f>
        <v>INSPECTION/PCT#2</v>
      </c>
    </row>
    <row r="1415" spans="1:9" x14ac:dyDescent="0.3">
      <c r="A1415" t="str">
        <f>"T11867"</f>
        <v>T11867</v>
      </c>
      <c r="B1415" t="s">
        <v>395</v>
      </c>
      <c r="C1415">
        <v>77196</v>
      </c>
      <c r="D1415" s="2">
        <v>100</v>
      </c>
      <c r="E1415" s="1">
        <v>43262</v>
      </c>
      <c r="F1415" t="str">
        <f>"201806061402"</f>
        <v>201806061402</v>
      </c>
      <c r="G1415" t="str">
        <f>"EDUCATION &amp; TECH CONF REGIST"</f>
        <v>EDUCATION &amp; TECH CONF REGIST</v>
      </c>
      <c r="H1415">
        <v>100</v>
      </c>
      <c r="I1415" t="str">
        <f>"EDUCATION &amp; TECH CONF REGIST"</f>
        <v>EDUCATION &amp; TECH CONF REGIST</v>
      </c>
    </row>
    <row r="1416" spans="1:9" x14ac:dyDescent="0.3">
      <c r="A1416" t="str">
        <f>"TYLER"</f>
        <v>TYLER</v>
      </c>
      <c r="B1416" t="s">
        <v>396</v>
      </c>
      <c r="C1416">
        <v>999999</v>
      </c>
      <c r="D1416" s="2">
        <v>35481.120000000003</v>
      </c>
      <c r="E1416" s="1">
        <v>43263</v>
      </c>
      <c r="F1416" t="str">
        <f>"020-16759"</f>
        <v>020-16759</v>
      </c>
      <c r="G1416" t="str">
        <f>"CUST#42161/ORD#6582/MAINTENANC"</f>
        <v>CUST#42161/ORD#6582/MAINTENANC</v>
      </c>
      <c r="H1416">
        <v>34940.370000000003</v>
      </c>
      <c r="I1416" t="str">
        <f>"CUST#42161/ORD#6582/MAINTENANC"</f>
        <v>CUST#42161/ORD#6582/MAINTENANC</v>
      </c>
    </row>
    <row r="1417" spans="1:9" x14ac:dyDescent="0.3">
      <c r="A1417" t="str">
        <f>""</f>
        <v/>
      </c>
      <c r="F1417" t="str">
        <f>""</f>
        <v/>
      </c>
      <c r="G1417" t="str">
        <f>""</f>
        <v/>
      </c>
      <c r="I1417" t="str">
        <f>"CUST#42161/ORD#6582/MAINTENANC"</f>
        <v>CUST#42161/ORD#6582/MAINTENANC</v>
      </c>
    </row>
    <row r="1418" spans="1:9" x14ac:dyDescent="0.3">
      <c r="A1418" t="str">
        <f>""</f>
        <v/>
      </c>
      <c r="F1418" t="str">
        <f>"020-16760"</f>
        <v>020-16760</v>
      </c>
      <c r="G1418" t="str">
        <f>"CUST#42161/ORD#6583/ODYSSEY MA"</f>
        <v>CUST#42161/ORD#6583/ODYSSEY MA</v>
      </c>
      <c r="H1418">
        <v>540.75</v>
      </c>
      <c r="I1418" t="str">
        <f>"CUST#42161/ORD#6583/ODYSSEY MA"</f>
        <v>CUST#42161/ORD#6583/ODYSSEY MA</v>
      </c>
    </row>
    <row r="1419" spans="1:9" x14ac:dyDescent="0.3">
      <c r="A1419" t="str">
        <f>"001894"</f>
        <v>001894</v>
      </c>
      <c r="B1419" t="s">
        <v>397</v>
      </c>
      <c r="C1419">
        <v>77074</v>
      </c>
      <c r="D1419" s="2">
        <v>150.44999999999999</v>
      </c>
      <c r="E1419" s="1">
        <v>43262</v>
      </c>
      <c r="F1419" t="str">
        <f>"10013772"</f>
        <v>10013772</v>
      </c>
      <c r="G1419" t="str">
        <f>"ACCT#38049/PCT#4"</f>
        <v>ACCT#38049/PCT#4</v>
      </c>
      <c r="H1419">
        <v>150.44999999999999</v>
      </c>
      <c r="I1419" t="str">
        <f>"ACCT#38049/PCT#4"</f>
        <v>ACCT#38049/PCT#4</v>
      </c>
    </row>
    <row r="1420" spans="1:9" x14ac:dyDescent="0.3">
      <c r="A1420" t="str">
        <f>"001894"</f>
        <v>001894</v>
      </c>
      <c r="B1420" t="s">
        <v>397</v>
      </c>
      <c r="C1420">
        <v>77390</v>
      </c>
      <c r="D1420" s="2">
        <v>29.52</v>
      </c>
      <c r="E1420" s="1">
        <v>43276</v>
      </c>
      <c r="F1420" t="str">
        <f>"10040432"</f>
        <v>10040432</v>
      </c>
      <c r="G1420" t="str">
        <f>"ACCT#38049/PARTS/PCT#4"</f>
        <v>ACCT#38049/PARTS/PCT#4</v>
      </c>
      <c r="H1420">
        <v>29.52</v>
      </c>
      <c r="I1420" t="str">
        <f>"ACCT#38049/PARTS/PCT#4"</f>
        <v>ACCT#38049/PARTS/PCT#4</v>
      </c>
    </row>
    <row r="1421" spans="1:9" x14ac:dyDescent="0.3">
      <c r="A1421" t="str">
        <f>"002888"</f>
        <v>002888</v>
      </c>
      <c r="B1421" t="s">
        <v>398</v>
      </c>
      <c r="C1421">
        <v>77391</v>
      </c>
      <c r="D1421" s="2">
        <v>225</v>
      </c>
      <c r="E1421" s="1">
        <v>43276</v>
      </c>
      <c r="F1421" t="str">
        <f>"201806181636"</f>
        <v>201806181636</v>
      </c>
      <c r="G1421" t="str">
        <f>"DEVELOPMENT PERMIT REFUND"</f>
        <v>DEVELOPMENT PERMIT REFUND</v>
      </c>
      <c r="H1421">
        <v>225</v>
      </c>
      <c r="I1421" t="str">
        <f>"DEVELOPMENT PERMIT REFUND"</f>
        <v>DEVELOPMENT PERMIT REFUND</v>
      </c>
    </row>
    <row r="1422" spans="1:9" x14ac:dyDescent="0.3">
      <c r="A1422" t="str">
        <f>"T5739"</f>
        <v>T5739</v>
      </c>
      <c r="B1422" t="s">
        <v>399</v>
      </c>
      <c r="C1422">
        <v>77392</v>
      </c>
      <c r="D1422" s="2">
        <v>2008.65</v>
      </c>
      <c r="E1422" s="1">
        <v>43276</v>
      </c>
      <c r="F1422" t="str">
        <f>"62659263-00"</f>
        <v>62659263-00</v>
      </c>
      <c r="G1422" t="str">
        <f>"CUST#706810/GENERAL SERVICES"</f>
        <v>CUST#706810/GENERAL SERVICES</v>
      </c>
      <c r="H1422">
        <v>684.35</v>
      </c>
      <c r="I1422" t="str">
        <f>"CUST#706810/GENERAL SERVICES"</f>
        <v>CUST#706810/GENERAL SERVICES</v>
      </c>
    </row>
    <row r="1423" spans="1:9" x14ac:dyDescent="0.3">
      <c r="A1423" t="str">
        <f>""</f>
        <v/>
      </c>
      <c r="F1423" t="str">
        <f>"6270088/62618079"</f>
        <v>6270088/62618079</v>
      </c>
      <c r="G1423" t="str">
        <f>"INV 6270088-00"</f>
        <v>INV 6270088-00</v>
      </c>
      <c r="H1423">
        <v>1324.3</v>
      </c>
      <c r="I1423" t="str">
        <f>"INV 6270088-00"</f>
        <v>INV 6270088-00</v>
      </c>
    </row>
    <row r="1424" spans="1:9" x14ac:dyDescent="0.3">
      <c r="A1424" t="str">
        <f>""</f>
        <v/>
      </c>
      <c r="F1424" t="str">
        <f>""</f>
        <v/>
      </c>
      <c r="G1424" t="str">
        <f>""</f>
        <v/>
      </c>
      <c r="I1424" t="str">
        <f>"INV 62618079-00"</f>
        <v>INV 62618079-00</v>
      </c>
    </row>
    <row r="1425" spans="1:10" x14ac:dyDescent="0.3">
      <c r="A1425" t="str">
        <f>"000775"</f>
        <v>000775</v>
      </c>
      <c r="B1425" t="s">
        <v>400</v>
      </c>
      <c r="C1425">
        <v>77197</v>
      </c>
      <c r="D1425" s="2">
        <v>209.22</v>
      </c>
      <c r="E1425" s="1">
        <v>43262</v>
      </c>
      <c r="F1425" t="str">
        <f>"000018VW63208"</f>
        <v>000018VW63208</v>
      </c>
      <c r="G1425" t="str">
        <f>"SHIPPER#18VW63/SHIPPING"</f>
        <v>SHIPPER#18VW63/SHIPPING</v>
      </c>
      <c r="H1425">
        <v>14.12</v>
      </c>
      <c r="I1425" t="str">
        <f>"SHIPPER#18VW63/SHIPPING"</f>
        <v>SHIPPER#18VW63/SHIPPING</v>
      </c>
    </row>
    <row r="1426" spans="1:10" x14ac:dyDescent="0.3">
      <c r="A1426" t="str">
        <f>""</f>
        <v/>
      </c>
      <c r="F1426" t="str">
        <f>"000018VW63218"</f>
        <v>000018VW63218</v>
      </c>
      <c r="G1426" t="str">
        <f>"INV 000018VW63218"</f>
        <v>INV 000018VW63218</v>
      </c>
      <c r="H1426">
        <v>195.1</v>
      </c>
      <c r="I1426" t="str">
        <f>"INV 000018VW63218"</f>
        <v>INV 000018VW63218</v>
      </c>
    </row>
    <row r="1427" spans="1:10" x14ac:dyDescent="0.3">
      <c r="A1427" t="str">
        <f>"000775"</f>
        <v>000775</v>
      </c>
      <c r="B1427" t="s">
        <v>400</v>
      </c>
      <c r="C1427">
        <v>77393</v>
      </c>
      <c r="D1427" s="2">
        <v>16.66</v>
      </c>
      <c r="E1427" s="1">
        <v>43276</v>
      </c>
      <c r="F1427" t="str">
        <f>"000018VW63238"</f>
        <v>000018VW63238</v>
      </c>
      <c r="G1427" t="str">
        <f>"INV 000018VW63238"</f>
        <v>INV 000018VW63238</v>
      </c>
      <c r="H1427">
        <v>16.66</v>
      </c>
      <c r="I1427" t="str">
        <f>"INV 000018VW63238"</f>
        <v>INV 000018VW63238</v>
      </c>
    </row>
    <row r="1428" spans="1:10" x14ac:dyDescent="0.3">
      <c r="A1428" t="str">
        <f>"000184"</f>
        <v>000184</v>
      </c>
      <c r="B1428" t="s">
        <v>401</v>
      </c>
      <c r="C1428">
        <v>77198</v>
      </c>
      <c r="D1428" s="2">
        <v>594.96</v>
      </c>
      <c r="E1428" s="1">
        <v>43262</v>
      </c>
      <c r="F1428" t="str">
        <f>"0033233"</f>
        <v>0033233</v>
      </c>
      <c r="G1428" t="str">
        <f>"INV 0033233"</f>
        <v>INV 0033233</v>
      </c>
      <c r="H1428">
        <v>594.96</v>
      </c>
      <c r="I1428" t="str">
        <f>"INV 0033233"</f>
        <v>INV 0033233</v>
      </c>
    </row>
    <row r="1429" spans="1:10" x14ac:dyDescent="0.3">
      <c r="A1429" t="str">
        <f>"001445"</f>
        <v>001445</v>
      </c>
      <c r="B1429" t="s">
        <v>402</v>
      </c>
      <c r="C1429">
        <v>77394</v>
      </c>
      <c r="D1429" s="2">
        <v>172.02</v>
      </c>
      <c r="E1429" s="1">
        <v>43276</v>
      </c>
      <c r="F1429" t="str">
        <f>"2005747"</f>
        <v>2005747</v>
      </c>
      <c r="G1429" t="str">
        <f>"ACCT#17460002268 003/MAY 2018"</f>
        <v>ACCT#17460002268 003/MAY 2018</v>
      </c>
      <c r="H1429">
        <v>172.02</v>
      </c>
      <c r="I1429" t="str">
        <f>"ACCT#17460002268 003/MAY 2018"</f>
        <v>ACCT#17460002268 003/MAY 2018</v>
      </c>
    </row>
    <row r="1430" spans="1:10" x14ac:dyDescent="0.3">
      <c r="A1430" t="str">
        <f>"005528"</f>
        <v>005528</v>
      </c>
      <c r="B1430" t="s">
        <v>403</v>
      </c>
      <c r="C1430">
        <v>77199</v>
      </c>
      <c r="D1430" s="2">
        <v>54.41</v>
      </c>
      <c r="E1430" s="1">
        <v>43262</v>
      </c>
      <c r="F1430" t="str">
        <f>"201806061443"</f>
        <v>201806061443</v>
      </c>
      <c r="G1430" t="str">
        <f>"INDIGENT HEALTH"</f>
        <v>INDIGENT HEALTH</v>
      </c>
      <c r="H1430">
        <v>54.41</v>
      </c>
      <c r="I1430" t="str">
        <f>"INDIGENT HEALTH"</f>
        <v>INDIGENT HEALTH</v>
      </c>
    </row>
    <row r="1431" spans="1:10" x14ac:dyDescent="0.3">
      <c r="A1431" t="str">
        <f>"VMC"</f>
        <v>VMC</v>
      </c>
      <c r="B1431" t="s">
        <v>404</v>
      </c>
      <c r="C1431">
        <v>77200</v>
      </c>
      <c r="D1431" s="2">
        <v>3693</v>
      </c>
      <c r="E1431" s="1">
        <v>43262</v>
      </c>
      <c r="F1431" t="str">
        <f>"61739898"</f>
        <v>61739898</v>
      </c>
      <c r="G1431" t="str">
        <f>"CUST#90285-209209/ORD#7671/P1"</f>
        <v>CUST#90285-209209/ORD#7671/P1</v>
      </c>
      <c r="H1431">
        <v>3693</v>
      </c>
      <c r="I1431" t="str">
        <f>"CUST#90285-209209/ORD#7671/P1"</f>
        <v>CUST#90285-209209/ORD#7671/P1</v>
      </c>
    </row>
    <row r="1432" spans="1:10" x14ac:dyDescent="0.3">
      <c r="A1432" t="str">
        <f>"VI"</f>
        <v>VI</v>
      </c>
      <c r="B1432" t="s">
        <v>405</v>
      </c>
      <c r="C1432">
        <v>999999</v>
      </c>
      <c r="D1432" s="2">
        <v>280</v>
      </c>
      <c r="E1432" s="1">
        <v>43277</v>
      </c>
      <c r="F1432" t="str">
        <f>"325857"</f>
        <v>325857</v>
      </c>
      <c r="G1432" t="str">
        <f>"12 X18  Reflective White"</f>
        <v>12 X18  Reflective White</v>
      </c>
      <c r="H1432">
        <v>280</v>
      </c>
      <c r="I1432" t="str">
        <f>"12 18  Reflective White"</f>
        <v>12 18  Reflective White</v>
      </c>
    </row>
    <row r="1433" spans="1:10" x14ac:dyDescent="0.3">
      <c r="A1433" t="str">
        <f>"004767"</f>
        <v>004767</v>
      </c>
      <c r="B1433" t="s">
        <v>406</v>
      </c>
      <c r="C1433">
        <v>77395</v>
      </c>
      <c r="D1433" s="2">
        <v>101.15</v>
      </c>
      <c r="E1433" s="1">
        <v>43276</v>
      </c>
      <c r="F1433" t="str">
        <f>"0518-DR14926"</f>
        <v>0518-DR14926</v>
      </c>
      <c r="G1433" t="str">
        <f>"CLIENT ID:CXD 14926/COBRA/DIRE"</f>
        <v>CLIENT ID:CXD 14926/COBRA/DIRE</v>
      </c>
      <c r="H1433">
        <v>101.15</v>
      </c>
      <c r="I1433" t="str">
        <f>"CLIENT ID:CXD 14926/COBRA/DIRE"</f>
        <v>CLIENT ID:CXD 14926/COBRA/DIRE</v>
      </c>
    </row>
    <row r="1434" spans="1:10" x14ac:dyDescent="0.3">
      <c r="A1434" t="str">
        <f>"WMP"</f>
        <v>WMP</v>
      </c>
      <c r="B1434" t="s">
        <v>407</v>
      </c>
      <c r="C1434">
        <v>77396</v>
      </c>
      <c r="D1434" s="2">
        <v>20</v>
      </c>
      <c r="E1434" s="1">
        <v>43276</v>
      </c>
      <c r="F1434" t="s">
        <v>408</v>
      </c>
      <c r="G1434" t="s">
        <v>409</v>
      </c>
      <c r="H1434" t="str">
        <f>"RESTITUTION-Q. VILLEGAS"</f>
        <v>RESTITUTION-Q. VILLEGAS</v>
      </c>
      <c r="I1434" t="str">
        <f>"210-0000"</f>
        <v>210-0000</v>
      </c>
      <c r="J1434" t="str">
        <f>""</f>
        <v/>
      </c>
    </row>
    <row r="1435" spans="1:10" x14ac:dyDescent="0.3">
      <c r="A1435" t="str">
        <f>"003629"</f>
        <v>003629</v>
      </c>
      <c r="B1435" t="s">
        <v>410</v>
      </c>
      <c r="C1435">
        <v>999999</v>
      </c>
      <c r="D1435" s="2">
        <v>5304.4</v>
      </c>
      <c r="E1435" s="1">
        <v>43263</v>
      </c>
      <c r="F1435" t="str">
        <f>"14097"</f>
        <v>14097</v>
      </c>
      <c r="G1435" t="str">
        <f>"COLD MIX/FREIGHT/PCT#3"</f>
        <v>COLD MIX/FREIGHT/PCT#3</v>
      </c>
      <c r="H1435">
        <v>2711.15</v>
      </c>
      <c r="I1435" t="str">
        <f>"COLD MIX/FREIGHT/PCT#3"</f>
        <v>COLD MIX/FREIGHT/PCT#3</v>
      </c>
    </row>
    <row r="1436" spans="1:10" x14ac:dyDescent="0.3">
      <c r="A1436" t="str">
        <f>""</f>
        <v/>
      </c>
      <c r="F1436" t="str">
        <f>"14113"</f>
        <v>14113</v>
      </c>
      <c r="G1436" t="str">
        <f>"COLD MIX/FREIGHT/PCT#4"</f>
        <v>COLD MIX/FREIGHT/PCT#4</v>
      </c>
      <c r="H1436">
        <v>2593.25</v>
      </c>
      <c r="I1436" t="str">
        <f>"COLD MIX/FREIGHT/PCT#4"</f>
        <v>COLD MIX/FREIGHT/PCT#4</v>
      </c>
    </row>
    <row r="1437" spans="1:10" x14ac:dyDescent="0.3">
      <c r="A1437" t="str">
        <f>"WALMAR"</f>
        <v>WALMAR</v>
      </c>
      <c r="B1437" t="s">
        <v>411</v>
      </c>
      <c r="C1437">
        <v>77201</v>
      </c>
      <c r="D1437" s="2">
        <v>1001.13</v>
      </c>
      <c r="E1437" s="1">
        <v>43262</v>
      </c>
      <c r="F1437" t="str">
        <f>"ACCOUNT#6032202005"</f>
        <v>ACCOUNT#6032202005</v>
      </c>
      <c r="G1437" t="str">
        <f>"Acct# 6032202005312476"</f>
        <v>Acct# 6032202005312476</v>
      </c>
      <c r="H1437">
        <v>1001.13</v>
      </c>
      <c r="I1437" t="str">
        <f>"Inv# 006533"</f>
        <v>Inv# 006533</v>
      </c>
    </row>
    <row r="1438" spans="1:10" x14ac:dyDescent="0.3">
      <c r="A1438" t="str">
        <f>""</f>
        <v/>
      </c>
      <c r="F1438" t="str">
        <f>""</f>
        <v/>
      </c>
      <c r="G1438" t="str">
        <f>""</f>
        <v/>
      </c>
      <c r="I1438" t="str">
        <f>"Inv# 005356"</f>
        <v>Inv# 005356</v>
      </c>
    </row>
    <row r="1439" spans="1:10" x14ac:dyDescent="0.3">
      <c r="A1439" t="str">
        <f>""</f>
        <v/>
      </c>
      <c r="F1439" t="str">
        <f>""</f>
        <v/>
      </c>
      <c r="G1439" t="str">
        <f>""</f>
        <v/>
      </c>
      <c r="I1439" t="str">
        <f>"Inv# 007077"</f>
        <v>Inv# 007077</v>
      </c>
    </row>
    <row r="1440" spans="1:10" x14ac:dyDescent="0.3">
      <c r="A1440" t="str">
        <f>""</f>
        <v/>
      </c>
      <c r="F1440" t="str">
        <f>""</f>
        <v/>
      </c>
      <c r="G1440" t="str">
        <f>""</f>
        <v/>
      </c>
      <c r="I1440" t="str">
        <f>"Inv# 000122"</f>
        <v>Inv# 000122</v>
      </c>
    </row>
    <row r="1441" spans="1:10" x14ac:dyDescent="0.3">
      <c r="A1441" t="str">
        <f>""</f>
        <v/>
      </c>
      <c r="F1441" t="str">
        <f>""</f>
        <v/>
      </c>
      <c r="G1441" t="str">
        <f>""</f>
        <v/>
      </c>
      <c r="I1441" t="str">
        <f>"Inv# 001619"</f>
        <v>Inv# 001619</v>
      </c>
    </row>
    <row r="1442" spans="1:10" x14ac:dyDescent="0.3">
      <c r="A1442" t="str">
        <f>""</f>
        <v/>
      </c>
      <c r="F1442" t="str">
        <f>""</f>
        <v/>
      </c>
      <c r="G1442" t="str">
        <f>""</f>
        <v/>
      </c>
      <c r="I1442" t="str">
        <f>"Inv# 004754"</f>
        <v>Inv# 004754</v>
      </c>
    </row>
    <row r="1443" spans="1:10" x14ac:dyDescent="0.3">
      <c r="A1443" t="str">
        <f>""</f>
        <v/>
      </c>
      <c r="F1443" t="str">
        <f>""</f>
        <v/>
      </c>
      <c r="G1443" t="str">
        <f>""</f>
        <v/>
      </c>
      <c r="I1443" t="str">
        <f>"Inv# 008410"</f>
        <v>Inv# 008410</v>
      </c>
    </row>
    <row r="1444" spans="1:10" x14ac:dyDescent="0.3">
      <c r="A1444" t="str">
        <f>""</f>
        <v/>
      </c>
      <c r="F1444" t="str">
        <f>""</f>
        <v/>
      </c>
      <c r="G1444" t="str">
        <f>""</f>
        <v/>
      </c>
      <c r="I1444" t="str">
        <f>"Inv# 009233"</f>
        <v>Inv# 009233</v>
      </c>
    </row>
    <row r="1445" spans="1:10" x14ac:dyDescent="0.3">
      <c r="A1445" t="str">
        <f>""</f>
        <v/>
      </c>
      <c r="F1445" t="str">
        <f>""</f>
        <v/>
      </c>
      <c r="G1445" t="str">
        <f>""</f>
        <v/>
      </c>
      <c r="I1445" t="str">
        <f>"Inv# 001543"</f>
        <v>Inv# 001543</v>
      </c>
    </row>
    <row r="1446" spans="1:10" x14ac:dyDescent="0.3">
      <c r="A1446" t="str">
        <f>""</f>
        <v/>
      </c>
      <c r="F1446" t="str">
        <f>""</f>
        <v/>
      </c>
      <c r="G1446" t="str">
        <f>""</f>
        <v/>
      </c>
      <c r="I1446" t="str">
        <f>"Inv# 001876"</f>
        <v>Inv# 001876</v>
      </c>
    </row>
    <row r="1447" spans="1:10" x14ac:dyDescent="0.3">
      <c r="A1447" t="str">
        <f>""</f>
        <v/>
      </c>
      <c r="F1447" t="str">
        <f>""</f>
        <v/>
      </c>
      <c r="G1447" t="str">
        <f>""</f>
        <v/>
      </c>
      <c r="I1447" t="str">
        <f>"Inv# 001932"</f>
        <v>Inv# 001932</v>
      </c>
    </row>
    <row r="1448" spans="1:10" x14ac:dyDescent="0.3">
      <c r="A1448" t="str">
        <f>""</f>
        <v/>
      </c>
      <c r="F1448" t="str">
        <f>""</f>
        <v/>
      </c>
      <c r="G1448" t="str">
        <f>""</f>
        <v/>
      </c>
      <c r="I1448" t="str">
        <f>"Inv# 005990"</f>
        <v>Inv# 005990</v>
      </c>
    </row>
    <row r="1449" spans="1:10" x14ac:dyDescent="0.3">
      <c r="A1449" t="str">
        <f>""</f>
        <v/>
      </c>
      <c r="F1449" t="str">
        <f>""</f>
        <v/>
      </c>
      <c r="G1449" t="str">
        <f>""</f>
        <v/>
      </c>
      <c r="I1449" t="str">
        <f>"Inv# 005825"</f>
        <v>Inv# 005825</v>
      </c>
    </row>
    <row r="1450" spans="1:10" x14ac:dyDescent="0.3">
      <c r="A1450" t="str">
        <f>"T5926"</f>
        <v>T5926</v>
      </c>
      <c r="B1450" t="s">
        <v>412</v>
      </c>
      <c r="C1450">
        <v>999999</v>
      </c>
      <c r="D1450" s="2">
        <v>544.20000000000005</v>
      </c>
      <c r="E1450" s="1">
        <v>43263</v>
      </c>
      <c r="F1450" t="str">
        <f>"SCAUS0055698"</f>
        <v>SCAUS0055698</v>
      </c>
      <c r="G1450" t="str">
        <f>"CUST:BASPR3/SVC CALL:000020683"</f>
        <v>CUST:BASPR3/SVC CALL:000020683</v>
      </c>
      <c r="H1450">
        <v>544.20000000000005</v>
      </c>
      <c r="I1450" t="str">
        <f>"CUST:BASPR3/SVC CALL:000020683"</f>
        <v>CUST:BASPR3/SVC CALL:000020683</v>
      </c>
    </row>
    <row r="1451" spans="1:10" x14ac:dyDescent="0.3">
      <c r="A1451" t="str">
        <f>"004310"</f>
        <v>004310</v>
      </c>
      <c r="B1451" t="s">
        <v>413</v>
      </c>
      <c r="C1451">
        <v>77397</v>
      </c>
      <c r="D1451" s="2">
        <v>325.67</v>
      </c>
      <c r="E1451" s="1">
        <v>43276</v>
      </c>
      <c r="F1451" t="str">
        <f>"0036467-2162-5"</f>
        <v>0036467-2162-5</v>
      </c>
      <c r="G1451" t="str">
        <f>"CUST#16-27603-83003/ANIMAL CON"</f>
        <v>CUST#16-27603-83003/ANIMAL CON</v>
      </c>
      <c r="H1451">
        <v>325.67</v>
      </c>
      <c r="I1451" t="str">
        <f>"CUST#16-27603-83003/ANIMAL CON"</f>
        <v>CUST#16-27603-83003/ANIMAL CON</v>
      </c>
    </row>
    <row r="1452" spans="1:10" x14ac:dyDescent="0.3">
      <c r="A1452" t="str">
        <f>"002386"</f>
        <v>002386</v>
      </c>
      <c r="B1452" t="s">
        <v>414</v>
      </c>
      <c r="C1452">
        <v>77398</v>
      </c>
      <c r="D1452" s="2">
        <v>20</v>
      </c>
      <c r="E1452" s="1">
        <v>43276</v>
      </c>
      <c r="F1452" t="s">
        <v>111</v>
      </c>
      <c r="G1452" t="s">
        <v>415</v>
      </c>
      <c r="H1452" t="str">
        <f>"RESTITUTION-W. BRUNT III"</f>
        <v>RESTITUTION-W. BRUNT III</v>
      </c>
      <c r="I1452" t="str">
        <f>"210-0000"</f>
        <v>210-0000</v>
      </c>
      <c r="J1452" t="str">
        <f>""</f>
        <v/>
      </c>
    </row>
    <row r="1453" spans="1:10" x14ac:dyDescent="0.3">
      <c r="A1453" t="str">
        <f>"000660"</f>
        <v>000660</v>
      </c>
      <c r="B1453" t="s">
        <v>416</v>
      </c>
      <c r="C1453">
        <v>77399</v>
      </c>
      <c r="D1453" s="2">
        <v>105</v>
      </c>
      <c r="E1453" s="1">
        <v>43276</v>
      </c>
      <c r="F1453" t="str">
        <f>"201806151631"</f>
        <v>201806151631</v>
      </c>
      <c r="G1453" t="str">
        <f>"PER DIEM"</f>
        <v>PER DIEM</v>
      </c>
      <c r="H1453">
        <v>105</v>
      </c>
      <c r="I1453" t="str">
        <f>"PER DIEM"</f>
        <v>PER DIEM</v>
      </c>
    </row>
    <row r="1454" spans="1:10" x14ac:dyDescent="0.3">
      <c r="A1454" t="str">
        <f>"004877"</f>
        <v>004877</v>
      </c>
      <c r="B1454" t="s">
        <v>417</v>
      </c>
      <c r="C1454">
        <v>77228</v>
      </c>
      <c r="D1454" s="2">
        <v>18552.560000000001</v>
      </c>
      <c r="E1454" s="1">
        <v>43265</v>
      </c>
      <c r="F1454" t="str">
        <f>"1701960155"</f>
        <v>1701960155</v>
      </c>
      <c r="G1454" t="str">
        <f>"ACCT#5151-005117630 / 053118"</f>
        <v>ACCT#5151-005117630 / 053118</v>
      </c>
      <c r="H1454">
        <v>238.37</v>
      </c>
      <c r="I1454" t="str">
        <f>"ACCT#5151-005117630 / 053118"</f>
        <v>ACCT#5151-005117630 / 053118</v>
      </c>
    </row>
    <row r="1455" spans="1:10" x14ac:dyDescent="0.3">
      <c r="A1455" t="str">
        <f>""</f>
        <v/>
      </c>
      <c r="F1455" t="str">
        <f>"1701960156"</f>
        <v>1701960156</v>
      </c>
      <c r="G1455" t="str">
        <f>"ACCT#5151-005117766 / 053118"</f>
        <v>ACCT#5151-005117766 / 053118</v>
      </c>
      <c r="H1455">
        <v>104.64</v>
      </c>
      <c r="I1455" t="str">
        <f>"ACCT#5151-005117766 / 053118"</f>
        <v>ACCT#5151-005117766 / 053118</v>
      </c>
    </row>
    <row r="1456" spans="1:10" x14ac:dyDescent="0.3">
      <c r="A1456" t="str">
        <f>""</f>
        <v/>
      </c>
      <c r="F1456" t="str">
        <f>"1701960157"</f>
        <v>1701960157</v>
      </c>
      <c r="G1456" t="str">
        <f>"ACCT#5151-005117838 / 053118"</f>
        <v>ACCT#5151-005117838 / 053118</v>
      </c>
      <c r="H1456">
        <v>96.85</v>
      </c>
      <c r="I1456" t="str">
        <f>"ACCT#5151-005117838 / 053118"</f>
        <v>ACCT#5151-005117838 / 053118</v>
      </c>
    </row>
    <row r="1457" spans="1:9" x14ac:dyDescent="0.3">
      <c r="A1457" t="str">
        <f>""</f>
        <v/>
      </c>
      <c r="F1457" t="str">
        <f>"1701960159"</f>
        <v>1701960159</v>
      </c>
      <c r="G1457" t="str">
        <f>"ACCT#5151-005117882 / 053118"</f>
        <v>ACCT#5151-005117882 / 053118</v>
      </c>
      <c r="H1457">
        <v>130.78</v>
      </c>
      <c r="I1457" t="str">
        <f>"ACCT#5151-005117882 / 053118"</f>
        <v>ACCT#5151-005117882 / 053118</v>
      </c>
    </row>
    <row r="1458" spans="1:9" x14ac:dyDescent="0.3">
      <c r="A1458" t="str">
        <f>""</f>
        <v/>
      </c>
      <c r="F1458" t="str">
        <f>"1701960161"</f>
        <v>1701960161</v>
      </c>
      <c r="G1458" t="str">
        <f>"ACCT #5151-005118183 / 053118"</f>
        <v>ACCT #5151-005118183 / 053118</v>
      </c>
      <c r="H1458">
        <v>561.41999999999996</v>
      </c>
      <c r="I1458" t="str">
        <f>"ACCT #5151-005118183 / 053118"</f>
        <v>ACCT #5151-005118183 / 053118</v>
      </c>
    </row>
    <row r="1459" spans="1:9" x14ac:dyDescent="0.3">
      <c r="A1459" t="str">
        <f>""</f>
        <v/>
      </c>
      <c r="F1459" t="str">
        <f>"1701960173"</f>
        <v>1701960173</v>
      </c>
      <c r="G1459" t="str">
        <f>"ACCT# 5150-005129483 / 053118"</f>
        <v>ACCT# 5150-005129483 / 053118</v>
      </c>
      <c r="H1459">
        <v>17420.5</v>
      </c>
      <c r="I1459" t="str">
        <f>"ACCT# 5150-005129483 / 053118"</f>
        <v>ACCT# 5150-005129483 / 053118</v>
      </c>
    </row>
    <row r="1460" spans="1:9" x14ac:dyDescent="0.3">
      <c r="A1460" t="str">
        <f>"004874"</f>
        <v>004874</v>
      </c>
      <c r="B1460" t="s">
        <v>418</v>
      </c>
      <c r="C1460">
        <v>77400</v>
      </c>
      <c r="D1460" s="2">
        <v>144</v>
      </c>
      <c r="E1460" s="1">
        <v>43276</v>
      </c>
      <c r="F1460" t="str">
        <f>"2683"</f>
        <v>2683</v>
      </c>
      <c r="G1460" t="str">
        <f>"EMBROIDERY CHARGES/ELECTIONS"</f>
        <v>EMBROIDERY CHARGES/ELECTIONS</v>
      </c>
      <c r="H1460">
        <v>144</v>
      </c>
      <c r="I1460" t="str">
        <f>"EMBROIDERY CHARGES/ELECTIONS"</f>
        <v>EMBROIDERY CHARGES/ELECTIONS</v>
      </c>
    </row>
    <row r="1461" spans="1:9" x14ac:dyDescent="0.3">
      <c r="A1461" t="str">
        <f>"003479"</f>
        <v>003479</v>
      </c>
      <c r="B1461" t="s">
        <v>419</v>
      </c>
      <c r="C1461">
        <v>999999</v>
      </c>
      <c r="D1461" s="2">
        <v>334.72</v>
      </c>
      <c r="E1461" s="1">
        <v>43277</v>
      </c>
      <c r="F1461" t="str">
        <f>"268879 06/01/18"</f>
        <v>268879 06/01/18</v>
      </c>
      <c r="G1461" t="str">
        <f>"ACCT#30821"</f>
        <v>ACCT#30821</v>
      </c>
      <c r="H1461">
        <v>334.72</v>
      </c>
      <c r="I1461" t="str">
        <f>"ACCT#30821"</f>
        <v>ACCT#30821</v>
      </c>
    </row>
    <row r="1462" spans="1:9" x14ac:dyDescent="0.3">
      <c r="A1462" t="str">
        <f>"005585"</f>
        <v>005585</v>
      </c>
      <c r="B1462" t="s">
        <v>420</v>
      </c>
      <c r="C1462">
        <v>77401</v>
      </c>
      <c r="D1462" s="2">
        <v>95.94</v>
      </c>
      <c r="E1462" s="1">
        <v>43276</v>
      </c>
      <c r="F1462" t="str">
        <f>"REIMBURSEMENT"</f>
        <v>REIMBURSEMENT</v>
      </c>
      <c r="G1462" t="str">
        <f>"WEI-ANN LIN (REIMBURSEMENTS ON"</f>
        <v>WEI-ANN LIN (REIMBURSEMENTS ON</v>
      </c>
      <c r="H1462">
        <v>95.94</v>
      </c>
      <c r="I1462" t="str">
        <f>""</f>
        <v/>
      </c>
    </row>
    <row r="1463" spans="1:9" x14ac:dyDescent="0.3">
      <c r="A1463" t="str">
        <f>"LIN"</f>
        <v>LIN</v>
      </c>
      <c r="B1463" t="s">
        <v>421</v>
      </c>
      <c r="C1463">
        <v>999999</v>
      </c>
      <c r="D1463" s="2">
        <v>12500</v>
      </c>
      <c r="E1463" s="1">
        <v>43277</v>
      </c>
      <c r="F1463" t="str">
        <f>"201806191644"</f>
        <v>201806191644</v>
      </c>
      <c r="G1463" t="str">
        <f>"MEDICAL CONTRACT"</f>
        <v>MEDICAL CONTRACT</v>
      </c>
      <c r="H1463">
        <v>12500</v>
      </c>
      <c r="I1463" t="str">
        <f>"MEDICAL CONTRACT"</f>
        <v>MEDICAL CONTRACT</v>
      </c>
    </row>
    <row r="1464" spans="1:9" x14ac:dyDescent="0.3">
      <c r="A1464" t="str">
        <f>"WPC"</f>
        <v>WPC</v>
      </c>
      <c r="B1464" t="s">
        <v>422</v>
      </c>
      <c r="C1464">
        <v>77402</v>
      </c>
      <c r="D1464" s="2">
        <v>1370</v>
      </c>
      <c r="E1464" s="1">
        <v>43276</v>
      </c>
      <c r="F1464" t="str">
        <f>"838280278"</f>
        <v>838280278</v>
      </c>
      <c r="G1464" t="str">
        <f>"ACCT#1000648597/WEST INFO CHGS"</f>
        <v>ACCT#1000648597/WEST INFO CHGS</v>
      </c>
      <c r="H1464">
        <v>520</v>
      </c>
      <c r="I1464" t="str">
        <f>"ACCT#1000648597/WEST INFO CHGS"</f>
        <v>ACCT#1000648597/WEST INFO CHGS</v>
      </c>
    </row>
    <row r="1465" spans="1:9" x14ac:dyDescent="0.3">
      <c r="A1465" t="str">
        <f>""</f>
        <v/>
      </c>
      <c r="F1465" t="str">
        <f>"838292185"</f>
        <v>838292185</v>
      </c>
      <c r="G1465" t="str">
        <f>"ACCT#1005022937/WEST INFO CHGS"</f>
        <v>ACCT#1005022937/WEST INFO CHGS</v>
      </c>
      <c r="H1465">
        <v>850</v>
      </c>
      <c r="I1465" t="str">
        <f>"ACCT#1005022937/WEST INFO CHGS"</f>
        <v>ACCT#1005022937/WEST INFO CHGS</v>
      </c>
    </row>
    <row r="1466" spans="1:9" x14ac:dyDescent="0.3">
      <c r="A1466" t="str">
        <f>"004074"</f>
        <v>004074</v>
      </c>
      <c r="B1466" t="s">
        <v>423</v>
      </c>
      <c r="C1466">
        <v>999999</v>
      </c>
      <c r="D1466" s="2">
        <v>11051.27</v>
      </c>
      <c r="E1466" s="1">
        <v>43277</v>
      </c>
      <c r="F1466" t="str">
        <f>"20377"</f>
        <v>20377</v>
      </c>
      <c r="G1466" t="str">
        <f>"INV 20377"</f>
        <v>INV 20377</v>
      </c>
      <c r="H1466">
        <v>11051.27</v>
      </c>
      <c r="I1466" t="str">
        <f>"INV 20377"</f>
        <v>INV 20377</v>
      </c>
    </row>
    <row r="1467" spans="1:9" x14ac:dyDescent="0.3">
      <c r="A1467" t="str">
        <f>"002351"</f>
        <v>002351</v>
      </c>
      <c r="B1467" t="s">
        <v>424</v>
      </c>
      <c r="C1467">
        <v>77202</v>
      </c>
      <c r="D1467" s="2">
        <v>280</v>
      </c>
      <c r="E1467" s="1">
        <v>43262</v>
      </c>
      <c r="F1467" t="str">
        <f>"12841"</f>
        <v>12841</v>
      </c>
      <c r="G1467" t="str">
        <f>"ABST FEE  04/19/18"</f>
        <v>ABST FEE  04/19/18</v>
      </c>
      <c r="H1467">
        <v>280</v>
      </c>
      <c r="I1467" t="str">
        <f>"ABST FEE  04/19/18"</f>
        <v>ABST FEE  04/19/18</v>
      </c>
    </row>
    <row r="1468" spans="1:9" x14ac:dyDescent="0.3">
      <c r="A1468" t="str">
        <f>"002552"</f>
        <v>002552</v>
      </c>
      <c r="B1468" t="s">
        <v>425</v>
      </c>
      <c r="C1468">
        <v>77403</v>
      </c>
      <c r="D1468" s="2">
        <v>70</v>
      </c>
      <c r="E1468" s="1">
        <v>43276</v>
      </c>
      <c r="F1468" t="str">
        <f>"12813"</f>
        <v>12813</v>
      </c>
      <c r="G1468" t="str">
        <f>"SERVICE  04/27/18"</f>
        <v>SERVICE  04/27/18</v>
      </c>
      <c r="H1468">
        <v>70</v>
      </c>
      <c r="I1468" t="str">
        <f>"SERVICE  04/27/18"</f>
        <v>SERVICE  04/27/18</v>
      </c>
    </row>
    <row r="1469" spans="1:9" x14ac:dyDescent="0.3">
      <c r="A1469" t="str">
        <f>"004240"</f>
        <v>004240</v>
      </c>
      <c r="B1469" t="s">
        <v>426</v>
      </c>
      <c r="C1469">
        <v>77404</v>
      </c>
      <c r="D1469" s="2">
        <v>89817.4</v>
      </c>
      <c r="E1469" s="1">
        <v>43276</v>
      </c>
      <c r="F1469" t="str">
        <f>"1323"</f>
        <v>1323</v>
      </c>
      <c r="G1469" t="str">
        <f>"CONCRETE/STEEL CUTS"</f>
        <v>CONCRETE/STEEL CUTS</v>
      </c>
      <c r="H1469">
        <v>4150</v>
      </c>
      <c r="I1469" t="str">
        <f>"CONCRETE/STEEL CUTS"</f>
        <v>CONCRETE/STEEL CUTS</v>
      </c>
    </row>
    <row r="1470" spans="1:9" x14ac:dyDescent="0.3">
      <c r="A1470" t="str">
        <f>""</f>
        <v/>
      </c>
      <c r="F1470" t="str">
        <f>"1324"</f>
        <v>1324</v>
      </c>
      <c r="G1470" t="str">
        <f>"CONCRETE/STEEL CUTS"</f>
        <v>CONCRETE/STEEL CUTS</v>
      </c>
      <c r="H1470">
        <v>4830</v>
      </c>
      <c r="I1470" t="str">
        <f>"CONCRETE/STEEL CUTS"</f>
        <v>CONCRETE/STEEL CUTS</v>
      </c>
    </row>
    <row r="1471" spans="1:9" x14ac:dyDescent="0.3">
      <c r="A1471" t="str">
        <f>""</f>
        <v/>
      </c>
      <c r="F1471" t="str">
        <f>"1327"</f>
        <v>1327</v>
      </c>
      <c r="G1471" t="str">
        <f>"BOX CULVERT-PINE CANYON DR"</f>
        <v>BOX CULVERT-PINE CANYON DR</v>
      </c>
      <c r="H1471">
        <v>75000</v>
      </c>
      <c r="I1471" t="str">
        <f>"BOX CULVERT-PINE CANYON DR"</f>
        <v>BOX CULVERT-PINE CANYON DR</v>
      </c>
    </row>
    <row r="1472" spans="1:9" x14ac:dyDescent="0.3">
      <c r="A1472" t="str">
        <f>""</f>
        <v/>
      </c>
      <c r="F1472" t="str">
        <f>"1328"</f>
        <v>1328</v>
      </c>
      <c r="G1472" t="str">
        <f>"CHANGE ORD-PINE CANYON DR"</f>
        <v>CHANGE ORD-PINE CANYON DR</v>
      </c>
      <c r="H1472">
        <v>5837.4</v>
      </c>
      <c r="I1472" t="str">
        <f>"CHANGE ORD-PINE CANYON DR"</f>
        <v>CHANGE ORD-PINE CANYON DR</v>
      </c>
    </row>
    <row r="1473" spans="1:9" x14ac:dyDescent="0.3">
      <c r="A1473" t="str">
        <f>"XEROXC"</f>
        <v>XEROXC</v>
      </c>
      <c r="B1473" t="s">
        <v>427</v>
      </c>
      <c r="C1473">
        <v>77405</v>
      </c>
      <c r="D1473" s="2">
        <v>336.51</v>
      </c>
      <c r="E1473" s="1">
        <v>43276</v>
      </c>
      <c r="F1473" t="str">
        <f>"093494172"</f>
        <v>093494172</v>
      </c>
      <c r="G1473" t="str">
        <f>"CUST#662445931/REF#VTX00000X-0"</f>
        <v>CUST#662445931/REF#VTX00000X-0</v>
      </c>
      <c r="H1473">
        <v>140.63999999999999</v>
      </c>
      <c r="I1473" t="str">
        <f>"CUST#662445931/REF#VTX00000X-0"</f>
        <v>CUST#662445931/REF#VTX00000X-0</v>
      </c>
    </row>
    <row r="1474" spans="1:9" x14ac:dyDescent="0.3">
      <c r="A1474" t="str">
        <f>""</f>
        <v/>
      </c>
      <c r="F1474" t="str">
        <f>"093494173"</f>
        <v>093494173</v>
      </c>
      <c r="G1474" t="str">
        <f>"CUST#662445931/REF#VTX00000X-0"</f>
        <v>CUST#662445931/REF#VTX00000X-0</v>
      </c>
      <c r="H1474">
        <v>131.21</v>
      </c>
      <c r="I1474" t="str">
        <f>"CUST#662445931/REF#VTX00000X-0"</f>
        <v>CUST#662445931/REF#VTX00000X-0</v>
      </c>
    </row>
    <row r="1475" spans="1:9" x14ac:dyDescent="0.3">
      <c r="A1475" t="str">
        <f>""</f>
        <v/>
      </c>
      <c r="F1475" t="str">
        <f>"093494174"</f>
        <v>093494174</v>
      </c>
      <c r="G1475" t="str">
        <f>"CUST#723230843/REF#VTX00000X-0"</f>
        <v>CUST#723230843/REF#VTX00000X-0</v>
      </c>
      <c r="H1475">
        <v>64.66</v>
      </c>
      <c r="I1475" t="str">
        <f>"CUST#723230843/REF#VTX00000X-0"</f>
        <v>CUST#723230843/REF#VTX00000X-0</v>
      </c>
    </row>
    <row r="1476" spans="1:9" x14ac:dyDescent="0.3">
      <c r="A1476" t="str">
        <f>"005598"</f>
        <v>005598</v>
      </c>
      <c r="B1476" t="s">
        <v>427</v>
      </c>
      <c r="C1476">
        <v>77406</v>
      </c>
      <c r="D1476" s="2">
        <v>201.64</v>
      </c>
      <c r="E1476" s="1">
        <v>43276</v>
      </c>
      <c r="F1476" t="str">
        <f>"1197132"</f>
        <v>1197132</v>
      </c>
      <c r="G1476" t="str">
        <f>"CONTRACT#010-0095885-001"</f>
        <v>CONTRACT#010-0095885-001</v>
      </c>
      <c r="H1476">
        <v>201.64</v>
      </c>
      <c r="I1476" t="str">
        <f>"CONTRACT#010-0095885-001"</f>
        <v>CONTRACT#010-0095885-001</v>
      </c>
    </row>
    <row r="1477" spans="1:9" x14ac:dyDescent="0.3">
      <c r="A1477" t="str">
        <f>"005129"</f>
        <v>005129</v>
      </c>
      <c r="B1477" t="s">
        <v>428</v>
      </c>
      <c r="C1477">
        <v>77416</v>
      </c>
      <c r="D1477" s="2">
        <v>2881.2</v>
      </c>
      <c r="E1477" s="1">
        <v>43276</v>
      </c>
      <c r="F1477" t="str">
        <f>"IN00017344"</f>
        <v>IN00017344</v>
      </c>
      <c r="G1477" t="str">
        <f>"Xmedius Renewal"</f>
        <v>Xmedius Renewal</v>
      </c>
      <c r="H1477">
        <v>2881.2</v>
      </c>
      <c r="I1477" t="str">
        <f>"SUP-REG-XM-ENT"</f>
        <v>SUP-REG-XM-ENT</v>
      </c>
    </row>
    <row r="1478" spans="1:9" x14ac:dyDescent="0.3">
      <c r="A1478" t="str">
        <f>"003152"</f>
        <v>003152</v>
      </c>
      <c r="B1478" t="s">
        <v>429</v>
      </c>
      <c r="C1478">
        <v>77203</v>
      </c>
      <c r="D1478" s="2">
        <v>175</v>
      </c>
      <c r="E1478" s="1">
        <v>43262</v>
      </c>
      <c r="F1478" t="str">
        <f>"PER DIEM"</f>
        <v>PER DIEM</v>
      </c>
      <c r="G1478" t="str">
        <f>"PER DIEM"</f>
        <v>PER DIEM</v>
      </c>
      <c r="H1478">
        <v>175</v>
      </c>
      <c r="I1478" t="str">
        <f>"PER DIEM"</f>
        <v>PER DIEM</v>
      </c>
    </row>
    <row r="1479" spans="1:9" x14ac:dyDescent="0.3">
      <c r="A1479" t="str">
        <f>"004928"</f>
        <v>004928</v>
      </c>
      <c r="B1479" t="s">
        <v>430</v>
      </c>
      <c r="C1479">
        <v>77204</v>
      </c>
      <c r="D1479" s="2">
        <v>61.88</v>
      </c>
      <c r="E1479" s="1">
        <v>43262</v>
      </c>
      <c r="F1479" t="str">
        <f>"INV4546917"</f>
        <v>INV4546917</v>
      </c>
      <c r="G1479" t="str">
        <f>"Sqwincher"</f>
        <v>Sqwincher</v>
      </c>
      <c r="H1479">
        <v>61.88</v>
      </c>
      <c r="I1479" t="str">
        <f>"Berry"</f>
        <v>Berry</v>
      </c>
    </row>
    <row r="1480" spans="1:9" x14ac:dyDescent="0.3">
      <c r="A1480" t="str">
        <f>""</f>
        <v/>
      </c>
      <c r="F1480" t="str">
        <f>""</f>
        <v/>
      </c>
      <c r="G1480" t="str">
        <f>""</f>
        <v/>
      </c>
      <c r="I1480" t="str">
        <f>"Strawberry Lemonade"</f>
        <v>Strawberry Lemonade</v>
      </c>
    </row>
    <row r="1481" spans="1:9" x14ac:dyDescent="0.3">
      <c r="A1481" t="str">
        <f>"001960"</f>
        <v>001960</v>
      </c>
      <c r="B1481" t="s">
        <v>431</v>
      </c>
      <c r="C1481">
        <v>77205</v>
      </c>
      <c r="D1481" s="2">
        <v>19000</v>
      </c>
      <c r="E1481" s="1">
        <v>43262</v>
      </c>
      <c r="F1481" t="str">
        <f>"APPLICATION #2"</f>
        <v>APPLICATION #2</v>
      </c>
      <c r="G1481" t="str">
        <f>"Cedar Creek Pay App 2"</f>
        <v>Cedar Creek Pay App 2</v>
      </c>
      <c r="H1481">
        <v>19000</v>
      </c>
      <c r="I1481" t="str">
        <f>"Pay App 2"</f>
        <v>Pay App 2</v>
      </c>
    </row>
    <row r="1482" spans="1:9" x14ac:dyDescent="0.3">
      <c r="A1482" t="str">
        <f>"AQUAB"</f>
        <v>AQUAB</v>
      </c>
      <c r="B1482" t="s">
        <v>37</v>
      </c>
      <c r="C1482">
        <v>77206</v>
      </c>
      <c r="D1482" s="2">
        <v>80.489999999999995</v>
      </c>
      <c r="E1482" s="1">
        <v>43262</v>
      </c>
      <c r="F1482" t="str">
        <f>"201806011255"</f>
        <v>201806011255</v>
      </c>
      <c r="G1482" t="str">
        <f>"ACCT#015397/JUVENILE BOOT CAMP"</f>
        <v>ACCT#015397/JUVENILE BOOT CAMP</v>
      </c>
      <c r="H1482">
        <v>80.489999999999995</v>
      </c>
      <c r="I1482" t="str">
        <f>"ACCT#015397/JUVENILE BOOT CAMP"</f>
        <v>ACCT#015397/JUVENILE BOOT CAMP</v>
      </c>
    </row>
    <row r="1483" spans="1:9" x14ac:dyDescent="0.3">
      <c r="A1483" t="str">
        <f>"BTW"</f>
        <v>BTW</v>
      </c>
      <c r="B1483" t="s">
        <v>54</v>
      </c>
      <c r="C1483">
        <v>77207</v>
      </c>
      <c r="D1483" s="2">
        <v>18</v>
      </c>
      <c r="E1483" s="1">
        <v>43262</v>
      </c>
      <c r="F1483" t="str">
        <f>"350774"</f>
        <v>350774</v>
      </c>
      <c r="G1483" t="str">
        <f>"ACCT#7788/OEM"</f>
        <v>ACCT#7788/OEM</v>
      </c>
      <c r="H1483">
        <v>18</v>
      </c>
      <c r="I1483" t="str">
        <f>"ACCT#7788/OEM"</f>
        <v>ACCT#7788/OEM</v>
      </c>
    </row>
    <row r="1484" spans="1:9" x14ac:dyDescent="0.3">
      <c r="A1484" t="str">
        <f>"BASCO"</f>
        <v>BASCO</v>
      </c>
      <c r="B1484" t="s">
        <v>59</v>
      </c>
      <c r="C1484">
        <v>77208</v>
      </c>
      <c r="D1484" s="2">
        <v>23.9</v>
      </c>
      <c r="E1484" s="1">
        <v>43262</v>
      </c>
      <c r="F1484" t="str">
        <f>"11741"</f>
        <v>11741</v>
      </c>
      <c r="G1484" t="str">
        <f>"ACCT#BC01"</f>
        <v>ACCT#BC01</v>
      </c>
      <c r="H1484">
        <v>23.9</v>
      </c>
      <c r="I1484" t="str">
        <f>"ACCT#BC01"</f>
        <v>ACCT#BC01</v>
      </c>
    </row>
    <row r="1485" spans="1:9" x14ac:dyDescent="0.3">
      <c r="A1485" t="str">
        <f>"BEC"</f>
        <v>BEC</v>
      </c>
      <c r="B1485" t="s">
        <v>77</v>
      </c>
      <c r="C1485">
        <v>77229</v>
      </c>
      <c r="D1485" s="2">
        <v>192</v>
      </c>
      <c r="E1485" s="1">
        <v>43265</v>
      </c>
      <c r="F1485" t="str">
        <f>"201806141601"</f>
        <v>201806141601</v>
      </c>
      <c r="G1485" t="str">
        <f>"ACCT#5000057374 / 06/04/2018"</f>
        <v>ACCT#5000057374 / 06/04/2018</v>
      </c>
      <c r="H1485">
        <v>192</v>
      </c>
      <c r="I1485" t="str">
        <f>"ACCT#5000057374 / 06/04/2018"</f>
        <v>ACCT#5000057374 / 06/04/2018</v>
      </c>
    </row>
    <row r="1486" spans="1:9" x14ac:dyDescent="0.3">
      <c r="A1486" t="str">
        <f>"005399"</f>
        <v>005399</v>
      </c>
      <c r="B1486" t="s">
        <v>432</v>
      </c>
      <c r="C1486">
        <v>77407</v>
      </c>
      <c r="D1486" s="2">
        <v>35.99</v>
      </c>
      <c r="E1486" s="1">
        <v>43276</v>
      </c>
      <c r="F1486" t="str">
        <f>"1519"</f>
        <v>1519</v>
      </c>
      <c r="G1486" t="str">
        <f>"MULTIFOLD TOWELS / BOOT CAMP"</f>
        <v>MULTIFOLD TOWELS / BOOT CAMP</v>
      </c>
      <c r="H1486">
        <v>35.99</v>
      </c>
      <c r="I1486" t="str">
        <f>"MULTIFOLD TOWELS / BOOT CAMP"</f>
        <v>MULTIFOLD TOWELS / BOOT CAMP</v>
      </c>
    </row>
    <row r="1487" spans="1:9" x14ac:dyDescent="0.3">
      <c r="A1487" t="str">
        <f>"AP3545"</f>
        <v>AP3545</v>
      </c>
      <c r="B1487" t="s">
        <v>193</v>
      </c>
      <c r="C1487">
        <v>77209</v>
      </c>
      <c r="D1487" s="2">
        <v>86.33</v>
      </c>
      <c r="E1487" s="1">
        <v>43262</v>
      </c>
      <c r="F1487" t="str">
        <f>"171955"</f>
        <v>171955</v>
      </c>
      <c r="G1487" t="str">
        <f>"HIGH PRESSURE 2-WIRE BRAID HOS"</f>
        <v>HIGH PRESSURE 2-WIRE BRAID HOS</v>
      </c>
      <c r="H1487">
        <v>86.33</v>
      </c>
      <c r="I1487" t="str">
        <f>"HIGH PRESSURE 2-WIRE BRAID HOS"</f>
        <v>HIGH PRESSURE 2-WIRE BRAID HOS</v>
      </c>
    </row>
    <row r="1488" spans="1:9" x14ac:dyDescent="0.3">
      <c r="A1488" t="str">
        <f>""</f>
        <v/>
      </c>
      <c r="F1488" t="str">
        <f>""</f>
        <v/>
      </c>
      <c r="G1488" t="str">
        <f>""</f>
        <v/>
      </c>
      <c r="I1488" t="str">
        <f>"HIGH PRESSURE 2-WIRE BRAID HOS"</f>
        <v>HIGH PRESSURE 2-WIRE BRAID HOS</v>
      </c>
    </row>
    <row r="1489" spans="1:9" x14ac:dyDescent="0.3">
      <c r="A1489" t="str">
        <f>"AP3545"</f>
        <v>AP3545</v>
      </c>
      <c r="B1489" t="s">
        <v>193</v>
      </c>
      <c r="C1489">
        <v>77408</v>
      </c>
      <c r="D1489" s="2">
        <v>90.63</v>
      </c>
      <c r="E1489" s="1">
        <v>43276</v>
      </c>
      <c r="F1489" t="str">
        <f>"172079"</f>
        <v>172079</v>
      </c>
      <c r="G1489" t="str">
        <f>"WIRE BRAID HOSE/OEM"</f>
        <v>WIRE BRAID HOSE/OEM</v>
      </c>
      <c r="H1489">
        <v>90.63</v>
      </c>
      <c r="I1489" t="str">
        <f>"WIRE BRAID HOSE/OEM"</f>
        <v>WIRE BRAID HOSE/OEM</v>
      </c>
    </row>
    <row r="1490" spans="1:9" x14ac:dyDescent="0.3">
      <c r="A1490" t="str">
        <f>"005119"</f>
        <v>005119</v>
      </c>
      <c r="B1490" t="s">
        <v>433</v>
      </c>
      <c r="C1490">
        <v>77409</v>
      </c>
      <c r="D1490" s="2">
        <v>38589</v>
      </c>
      <c r="E1490" s="1">
        <v>43276</v>
      </c>
      <c r="F1490" t="str">
        <f>"201805123"</f>
        <v>201805123</v>
      </c>
      <c r="G1490" t="str">
        <f>"PROJ#2017072/911 ER OPER &amp; IT"</f>
        <v>PROJ#2017072/911 ER OPER &amp; IT</v>
      </c>
      <c r="H1490">
        <v>38589</v>
      </c>
      <c r="I1490" t="str">
        <f>"PROJ#2017072/911 ER OPER &amp; IT"</f>
        <v>PROJ#2017072/911 ER OPER &amp; IT</v>
      </c>
    </row>
    <row r="1491" spans="1:9" x14ac:dyDescent="0.3">
      <c r="A1491" t="str">
        <f>"001356"</f>
        <v>001356</v>
      </c>
      <c r="B1491" t="s">
        <v>229</v>
      </c>
      <c r="C1491">
        <v>77410</v>
      </c>
      <c r="D1491" s="2">
        <v>491.75</v>
      </c>
      <c r="E1491" s="1">
        <v>43276</v>
      </c>
      <c r="F1491" t="str">
        <f>"201806151623"</f>
        <v>201806151623</v>
      </c>
      <c r="G1491" t="str">
        <f>"ACCT#1645/OEM"</f>
        <v>ACCT#1645/OEM</v>
      </c>
      <c r="H1491">
        <v>491.75</v>
      </c>
      <c r="I1491" t="str">
        <f>"ACCT#1645/OEM"</f>
        <v>ACCT#1645/OEM</v>
      </c>
    </row>
    <row r="1492" spans="1:9" x14ac:dyDescent="0.3">
      <c r="A1492" t="str">
        <f>""</f>
        <v/>
      </c>
      <c r="F1492" t="str">
        <f>""</f>
        <v/>
      </c>
      <c r="G1492" t="str">
        <f>""</f>
        <v/>
      </c>
      <c r="I1492" t="str">
        <f>"ACCT#1645/OEM"</f>
        <v>ACCT#1645/OEM</v>
      </c>
    </row>
    <row r="1493" spans="1:9" x14ac:dyDescent="0.3">
      <c r="A1493" t="str">
        <f>"004401"</f>
        <v>004401</v>
      </c>
      <c r="B1493" t="s">
        <v>434</v>
      </c>
      <c r="C1493">
        <v>77411</v>
      </c>
      <c r="D1493" s="2">
        <v>12472.31</v>
      </c>
      <c r="E1493" s="1">
        <v>43276</v>
      </c>
      <c r="F1493" t="str">
        <f>"05-08-18DWS"</f>
        <v>05-08-18DWS</v>
      </c>
      <c r="G1493" t="str">
        <f>"S/N JST01315"</f>
        <v>S/N JST01315</v>
      </c>
      <c r="H1493">
        <v>12472.31</v>
      </c>
      <c r="I1493" t="str">
        <f>"Payment"</f>
        <v>Payment</v>
      </c>
    </row>
    <row r="1494" spans="1:9" x14ac:dyDescent="0.3">
      <c r="A1494" t="str">
        <f>"T10195"</f>
        <v>T10195</v>
      </c>
      <c r="B1494" t="s">
        <v>336</v>
      </c>
      <c r="C1494">
        <v>77412</v>
      </c>
      <c r="D1494" s="2">
        <v>1901.78</v>
      </c>
      <c r="E1494" s="1">
        <v>43276</v>
      </c>
      <c r="F1494" t="str">
        <f>"GB00283223"</f>
        <v>GB00283223</v>
      </c>
      <c r="G1494" t="str">
        <f>"GB00283223"</f>
        <v>GB00283223</v>
      </c>
      <c r="H1494">
        <v>1901.78</v>
      </c>
      <c r="I1494" t="str">
        <f>"payment"</f>
        <v>payment</v>
      </c>
    </row>
    <row r="1495" spans="1:9" x14ac:dyDescent="0.3">
      <c r="A1495" t="str">
        <f>"T6855"</f>
        <v>T6855</v>
      </c>
      <c r="B1495" t="s">
        <v>364</v>
      </c>
      <c r="C1495">
        <v>77413</v>
      </c>
      <c r="D1495" s="2">
        <v>232.7</v>
      </c>
      <c r="E1495" s="1">
        <v>43276</v>
      </c>
      <c r="F1495" t="str">
        <f>"0757143-IN"</f>
        <v>0757143-IN</v>
      </c>
      <c r="G1495" t="str">
        <f>"Engine Oil"</f>
        <v>Engine Oil</v>
      </c>
      <c r="H1495">
        <v>232.7</v>
      </c>
      <c r="I1495" t="str">
        <f>"Engine Oil"</f>
        <v>Engine Oil</v>
      </c>
    </row>
    <row r="1496" spans="1:9" x14ac:dyDescent="0.3">
      <c r="A1496" t="str">
        <f>"TAC1"</f>
        <v>TAC1</v>
      </c>
      <c r="B1496" t="s">
        <v>368</v>
      </c>
      <c r="C1496">
        <v>77414</v>
      </c>
      <c r="D1496" s="2">
        <v>2419.1999999999998</v>
      </c>
      <c r="E1496" s="1">
        <v>43276</v>
      </c>
      <c r="F1496" t="str">
        <f>"20509-WC3  240"</f>
        <v>20509-WC3  240</v>
      </c>
      <c r="G1496" t="str">
        <f>"3RD QTR 2018 WRKRS COMP/#0110"</f>
        <v>3RD QTR 2018 WRKRS COMP/#0110</v>
      </c>
      <c r="H1496">
        <v>70.62</v>
      </c>
      <c r="I1496" t="str">
        <f>"3RD QTR 2018 WRKRS COMP/#0110"</f>
        <v>3RD QTR 2018 WRKRS COMP/#0110</v>
      </c>
    </row>
    <row r="1497" spans="1:9" x14ac:dyDescent="0.3">
      <c r="A1497" t="str">
        <f>""</f>
        <v/>
      </c>
      <c r="F1497" t="str">
        <f>"20509-WC3  245"</f>
        <v>20509-WC3  245</v>
      </c>
      <c r="G1497" t="str">
        <f>"3RD QTR 2018 WRKRS COMP/#0110"</f>
        <v>3RD QTR 2018 WRKRS COMP/#0110</v>
      </c>
      <c r="H1497">
        <v>2348.58</v>
      </c>
      <c r="I1497" t="str">
        <f>"3RD QTR 2018 WRKRS COMP/#0110"</f>
        <v>3RD QTR 2018 WRKRS COMP/#0110</v>
      </c>
    </row>
    <row r="1498" spans="1:9" x14ac:dyDescent="0.3">
      <c r="A1498" t="str">
        <f>"003484"</f>
        <v>003484</v>
      </c>
      <c r="B1498" t="s">
        <v>435</v>
      </c>
      <c r="C1498">
        <v>77415</v>
      </c>
      <c r="D1498" s="2">
        <v>10328.379999999999</v>
      </c>
      <c r="E1498" s="1">
        <v>43276</v>
      </c>
      <c r="F1498" t="str">
        <f>"9-2267 &amp; 9-2287-8"</f>
        <v>9-2267 &amp; 9-2287-8</v>
      </c>
      <c r="G1498" t="str">
        <f>"Inv 9-2267 &amp; 9-2287-8"</f>
        <v>Inv 9-2267 &amp; 9-2287-8</v>
      </c>
      <c r="H1498">
        <v>10328.379999999999</v>
      </c>
      <c r="I1498" t="str">
        <f>"Inv 9-2267"</f>
        <v>Inv 9-2267</v>
      </c>
    </row>
    <row r="1499" spans="1:9" x14ac:dyDescent="0.3">
      <c r="A1499" t="str">
        <f>""</f>
        <v/>
      </c>
      <c r="F1499" t="str">
        <f>""</f>
        <v/>
      </c>
      <c r="G1499" t="str">
        <f>""</f>
        <v/>
      </c>
      <c r="I1499" t="str">
        <f>"Inv 9-2287-8"</f>
        <v>Inv 9-2287-8</v>
      </c>
    </row>
    <row r="1500" spans="1:9" x14ac:dyDescent="0.3">
      <c r="A1500" t="str">
        <f>""</f>
        <v/>
      </c>
      <c r="F1500" t="str">
        <f>""</f>
        <v/>
      </c>
      <c r="G1500" t="str">
        <f>""</f>
        <v/>
      </c>
      <c r="I1500" t="str">
        <f>"Inv 9-2267"</f>
        <v>Inv 9-2267</v>
      </c>
    </row>
    <row r="1501" spans="1:9" x14ac:dyDescent="0.3">
      <c r="A1501" t="str">
        <f>""</f>
        <v/>
      </c>
      <c r="F1501" t="str">
        <f>""</f>
        <v/>
      </c>
      <c r="G1501" t="str">
        <f>""</f>
        <v/>
      </c>
      <c r="I1501" t="str">
        <f>"Inv 9-2287-8"</f>
        <v>Inv 9-2287-8</v>
      </c>
    </row>
    <row r="1502" spans="1:9" x14ac:dyDescent="0.3">
      <c r="A1502" t="str">
        <f>"T14022"</f>
        <v>T14022</v>
      </c>
      <c r="B1502" t="s">
        <v>436</v>
      </c>
      <c r="C1502">
        <v>0</v>
      </c>
      <c r="D1502" s="2">
        <v>500</v>
      </c>
      <c r="E1502" s="1">
        <v>43262</v>
      </c>
      <c r="F1502" t="str">
        <f>"252-2111896"</f>
        <v>252-2111896</v>
      </c>
      <c r="G1502" t="str">
        <f>"SERIES 2012"</f>
        <v>SERIES 2012</v>
      </c>
      <c r="H1502">
        <v>500</v>
      </c>
      <c r="I1502" t="str">
        <f>"SERIES 2012"</f>
        <v>SERIES 2012</v>
      </c>
    </row>
    <row r="1503" spans="1:9" x14ac:dyDescent="0.3">
      <c r="A1503" t="str">
        <f>"TRACTO"</f>
        <v>TRACTO</v>
      </c>
      <c r="B1503" t="s">
        <v>392</v>
      </c>
      <c r="C1503">
        <v>77210</v>
      </c>
      <c r="D1503" s="2">
        <v>18.71</v>
      </c>
      <c r="E1503" s="1">
        <v>43262</v>
      </c>
      <c r="F1503" t="str">
        <f>"200488893/30045608"</f>
        <v>200488893/30045608</v>
      </c>
      <c r="G1503" t="str">
        <f>"Acct# 6035301200160982"</f>
        <v>Acct# 6035301200160982</v>
      </c>
      <c r="H1503">
        <v>18.71</v>
      </c>
      <c r="I1503" t="str">
        <f>"Inv# 200488893"</f>
        <v>Inv# 200488893</v>
      </c>
    </row>
    <row r="1504" spans="1:9" x14ac:dyDescent="0.3">
      <c r="A1504" t="str">
        <f>""</f>
        <v/>
      </c>
      <c r="F1504" t="str">
        <f>""</f>
        <v/>
      </c>
      <c r="G1504" t="str">
        <f>""</f>
        <v/>
      </c>
      <c r="I1504" t="str">
        <f>"Inv# 300456080"</f>
        <v>Inv# 300456080</v>
      </c>
    </row>
    <row r="1505" spans="1:9" x14ac:dyDescent="0.3">
      <c r="A1505" t="str">
        <f>"WALMAR"</f>
        <v>WALMAR</v>
      </c>
      <c r="B1505" t="s">
        <v>411</v>
      </c>
      <c r="C1505">
        <v>77211</v>
      </c>
      <c r="D1505" s="2">
        <v>31.76</v>
      </c>
      <c r="E1505" s="1">
        <v>43262</v>
      </c>
      <c r="F1505" t="str">
        <f>"002032"</f>
        <v>002032</v>
      </c>
      <c r="G1505" t="str">
        <f>"Acct# 6032202005312476"</f>
        <v>Acct# 6032202005312476</v>
      </c>
      <c r="H1505">
        <v>31.76</v>
      </c>
      <c r="I1505" t="str">
        <f>"Inv# 002032"</f>
        <v>Inv# 002032</v>
      </c>
    </row>
    <row r="1506" spans="1:9" x14ac:dyDescent="0.3">
      <c r="A1506" t="str">
        <f>"ALLSTA"</f>
        <v>ALLSTA</v>
      </c>
      <c r="B1506" t="s">
        <v>437</v>
      </c>
      <c r="C1506">
        <v>0</v>
      </c>
      <c r="D1506" s="2">
        <v>7344.66</v>
      </c>
      <c r="E1506" s="1">
        <v>43278</v>
      </c>
      <c r="F1506" t="str">
        <f>"AS 201805301204"</f>
        <v>AS 201805301204</v>
      </c>
      <c r="G1506" t="str">
        <f t="shared" ref="G1506:G1519" si="6">"ALLSTATE"</f>
        <v>ALLSTATE</v>
      </c>
      <c r="H1506">
        <v>724.56</v>
      </c>
      <c r="I1506" t="str">
        <f t="shared" ref="I1506:I1519" si="7">"ALLSTATE"</f>
        <v>ALLSTATE</v>
      </c>
    </row>
    <row r="1507" spans="1:9" x14ac:dyDescent="0.3">
      <c r="A1507" t="str">
        <f>""</f>
        <v/>
      </c>
      <c r="F1507" t="str">
        <f>"AS 201805301223"</f>
        <v>AS 201805301223</v>
      </c>
      <c r="G1507" t="str">
        <f t="shared" si="6"/>
        <v>ALLSTATE</v>
      </c>
      <c r="H1507">
        <v>36.14</v>
      </c>
      <c r="I1507" t="str">
        <f t="shared" si="7"/>
        <v>ALLSTATE</v>
      </c>
    </row>
    <row r="1508" spans="1:9" x14ac:dyDescent="0.3">
      <c r="A1508" t="str">
        <f>""</f>
        <v/>
      </c>
      <c r="F1508" t="str">
        <f>"AS 201806131556"</f>
        <v>AS 201806131556</v>
      </c>
      <c r="G1508" t="str">
        <f t="shared" si="6"/>
        <v>ALLSTATE</v>
      </c>
      <c r="H1508">
        <v>724.56</v>
      </c>
      <c r="I1508" t="str">
        <f t="shared" si="7"/>
        <v>ALLSTATE</v>
      </c>
    </row>
    <row r="1509" spans="1:9" x14ac:dyDescent="0.3">
      <c r="A1509" t="str">
        <f>""</f>
        <v/>
      </c>
      <c r="F1509" t="str">
        <f>"AS 201806131561"</f>
        <v>AS 201806131561</v>
      </c>
      <c r="G1509" t="str">
        <f t="shared" si="6"/>
        <v>ALLSTATE</v>
      </c>
      <c r="H1509">
        <v>36.14</v>
      </c>
      <c r="I1509" t="str">
        <f t="shared" si="7"/>
        <v>ALLSTATE</v>
      </c>
    </row>
    <row r="1510" spans="1:9" x14ac:dyDescent="0.3">
      <c r="A1510" t="str">
        <f>""</f>
        <v/>
      </c>
      <c r="F1510" t="str">
        <f>"ASD201805301204"</f>
        <v>ASD201805301204</v>
      </c>
      <c r="G1510" t="str">
        <f t="shared" si="6"/>
        <v>ALLSTATE</v>
      </c>
      <c r="H1510">
        <v>240.97</v>
      </c>
      <c r="I1510" t="str">
        <f t="shared" si="7"/>
        <v>ALLSTATE</v>
      </c>
    </row>
    <row r="1511" spans="1:9" x14ac:dyDescent="0.3">
      <c r="A1511" t="str">
        <f>""</f>
        <v/>
      </c>
      <c r="F1511" t="str">
        <f>"ASD201806131556"</f>
        <v>ASD201806131556</v>
      </c>
      <c r="G1511" t="str">
        <f t="shared" si="6"/>
        <v>ALLSTATE</v>
      </c>
      <c r="H1511">
        <v>240.97</v>
      </c>
      <c r="I1511" t="str">
        <f t="shared" si="7"/>
        <v>ALLSTATE</v>
      </c>
    </row>
    <row r="1512" spans="1:9" x14ac:dyDescent="0.3">
      <c r="A1512" t="str">
        <f>""</f>
        <v/>
      </c>
      <c r="F1512" t="str">
        <f>"ASI201805301204"</f>
        <v>ASI201805301204</v>
      </c>
      <c r="G1512" t="str">
        <f t="shared" si="6"/>
        <v>ALLSTATE</v>
      </c>
      <c r="H1512">
        <v>874.02</v>
      </c>
      <c r="I1512" t="str">
        <f t="shared" si="7"/>
        <v>ALLSTATE</v>
      </c>
    </row>
    <row r="1513" spans="1:9" x14ac:dyDescent="0.3">
      <c r="A1513" t="str">
        <f>""</f>
        <v/>
      </c>
      <c r="F1513" t="str">
        <f>"ASI201805301223"</f>
        <v>ASI201805301223</v>
      </c>
      <c r="G1513" t="str">
        <f t="shared" si="6"/>
        <v>ALLSTATE</v>
      </c>
      <c r="H1513">
        <v>100.63</v>
      </c>
      <c r="I1513" t="str">
        <f t="shared" si="7"/>
        <v>ALLSTATE</v>
      </c>
    </row>
    <row r="1514" spans="1:9" x14ac:dyDescent="0.3">
      <c r="A1514" t="str">
        <f>""</f>
        <v/>
      </c>
      <c r="F1514" t="str">
        <f>"ASI201806131556"</f>
        <v>ASI201806131556</v>
      </c>
      <c r="G1514" t="str">
        <f t="shared" si="6"/>
        <v>ALLSTATE</v>
      </c>
      <c r="H1514">
        <v>874.02</v>
      </c>
      <c r="I1514" t="str">
        <f t="shared" si="7"/>
        <v>ALLSTATE</v>
      </c>
    </row>
    <row r="1515" spans="1:9" x14ac:dyDescent="0.3">
      <c r="A1515" t="str">
        <f>""</f>
        <v/>
      </c>
      <c r="F1515" t="str">
        <f>"ASI201806131561"</f>
        <v>ASI201806131561</v>
      </c>
      <c r="G1515" t="str">
        <f t="shared" si="6"/>
        <v>ALLSTATE</v>
      </c>
      <c r="H1515">
        <v>100.63</v>
      </c>
      <c r="I1515" t="str">
        <f t="shared" si="7"/>
        <v>ALLSTATE</v>
      </c>
    </row>
    <row r="1516" spans="1:9" x14ac:dyDescent="0.3">
      <c r="A1516" t="str">
        <f>""</f>
        <v/>
      </c>
      <c r="F1516" t="str">
        <f>"AST201805301204"</f>
        <v>AST201805301204</v>
      </c>
      <c r="G1516" t="str">
        <f t="shared" si="6"/>
        <v>ALLSTATE</v>
      </c>
      <c r="H1516">
        <v>1642.18</v>
      </c>
      <c r="I1516" t="str">
        <f t="shared" si="7"/>
        <v>ALLSTATE</v>
      </c>
    </row>
    <row r="1517" spans="1:9" x14ac:dyDescent="0.3">
      <c r="A1517" t="str">
        <f>""</f>
        <v/>
      </c>
      <c r="F1517" t="str">
        <f>"AST201805301223"</f>
        <v>AST201805301223</v>
      </c>
      <c r="G1517" t="str">
        <f t="shared" si="6"/>
        <v>ALLSTATE</v>
      </c>
      <c r="H1517">
        <v>53.83</v>
      </c>
      <c r="I1517" t="str">
        <f t="shared" si="7"/>
        <v>ALLSTATE</v>
      </c>
    </row>
    <row r="1518" spans="1:9" x14ac:dyDescent="0.3">
      <c r="A1518" t="str">
        <f>""</f>
        <v/>
      </c>
      <c r="F1518" t="str">
        <f>"AST201806131556"</f>
        <v>AST201806131556</v>
      </c>
      <c r="G1518" t="str">
        <f t="shared" si="6"/>
        <v>ALLSTATE</v>
      </c>
      <c r="H1518">
        <v>1642.18</v>
      </c>
      <c r="I1518" t="str">
        <f t="shared" si="7"/>
        <v>ALLSTATE</v>
      </c>
    </row>
    <row r="1519" spans="1:9" x14ac:dyDescent="0.3">
      <c r="A1519" t="str">
        <f>""</f>
        <v/>
      </c>
      <c r="F1519" t="str">
        <f>"AST201806131561"</f>
        <v>AST201806131561</v>
      </c>
      <c r="G1519" t="str">
        <f t="shared" si="6"/>
        <v>ALLSTATE</v>
      </c>
      <c r="H1519">
        <v>53.83</v>
      </c>
      <c r="I1519" t="str">
        <f t="shared" si="7"/>
        <v>ALLSTATE</v>
      </c>
    </row>
    <row r="1520" spans="1:9" x14ac:dyDescent="0.3">
      <c r="A1520" t="str">
        <f>"T12180"</f>
        <v>T12180</v>
      </c>
      <c r="B1520" t="s">
        <v>438</v>
      </c>
      <c r="C1520">
        <v>0</v>
      </c>
      <c r="D1520" s="2">
        <v>3153.21</v>
      </c>
      <c r="E1520" s="1">
        <v>43252</v>
      </c>
      <c r="F1520" t="str">
        <f>"DDP201805301224"</f>
        <v>DDP201805301224</v>
      </c>
      <c r="G1520" t="str">
        <f>"AP - TEXAS DISCOUNT DENTAL"</f>
        <v>AP - TEXAS DISCOUNT DENTAL</v>
      </c>
      <c r="H1520">
        <v>6.53</v>
      </c>
      <c r="I1520" t="str">
        <f>"AP - TEXAS DISCOUNT DENTAL"</f>
        <v>AP - TEXAS DISCOUNT DENTAL</v>
      </c>
    </row>
    <row r="1521" spans="1:9" x14ac:dyDescent="0.3">
      <c r="A1521" t="str">
        <f>""</f>
        <v/>
      </c>
      <c r="F1521" t="str">
        <f>"DHM201805301224"</f>
        <v>DHM201805301224</v>
      </c>
      <c r="G1521" t="str">
        <f>"AP - DENTAL HMO"</f>
        <v>AP - DENTAL HMO</v>
      </c>
      <c r="H1521">
        <v>30.7</v>
      </c>
      <c r="I1521" t="str">
        <f>"AP - DENTAL HMO"</f>
        <v>AP - DENTAL HMO</v>
      </c>
    </row>
    <row r="1522" spans="1:9" x14ac:dyDescent="0.3">
      <c r="A1522" t="str">
        <f>""</f>
        <v/>
      </c>
      <c r="F1522" t="str">
        <f>"DTX201805301224"</f>
        <v>DTX201805301224</v>
      </c>
      <c r="G1522" t="str">
        <f>"AP - TEXAS DENTAL"</f>
        <v>AP - TEXAS DENTAL</v>
      </c>
      <c r="H1522">
        <v>397.64</v>
      </c>
      <c r="I1522" t="str">
        <f>"AP - TEXAS DENTAL"</f>
        <v>AP - TEXAS DENTAL</v>
      </c>
    </row>
    <row r="1523" spans="1:9" x14ac:dyDescent="0.3">
      <c r="A1523" t="str">
        <f>""</f>
        <v/>
      </c>
      <c r="F1523" t="str">
        <f>"FD 201805301224"</f>
        <v>FD 201805301224</v>
      </c>
      <c r="G1523" t="str">
        <f>"AP - FT DEARBORN PRE-TAX"</f>
        <v>AP - FT DEARBORN PRE-TAX</v>
      </c>
      <c r="H1523">
        <v>223.43</v>
      </c>
      <c r="I1523" t="str">
        <f>"AP - FT DEARBORN PRE-TAX"</f>
        <v>AP - FT DEARBORN PRE-TAX</v>
      </c>
    </row>
    <row r="1524" spans="1:9" x14ac:dyDescent="0.3">
      <c r="A1524" t="str">
        <f>""</f>
        <v/>
      </c>
      <c r="F1524" t="str">
        <f>"FDT201805301224"</f>
        <v>FDT201805301224</v>
      </c>
      <c r="G1524" t="str">
        <f>"AP - FT DEARBORN AFTER TAX"</f>
        <v>AP - FT DEARBORN AFTER TAX</v>
      </c>
      <c r="H1524">
        <v>86.54</v>
      </c>
      <c r="I1524" t="str">
        <f>"AP - FT DEARBORN AFTER TAX"</f>
        <v>AP - FT DEARBORN AFTER TAX</v>
      </c>
    </row>
    <row r="1525" spans="1:9" x14ac:dyDescent="0.3">
      <c r="A1525" t="str">
        <f>""</f>
        <v/>
      </c>
      <c r="F1525" t="str">
        <f>"FLX201805301224"</f>
        <v>FLX201805301224</v>
      </c>
      <c r="G1525" t="str">
        <f>"AP - TEX FLEX"</f>
        <v>AP - TEX FLEX</v>
      </c>
      <c r="H1525">
        <v>312</v>
      </c>
      <c r="I1525" t="str">
        <f>"AP - TEX FLEX"</f>
        <v>AP - TEX FLEX</v>
      </c>
    </row>
    <row r="1526" spans="1:9" x14ac:dyDescent="0.3">
      <c r="A1526" t="str">
        <f>""</f>
        <v/>
      </c>
      <c r="F1526" t="str">
        <f>"MHS201805301224"</f>
        <v>MHS201805301224</v>
      </c>
      <c r="G1526" t="str">
        <f>"AP - HEALTH SELECT MEDICAL"</f>
        <v>AP - HEALTH SELECT MEDICAL</v>
      </c>
      <c r="H1526">
        <v>1787.8</v>
      </c>
      <c r="I1526" t="str">
        <f>"AP - HEALTH SELECT MEDICAL"</f>
        <v>AP - HEALTH SELECT MEDICAL</v>
      </c>
    </row>
    <row r="1527" spans="1:9" x14ac:dyDescent="0.3">
      <c r="A1527" t="str">
        <f>""</f>
        <v/>
      </c>
      <c r="F1527" t="str">
        <f>"MSW201805301224"</f>
        <v>MSW201805301224</v>
      </c>
      <c r="G1527" t="str">
        <f>"AP - SCOTT &amp; WHITE MEDICAL"</f>
        <v>AP - SCOTT &amp; WHITE MEDICAL</v>
      </c>
      <c r="H1527">
        <v>291.82</v>
      </c>
      <c r="I1527" t="str">
        <f>"AP - SCOTT &amp; WHITE MEDICAL"</f>
        <v>AP - SCOTT &amp; WHITE MEDICAL</v>
      </c>
    </row>
    <row r="1528" spans="1:9" x14ac:dyDescent="0.3">
      <c r="A1528" t="str">
        <f>""</f>
        <v/>
      </c>
      <c r="F1528" t="str">
        <f>"SPE201805301224"</f>
        <v>SPE201805301224</v>
      </c>
      <c r="G1528" t="str">
        <f>"AP - STATE VISION"</f>
        <v>AP - STATE VISION</v>
      </c>
      <c r="H1528">
        <v>16.75</v>
      </c>
      <c r="I1528" t="str">
        <f>"AP - STATE VISION"</f>
        <v>AP - STATE VISION</v>
      </c>
    </row>
    <row r="1529" spans="1:9" x14ac:dyDescent="0.3">
      <c r="A1529" t="str">
        <f>"T12180"</f>
        <v>T12180</v>
      </c>
      <c r="B1529" t="s">
        <v>438</v>
      </c>
      <c r="C1529">
        <v>0</v>
      </c>
      <c r="D1529" s="2">
        <v>3153.21</v>
      </c>
      <c r="E1529" s="1">
        <v>43266</v>
      </c>
      <c r="F1529" t="str">
        <f>"DDP201806131563"</f>
        <v>DDP201806131563</v>
      </c>
      <c r="G1529" t="str">
        <f>"AP - TEXAS DISCOUNT DENTAL"</f>
        <v>AP - TEXAS DISCOUNT DENTAL</v>
      </c>
      <c r="H1529">
        <v>6.53</v>
      </c>
      <c r="I1529" t="str">
        <f>"AP - TEXAS DISCOUNT DENTAL"</f>
        <v>AP - TEXAS DISCOUNT DENTAL</v>
      </c>
    </row>
    <row r="1530" spans="1:9" x14ac:dyDescent="0.3">
      <c r="A1530" t="str">
        <f>""</f>
        <v/>
      </c>
      <c r="F1530" t="str">
        <f>"DHM201806131563"</f>
        <v>DHM201806131563</v>
      </c>
      <c r="G1530" t="str">
        <f>"AP - DENTAL HMO"</f>
        <v>AP - DENTAL HMO</v>
      </c>
      <c r="H1530">
        <v>30.7</v>
      </c>
      <c r="I1530" t="str">
        <f>"AP - DENTAL HMO"</f>
        <v>AP - DENTAL HMO</v>
      </c>
    </row>
    <row r="1531" spans="1:9" x14ac:dyDescent="0.3">
      <c r="A1531" t="str">
        <f>""</f>
        <v/>
      </c>
      <c r="F1531" t="str">
        <f>"DTX201806131563"</f>
        <v>DTX201806131563</v>
      </c>
      <c r="G1531" t="str">
        <f>"AP - TEXAS DENTAL"</f>
        <v>AP - TEXAS DENTAL</v>
      </c>
      <c r="H1531">
        <v>397.64</v>
      </c>
      <c r="I1531" t="str">
        <f>"AP - TEXAS DENTAL"</f>
        <v>AP - TEXAS DENTAL</v>
      </c>
    </row>
    <row r="1532" spans="1:9" x14ac:dyDescent="0.3">
      <c r="A1532" t="str">
        <f>""</f>
        <v/>
      </c>
      <c r="F1532" t="str">
        <f>"FD 201806131563"</f>
        <v>FD 201806131563</v>
      </c>
      <c r="G1532" t="str">
        <f>"AP - FT DEARBORN PRE-TAX"</f>
        <v>AP - FT DEARBORN PRE-TAX</v>
      </c>
      <c r="H1532">
        <v>223.43</v>
      </c>
      <c r="I1532" t="str">
        <f>"AP - FT DEARBORN PRE-TAX"</f>
        <v>AP - FT DEARBORN PRE-TAX</v>
      </c>
    </row>
    <row r="1533" spans="1:9" x14ac:dyDescent="0.3">
      <c r="A1533" t="str">
        <f>""</f>
        <v/>
      </c>
      <c r="F1533" t="str">
        <f>"FDT201806131563"</f>
        <v>FDT201806131563</v>
      </c>
      <c r="G1533" t="str">
        <f>"AP - FT DEARBORN AFTER TAX"</f>
        <v>AP - FT DEARBORN AFTER TAX</v>
      </c>
      <c r="H1533">
        <v>86.54</v>
      </c>
      <c r="I1533" t="str">
        <f>"AP - FT DEARBORN AFTER TAX"</f>
        <v>AP - FT DEARBORN AFTER TAX</v>
      </c>
    </row>
    <row r="1534" spans="1:9" x14ac:dyDescent="0.3">
      <c r="A1534" t="str">
        <f>""</f>
        <v/>
      </c>
      <c r="F1534" t="str">
        <f>"FLX201806131563"</f>
        <v>FLX201806131563</v>
      </c>
      <c r="G1534" t="str">
        <f>"AP - TEX FLEX"</f>
        <v>AP - TEX FLEX</v>
      </c>
      <c r="H1534">
        <v>312</v>
      </c>
      <c r="I1534" t="str">
        <f>"AP - TEX FLEX"</f>
        <v>AP - TEX FLEX</v>
      </c>
    </row>
    <row r="1535" spans="1:9" x14ac:dyDescent="0.3">
      <c r="A1535" t="str">
        <f>""</f>
        <v/>
      </c>
      <c r="F1535" t="str">
        <f>"MHS201806131563"</f>
        <v>MHS201806131563</v>
      </c>
      <c r="G1535" t="str">
        <f>"AP - HEALTH SELECT MEDICAL"</f>
        <v>AP - HEALTH SELECT MEDICAL</v>
      </c>
      <c r="H1535">
        <v>1787.8</v>
      </c>
      <c r="I1535" t="str">
        <f>"AP - HEALTH SELECT MEDICAL"</f>
        <v>AP - HEALTH SELECT MEDICAL</v>
      </c>
    </row>
    <row r="1536" spans="1:9" x14ac:dyDescent="0.3">
      <c r="A1536" t="str">
        <f>""</f>
        <v/>
      </c>
      <c r="F1536" t="str">
        <f>"MSW201806131563"</f>
        <v>MSW201806131563</v>
      </c>
      <c r="G1536" t="str">
        <f>"AP - SCOTT &amp; WHITE MEDICAL"</f>
        <v>AP - SCOTT &amp; WHITE MEDICAL</v>
      </c>
      <c r="H1536">
        <v>291.82</v>
      </c>
      <c r="I1536" t="str">
        <f>"AP - SCOTT &amp; WHITE MEDICAL"</f>
        <v>AP - SCOTT &amp; WHITE MEDICAL</v>
      </c>
    </row>
    <row r="1537" spans="1:9" x14ac:dyDescent="0.3">
      <c r="A1537" t="str">
        <f>""</f>
        <v/>
      </c>
      <c r="F1537" t="str">
        <f>"SPE201806131563"</f>
        <v>SPE201806131563</v>
      </c>
      <c r="G1537" t="str">
        <f>"AP - STATE VISION"</f>
        <v>AP - STATE VISION</v>
      </c>
      <c r="H1537">
        <v>16.75</v>
      </c>
      <c r="I1537" t="str">
        <f>"AP - STATE VISION"</f>
        <v>AP - STATE VISION</v>
      </c>
    </row>
    <row r="1538" spans="1:9" x14ac:dyDescent="0.3">
      <c r="A1538" t="str">
        <f>"COLONI"</f>
        <v>COLONI</v>
      </c>
      <c r="B1538" t="s">
        <v>439</v>
      </c>
      <c r="C1538">
        <v>0</v>
      </c>
      <c r="D1538" s="2">
        <v>4928.5200000000004</v>
      </c>
      <c r="E1538" s="1">
        <v>43278</v>
      </c>
      <c r="F1538" t="str">
        <f>"CL 201805301204"</f>
        <v>CL 201805301204</v>
      </c>
      <c r="G1538" t="str">
        <f t="shared" ref="G1538:G1559" si="8">"COLONIAL"</f>
        <v>COLONIAL</v>
      </c>
      <c r="H1538">
        <v>769.59</v>
      </c>
      <c r="I1538" t="str">
        <f t="shared" ref="I1538:I1559" si="9">"COLONIAL"</f>
        <v>COLONIAL</v>
      </c>
    </row>
    <row r="1539" spans="1:9" x14ac:dyDescent="0.3">
      <c r="A1539" t="str">
        <f>""</f>
        <v/>
      </c>
      <c r="F1539" t="str">
        <f>"CL 201805301223"</f>
        <v>CL 201805301223</v>
      </c>
      <c r="G1539" t="str">
        <f t="shared" si="8"/>
        <v>COLONIAL</v>
      </c>
      <c r="H1539">
        <v>14.49</v>
      </c>
      <c r="I1539" t="str">
        <f t="shared" si="9"/>
        <v>COLONIAL</v>
      </c>
    </row>
    <row r="1540" spans="1:9" x14ac:dyDescent="0.3">
      <c r="A1540" t="str">
        <f>""</f>
        <v/>
      </c>
      <c r="F1540" t="str">
        <f>"CL 201806131556"</f>
        <v>CL 201806131556</v>
      </c>
      <c r="G1540" t="str">
        <f t="shared" si="8"/>
        <v>COLONIAL</v>
      </c>
      <c r="H1540">
        <v>769.59</v>
      </c>
      <c r="I1540" t="str">
        <f t="shared" si="9"/>
        <v>COLONIAL</v>
      </c>
    </row>
    <row r="1541" spans="1:9" x14ac:dyDescent="0.3">
      <c r="A1541" t="str">
        <f>""</f>
        <v/>
      </c>
      <c r="F1541" t="str">
        <f>"CL 201806131561"</f>
        <v>CL 201806131561</v>
      </c>
      <c r="G1541" t="str">
        <f t="shared" si="8"/>
        <v>COLONIAL</v>
      </c>
      <c r="H1541">
        <v>14.49</v>
      </c>
      <c r="I1541" t="str">
        <f t="shared" si="9"/>
        <v>COLONIAL</v>
      </c>
    </row>
    <row r="1542" spans="1:9" x14ac:dyDescent="0.3">
      <c r="A1542" t="str">
        <f>""</f>
        <v/>
      </c>
      <c r="F1542" t="str">
        <f>"CLC201805301204"</f>
        <v>CLC201805301204</v>
      </c>
      <c r="G1542" t="str">
        <f t="shared" si="8"/>
        <v>COLONIAL</v>
      </c>
      <c r="H1542">
        <v>33.99</v>
      </c>
      <c r="I1542" t="str">
        <f t="shared" si="9"/>
        <v>COLONIAL</v>
      </c>
    </row>
    <row r="1543" spans="1:9" x14ac:dyDescent="0.3">
      <c r="A1543" t="str">
        <f>""</f>
        <v/>
      </c>
      <c r="F1543" t="str">
        <f>"CLC201806131556"</f>
        <v>CLC201806131556</v>
      </c>
      <c r="G1543" t="str">
        <f t="shared" si="8"/>
        <v>COLONIAL</v>
      </c>
      <c r="H1543">
        <v>33.99</v>
      </c>
      <c r="I1543" t="str">
        <f t="shared" si="9"/>
        <v>COLONIAL</v>
      </c>
    </row>
    <row r="1544" spans="1:9" x14ac:dyDescent="0.3">
      <c r="A1544" t="str">
        <f>""</f>
        <v/>
      </c>
      <c r="F1544" t="str">
        <f>"CLI201805301204"</f>
        <v>CLI201805301204</v>
      </c>
      <c r="G1544" t="str">
        <f t="shared" si="8"/>
        <v>COLONIAL</v>
      </c>
      <c r="H1544">
        <v>630.13</v>
      </c>
      <c r="I1544" t="str">
        <f t="shared" si="9"/>
        <v>COLONIAL</v>
      </c>
    </row>
    <row r="1545" spans="1:9" x14ac:dyDescent="0.3">
      <c r="A1545" t="str">
        <f>""</f>
        <v/>
      </c>
      <c r="F1545" t="str">
        <f>"CLI201805301223"</f>
        <v>CLI201805301223</v>
      </c>
      <c r="G1545" t="str">
        <f t="shared" si="8"/>
        <v>COLONIAL</v>
      </c>
      <c r="H1545">
        <v>17.53</v>
      </c>
      <c r="I1545" t="str">
        <f t="shared" si="9"/>
        <v>COLONIAL</v>
      </c>
    </row>
    <row r="1546" spans="1:9" x14ac:dyDescent="0.3">
      <c r="A1546" t="str">
        <f>""</f>
        <v/>
      </c>
      <c r="F1546" t="str">
        <f>"CLI201806131556"</f>
        <v>CLI201806131556</v>
      </c>
      <c r="G1546" t="str">
        <f t="shared" si="8"/>
        <v>COLONIAL</v>
      </c>
      <c r="H1546">
        <v>630.13</v>
      </c>
      <c r="I1546" t="str">
        <f t="shared" si="9"/>
        <v>COLONIAL</v>
      </c>
    </row>
    <row r="1547" spans="1:9" x14ac:dyDescent="0.3">
      <c r="A1547" t="str">
        <f>""</f>
        <v/>
      </c>
      <c r="F1547" t="str">
        <f>"CLI201806131561"</f>
        <v>CLI201806131561</v>
      </c>
      <c r="G1547" t="str">
        <f t="shared" si="8"/>
        <v>COLONIAL</v>
      </c>
      <c r="H1547">
        <v>17.53</v>
      </c>
      <c r="I1547" t="str">
        <f t="shared" si="9"/>
        <v>COLONIAL</v>
      </c>
    </row>
    <row r="1548" spans="1:9" x14ac:dyDescent="0.3">
      <c r="A1548" t="str">
        <f>""</f>
        <v/>
      </c>
      <c r="F1548" t="str">
        <f>"CLK201805301204"</f>
        <v>CLK201805301204</v>
      </c>
      <c r="G1548" t="str">
        <f t="shared" si="8"/>
        <v>COLONIAL</v>
      </c>
      <c r="H1548">
        <v>27.09</v>
      </c>
      <c r="I1548" t="str">
        <f t="shared" si="9"/>
        <v>COLONIAL</v>
      </c>
    </row>
    <row r="1549" spans="1:9" x14ac:dyDescent="0.3">
      <c r="A1549" t="str">
        <f>""</f>
        <v/>
      </c>
      <c r="F1549" t="str">
        <f>"CLK201806131556"</f>
        <v>CLK201806131556</v>
      </c>
      <c r="G1549" t="str">
        <f t="shared" si="8"/>
        <v>COLONIAL</v>
      </c>
      <c r="H1549">
        <v>27.09</v>
      </c>
      <c r="I1549" t="str">
        <f t="shared" si="9"/>
        <v>COLONIAL</v>
      </c>
    </row>
    <row r="1550" spans="1:9" x14ac:dyDescent="0.3">
      <c r="A1550" t="str">
        <f>""</f>
        <v/>
      </c>
      <c r="F1550" t="str">
        <f>"CLS201805301204"</f>
        <v>CLS201805301204</v>
      </c>
      <c r="G1550" t="str">
        <f t="shared" si="8"/>
        <v>COLONIAL</v>
      </c>
      <c r="H1550">
        <v>419.16</v>
      </c>
      <c r="I1550" t="str">
        <f t="shared" si="9"/>
        <v>COLONIAL</v>
      </c>
    </row>
    <row r="1551" spans="1:9" x14ac:dyDescent="0.3">
      <c r="A1551" t="str">
        <f>""</f>
        <v/>
      </c>
      <c r="F1551" t="str">
        <f>"CLS201805301223"</f>
        <v>CLS201805301223</v>
      </c>
      <c r="G1551" t="str">
        <f t="shared" si="8"/>
        <v>COLONIAL</v>
      </c>
      <c r="H1551">
        <v>12.84</v>
      </c>
      <c r="I1551" t="str">
        <f t="shared" si="9"/>
        <v>COLONIAL</v>
      </c>
    </row>
    <row r="1552" spans="1:9" x14ac:dyDescent="0.3">
      <c r="A1552" t="str">
        <f>""</f>
        <v/>
      </c>
      <c r="F1552" t="str">
        <f>"CLS201806131556"</f>
        <v>CLS201806131556</v>
      </c>
      <c r="G1552" t="str">
        <f t="shared" si="8"/>
        <v>COLONIAL</v>
      </c>
      <c r="H1552">
        <v>419.16</v>
      </c>
      <c r="I1552" t="str">
        <f t="shared" si="9"/>
        <v>COLONIAL</v>
      </c>
    </row>
    <row r="1553" spans="1:9" x14ac:dyDescent="0.3">
      <c r="A1553" t="str">
        <f>""</f>
        <v/>
      </c>
      <c r="F1553" t="str">
        <f>"CLS201806131561"</f>
        <v>CLS201806131561</v>
      </c>
      <c r="G1553" t="str">
        <f t="shared" si="8"/>
        <v>COLONIAL</v>
      </c>
      <c r="H1553">
        <v>12.84</v>
      </c>
      <c r="I1553" t="str">
        <f t="shared" si="9"/>
        <v>COLONIAL</v>
      </c>
    </row>
    <row r="1554" spans="1:9" x14ac:dyDescent="0.3">
      <c r="A1554" t="str">
        <f>""</f>
        <v/>
      </c>
      <c r="F1554" t="str">
        <f>"CLT201805301204"</f>
        <v>CLT201805301204</v>
      </c>
      <c r="G1554" t="str">
        <f t="shared" si="8"/>
        <v>COLONIAL</v>
      </c>
      <c r="H1554">
        <v>332.36</v>
      </c>
      <c r="I1554" t="str">
        <f t="shared" si="9"/>
        <v>COLONIAL</v>
      </c>
    </row>
    <row r="1555" spans="1:9" x14ac:dyDescent="0.3">
      <c r="A1555" t="str">
        <f>""</f>
        <v/>
      </c>
      <c r="F1555" t="str">
        <f>"CLT201806131556"</f>
        <v>CLT201806131556</v>
      </c>
      <c r="G1555" t="str">
        <f t="shared" si="8"/>
        <v>COLONIAL</v>
      </c>
      <c r="H1555">
        <v>332.36</v>
      </c>
      <c r="I1555" t="str">
        <f t="shared" si="9"/>
        <v>COLONIAL</v>
      </c>
    </row>
    <row r="1556" spans="1:9" x14ac:dyDescent="0.3">
      <c r="A1556" t="str">
        <f>""</f>
        <v/>
      </c>
      <c r="F1556" t="str">
        <f>"CLU201805301204"</f>
        <v>CLU201805301204</v>
      </c>
      <c r="G1556" t="str">
        <f t="shared" si="8"/>
        <v>COLONIAL</v>
      </c>
      <c r="H1556">
        <v>149.02000000000001</v>
      </c>
      <c r="I1556" t="str">
        <f t="shared" si="9"/>
        <v>COLONIAL</v>
      </c>
    </row>
    <row r="1557" spans="1:9" x14ac:dyDescent="0.3">
      <c r="A1557" t="str">
        <f>""</f>
        <v/>
      </c>
      <c r="F1557" t="str">
        <f>"CLU201806131556"</f>
        <v>CLU201806131556</v>
      </c>
      <c r="G1557" t="str">
        <f t="shared" si="8"/>
        <v>COLONIAL</v>
      </c>
      <c r="H1557">
        <v>149.02000000000001</v>
      </c>
      <c r="I1557" t="str">
        <f t="shared" si="9"/>
        <v>COLONIAL</v>
      </c>
    </row>
    <row r="1558" spans="1:9" x14ac:dyDescent="0.3">
      <c r="A1558" t="str">
        <f>""</f>
        <v/>
      </c>
      <c r="F1558" t="str">
        <f>"CLW201805301204"</f>
        <v>CLW201805301204</v>
      </c>
      <c r="G1558" t="str">
        <f t="shared" si="8"/>
        <v>COLONIAL</v>
      </c>
      <c r="H1558">
        <v>58.06</v>
      </c>
      <c r="I1558" t="str">
        <f t="shared" si="9"/>
        <v>COLONIAL</v>
      </c>
    </row>
    <row r="1559" spans="1:9" x14ac:dyDescent="0.3">
      <c r="A1559" t="str">
        <f>""</f>
        <v/>
      </c>
      <c r="F1559" t="str">
        <f>"CLW201806131556"</f>
        <v>CLW201806131556</v>
      </c>
      <c r="G1559" t="str">
        <f t="shared" si="8"/>
        <v>COLONIAL</v>
      </c>
      <c r="H1559">
        <v>58.06</v>
      </c>
      <c r="I1559" t="str">
        <f t="shared" si="9"/>
        <v>COLONIAL</v>
      </c>
    </row>
    <row r="1560" spans="1:9" x14ac:dyDescent="0.3">
      <c r="A1560" t="str">
        <f>"T14390"</f>
        <v>T14390</v>
      </c>
      <c r="B1560" t="s">
        <v>440</v>
      </c>
      <c r="C1560">
        <v>0</v>
      </c>
      <c r="D1560" s="2">
        <v>7496.28</v>
      </c>
      <c r="E1560" s="1">
        <v>43252</v>
      </c>
      <c r="F1560" t="str">
        <f>"CPI201805301204"</f>
        <v>CPI201805301204</v>
      </c>
      <c r="G1560" t="str">
        <f>"DEFERRED COMP 457B PAYABLE"</f>
        <v>DEFERRED COMP 457B PAYABLE</v>
      </c>
      <c r="H1560">
        <v>7388.78</v>
      </c>
      <c r="I1560" t="str">
        <f>"DEFERRED COMP 457B PAYABLE"</f>
        <v>DEFERRED COMP 457B PAYABLE</v>
      </c>
    </row>
    <row r="1561" spans="1:9" x14ac:dyDescent="0.3">
      <c r="A1561" t="str">
        <f>""</f>
        <v/>
      </c>
      <c r="F1561" t="str">
        <f>"CPI201805301223"</f>
        <v>CPI201805301223</v>
      </c>
      <c r="G1561" t="str">
        <f>"DEFERRED COMP 457B PAYABLE"</f>
        <v>DEFERRED COMP 457B PAYABLE</v>
      </c>
      <c r="H1561">
        <v>107.5</v>
      </c>
      <c r="I1561" t="str">
        <f>"DEFERRED COMP 457B PAYABLE"</f>
        <v>DEFERRED COMP 457B PAYABLE</v>
      </c>
    </row>
    <row r="1562" spans="1:9" x14ac:dyDescent="0.3">
      <c r="A1562" t="str">
        <f>"T14390"</f>
        <v>T14390</v>
      </c>
      <c r="B1562" t="s">
        <v>440</v>
      </c>
      <c r="C1562">
        <v>0</v>
      </c>
      <c r="D1562" s="2">
        <v>7640.77</v>
      </c>
      <c r="E1562" s="1">
        <v>43266</v>
      </c>
      <c r="F1562" t="str">
        <f>"CPI201806131556"</f>
        <v>CPI201806131556</v>
      </c>
      <c r="G1562" t="str">
        <f>"DEFERRED COMP 457B PAYABLE"</f>
        <v>DEFERRED COMP 457B PAYABLE</v>
      </c>
      <c r="H1562">
        <v>7533.27</v>
      </c>
      <c r="I1562" t="str">
        <f>"DEFERRED COMP 457B PAYABLE"</f>
        <v>DEFERRED COMP 457B PAYABLE</v>
      </c>
    </row>
    <row r="1563" spans="1:9" x14ac:dyDescent="0.3">
      <c r="A1563" t="str">
        <f>""</f>
        <v/>
      </c>
      <c r="F1563" t="str">
        <f>"CPI201806131561"</f>
        <v>CPI201806131561</v>
      </c>
      <c r="G1563" t="str">
        <f>"DEFERRED COMP 457B PAYABLE"</f>
        <v>DEFERRED COMP 457B PAYABLE</v>
      </c>
      <c r="H1563">
        <v>107.5</v>
      </c>
      <c r="I1563" t="str">
        <f>"DEFERRED COMP 457B PAYABLE"</f>
        <v>DEFERRED COMP 457B PAYABLE</v>
      </c>
    </row>
    <row r="1564" spans="1:9" x14ac:dyDescent="0.3">
      <c r="A1564" t="str">
        <f>"T14390"</f>
        <v>T14390</v>
      </c>
      <c r="B1564" t="s">
        <v>440</v>
      </c>
      <c r="C1564">
        <v>0</v>
      </c>
      <c r="D1564" s="2">
        <v>322.88</v>
      </c>
      <c r="E1564" s="1">
        <v>43280</v>
      </c>
      <c r="F1564" t="str">
        <f>"CPI201806271719"</f>
        <v>CPI201806271719</v>
      </c>
      <c r="G1564" t="str">
        <f>"DEFERRED COMP 457B PAYABLE"</f>
        <v>DEFERRED COMP 457B PAYABLE</v>
      </c>
      <c r="H1564">
        <v>322.88</v>
      </c>
      <c r="I1564" t="str">
        <f>"DEFERRED COMP 457B PAYABLE"</f>
        <v>DEFERRED COMP 457B PAYABLE</v>
      </c>
    </row>
    <row r="1565" spans="1:9" x14ac:dyDescent="0.3">
      <c r="A1565" t="str">
        <f>"T10761"</f>
        <v>T10761</v>
      </c>
      <c r="B1565" t="s">
        <v>441</v>
      </c>
      <c r="C1565">
        <v>46391</v>
      </c>
      <c r="D1565" s="2">
        <v>1368.7</v>
      </c>
      <c r="E1565" s="1">
        <v>43252</v>
      </c>
      <c r="F1565" t="str">
        <f>"B13201805301204"</f>
        <v>B13201805301204</v>
      </c>
      <c r="G1565" t="str">
        <f>"Rosa Warren 15-10357-TMD"</f>
        <v>Rosa Warren 15-10357-TMD</v>
      </c>
      <c r="H1565">
        <v>853.85</v>
      </c>
      <c r="I1565" t="str">
        <f>"Rosa Warren 15-10357-TMD"</f>
        <v>Rosa Warren 15-10357-TMD</v>
      </c>
    </row>
    <row r="1566" spans="1:9" x14ac:dyDescent="0.3">
      <c r="A1566" t="str">
        <f>""</f>
        <v/>
      </c>
      <c r="F1566" t="str">
        <f>"BJL201805301204"</f>
        <v>BJL201805301204</v>
      </c>
      <c r="G1566" t="str">
        <f>"Julian Luna 14-10230-TMD"</f>
        <v>Julian Luna 14-10230-TMD</v>
      </c>
      <c r="H1566">
        <v>514.85</v>
      </c>
      <c r="I1566" t="str">
        <f>"Julian Luna 14-10230-TMD"</f>
        <v>Julian Luna 14-10230-TMD</v>
      </c>
    </row>
    <row r="1567" spans="1:9" x14ac:dyDescent="0.3">
      <c r="A1567" t="str">
        <f>"T10761"</f>
        <v>T10761</v>
      </c>
      <c r="B1567" t="s">
        <v>441</v>
      </c>
      <c r="C1567">
        <v>46420</v>
      </c>
      <c r="D1567" s="2">
        <v>1368.7</v>
      </c>
      <c r="E1567" s="1">
        <v>43266</v>
      </c>
      <c r="F1567" t="str">
        <f>"B13201806131556"</f>
        <v>B13201806131556</v>
      </c>
      <c r="G1567" t="str">
        <f>"Rosa Warren 15-10357-TMD"</f>
        <v>Rosa Warren 15-10357-TMD</v>
      </c>
      <c r="H1567">
        <v>853.85</v>
      </c>
      <c r="I1567" t="str">
        <f>"Rosa Warren 15-10357-TMD"</f>
        <v>Rosa Warren 15-10357-TMD</v>
      </c>
    </row>
    <row r="1568" spans="1:9" x14ac:dyDescent="0.3">
      <c r="A1568" t="str">
        <f>""</f>
        <v/>
      </c>
      <c r="F1568" t="str">
        <f>"BJL201806131556"</f>
        <v>BJL201806131556</v>
      </c>
      <c r="G1568" t="str">
        <f>"Julian Luna 14-10230-TMD"</f>
        <v>Julian Luna 14-10230-TMD</v>
      </c>
      <c r="H1568">
        <v>514.85</v>
      </c>
      <c r="I1568" t="str">
        <f>"Julian Luna 14-10230-TMD"</f>
        <v>Julian Luna 14-10230-TMD</v>
      </c>
    </row>
    <row r="1569" spans="1:9" x14ac:dyDescent="0.3">
      <c r="A1569" t="str">
        <f>"T10761"</f>
        <v>T10761</v>
      </c>
      <c r="B1569" t="s">
        <v>441</v>
      </c>
      <c r="C1569">
        <v>46445</v>
      </c>
      <c r="D1569" s="2">
        <v>1368.7</v>
      </c>
      <c r="E1569" s="1">
        <v>43280</v>
      </c>
      <c r="F1569" t="str">
        <f>"B13201806271719"</f>
        <v>B13201806271719</v>
      </c>
      <c r="G1569" t="str">
        <f>"Rosa Warren 15-10357-TMD"</f>
        <v>Rosa Warren 15-10357-TMD</v>
      </c>
      <c r="H1569">
        <v>853.85</v>
      </c>
      <c r="I1569" t="str">
        <f>"Rosa Warren 15-10357-TMD"</f>
        <v>Rosa Warren 15-10357-TMD</v>
      </c>
    </row>
    <row r="1570" spans="1:9" x14ac:dyDescent="0.3">
      <c r="A1570" t="str">
        <f>""</f>
        <v/>
      </c>
      <c r="F1570" t="str">
        <f>"BJL201806271719"</f>
        <v>BJL201806271719</v>
      </c>
      <c r="G1570" t="str">
        <f>"Julian Luna 14-10230-TMD"</f>
        <v>Julian Luna 14-10230-TMD</v>
      </c>
      <c r="H1570">
        <v>514.85</v>
      </c>
      <c r="I1570" t="str">
        <f>"Julian Luna 14-10230-TMD"</f>
        <v>Julian Luna 14-10230-TMD</v>
      </c>
    </row>
    <row r="1571" spans="1:9" x14ac:dyDescent="0.3">
      <c r="A1571" t="str">
        <f>"GUARD"</f>
        <v>GUARD</v>
      </c>
      <c r="B1571" t="s">
        <v>442</v>
      </c>
      <c r="C1571">
        <v>0</v>
      </c>
      <c r="D1571" s="2">
        <v>37676.79</v>
      </c>
      <c r="E1571" s="1">
        <v>43278</v>
      </c>
      <c r="F1571" t="str">
        <f>"201806271723"</f>
        <v>201806271723</v>
      </c>
      <c r="G1571" t="str">
        <f>"GUARDIAN"</f>
        <v>GUARDIAN</v>
      </c>
      <c r="H1571">
        <v>-6</v>
      </c>
      <c r="I1571" t="str">
        <f>"GUARDIAN"</f>
        <v>GUARDIAN</v>
      </c>
    </row>
    <row r="1572" spans="1:9" x14ac:dyDescent="0.3">
      <c r="A1572" t="str">
        <f>""</f>
        <v/>
      </c>
      <c r="F1572" t="str">
        <f>"201806271725"</f>
        <v>201806271725</v>
      </c>
      <c r="G1572" t="str">
        <f>"GUARDIAN"</f>
        <v>GUARDIAN</v>
      </c>
      <c r="H1572">
        <v>-0.36</v>
      </c>
      <c r="I1572" t="str">
        <f>"GUARDIAN"</f>
        <v>GUARDIAN</v>
      </c>
    </row>
    <row r="1573" spans="1:9" x14ac:dyDescent="0.3">
      <c r="A1573" t="str">
        <f>""</f>
        <v/>
      </c>
      <c r="F1573" t="str">
        <f>"201806271726"</f>
        <v>201806271726</v>
      </c>
      <c r="G1573" t="str">
        <f>"GUARDIAN ltd"</f>
        <v>GUARDIAN ltd</v>
      </c>
      <c r="H1573">
        <v>-7.0000000000000007E-2</v>
      </c>
      <c r="I1573" t="str">
        <f>"GUARDIAN ltd"</f>
        <v>GUARDIAN ltd</v>
      </c>
    </row>
    <row r="1574" spans="1:9" x14ac:dyDescent="0.3">
      <c r="A1574" t="str">
        <f>""</f>
        <v/>
      </c>
      <c r="F1574" t="str">
        <f>"201806271722"</f>
        <v>201806271722</v>
      </c>
      <c r="G1574" t="str">
        <f>"Retiree Dental June 2018"</f>
        <v>Retiree Dental June 2018</v>
      </c>
      <c r="H1574">
        <v>2968.22</v>
      </c>
      <c r="I1574" t="str">
        <f>"GUARDIAN"</f>
        <v>GUARDIAN</v>
      </c>
    </row>
    <row r="1575" spans="1:9" x14ac:dyDescent="0.3">
      <c r="A1575" t="str">
        <f>""</f>
        <v/>
      </c>
      <c r="F1575" t="str">
        <f>"201806271724"</f>
        <v>201806271724</v>
      </c>
      <c r="G1575" t="str">
        <f>"GUARDIAN Retiree Life"</f>
        <v>GUARDIAN Retiree Life</v>
      </c>
      <c r="H1575">
        <v>135.66</v>
      </c>
      <c r="I1575" t="str">
        <f>"GUARDIAN Retiree Life"</f>
        <v>GUARDIAN Retiree Life</v>
      </c>
    </row>
    <row r="1576" spans="1:9" x14ac:dyDescent="0.3">
      <c r="A1576" t="str">
        <f>""</f>
        <v/>
      </c>
      <c r="F1576" t="str">
        <f>"ADC201805301204"</f>
        <v>ADC201805301204</v>
      </c>
      <c r="G1576" t="str">
        <f t="shared" ref="G1576:G1588" si="10">"GUARDIAN"</f>
        <v>GUARDIAN</v>
      </c>
      <c r="H1576">
        <v>5.01</v>
      </c>
      <c r="I1576" t="str">
        <f t="shared" ref="I1576:I1639" si="11">"GUARDIAN"</f>
        <v>GUARDIAN</v>
      </c>
    </row>
    <row r="1577" spans="1:9" x14ac:dyDescent="0.3">
      <c r="A1577" t="str">
        <f>""</f>
        <v/>
      </c>
      <c r="F1577" t="str">
        <f>"ADC201805301223"</f>
        <v>ADC201805301223</v>
      </c>
      <c r="G1577" t="str">
        <f t="shared" si="10"/>
        <v>GUARDIAN</v>
      </c>
      <c r="H1577">
        <v>0.16</v>
      </c>
      <c r="I1577" t="str">
        <f t="shared" si="11"/>
        <v>GUARDIAN</v>
      </c>
    </row>
    <row r="1578" spans="1:9" x14ac:dyDescent="0.3">
      <c r="A1578" t="str">
        <f>""</f>
        <v/>
      </c>
      <c r="F1578" t="str">
        <f>"ADC201806131556"</f>
        <v>ADC201806131556</v>
      </c>
      <c r="G1578" t="str">
        <f t="shared" si="10"/>
        <v>GUARDIAN</v>
      </c>
      <c r="H1578">
        <v>5.01</v>
      </c>
      <c r="I1578" t="str">
        <f t="shared" si="11"/>
        <v>GUARDIAN</v>
      </c>
    </row>
    <row r="1579" spans="1:9" x14ac:dyDescent="0.3">
      <c r="A1579" t="str">
        <f>""</f>
        <v/>
      </c>
      <c r="F1579" t="str">
        <f>"ADC201806131561"</f>
        <v>ADC201806131561</v>
      </c>
      <c r="G1579" t="str">
        <f t="shared" si="10"/>
        <v>GUARDIAN</v>
      </c>
      <c r="H1579">
        <v>0.16</v>
      </c>
      <c r="I1579" t="str">
        <f t="shared" si="11"/>
        <v>GUARDIAN</v>
      </c>
    </row>
    <row r="1580" spans="1:9" x14ac:dyDescent="0.3">
      <c r="A1580" t="str">
        <f>""</f>
        <v/>
      </c>
      <c r="F1580" t="str">
        <f>"ADE201805301204"</f>
        <v>ADE201805301204</v>
      </c>
      <c r="G1580" t="str">
        <f t="shared" si="10"/>
        <v>GUARDIAN</v>
      </c>
      <c r="H1580">
        <v>201.5</v>
      </c>
      <c r="I1580" t="str">
        <f t="shared" si="11"/>
        <v>GUARDIAN</v>
      </c>
    </row>
    <row r="1581" spans="1:9" x14ac:dyDescent="0.3">
      <c r="A1581" t="str">
        <f>""</f>
        <v/>
      </c>
      <c r="F1581" t="str">
        <f>"ADE201805301223"</f>
        <v>ADE201805301223</v>
      </c>
      <c r="G1581" t="str">
        <f t="shared" si="10"/>
        <v>GUARDIAN</v>
      </c>
      <c r="H1581">
        <v>7.8</v>
      </c>
      <c r="I1581" t="str">
        <f t="shared" si="11"/>
        <v>GUARDIAN</v>
      </c>
    </row>
    <row r="1582" spans="1:9" x14ac:dyDescent="0.3">
      <c r="A1582" t="str">
        <f>""</f>
        <v/>
      </c>
      <c r="F1582" t="str">
        <f>"ADE201806131556"</f>
        <v>ADE201806131556</v>
      </c>
      <c r="G1582" t="str">
        <f t="shared" si="10"/>
        <v>GUARDIAN</v>
      </c>
      <c r="H1582">
        <v>201.5</v>
      </c>
      <c r="I1582" t="str">
        <f t="shared" si="11"/>
        <v>GUARDIAN</v>
      </c>
    </row>
    <row r="1583" spans="1:9" x14ac:dyDescent="0.3">
      <c r="A1583" t="str">
        <f>""</f>
        <v/>
      </c>
      <c r="F1583" t="str">
        <f>"ADE201806131561"</f>
        <v>ADE201806131561</v>
      </c>
      <c r="G1583" t="str">
        <f t="shared" si="10"/>
        <v>GUARDIAN</v>
      </c>
      <c r="H1583">
        <v>7.8</v>
      </c>
      <c r="I1583" t="str">
        <f t="shared" si="11"/>
        <v>GUARDIAN</v>
      </c>
    </row>
    <row r="1584" spans="1:9" x14ac:dyDescent="0.3">
      <c r="A1584" t="str">
        <f>""</f>
        <v/>
      </c>
      <c r="F1584" t="str">
        <f>"ADS201805301204"</f>
        <v>ADS201805301204</v>
      </c>
      <c r="G1584" t="str">
        <f t="shared" si="10"/>
        <v>GUARDIAN</v>
      </c>
      <c r="H1584">
        <v>30.35</v>
      </c>
      <c r="I1584" t="str">
        <f t="shared" si="11"/>
        <v>GUARDIAN</v>
      </c>
    </row>
    <row r="1585" spans="1:9" x14ac:dyDescent="0.3">
      <c r="A1585" t="str">
        <f>""</f>
        <v/>
      </c>
      <c r="F1585" t="str">
        <f>"ADS201805301223"</f>
        <v>ADS201805301223</v>
      </c>
      <c r="G1585" t="str">
        <f t="shared" si="10"/>
        <v>GUARDIAN</v>
      </c>
      <c r="H1585">
        <v>0.98</v>
      </c>
      <c r="I1585" t="str">
        <f t="shared" si="11"/>
        <v>GUARDIAN</v>
      </c>
    </row>
    <row r="1586" spans="1:9" x14ac:dyDescent="0.3">
      <c r="A1586" t="str">
        <f>""</f>
        <v/>
      </c>
      <c r="F1586" t="str">
        <f>"ADS201806131556"</f>
        <v>ADS201806131556</v>
      </c>
      <c r="G1586" t="str">
        <f t="shared" si="10"/>
        <v>GUARDIAN</v>
      </c>
      <c r="H1586">
        <v>30.35</v>
      </c>
      <c r="I1586" t="str">
        <f t="shared" si="11"/>
        <v>GUARDIAN</v>
      </c>
    </row>
    <row r="1587" spans="1:9" x14ac:dyDescent="0.3">
      <c r="A1587" t="str">
        <f>""</f>
        <v/>
      </c>
      <c r="F1587" t="str">
        <f>"ADS201806131561"</f>
        <v>ADS201806131561</v>
      </c>
      <c r="G1587" t="str">
        <f t="shared" si="10"/>
        <v>GUARDIAN</v>
      </c>
      <c r="H1587">
        <v>0.98</v>
      </c>
      <c r="I1587" t="str">
        <f t="shared" si="11"/>
        <v>GUARDIAN</v>
      </c>
    </row>
    <row r="1588" spans="1:9" x14ac:dyDescent="0.3">
      <c r="A1588" t="str">
        <f>""</f>
        <v/>
      </c>
      <c r="F1588" t="str">
        <f>"GDC201805301204"</f>
        <v>GDC201805301204</v>
      </c>
      <c r="G1588" t="str">
        <f t="shared" si="10"/>
        <v>GUARDIAN</v>
      </c>
      <c r="H1588">
        <v>2546.6999999999998</v>
      </c>
      <c r="I1588" t="str">
        <f t="shared" si="11"/>
        <v>GUARDIAN</v>
      </c>
    </row>
    <row r="1589" spans="1:9" x14ac:dyDescent="0.3">
      <c r="A1589" t="str">
        <f>""</f>
        <v/>
      </c>
      <c r="F1589" t="str">
        <f>""</f>
        <v/>
      </c>
      <c r="G1589" t="str">
        <f>""</f>
        <v/>
      </c>
      <c r="I1589" t="str">
        <f t="shared" si="11"/>
        <v>GUARDIAN</v>
      </c>
    </row>
    <row r="1590" spans="1:9" x14ac:dyDescent="0.3">
      <c r="A1590" t="str">
        <f>""</f>
        <v/>
      </c>
      <c r="F1590" t="str">
        <f>""</f>
        <v/>
      </c>
      <c r="G1590" t="str">
        <f>""</f>
        <v/>
      </c>
      <c r="I1590" t="str">
        <f t="shared" si="11"/>
        <v>GUARDIAN</v>
      </c>
    </row>
    <row r="1591" spans="1:9" x14ac:dyDescent="0.3">
      <c r="A1591" t="str">
        <f>""</f>
        <v/>
      </c>
      <c r="F1591" t="str">
        <f>""</f>
        <v/>
      </c>
      <c r="G1591" t="str">
        <f>""</f>
        <v/>
      </c>
      <c r="I1591" t="str">
        <f t="shared" si="11"/>
        <v>GUARDIAN</v>
      </c>
    </row>
    <row r="1592" spans="1:9" x14ac:dyDescent="0.3">
      <c r="A1592" t="str">
        <f>""</f>
        <v/>
      </c>
      <c r="F1592" t="str">
        <f>""</f>
        <v/>
      </c>
      <c r="G1592" t="str">
        <f>""</f>
        <v/>
      </c>
      <c r="I1592" t="str">
        <f t="shared" si="11"/>
        <v>GUARDIAN</v>
      </c>
    </row>
    <row r="1593" spans="1:9" x14ac:dyDescent="0.3">
      <c r="A1593" t="str">
        <f>""</f>
        <v/>
      </c>
      <c r="F1593" t="str">
        <f>""</f>
        <v/>
      </c>
      <c r="G1593" t="str">
        <f>""</f>
        <v/>
      </c>
      <c r="I1593" t="str">
        <f t="shared" si="11"/>
        <v>GUARDIAN</v>
      </c>
    </row>
    <row r="1594" spans="1:9" x14ac:dyDescent="0.3">
      <c r="A1594" t="str">
        <f>""</f>
        <v/>
      </c>
      <c r="F1594" t="str">
        <f>""</f>
        <v/>
      </c>
      <c r="G1594" t="str">
        <f>""</f>
        <v/>
      </c>
      <c r="I1594" t="str">
        <f t="shared" si="11"/>
        <v>GUARDIAN</v>
      </c>
    </row>
    <row r="1595" spans="1:9" x14ac:dyDescent="0.3">
      <c r="A1595" t="str">
        <f>""</f>
        <v/>
      </c>
      <c r="F1595" t="str">
        <f>""</f>
        <v/>
      </c>
      <c r="G1595" t="str">
        <f>""</f>
        <v/>
      </c>
      <c r="I1595" t="str">
        <f t="shared" si="11"/>
        <v>GUARDIAN</v>
      </c>
    </row>
    <row r="1596" spans="1:9" x14ac:dyDescent="0.3">
      <c r="A1596" t="str">
        <f>""</f>
        <v/>
      </c>
      <c r="F1596" t="str">
        <f>""</f>
        <v/>
      </c>
      <c r="G1596" t="str">
        <f>""</f>
        <v/>
      </c>
      <c r="I1596" t="str">
        <f t="shared" si="11"/>
        <v>GUARDIAN</v>
      </c>
    </row>
    <row r="1597" spans="1:9" x14ac:dyDescent="0.3">
      <c r="A1597" t="str">
        <f>""</f>
        <v/>
      </c>
      <c r="F1597" t="str">
        <f>""</f>
        <v/>
      </c>
      <c r="G1597" t="str">
        <f>""</f>
        <v/>
      </c>
      <c r="I1597" t="str">
        <f t="shared" si="11"/>
        <v>GUARDIAN</v>
      </c>
    </row>
    <row r="1598" spans="1:9" x14ac:dyDescent="0.3">
      <c r="A1598" t="str">
        <f>""</f>
        <v/>
      </c>
      <c r="F1598" t="str">
        <f>""</f>
        <v/>
      </c>
      <c r="G1598" t="str">
        <f>""</f>
        <v/>
      </c>
      <c r="I1598" t="str">
        <f t="shared" si="11"/>
        <v>GUARDIAN</v>
      </c>
    </row>
    <row r="1599" spans="1:9" x14ac:dyDescent="0.3">
      <c r="A1599" t="str">
        <f>""</f>
        <v/>
      </c>
      <c r="F1599" t="str">
        <f>""</f>
        <v/>
      </c>
      <c r="G1599" t="str">
        <f>""</f>
        <v/>
      </c>
      <c r="I1599" t="str">
        <f t="shared" si="11"/>
        <v>GUARDIAN</v>
      </c>
    </row>
    <row r="1600" spans="1:9" x14ac:dyDescent="0.3">
      <c r="A1600" t="str">
        <f>""</f>
        <v/>
      </c>
      <c r="F1600" t="str">
        <f>""</f>
        <v/>
      </c>
      <c r="G1600" t="str">
        <f>""</f>
        <v/>
      </c>
      <c r="I1600" t="str">
        <f t="shared" si="11"/>
        <v>GUARDIAN</v>
      </c>
    </row>
    <row r="1601" spans="1:9" x14ac:dyDescent="0.3">
      <c r="A1601" t="str">
        <f>""</f>
        <v/>
      </c>
      <c r="F1601" t="str">
        <f>""</f>
        <v/>
      </c>
      <c r="G1601" t="str">
        <f>""</f>
        <v/>
      </c>
      <c r="I1601" t="str">
        <f t="shared" si="11"/>
        <v>GUARDIAN</v>
      </c>
    </row>
    <row r="1602" spans="1:9" x14ac:dyDescent="0.3">
      <c r="A1602" t="str">
        <f>""</f>
        <v/>
      </c>
      <c r="F1602" t="str">
        <f>""</f>
        <v/>
      </c>
      <c r="G1602" t="str">
        <f>""</f>
        <v/>
      </c>
      <c r="I1602" t="str">
        <f t="shared" si="11"/>
        <v>GUARDIAN</v>
      </c>
    </row>
    <row r="1603" spans="1:9" x14ac:dyDescent="0.3">
      <c r="A1603" t="str">
        <f>""</f>
        <v/>
      </c>
      <c r="F1603" t="str">
        <f>""</f>
        <v/>
      </c>
      <c r="G1603" t="str">
        <f>""</f>
        <v/>
      </c>
      <c r="I1603" t="str">
        <f t="shared" si="11"/>
        <v>GUARDIAN</v>
      </c>
    </row>
    <row r="1604" spans="1:9" x14ac:dyDescent="0.3">
      <c r="A1604" t="str">
        <f>""</f>
        <v/>
      </c>
      <c r="F1604" t="str">
        <f>""</f>
        <v/>
      </c>
      <c r="G1604" t="str">
        <f>""</f>
        <v/>
      </c>
      <c r="I1604" t="str">
        <f t="shared" si="11"/>
        <v>GUARDIAN</v>
      </c>
    </row>
    <row r="1605" spans="1:9" x14ac:dyDescent="0.3">
      <c r="A1605" t="str">
        <f>""</f>
        <v/>
      </c>
      <c r="F1605" t="str">
        <f>""</f>
        <v/>
      </c>
      <c r="G1605" t="str">
        <f>""</f>
        <v/>
      </c>
      <c r="I1605" t="str">
        <f t="shared" si="11"/>
        <v>GUARDIAN</v>
      </c>
    </row>
    <row r="1606" spans="1:9" x14ac:dyDescent="0.3">
      <c r="A1606" t="str">
        <f>""</f>
        <v/>
      </c>
      <c r="F1606" t="str">
        <f>""</f>
        <v/>
      </c>
      <c r="G1606" t="str">
        <f>""</f>
        <v/>
      </c>
      <c r="I1606" t="str">
        <f t="shared" si="11"/>
        <v>GUARDIAN</v>
      </c>
    </row>
    <row r="1607" spans="1:9" x14ac:dyDescent="0.3">
      <c r="A1607" t="str">
        <f>""</f>
        <v/>
      </c>
      <c r="F1607" t="str">
        <f>""</f>
        <v/>
      </c>
      <c r="G1607" t="str">
        <f>""</f>
        <v/>
      </c>
      <c r="I1607" t="str">
        <f t="shared" si="11"/>
        <v>GUARDIAN</v>
      </c>
    </row>
    <row r="1608" spans="1:9" x14ac:dyDescent="0.3">
      <c r="A1608" t="str">
        <f>""</f>
        <v/>
      </c>
      <c r="F1608" t="str">
        <f>""</f>
        <v/>
      </c>
      <c r="G1608" t="str">
        <f>""</f>
        <v/>
      </c>
      <c r="I1608" t="str">
        <f t="shared" si="11"/>
        <v>GUARDIAN</v>
      </c>
    </row>
    <row r="1609" spans="1:9" x14ac:dyDescent="0.3">
      <c r="A1609" t="str">
        <f>""</f>
        <v/>
      </c>
      <c r="F1609" t="str">
        <f>""</f>
        <v/>
      </c>
      <c r="G1609" t="str">
        <f>""</f>
        <v/>
      </c>
      <c r="I1609" t="str">
        <f t="shared" si="11"/>
        <v>GUARDIAN</v>
      </c>
    </row>
    <row r="1610" spans="1:9" x14ac:dyDescent="0.3">
      <c r="A1610" t="str">
        <f>""</f>
        <v/>
      </c>
      <c r="F1610" t="str">
        <f>""</f>
        <v/>
      </c>
      <c r="G1610" t="str">
        <f>""</f>
        <v/>
      </c>
      <c r="I1610" t="str">
        <f t="shared" si="11"/>
        <v>GUARDIAN</v>
      </c>
    </row>
    <row r="1611" spans="1:9" x14ac:dyDescent="0.3">
      <c r="A1611" t="str">
        <f>""</f>
        <v/>
      </c>
      <c r="F1611" t="str">
        <f>""</f>
        <v/>
      </c>
      <c r="G1611" t="str">
        <f>""</f>
        <v/>
      </c>
      <c r="I1611" t="str">
        <f t="shared" si="11"/>
        <v>GUARDIAN</v>
      </c>
    </row>
    <row r="1612" spans="1:9" x14ac:dyDescent="0.3">
      <c r="A1612" t="str">
        <f>""</f>
        <v/>
      </c>
      <c r="F1612" t="str">
        <f>""</f>
        <v/>
      </c>
      <c r="G1612" t="str">
        <f>""</f>
        <v/>
      </c>
      <c r="I1612" t="str">
        <f t="shared" si="11"/>
        <v>GUARDIAN</v>
      </c>
    </row>
    <row r="1613" spans="1:9" x14ac:dyDescent="0.3">
      <c r="A1613" t="str">
        <f>""</f>
        <v/>
      </c>
      <c r="F1613" t="str">
        <f>""</f>
        <v/>
      </c>
      <c r="G1613" t="str">
        <f>""</f>
        <v/>
      </c>
      <c r="I1613" t="str">
        <f t="shared" si="11"/>
        <v>GUARDIAN</v>
      </c>
    </row>
    <row r="1614" spans="1:9" x14ac:dyDescent="0.3">
      <c r="A1614" t="str">
        <f>""</f>
        <v/>
      </c>
      <c r="F1614" t="str">
        <f>""</f>
        <v/>
      </c>
      <c r="G1614" t="str">
        <f>""</f>
        <v/>
      </c>
      <c r="I1614" t="str">
        <f t="shared" si="11"/>
        <v>GUARDIAN</v>
      </c>
    </row>
    <row r="1615" spans="1:9" x14ac:dyDescent="0.3">
      <c r="A1615" t="str">
        <f>""</f>
        <v/>
      </c>
      <c r="F1615" t="str">
        <f>""</f>
        <v/>
      </c>
      <c r="G1615" t="str">
        <f>""</f>
        <v/>
      </c>
      <c r="I1615" t="str">
        <f t="shared" si="11"/>
        <v>GUARDIAN</v>
      </c>
    </row>
    <row r="1616" spans="1:9" x14ac:dyDescent="0.3">
      <c r="A1616" t="str">
        <f>""</f>
        <v/>
      </c>
      <c r="F1616" t="str">
        <f>""</f>
        <v/>
      </c>
      <c r="G1616" t="str">
        <f>""</f>
        <v/>
      </c>
      <c r="I1616" t="str">
        <f t="shared" si="11"/>
        <v>GUARDIAN</v>
      </c>
    </row>
    <row r="1617" spans="1:9" x14ac:dyDescent="0.3">
      <c r="A1617" t="str">
        <f>""</f>
        <v/>
      </c>
      <c r="F1617" t="str">
        <f>""</f>
        <v/>
      </c>
      <c r="G1617" t="str">
        <f>""</f>
        <v/>
      </c>
      <c r="I1617" t="str">
        <f t="shared" si="11"/>
        <v>GUARDIAN</v>
      </c>
    </row>
    <row r="1618" spans="1:9" x14ac:dyDescent="0.3">
      <c r="A1618" t="str">
        <f>""</f>
        <v/>
      </c>
      <c r="F1618" t="str">
        <f>""</f>
        <v/>
      </c>
      <c r="G1618" t="str">
        <f>""</f>
        <v/>
      </c>
      <c r="I1618" t="str">
        <f t="shared" si="11"/>
        <v>GUARDIAN</v>
      </c>
    </row>
    <row r="1619" spans="1:9" x14ac:dyDescent="0.3">
      <c r="A1619" t="str">
        <f>""</f>
        <v/>
      </c>
      <c r="F1619" t="str">
        <f>"GDC201805301223"</f>
        <v>GDC201805301223</v>
      </c>
      <c r="G1619" t="str">
        <f>"GUARDIAN"</f>
        <v>GUARDIAN</v>
      </c>
      <c r="H1619">
        <v>97.95</v>
      </c>
      <c r="I1619" t="str">
        <f t="shared" si="11"/>
        <v>GUARDIAN</v>
      </c>
    </row>
    <row r="1620" spans="1:9" x14ac:dyDescent="0.3">
      <c r="A1620" t="str">
        <f>""</f>
        <v/>
      </c>
      <c r="F1620" t="str">
        <f>""</f>
        <v/>
      </c>
      <c r="G1620" t="str">
        <f>""</f>
        <v/>
      </c>
      <c r="I1620" t="str">
        <f t="shared" si="11"/>
        <v>GUARDIAN</v>
      </c>
    </row>
    <row r="1621" spans="1:9" x14ac:dyDescent="0.3">
      <c r="A1621" t="str">
        <f>""</f>
        <v/>
      </c>
      <c r="F1621" t="str">
        <f>"GDC201806131556"</f>
        <v>GDC201806131556</v>
      </c>
      <c r="G1621" t="str">
        <f>"GUARDIAN"</f>
        <v>GUARDIAN</v>
      </c>
      <c r="H1621">
        <v>2546.6999999999998</v>
      </c>
      <c r="I1621" t="str">
        <f t="shared" si="11"/>
        <v>GUARDIAN</v>
      </c>
    </row>
    <row r="1622" spans="1:9" x14ac:dyDescent="0.3">
      <c r="A1622" t="str">
        <f>""</f>
        <v/>
      </c>
      <c r="F1622" t="str">
        <f>""</f>
        <v/>
      </c>
      <c r="G1622" t="str">
        <f>""</f>
        <v/>
      </c>
      <c r="I1622" t="str">
        <f t="shared" si="11"/>
        <v>GUARDIAN</v>
      </c>
    </row>
    <row r="1623" spans="1:9" x14ac:dyDescent="0.3">
      <c r="A1623" t="str">
        <f>""</f>
        <v/>
      </c>
      <c r="F1623" t="str">
        <f>""</f>
        <v/>
      </c>
      <c r="G1623" t="str">
        <f>""</f>
        <v/>
      </c>
      <c r="I1623" t="str">
        <f t="shared" si="11"/>
        <v>GUARDIAN</v>
      </c>
    </row>
    <row r="1624" spans="1:9" x14ac:dyDescent="0.3">
      <c r="A1624" t="str">
        <f>""</f>
        <v/>
      </c>
      <c r="F1624" t="str">
        <f>""</f>
        <v/>
      </c>
      <c r="G1624" t="str">
        <f>""</f>
        <v/>
      </c>
      <c r="I1624" t="str">
        <f t="shared" si="11"/>
        <v>GUARDIAN</v>
      </c>
    </row>
    <row r="1625" spans="1:9" x14ac:dyDescent="0.3">
      <c r="A1625" t="str">
        <f>""</f>
        <v/>
      </c>
      <c r="F1625" t="str">
        <f>""</f>
        <v/>
      </c>
      <c r="G1625" t="str">
        <f>""</f>
        <v/>
      </c>
      <c r="I1625" t="str">
        <f t="shared" si="11"/>
        <v>GUARDIAN</v>
      </c>
    </row>
    <row r="1626" spans="1:9" x14ac:dyDescent="0.3">
      <c r="A1626" t="str">
        <f>""</f>
        <v/>
      </c>
      <c r="F1626" t="str">
        <f>""</f>
        <v/>
      </c>
      <c r="G1626" t="str">
        <f>""</f>
        <v/>
      </c>
      <c r="I1626" t="str">
        <f t="shared" si="11"/>
        <v>GUARDIAN</v>
      </c>
    </row>
    <row r="1627" spans="1:9" x14ac:dyDescent="0.3">
      <c r="A1627" t="str">
        <f>""</f>
        <v/>
      </c>
      <c r="F1627" t="str">
        <f>""</f>
        <v/>
      </c>
      <c r="G1627" t="str">
        <f>""</f>
        <v/>
      </c>
      <c r="I1627" t="str">
        <f t="shared" si="11"/>
        <v>GUARDIAN</v>
      </c>
    </row>
    <row r="1628" spans="1:9" x14ac:dyDescent="0.3">
      <c r="A1628" t="str">
        <f>""</f>
        <v/>
      </c>
      <c r="F1628" t="str">
        <f>""</f>
        <v/>
      </c>
      <c r="G1628" t="str">
        <f>""</f>
        <v/>
      </c>
      <c r="I1628" t="str">
        <f t="shared" si="11"/>
        <v>GUARDIAN</v>
      </c>
    </row>
    <row r="1629" spans="1:9" x14ac:dyDescent="0.3">
      <c r="A1629" t="str">
        <f>""</f>
        <v/>
      </c>
      <c r="F1629" t="str">
        <f>""</f>
        <v/>
      </c>
      <c r="G1629" t="str">
        <f>""</f>
        <v/>
      </c>
      <c r="I1629" t="str">
        <f t="shared" si="11"/>
        <v>GUARDIAN</v>
      </c>
    </row>
    <row r="1630" spans="1:9" x14ac:dyDescent="0.3">
      <c r="A1630" t="str">
        <f>""</f>
        <v/>
      </c>
      <c r="F1630" t="str">
        <f>""</f>
        <v/>
      </c>
      <c r="G1630" t="str">
        <f>""</f>
        <v/>
      </c>
      <c r="I1630" t="str">
        <f t="shared" si="11"/>
        <v>GUARDIAN</v>
      </c>
    </row>
    <row r="1631" spans="1:9" x14ac:dyDescent="0.3">
      <c r="A1631" t="str">
        <f>""</f>
        <v/>
      </c>
      <c r="F1631" t="str">
        <f>""</f>
        <v/>
      </c>
      <c r="G1631" t="str">
        <f>""</f>
        <v/>
      </c>
      <c r="I1631" t="str">
        <f t="shared" si="11"/>
        <v>GUARDIAN</v>
      </c>
    </row>
    <row r="1632" spans="1:9" x14ac:dyDescent="0.3">
      <c r="A1632" t="str">
        <f>""</f>
        <v/>
      </c>
      <c r="F1632" t="str">
        <f>""</f>
        <v/>
      </c>
      <c r="G1632" t="str">
        <f>""</f>
        <v/>
      </c>
      <c r="I1632" t="str">
        <f t="shared" si="11"/>
        <v>GUARDIAN</v>
      </c>
    </row>
    <row r="1633" spans="1:9" x14ac:dyDescent="0.3">
      <c r="A1633" t="str">
        <f>""</f>
        <v/>
      </c>
      <c r="F1633" t="str">
        <f>""</f>
        <v/>
      </c>
      <c r="G1633" t="str">
        <f>""</f>
        <v/>
      </c>
      <c r="I1633" t="str">
        <f t="shared" si="11"/>
        <v>GUARDIAN</v>
      </c>
    </row>
    <row r="1634" spans="1:9" x14ac:dyDescent="0.3">
      <c r="A1634" t="str">
        <f>""</f>
        <v/>
      </c>
      <c r="F1634" t="str">
        <f>""</f>
        <v/>
      </c>
      <c r="G1634" t="str">
        <f>""</f>
        <v/>
      </c>
      <c r="I1634" t="str">
        <f t="shared" si="11"/>
        <v>GUARDIAN</v>
      </c>
    </row>
    <row r="1635" spans="1:9" x14ac:dyDescent="0.3">
      <c r="A1635" t="str">
        <f>""</f>
        <v/>
      </c>
      <c r="F1635" t="str">
        <f>""</f>
        <v/>
      </c>
      <c r="G1635" t="str">
        <f>""</f>
        <v/>
      </c>
      <c r="I1635" t="str">
        <f t="shared" si="11"/>
        <v>GUARDIAN</v>
      </c>
    </row>
    <row r="1636" spans="1:9" x14ac:dyDescent="0.3">
      <c r="A1636" t="str">
        <f>""</f>
        <v/>
      </c>
      <c r="F1636" t="str">
        <f>""</f>
        <v/>
      </c>
      <c r="G1636" t="str">
        <f>""</f>
        <v/>
      </c>
      <c r="I1636" t="str">
        <f t="shared" si="11"/>
        <v>GUARDIAN</v>
      </c>
    </row>
    <row r="1637" spans="1:9" x14ac:dyDescent="0.3">
      <c r="A1637" t="str">
        <f>""</f>
        <v/>
      </c>
      <c r="F1637" t="str">
        <f>""</f>
        <v/>
      </c>
      <c r="G1637" t="str">
        <f>""</f>
        <v/>
      </c>
      <c r="I1637" t="str">
        <f t="shared" si="11"/>
        <v>GUARDIAN</v>
      </c>
    </row>
    <row r="1638" spans="1:9" x14ac:dyDescent="0.3">
      <c r="A1638" t="str">
        <f>""</f>
        <v/>
      </c>
      <c r="F1638" t="str">
        <f>""</f>
        <v/>
      </c>
      <c r="G1638" t="str">
        <f>""</f>
        <v/>
      </c>
      <c r="I1638" t="str">
        <f t="shared" si="11"/>
        <v>GUARDIAN</v>
      </c>
    </row>
    <row r="1639" spans="1:9" x14ac:dyDescent="0.3">
      <c r="A1639" t="str">
        <f>""</f>
        <v/>
      </c>
      <c r="F1639" t="str">
        <f>""</f>
        <v/>
      </c>
      <c r="G1639" t="str">
        <f>""</f>
        <v/>
      </c>
      <c r="I1639" t="str">
        <f t="shared" si="11"/>
        <v>GUARDIAN</v>
      </c>
    </row>
    <row r="1640" spans="1:9" x14ac:dyDescent="0.3">
      <c r="A1640" t="str">
        <f>""</f>
        <v/>
      </c>
      <c r="F1640" t="str">
        <f>""</f>
        <v/>
      </c>
      <c r="G1640" t="str">
        <f>""</f>
        <v/>
      </c>
      <c r="I1640" t="str">
        <f t="shared" ref="I1640:I1703" si="12">"GUARDIAN"</f>
        <v>GUARDIAN</v>
      </c>
    </row>
    <row r="1641" spans="1:9" x14ac:dyDescent="0.3">
      <c r="A1641" t="str">
        <f>""</f>
        <v/>
      </c>
      <c r="F1641" t="str">
        <f>""</f>
        <v/>
      </c>
      <c r="G1641" t="str">
        <f>""</f>
        <v/>
      </c>
      <c r="I1641" t="str">
        <f t="shared" si="12"/>
        <v>GUARDIAN</v>
      </c>
    </row>
    <row r="1642" spans="1:9" x14ac:dyDescent="0.3">
      <c r="A1642" t="str">
        <f>""</f>
        <v/>
      </c>
      <c r="F1642" t="str">
        <f>""</f>
        <v/>
      </c>
      <c r="G1642" t="str">
        <f>""</f>
        <v/>
      </c>
      <c r="I1642" t="str">
        <f t="shared" si="12"/>
        <v>GUARDIAN</v>
      </c>
    </row>
    <row r="1643" spans="1:9" x14ac:dyDescent="0.3">
      <c r="A1643" t="str">
        <f>""</f>
        <v/>
      </c>
      <c r="F1643" t="str">
        <f>""</f>
        <v/>
      </c>
      <c r="G1643" t="str">
        <f>""</f>
        <v/>
      </c>
      <c r="I1643" t="str">
        <f t="shared" si="12"/>
        <v>GUARDIAN</v>
      </c>
    </row>
    <row r="1644" spans="1:9" x14ac:dyDescent="0.3">
      <c r="A1644" t="str">
        <f>""</f>
        <v/>
      </c>
      <c r="F1644" t="str">
        <f>""</f>
        <v/>
      </c>
      <c r="G1644" t="str">
        <f>""</f>
        <v/>
      </c>
      <c r="I1644" t="str">
        <f t="shared" si="12"/>
        <v>GUARDIAN</v>
      </c>
    </row>
    <row r="1645" spans="1:9" x14ac:dyDescent="0.3">
      <c r="A1645" t="str">
        <f>""</f>
        <v/>
      </c>
      <c r="F1645" t="str">
        <f>""</f>
        <v/>
      </c>
      <c r="G1645" t="str">
        <f>""</f>
        <v/>
      </c>
      <c r="I1645" t="str">
        <f t="shared" si="12"/>
        <v>GUARDIAN</v>
      </c>
    </row>
    <row r="1646" spans="1:9" x14ac:dyDescent="0.3">
      <c r="A1646" t="str">
        <f>""</f>
        <v/>
      </c>
      <c r="F1646" t="str">
        <f>""</f>
        <v/>
      </c>
      <c r="G1646" t="str">
        <f>""</f>
        <v/>
      </c>
      <c r="I1646" t="str">
        <f t="shared" si="12"/>
        <v>GUARDIAN</v>
      </c>
    </row>
    <row r="1647" spans="1:9" x14ac:dyDescent="0.3">
      <c r="A1647" t="str">
        <f>""</f>
        <v/>
      </c>
      <c r="F1647" t="str">
        <f>""</f>
        <v/>
      </c>
      <c r="G1647" t="str">
        <f>""</f>
        <v/>
      </c>
      <c r="I1647" t="str">
        <f t="shared" si="12"/>
        <v>GUARDIAN</v>
      </c>
    </row>
    <row r="1648" spans="1:9" x14ac:dyDescent="0.3">
      <c r="A1648" t="str">
        <f>""</f>
        <v/>
      </c>
      <c r="F1648" t="str">
        <f>""</f>
        <v/>
      </c>
      <c r="G1648" t="str">
        <f>""</f>
        <v/>
      </c>
      <c r="I1648" t="str">
        <f t="shared" si="12"/>
        <v>GUARDIAN</v>
      </c>
    </row>
    <row r="1649" spans="1:9" x14ac:dyDescent="0.3">
      <c r="A1649" t="str">
        <f>""</f>
        <v/>
      </c>
      <c r="F1649" t="str">
        <f>""</f>
        <v/>
      </c>
      <c r="G1649" t="str">
        <f>""</f>
        <v/>
      </c>
      <c r="I1649" t="str">
        <f t="shared" si="12"/>
        <v>GUARDIAN</v>
      </c>
    </row>
    <row r="1650" spans="1:9" x14ac:dyDescent="0.3">
      <c r="A1650" t="str">
        <f>""</f>
        <v/>
      </c>
      <c r="F1650" t="str">
        <f>""</f>
        <v/>
      </c>
      <c r="G1650" t="str">
        <f>""</f>
        <v/>
      </c>
      <c r="I1650" t="str">
        <f t="shared" si="12"/>
        <v>GUARDIAN</v>
      </c>
    </row>
    <row r="1651" spans="1:9" x14ac:dyDescent="0.3">
      <c r="A1651" t="str">
        <f>""</f>
        <v/>
      </c>
      <c r="F1651" t="str">
        <f>""</f>
        <v/>
      </c>
      <c r="G1651" t="str">
        <f>""</f>
        <v/>
      </c>
      <c r="I1651" t="str">
        <f t="shared" si="12"/>
        <v>GUARDIAN</v>
      </c>
    </row>
    <row r="1652" spans="1:9" x14ac:dyDescent="0.3">
      <c r="A1652" t="str">
        <f>""</f>
        <v/>
      </c>
      <c r="F1652" t="str">
        <f>"GDC201806131561"</f>
        <v>GDC201806131561</v>
      </c>
      <c r="G1652" t="str">
        <f>"GUARDIAN"</f>
        <v>GUARDIAN</v>
      </c>
      <c r="H1652">
        <v>97.95</v>
      </c>
      <c r="I1652" t="str">
        <f t="shared" si="12"/>
        <v>GUARDIAN</v>
      </c>
    </row>
    <row r="1653" spans="1:9" x14ac:dyDescent="0.3">
      <c r="A1653" t="str">
        <f>""</f>
        <v/>
      </c>
      <c r="F1653" t="str">
        <f>""</f>
        <v/>
      </c>
      <c r="G1653" t="str">
        <f>""</f>
        <v/>
      </c>
      <c r="I1653" t="str">
        <f t="shared" si="12"/>
        <v>GUARDIAN</v>
      </c>
    </row>
    <row r="1654" spans="1:9" x14ac:dyDescent="0.3">
      <c r="A1654" t="str">
        <f>""</f>
        <v/>
      </c>
      <c r="F1654" t="str">
        <f>"GDE201805301204"</f>
        <v>GDE201805301204</v>
      </c>
      <c r="G1654" t="str">
        <f>"GUARDIAN"</f>
        <v>GUARDIAN</v>
      </c>
      <c r="H1654">
        <v>3907.2</v>
      </c>
      <c r="I1654" t="str">
        <f t="shared" si="12"/>
        <v>GUARDIAN</v>
      </c>
    </row>
    <row r="1655" spans="1:9" x14ac:dyDescent="0.3">
      <c r="A1655" t="str">
        <f>""</f>
        <v/>
      </c>
      <c r="F1655" t="str">
        <f>""</f>
        <v/>
      </c>
      <c r="G1655" t="str">
        <f>""</f>
        <v/>
      </c>
      <c r="I1655" t="str">
        <f t="shared" si="12"/>
        <v>GUARDIAN</v>
      </c>
    </row>
    <row r="1656" spans="1:9" x14ac:dyDescent="0.3">
      <c r="A1656" t="str">
        <f>""</f>
        <v/>
      </c>
      <c r="F1656" t="str">
        <f>""</f>
        <v/>
      </c>
      <c r="G1656" t="str">
        <f>""</f>
        <v/>
      </c>
      <c r="I1656" t="str">
        <f t="shared" si="12"/>
        <v>GUARDIAN</v>
      </c>
    </row>
    <row r="1657" spans="1:9" x14ac:dyDescent="0.3">
      <c r="A1657" t="str">
        <f>""</f>
        <v/>
      </c>
      <c r="F1657" t="str">
        <f>""</f>
        <v/>
      </c>
      <c r="G1657" t="str">
        <f>""</f>
        <v/>
      </c>
      <c r="I1657" t="str">
        <f t="shared" si="12"/>
        <v>GUARDIAN</v>
      </c>
    </row>
    <row r="1658" spans="1:9" x14ac:dyDescent="0.3">
      <c r="A1658" t="str">
        <f>""</f>
        <v/>
      </c>
      <c r="F1658" t="str">
        <f>""</f>
        <v/>
      </c>
      <c r="G1658" t="str">
        <f>""</f>
        <v/>
      </c>
      <c r="I1658" t="str">
        <f t="shared" si="12"/>
        <v>GUARDIAN</v>
      </c>
    </row>
    <row r="1659" spans="1:9" x14ac:dyDescent="0.3">
      <c r="A1659" t="str">
        <f>""</f>
        <v/>
      </c>
      <c r="F1659" t="str">
        <f>""</f>
        <v/>
      </c>
      <c r="G1659" t="str">
        <f>""</f>
        <v/>
      </c>
      <c r="I1659" t="str">
        <f t="shared" si="12"/>
        <v>GUARDIAN</v>
      </c>
    </row>
    <row r="1660" spans="1:9" x14ac:dyDescent="0.3">
      <c r="A1660" t="str">
        <f>""</f>
        <v/>
      </c>
      <c r="F1660" t="str">
        <f>""</f>
        <v/>
      </c>
      <c r="G1660" t="str">
        <f>""</f>
        <v/>
      </c>
      <c r="I1660" t="str">
        <f t="shared" si="12"/>
        <v>GUARDIAN</v>
      </c>
    </row>
    <row r="1661" spans="1:9" x14ac:dyDescent="0.3">
      <c r="A1661" t="str">
        <f>""</f>
        <v/>
      </c>
      <c r="F1661" t="str">
        <f>""</f>
        <v/>
      </c>
      <c r="G1661" t="str">
        <f>""</f>
        <v/>
      </c>
      <c r="I1661" t="str">
        <f t="shared" si="12"/>
        <v>GUARDIAN</v>
      </c>
    </row>
    <row r="1662" spans="1:9" x14ac:dyDescent="0.3">
      <c r="A1662" t="str">
        <f>""</f>
        <v/>
      </c>
      <c r="F1662" t="str">
        <f>""</f>
        <v/>
      </c>
      <c r="G1662" t="str">
        <f>""</f>
        <v/>
      </c>
      <c r="I1662" t="str">
        <f t="shared" si="12"/>
        <v>GUARDIAN</v>
      </c>
    </row>
    <row r="1663" spans="1:9" x14ac:dyDescent="0.3">
      <c r="A1663" t="str">
        <f>""</f>
        <v/>
      </c>
      <c r="F1663" t="str">
        <f>""</f>
        <v/>
      </c>
      <c r="G1663" t="str">
        <f>""</f>
        <v/>
      </c>
      <c r="I1663" t="str">
        <f t="shared" si="12"/>
        <v>GUARDIAN</v>
      </c>
    </row>
    <row r="1664" spans="1:9" x14ac:dyDescent="0.3">
      <c r="A1664" t="str">
        <f>""</f>
        <v/>
      </c>
      <c r="F1664" t="str">
        <f>""</f>
        <v/>
      </c>
      <c r="G1664" t="str">
        <f>""</f>
        <v/>
      </c>
      <c r="I1664" t="str">
        <f t="shared" si="12"/>
        <v>GUARDIAN</v>
      </c>
    </row>
    <row r="1665" spans="1:9" x14ac:dyDescent="0.3">
      <c r="A1665" t="str">
        <f>""</f>
        <v/>
      </c>
      <c r="F1665" t="str">
        <f>""</f>
        <v/>
      </c>
      <c r="G1665" t="str">
        <f>""</f>
        <v/>
      </c>
      <c r="I1665" t="str">
        <f t="shared" si="12"/>
        <v>GUARDIAN</v>
      </c>
    </row>
    <row r="1666" spans="1:9" x14ac:dyDescent="0.3">
      <c r="A1666" t="str">
        <f>""</f>
        <v/>
      </c>
      <c r="F1666" t="str">
        <f>""</f>
        <v/>
      </c>
      <c r="G1666" t="str">
        <f>""</f>
        <v/>
      </c>
      <c r="I1666" t="str">
        <f t="shared" si="12"/>
        <v>GUARDIAN</v>
      </c>
    </row>
    <row r="1667" spans="1:9" x14ac:dyDescent="0.3">
      <c r="A1667" t="str">
        <f>""</f>
        <v/>
      </c>
      <c r="F1667" t="str">
        <f>""</f>
        <v/>
      </c>
      <c r="G1667" t="str">
        <f>""</f>
        <v/>
      </c>
      <c r="I1667" t="str">
        <f t="shared" si="12"/>
        <v>GUARDIAN</v>
      </c>
    </row>
    <row r="1668" spans="1:9" x14ac:dyDescent="0.3">
      <c r="A1668" t="str">
        <f>""</f>
        <v/>
      </c>
      <c r="F1668" t="str">
        <f>""</f>
        <v/>
      </c>
      <c r="G1668" t="str">
        <f>""</f>
        <v/>
      </c>
      <c r="I1668" t="str">
        <f t="shared" si="12"/>
        <v>GUARDIAN</v>
      </c>
    </row>
    <row r="1669" spans="1:9" x14ac:dyDescent="0.3">
      <c r="A1669" t="str">
        <f>""</f>
        <v/>
      </c>
      <c r="F1669" t="str">
        <f>""</f>
        <v/>
      </c>
      <c r="G1669" t="str">
        <f>""</f>
        <v/>
      </c>
      <c r="I1669" t="str">
        <f t="shared" si="12"/>
        <v>GUARDIAN</v>
      </c>
    </row>
    <row r="1670" spans="1:9" x14ac:dyDescent="0.3">
      <c r="A1670" t="str">
        <f>""</f>
        <v/>
      </c>
      <c r="F1670" t="str">
        <f>""</f>
        <v/>
      </c>
      <c r="G1670" t="str">
        <f>""</f>
        <v/>
      </c>
      <c r="I1670" t="str">
        <f t="shared" si="12"/>
        <v>GUARDIAN</v>
      </c>
    </row>
    <row r="1671" spans="1:9" x14ac:dyDescent="0.3">
      <c r="A1671" t="str">
        <f>""</f>
        <v/>
      </c>
      <c r="F1671" t="str">
        <f>""</f>
        <v/>
      </c>
      <c r="G1671" t="str">
        <f>""</f>
        <v/>
      </c>
      <c r="I1671" t="str">
        <f t="shared" si="12"/>
        <v>GUARDIAN</v>
      </c>
    </row>
    <row r="1672" spans="1:9" x14ac:dyDescent="0.3">
      <c r="A1672" t="str">
        <f>""</f>
        <v/>
      </c>
      <c r="F1672" t="str">
        <f>""</f>
        <v/>
      </c>
      <c r="G1672" t="str">
        <f>""</f>
        <v/>
      </c>
      <c r="I1672" t="str">
        <f t="shared" si="12"/>
        <v>GUARDIAN</v>
      </c>
    </row>
    <row r="1673" spans="1:9" x14ac:dyDescent="0.3">
      <c r="A1673" t="str">
        <f>""</f>
        <v/>
      </c>
      <c r="F1673" t="str">
        <f>""</f>
        <v/>
      </c>
      <c r="G1673" t="str">
        <f>""</f>
        <v/>
      </c>
      <c r="I1673" t="str">
        <f t="shared" si="12"/>
        <v>GUARDIAN</v>
      </c>
    </row>
    <row r="1674" spans="1:9" x14ac:dyDescent="0.3">
      <c r="A1674" t="str">
        <f>""</f>
        <v/>
      </c>
      <c r="F1674" t="str">
        <f>""</f>
        <v/>
      </c>
      <c r="G1674" t="str">
        <f>""</f>
        <v/>
      </c>
      <c r="I1674" t="str">
        <f t="shared" si="12"/>
        <v>GUARDIAN</v>
      </c>
    </row>
    <row r="1675" spans="1:9" x14ac:dyDescent="0.3">
      <c r="A1675" t="str">
        <f>""</f>
        <v/>
      </c>
      <c r="F1675" t="str">
        <f>""</f>
        <v/>
      </c>
      <c r="G1675" t="str">
        <f>""</f>
        <v/>
      </c>
      <c r="I1675" t="str">
        <f t="shared" si="12"/>
        <v>GUARDIAN</v>
      </c>
    </row>
    <row r="1676" spans="1:9" x14ac:dyDescent="0.3">
      <c r="A1676" t="str">
        <f>""</f>
        <v/>
      </c>
      <c r="F1676" t="str">
        <f>""</f>
        <v/>
      </c>
      <c r="G1676" t="str">
        <f>""</f>
        <v/>
      </c>
      <c r="I1676" t="str">
        <f t="shared" si="12"/>
        <v>GUARDIAN</v>
      </c>
    </row>
    <row r="1677" spans="1:9" x14ac:dyDescent="0.3">
      <c r="A1677" t="str">
        <f>""</f>
        <v/>
      </c>
      <c r="F1677" t="str">
        <f>""</f>
        <v/>
      </c>
      <c r="G1677" t="str">
        <f>""</f>
        <v/>
      </c>
      <c r="I1677" t="str">
        <f t="shared" si="12"/>
        <v>GUARDIAN</v>
      </c>
    </row>
    <row r="1678" spans="1:9" x14ac:dyDescent="0.3">
      <c r="A1678" t="str">
        <f>""</f>
        <v/>
      </c>
      <c r="F1678" t="str">
        <f>""</f>
        <v/>
      </c>
      <c r="G1678" t="str">
        <f>""</f>
        <v/>
      </c>
      <c r="I1678" t="str">
        <f t="shared" si="12"/>
        <v>GUARDIAN</v>
      </c>
    </row>
    <row r="1679" spans="1:9" x14ac:dyDescent="0.3">
      <c r="A1679" t="str">
        <f>""</f>
        <v/>
      </c>
      <c r="F1679" t="str">
        <f>""</f>
        <v/>
      </c>
      <c r="G1679" t="str">
        <f>""</f>
        <v/>
      </c>
      <c r="I1679" t="str">
        <f t="shared" si="12"/>
        <v>GUARDIAN</v>
      </c>
    </row>
    <row r="1680" spans="1:9" x14ac:dyDescent="0.3">
      <c r="A1680" t="str">
        <f>""</f>
        <v/>
      </c>
      <c r="F1680" t="str">
        <f>""</f>
        <v/>
      </c>
      <c r="G1680" t="str">
        <f>""</f>
        <v/>
      </c>
      <c r="I1680" t="str">
        <f t="shared" si="12"/>
        <v>GUARDIAN</v>
      </c>
    </row>
    <row r="1681" spans="1:9" x14ac:dyDescent="0.3">
      <c r="A1681" t="str">
        <f>""</f>
        <v/>
      </c>
      <c r="F1681" t="str">
        <f>""</f>
        <v/>
      </c>
      <c r="G1681" t="str">
        <f>""</f>
        <v/>
      </c>
      <c r="I1681" t="str">
        <f t="shared" si="12"/>
        <v>GUARDIAN</v>
      </c>
    </row>
    <row r="1682" spans="1:9" x14ac:dyDescent="0.3">
      <c r="A1682" t="str">
        <f>""</f>
        <v/>
      </c>
      <c r="F1682" t="str">
        <f>""</f>
        <v/>
      </c>
      <c r="G1682" t="str">
        <f>""</f>
        <v/>
      </c>
      <c r="I1682" t="str">
        <f t="shared" si="12"/>
        <v>GUARDIAN</v>
      </c>
    </row>
    <row r="1683" spans="1:9" x14ac:dyDescent="0.3">
      <c r="A1683" t="str">
        <f>""</f>
        <v/>
      </c>
      <c r="F1683" t="str">
        <f>""</f>
        <v/>
      </c>
      <c r="G1683" t="str">
        <f>""</f>
        <v/>
      </c>
      <c r="I1683" t="str">
        <f t="shared" si="12"/>
        <v>GUARDIAN</v>
      </c>
    </row>
    <row r="1684" spans="1:9" x14ac:dyDescent="0.3">
      <c r="A1684" t="str">
        <f>""</f>
        <v/>
      </c>
      <c r="F1684" t="str">
        <f>""</f>
        <v/>
      </c>
      <c r="G1684" t="str">
        <f>""</f>
        <v/>
      </c>
      <c r="I1684" t="str">
        <f t="shared" si="12"/>
        <v>GUARDIAN</v>
      </c>
    </row>
    <row r="1685" spans="1:9" x14ac:dyDescent="0.3">
      <c r="A1685" t="str">
        <f>""</f>
        <v/>
      </c>
      <c r="F1685" t="str">
        <f>""</f>
        <v/>
      </c>
      <c r="G1685" t="str">
        <f>""</f>
        <v/>
      </c>
      <c r="I1685" t="str">
        <f t="shared" si="12"/>
        <v>GUARDIAN</v>
      </c>
    </row>
    <row r="1686" spans="1:9" x14ac:dyDescent="0.3">
      <c r="A1686" t="str">
        <f>""</f>
        <v/>
      </c>
      <c r="F1686" t="str">
        <f>""</f>
        <v/>
      </c>
      <c r="G1686" t="str">
        <f>""</f>
        <v/>
      </c>
      <c r="I1686" t="str">
        <f t="shared" si="12"/>
        <v>GUARDIAN</v>
      </c>
    </row>
    <row r="1687" spans="1:9" x14ac:dyDescent="0.3">
      <c r="A1687" t="str">
        <f>""</f>
        <v/>
      </c>
      <c r="F1687" t="str">
        <f>""</f>
        <v/>
      </c>
      <c r="G1687" t="str">
        <f>""</f>
        <v/>
      </c>
      <c r="I1687" t="str">
        <f t="shared" si="12"/>
        <v>GUARDIAN</v>
      </c>
    </row>
    <row r="1688" spans="1:9" x14ac:dyDescent="0.3">
      <c r="A1688" t="str">
        <f>""</f>
        <v/>
      </c>
      <c r="F1688" t="str">
        <f>""</f>
        <v/>
      </c>
      <c r="G1688" t="str">
        <f>""</f>
        <v/>
      </c>
      <c r="I1688" t="str">
        <f t="shared" si="12"/>
        <v>GUARDIAN</v>
      </c>
    </row>
    <row r="1689" spans="1:9" x14ac:dyDescent="0.3">
      <c r="A1689" t="str">
        <f>""</f>
        <v/>
      </c>
      <c r="F1689" t="str">
        <f>""</f>
        <v/>
      </c>
      <c r="G1689" t="str">
        <f>""</f>
        <v/>
      </c>
      <c r="I1689" t="str">
        <f t="shared" si="12"/>
        <v>GUARDIAN</v>
      </c>
    </row>
    <row r="1690" spans="1:9" x14ac:dyDescent="0.3">
      <c r="A1690" t="str">
        <f>""</f>
        <v/>
      </c>
      <c r="F1690" t="str">
        <f>""</f>
        <v/>
      </c>
      <c r="G1690" t="str">
        <f>""</f>
        <v/>
      </c>
      <c r="I1690" t="str">
        <f t="shared" si="12"/>
        <v>GUARDIAN</v>
      </c>
    </row>
    <row r="1691" spans="1:9" x14ac:dyDescent="0.3">
      <c r="A1691" t="str">
        <f>""</f>
        <v/>
      </c>
      <c r="F1691" t="str">
        <f>""</f>
        <v/>
      </c>
      <c r="G1691" t="str">
        <f>""</f>
        <v/>
      </c>
      <c r="I1691" t="str">
        <f t="shared" si="12"/>
        <v>GUARDIAN</v>
      </c>
    </row>
    <row r="1692" spans="1:9" x14ac:dyDescent="0.3">
      <c r="A1692" t="str">
        <f>""</f>
        <v/>
      </c>
      <c r="F1692" t="str">
        <f>""</f>
        <v/>
      </c>
      <c r="G1692" t="str">
        <f>""</f>
        <v/>
      </c>
      <c r="I1692" t="str">
        <f t="shared" si="12"/>
        <v>GUARDIAN</v>
      </c>
    </row>
    <row r="1693" spans="1:9" x14ac:dyDescent="0.3">
      <c r="A1693" t="str">
        <f>""</f>
        <v/>
      </c>
      <c r="F1693" t="str">
        <f>""</f>
        <v/>
      </c>
      <c r="G1693" t="str">
        <f>""</f>
        <v/>
      </c>
      <c r="I1693" t="str">
        <f t="shared" si="12"/>
        <v>GUARDIAN</v>
      </c>
    </row>
    <row r="1694" spans="1:9" x14ac:dyDescent="0.3">
      <c r="A1694" t="str">
        <f>""</f>
        <v/>
      </c>
      <c r="F1694" t="str">
        <f>""</f>
        <v/>
      </c>
      <c r="G1694" t="str">
        <f>""</f>
        <v/>
      </c>
      <c r="I1694" t="str">
        <f t="shared" si="12"/>
        <v>GUARDIAN</v>
      </c>
    </row>
    <row r="1695" spans="1:9" x14ac:dyDescent="0.3">
      <c r="A1695" t="str">
        <f>""</f>
        <v/>
      </c>
      <c r="F1695" t="str">
        <f>""</f>
        <v/>
      </c>
      <c r="G1695" t="str">
        <f>""</f>
        <v/>
      </c>
      <c r="I1695" t="str">
        <f t="shared" si="12"/>
        <v>GUARDIAN</v>
      </c>
    </row>
    <row r="1696" spans="1:9" x14ac:dyDescent="0.3">
      <c r="A1696" t="str">
        <f>""</f>
        <v/>
      </c>
      <c r="F1696" t="str">
        <f>""</f>
        <v/>
      </c>
      <c r="G1696" t="str">
        <f>""</f>
        <v/>
      </c>
      <c r="I1696" t="str">
        <f t="shared" si="12"/>
        <v>GUARDIAN</v>
      </c>
    </row>
    <row r="1697" spans="1:9" x14ac:dyDescent="0.3">
      <c r="A1697" t="str">
        <f>""</f>
        <v/>
      </c>
      <c r="F1697" t="str">
        <f>"GDE201805301223"</f>
        <v>GDE201805301223</v>
      </c>
      <c r="G1697" t="str">
        <f>"GUARDIAN"</f>
        <v>GUARDIAN</v>
      </c>
      <c r="H1697">
        <v>148</v>
      </c>
      <c r="I1697" t="str">
        <f t="shared" si="12"/>
        <v>GUARDIAN</v>
      </c>
    </row>
    <row r="1698" spans="1:9" x14ac:dyDescent="0.3">
      <c r="A1698" t="str">
        <f>""</f>
        <v/>
      </c>
      <c r="F1698" t="str">
        <f>"GDE201806131556"</f>
        <v>GDE201806131556</v>
      </c>
      <c r="G1698" t="str">
        <f>"GUARDIAN"</f>
        <v>GUARDIAN</v>
      </c>
      <c r="H1698">
        <v>3907.2</v>
      </c>
      <c r="I1698" t="str">
        <f t="shared" si="12"/>
        <v>GUARDIAN</v>
      </c>
    </row>
    <row r="1699" spans="1:9" x14ac:dyDescent="0.3">
      <c r="A1699" t="str">
        <f>""</f>
        <v/>
      </c>
      <c r="F1699" t="str">
        <f>""</f>
        <v/>
      </c>
      <c r="G1699" t="str">
        <f>""</f>
        <v/>
      </c>
      <c r="I1699" t="str">
        <f t="shared" si="12"/>
        <v>GUARDIAN</v>
      </c>
    </row>
    <row r="1700" spans="1:9" x14ac:dyDescent="0.3">
      <c r="A1700" t="str">
        <f>""</f>
        <v/>
      </c>
      <c r="F1700" t="str">
        <f>""</f>
        <v/>
      </c>
      <c r="G1700" t="str">
        <f>""</f>
        <v/>
      </c>
      <c r="I1700" t="str">
        <f t="shared" si="12"/>
        <v>GUARDIAN</v>
      </c>
    </row>
    <row r="1701" spans="1:9" x14ac:dyDescent="0.3">
      <c r="A1701" t="str">
        <f>""</f>
        <v/>
      </c>
      <c r="F1701" t="str">
        <f>""</f>
        <v/>
      </c>
      <c r="G1701" t="str">
        <f>""</f>
        <v/>
      </c>
      <c r="I1701" t="str">
        <f t="shared" si="12"/>
        <v>GUARDIAN</v>
      </c>
    </row>
    <row r="1702" spans="1:9" x14ac:dyDescent="0.3">
      <c r="A1702" t="str">
        <f>""</f>
        <v/>
      </c>
      <c r="F1702" t="str">
        <f>""</f>
        <v/>
      </c>
      <c r="G1702" t="str">
        <f>""</f>
        <v/>
      </c>
      <c r="I1702" t="str">
        <f t="shared" si="12"/>
        <v>GUARDIAN</v>
      </c>
    </row>
    <row r="1703" spans="1:9" x14ac:dyDescent="0.3">
      <c r="A1703" t="str">
        <f>""</f>
        <v/>
      </c>
      <c r="F1703" t="str">
        <f>""</f>
        <v/>
      </c>
      <c r="G1703" t="str">
        <f>""</f>
        <v/>
      </c>
      <c r="I1703" t="str">
        <f t="shared" si="12"/>
        <v>GUARDIAN</v>
      </c>
    </row>
    <row r="1704" spans="1:9" x14ac:dyDescent="0.3">
      <c r="A1704" t="str">
        <f>""</f>
        <v/>
      </c>
      <c r="F1704" t="str">
        <f>""</f>
        <v/>
      </c>
      <c r="G1704" t="str">
        <f>""</f>
        <v/>
      </c>
      <c r="I1704" t="str">
        <f t="shared" ref="I1704:I1767" si="13">"GUARDIAN"</f>
        <v>GUARDIAN</v>
      </c>
    </row>
    <row r="1705" spans="1:9" x14ac:dyDescent="0.3">
      <c r="A1705" t="str">
        <f>""</f>
        <v/>
      </c>
      <c r="F1705" t="str">
        <f>""</f>
        <v/>
      </c>
      <c r="G1705" t="str">
        <f>""</f>
        <v/>
      </c>
      <c r="I1705" t="str">
        <f t="shared" si="13"/>
        <v>GUARDIAN</v>
      </c>
    </row>
    <row r="1706" spans="1:9" x14ac:dyDescent="0.3">
      <c r="A1706" t="str">
        <f>""</f>
        <v/>
      </c>
      <c r="F1706" t="str">
        <f>""</f>
        <v/>
      </c>
      <c r="G1706" t="str">
        <f>""</f>
        <v/>
      </c>
      <c r="I1706" t="str">
        <f t="shared" si="13"/>
        <v>GUARDIAN</v>
      </c>
    </row>
    <row r="1707" spans="1:9" x14ac:dyDescent="0.3">
      <c r="A1707" t="str">
        <f>""</f>
        <v/>
      </c>
      <c r="F1707" t="str">
        <f>""</f>
        <v/>
      </c>
      <c r="G1707" t="str">
        <f>""</f>
        <v/>
      </c>
      <c r="I1707" t="str">
        <f t="shared" si="13"/>
        <v>GUARDIAN</v>
      </c>
    </row>
    <row r="1708" spans="1:9" x14ac:dyDescent="0.3">
      <c r="A1708" t="str">
        <f>""</f>
        <v/>
      </c>
      <c r="F1708" t="str">
        <f>""</f>
        <v/>
      </c>
      <c r="G1708" t="str">
        <f>""</f>
        <v/>
      </c>
      <c r="I1708" t="str">
        <f t="shared" si="13"/>
        <v>GUARDIAN</v>
      </c>
    </row>
    <row r="1709" spans="1:9" x14ac:dyDescent="0.3">
      <c r="A1709" t="str">
        <f>""</f>
        <v/>
      </c>
      <c r="F1709" t="str">
        <f>""</f>
        <v/>
      </c>
      <c r="G1709" t="str">
        <f>""</f>
        <v/>
      </c>
      <c r="I1709" t="str">
        <f t="shared" si="13"/>
        <v>GUARDIAN</v>
      </c>
    </row>
    <row r="1710" spans="1:9" x14ac:dyDescent="0.3">
      <c r="A1710" t="str">
        <f>""</f>
        <v/>
      </c>
      <c r="F1710" t="str">
        <f>""</f>
        <v/>
      </c>
      <c r="G1710" t="str">
        <f>""</f>
        <v/>
      </c>
      <c r="I1710" t="str">
        <f t="shared" si="13"/>
        <v>GUARDIAN</v>
      </c>
    </row>
    <row r="1711" spans="1:9" x14ac:dyDescent="0.3">
      <c r="A1711" t="str">
        <f>""</f>
        <v/>
      </c>
      <c r="F1711" t="str">
        <f>""</f>
        <v/>
      </c>
      <c r="G1711" t="str">
        <f>""</f>
        <v/>
      </c>
      <c r="I1711" t="str">
        <f t="shared" si="13"/>
        <v>GUARDIAN</v>
      </c>
    </row>
    <row r="1712" spans="1:9" x14ac:dyDescent="0.3">
      <c r="A1712" t="str">
        <f>""</f>
        <v/>
      </c>
      <c r="F1712" t="str">
        <f>""</f>
        <v/>
      </c>
      <c r="G1712" t="str">
        <f>""</f>
        <v/>
      </c>
      <c r="I1712" t="str">
        <f t="shared" si="13"/>
        <v>GUARDIAN</v>
      </c>
    </row>
    <row r="1713" spans="1:9" x14ac:dyDescent="0.3">
      <c r="A1713" t="str">
        <f>""</f>
        <v/>
      </c>
      <c r="F1713" t="str">
        <f>""</f>
        <v/>
      </c>
      <c r="G1713" t="str">
        <f>""</f>
        <v/>
      </c>
      <c r="I1713" t="str">
        <f t="shared" si="13"/>
        <v>GUARDIAN</v>
      </c>
    </row>
    <row r="1714" spans="1:9" x14ac:dyDescent="0.3">
      <c r="A1714" t="str">
        <f>""</f>
        <v/>
      </c>
      <c r="F1714" t="str">
        <f>""</f>
        <v/>
      </c>
      <c r="G1714" t="str">
        <f>""</f>
        <v/>
      </c>
      <c r="I1714" t="str">
        <f t="shared" si="13"/>
        <v>GUARDIAN</v>
      </c>
    </row>
    <row r="1715" spans="1:9" x14ac:dyDescent="0.3">
      <c r="A1715" t="str">
        <f>""</f>
        <v/>
      </c>
      <c r="F1715" t="str">
        <f>""</f>
        <v/>
      </c>
      <c r="G1715" t="str">
        <f>""</f>
        <v/>
      </c>
      <c r="I1715" t="str">
        <f t="shared" si="13"/>
        <v>GUARDIAN</v>
      </c>
    </row>
    <row r="1716" spans="1:9" x14ac:dyDescent="0.3">
      <c r="A1716" t="str">
        <f>""</f>
        <v/>
      </c>
      <c r="F1716" t="str">
        <f>""</f>
        <v/>
      </c>
      <c r="G1716" t="str">
        <f>""</f>
        <v/>
      </c>
      <c r="I1716" t="str">
        <f t="shared" si="13"/>
        <v>GUARDIAN</v>
      </c>
    </row>
    <row r="1717" spans="1:9" x14ac:dyDescent="0.3">
      <c r="A1717" t="str">
        <f>""</f>
        <v/>
      </c>
      <c r="F1717" t="str">
        <f>""</f>
        <v/>
      </c>
      <c r="G1717" t="str">
        <f>""</f>
        <v/>
      </c>
      <c r="I1717" t="str">
        <f t="shared" si="13"/>
        <v>GUARDIAN</v>
      </c>
    </row>
    <row r="1718" spans="1:9" x14ac:dyDescent="0.3">
      <c r="A1718" t="str">
        <f>""</f>
        <v/>
      </c>
      <c r="F1718" t="str">
        <f>""</f>
        <v/>
      </c>
      <c r="G1718" t="str">
        <f>""</f>
        <v/>
      </c>
      <c r="I1718" t="str">
        <f t="shared" si="13"/>
        <v>GUARDIAN</v>
      </c>
    </row>
    <row r="1719" spans="1:9" x14ac:dyDescent="0.3">
      <c r="A1719" t="str">
        <f>""</f>
        <v/>
      </c>
      <c r="F1719" t="str">
        <f>""</f>
        <v/>
      </c>
      <c r="G1719" t="str">
        <f>""</f>
        <v/>
      </c>
      <c r="I1719" t="str">
        <f t="shared" si="13"/>
        <v>GUARDIAN</v>
      </c>
    </row>
    <row r="1720" spans="1:9" x14ac:dyDescent="0.3">
      <c r="A1720" t="str">
        <f>""</f>
        <v/>
      </c>
      <c r="F1720" t="str">
        <f>""</f>
        <v/>
      </c>
      <c r="G1720" t="str">
        <f>""</f>
        <v/>
      </c>
      <c r="I1720" t="str">
        <f t="shared" si="13"/>
        <v>GUARDIAN</v>
      </c>
    </row>
    <row r="1721" spans="1:9" x14ac:dyDescent="0.3">
      <c r="A1721" t="str">
        <f>""</f>
        <v/>
      </c>
      <c r="F1721" t="str">
        <f>""</f>
        <v/>
      </c>
      <c r="G1721" t="str">
        <f>""</f>
        <v/>
      </c>
      <c r="I1721" t="str">
        <f t="shared" si="13"/>
        <v>GUARDIAN</v>
      </c>
    </row>
    <row r="1722" spans="1:9" x14ac:dyDescent="0.3">
      <c r="A1722" t="str">
        <f>""</f>
        <v/>
      </c>
      <c r="F1722" t="str">
        <f>""</f>
        <v/>
      </c>
      <c r="G1722" t="str">
        <f>""</f>
        <v/>
      </c>
      <c r="I1722" t="str">
        <f t="shared" si="13"/>
        <v>GUARDIAN</v>
      </c>
    </row>
    <row r="1723" spans="1:9" x14ac:dyDescent="0.3">
      <c r="A1723" t="str">
        <f>""</f>
        <v/>
      </c>
      <c r="F1723" t="str">
        <f>""</f>
        <v/>
      </c>
      <c r="G1723" t="str">
        <f>""</f>
        <v/>
      </c>
      <c r="I1723" t="str">
        <f t="shared" si="13"/>
        <v>GUARDIAN</v>
      </c>
    </row>
    <row r="1724" spans="1:9" x14ac:dyDescent="0.3">
      <c r="A1724" t="str">
        <f>""</f>
        <v/>
      </c>
      <c r="F1724" t="str">
        <f>""</f>
        <v/>
      </c>
      <c r="G1724" t="str">
        <f>""</f>
        <v/>
      </c>
      <c r="I1724" t="str">
        <f t="shared" si="13"/>
        <v>GUARDIAN</v>
      </c>
    </row>
    <row r="1725" spans="1:9" x14ac:dyDescent="0.3">
      <c r="A1725" t="str">
        <f>""</f>
        <v/>
      </c>
      <c r="F1725" t="str">
        <f>""</f>
        <v/>
      </c>
      <c r="G1725" t="str">
        <f>""</f>
        <v/>
      </c>
      <c r="I1725" t="str">
        <f t="shared" si="13"/>
        <v>GUARDIAN</v>
      </c>
    </row>
    <row r="1726" spans="1:9" x14ac:dyDescent="0.3">
      <c r="A1726" t="str">
        <f>""</f>
        <v/>
      </c>
      <c r="F1726" t="str">
        <f>""</f>
        <v/>
      </c>
      <c r="G1726" t="str">
        <f>""</f>
        <v/>
      </c>
      <c r="I1726" t="str">
        <f t="shared" si="13"/>
        <v>GUARDIAN</v>
      </c>
    </row>
    <row r="1727" spans="1:9" x14ac:dyDescent="0.3">
      <c r="A1727" t="str">
        <f>""</f>
        <v/>
      </c>
      <c r="F1727" t="str">
        <f>""</f>
        <v/>
      </c>
      <c r="G1727" t="str">
        <f>""</f>
        <v/>
      </c>
      <c r="I1727" t="str">
        <f t="shared" si="13"/>
        <v>GUARDIAN</v>
      </c>
    </row>
    <row r="1728" spans="1:9" x14ac:dyDescent="0.3">
      <c r="A1728" t="str">
        <f>""</f>
        <v/>
      </c>
      <c r="F1728" t="str">
        <f>""</f>
        <v/>
      </c>
      <c r="G1728" t="str">
        <f>""</f>
        <v/>
      </c>
      <c r="I1728" t="str">
        <f t="shared" si="13"/>
        <v>GUARDIAN</v>
      </c>
    </row>
    <row r="1729" spans="1:9" x14ac:dyDescent="0.3">
      <c r="A1729" t="str">
        <f>""</f>
        <v/>
      </c>
      <c r="F1729" t="str">
        <f>""</f>
        <v/>
      </c>
      <c r="G1729" t="str">
        <f>""</f>
        <v/>
      </c>
      <c r="I1729" t="str">
        <f t="shared" si="13"/>
        <v>GUARDIAN</v>
      </c>
    </row>
    <row r="1730" spans="1:9" x14ac:dyDescent="0.3">
      <c r="A1730" t="str">
        <f>""</f>
        <v/>
      </c>
      <c r="F1730" t="str">
        <f>""</f>
        <v/>
      </c>
      <c r="G1730" t="str">
        <f>""</f>
        <v/>
      </c>
      <c r="I1730" t="str">
        <f t="shared" si="13"/>
        <v>GUARDIAN</v>
      </c>
    </row>
    <row r="1731" spans="1:9" x14ac:dyDescent="0.3">
      <c r="A1731" t="str">
        <f>""</f>
        <v/>
      </c>
      <c r="F1731" t="str">
        <f>""</f>
        <v/>
      </c>
      <c r="G1731" t="str">
        <f>""</f>
        <v/>
      </c>
      <c r="I1731" t="str">
        <f t="shared" si="13"/>
        <v>GUARDIAN</v>
      </c>
    </row>
    <row r="1732" spans="1:9" x14ac:dyDescent="0.3">
      <c r="A1732" t="str">
        <f>""</f>
        <v/>
      </c>
      <c r="F1732" t="str">
        <f>""</f>
        <v/>
      </c>
      <c r="G1732" t="str">
        <f>""</f>
        <v/>
      </c>
      <c r="I1732" t="str">
        <f t="shared" si="13"/>
        <v>GUARDIAN</v>
      </c>
    </row>
    <row r="1733" spans="1:9" x14ac:dyDescent="0.3">
      <c r="A1733" t="str">
        <f>""</f>
        <v/>
      </c>
      <c r="F1733" t="str">
        <f>""</f>
        <v/>
      </c>
      <c r="G1733" t="str">
        <f>""</f>
        <v/>
      </c>
      <c r="I1733" t="str">
        <f t="shared" si="13"/>
        <v>GUARDIAN</v>
      </c>
    </row>
    <row r="1734" spans="1:9" x14ac:dyDescent="0.3">
      <c r="A1734" t="str">
        <f>""</f>
        <v/>
      </c>
      <c r="F1734" t="str">
        <f>""</f>
        <v/>
      </c>
      <c r="G1734" t="str">
        <f>""</f>
        <v/>
      </c>
      <c r="I1734" t="str">
        <f t="shared" si="13"/>
        <v>GUARDIAN</v>
      </c>
    </row>
    <row r="1735" spans="1:9" x14ac:dyDescent="0.3">
      <c r="A1735" t="str">
        <f>""</f>
        <v/>
      </c>
      <c r="F1735" t="str">
        <f>""</f>
        <v/>
      </c>
      <c r="G1735" t="str">
        <f>""</f>
        <v/>
      </c>
      <c r="I1735" t="str">
        <f t="shared" si="13"/>
        <v>GUARDIAN</v>
      </c>
    </row>
    <row r="1736" spans="1:9" x14ac:dyDescent="0.3">
      <c r="A1736" t="str">
        <f>""</f>
        <v/>
      </c>
      <c r="F1736" t="str">
        <f>""</f>
        <v/>
      </c>
      <c r="G1736" t="str">
        <f>""</f>
        <v/>
      </c>
      <c r="I1736" t="str">
        <f t="shared" si="13"/>
        <v>GUARDIAN</v>
      </c>
    </row>
    <row r="1737" spans="1:9" x14ac:dyDescent="0.3">
      <c r="A1737" t="str">
        <f>""</f>
        <v/>
      </c>
      <c r="F1737" t="str">
        <f>""</f>
        <v/>
      </c>
      <c r="G1737" t="str">
        <f>""</f>
        <v/>
      </c>
      <c r="I1737" t="str">
        <f t="shared" si="13"/>
        <v>GUARDIAN</v>
      </c>
    </row>
    <row r="1738" spans="1:9" x14ac:dyDescent="0.3">
      <c r="A1738" t="str">
        <f>""</f>
        <v/>
      </c>
      <c r="F1738" t="str">
        <f>""</f>
        <v/>
      </c>
      <c r="G1738" t="str">
        <f>""</f>
        <v/>
      </c>
      <c r="I1738" t="str">
        <f t="shared" si="13"/>
        <v>GUARDIAN</v>
      </c>
    </row>
    <row r="1739" spans="1:9" x14ac:dyDescent="0.3">
      <c r="A1739" t="str">
        <f>""</f>
        <v/>
      </c>
      <c r="F1739" t="str">
        <f>""</f>
        <v/>
      </c>
      <c r="G1739" t="str">
        <f>""</f>
        <v/>
      </c>
      <c r="I1739" t="str">
        <f t="shared" si="13"/>
        <v>GUARDIAN</v>
      </c>
    </row>
    <row r="1740" spans="1:9" x14ac:dyDescent="0.3">
      <c r="A1740" t="str">
        <f>""</f>
        <v/>
      </c>
      <c r="F1740" t="str">
        <f>""</f>
        <v/>
      </c>
      <c r="G1740" t="str">
        <f>""</f>
        <v/>
      </c>
      <c r="I1740" t="str">
        <f t="shared" si="13"/>
        <v>GUARDIAN</v>
      </c>
    </row>
    <row r="1741" spans="1:9" x14ac:dyDescent="0.3">
      <c r="A1741" t="str">
        <f>""</f>
        <v/>
      </c>
      <c r="F1741" t="str">
        <f>"GDE201806131561"</f>
        <v>GDE201806131561</v>
      </c>
      <c r="G1741" t="str">
        <f>"GUARDIAN"</f>
        <v>GUARDIAN</v>
      </c>
      <c r="H1741">
        <v>148</v>
      </c>
      <c r="I1741" t="str">
        <f t="shared" si="13"/>
        <v>GUARDIAN</v>
      </c>
    </row>
    <row r="1742" spans="1:9" x14ac:dyDescent="0.3">
      <c r="A1742" t="str">
        <f>""</f>
        <v/>
      </c>
      <c r="F1742" t="str">
        <f>"GDF201805301204"</f>
        <v>GDF201805301204</v>
      </c>
      <c r="G1742" t="str">
        <f>"GUARDIAN"</f>
        <v>GUARDIAN</v>
      </c>
      <c r="H1742">
        <v>2269.16</v>
      </c>
      <c r="I1742" t="str">
        <f t="shared" si="13"/>
        <v>GUARDIAN</v>
      </c>
    </row>
    <row r="1743" spans="1:9" x14ac:dyDescent="0.3">
      <c r="A1743" t="str">
        <f>""</f>
        <v/>
      </c>
      <c r="F1743" t="str">
        <f>""</f>
        <v/>
      </c>
      <c r="G1743" t="str">
        <f>""</f>
        <v/>
      </c>
      <c r="I1743" t="str">
        <f t="shared" si="13"/>
        <v>GUARDIAN</v>
      </c>
    </row>
    <row r="1744" spans="1:9" x14ac:dyDescent="0.3">
      <c r="A1744" t="str">
        <f>""</f>
        <v/>
      </c>
      <c r="F1744" t="str">
        <f>""</f>
        <v/>
      </c>
      <c r="G1744" t="str">
        <f>""</f>
        <v/>
      </c>
      <c r="I1744" t="str">
        <f t="shared" si="13"/>
        <v>GUARDIAN</v>
      </c>
    </row>
    <row r="1745" spans="1:9" x14ac:dyDescent="0.3">
      <c r="A1745" t="str">
        <f>""</f>
        <v/>
      </c>
      <c r="F1745" t="str">
        <f>""</f>
        <v/>
      </c>
      <c r="G1745" t="str">
        <f>""</f>
        <v/>
      </c>
      <c r="I1745" t="str">
        <f t="shared" si="13"/>
        <v>GUARDIAN</v>
      </c>
    </row>
    <row r="1746" spans="1:9" x14ac:dyDescent="0.3">
      <c r="A1746" t="str">
        <f>""</f>
        <v/>
      </c>
      <c r="F1746" t="str">
        <f>""</f>
        <v/>
      </c>
      <c r="G1746" t="str">
        <f>""</f>
        <v/>
      </c>
      <c r="I1746" t="str">
        <f t="shared" si="13"/>
        <v>GUARDIAN</v>
      </c>
    </row>
    <row r="1747" spans="1:9" x14ac:dyDescent="0.3">
      <c r="A1747" t="str">
        <f>""</f>
        <v/>
      </c>
      <c r="F1747" t="str">
        <f>""</f>
        <v/>
      </c>
      <c r="G1747" t="str">
        <f>""</f>
        <v/>
      </c>
      <c r="I1747" t="str">
        <f t="shared" si="13"/>
        <v>GUARDIAN</v>
      </c>
    </row>
    <row r="1748" spans="1:9" x14ac:dyDescent="0.3">
      <c r="A1748" t="str">
        <f>""</f>
        <v/>
      </c>
      <c r="F1748" t="str">
        <f>""</f>
        <v/>
      </c>
      <c r="G1748" t="str">
        <f>""</f>
        <v/>
      </c>
      <c r="I1748" t="str">
        <f t="shared" si="13"/>
        <v>GUARDIAN</v>
      </c>
    </row>
    <row r="1749" spans="1:9" x14ac:dyDescent="0.3">
      <c r="A1749" t="str">
        <f>""</f>
        <v/>
      </c>
      <c r="F1749" t="str">
        <f>""</f>
        <v/>
      </c>
      <c r="G1749" t="str">
        <f>""</f>
        <v/>
      </c>
      <c r="I1749" t="str">
        <f t="shared" si="13"/>
        <v>GUARDIAN</v>
      </c>
    </row>
    <row r="1750" spans="1:9" x14ac:dyDescent="0.3">
      <c r="A1750" t="str">
        <f>""</f>
        <v/>
      </c>
      <c r="F1750" t="str">
        <f>""</f>
        <v/>
      </c>
      <c r="G1750" t="str">
        <f>""</f>
        <v/>
      </c>
      <c r="I1750" t="str">
        <f t="shared" si="13"/>
        <v>GUARDIAN</v>
      </c>
    </row>
    <row r="1751" spans="1:9" x14ac:dyDescent="0.3">
      <c r="A1751" t="str">
        <f>""</f>
        <v/>
      </c>
      <c r="F1751" t="str">
        <f>""</f>
        <v/>
      </c>
      <c r="G1751" t="str">
        <f>""</f>
        <v/>
      </c>
      <c r="I1751" t="str">
        <f t="shared" si="13"/>
        <v>GUARDIAN</v>
      </c>
    </row>
    <row r="1752" spans="1:9" x14ac:dyDescent="0.3">
      <c r="A1752" t="str">
        <f>""</f>
        <v/>
      </c>
      <c r="F1752" t="str">
        <f>""</f>
        <v/>
      </c>
      <c r="G1752" t="str">
        <f>""</f>
        <v/>
      </c>
      <c r="I1752" t="str">
        <f t="shared" si="13"/>
        <v>GUARDIAN</v>
      </c>
    </row>
    <row r="1753" spans="1:9" x14ac:dyDescent="0.3">
      <c r="A1753" t="str">
        <f>""</f>
        <v/>
      </c>
      <c r="F1753" t="str">
        <f>""</f>
        <v/>
      </c>
      <c r="G1753" t="str">
        <f>""</f>
        <v/>
      </c>
      <c r="I1753" t="str">
        <f t="shared" si="13"/>
        <v>GUARDIAN</v>
      </c>
    </row>
    <row r="1754" spans="1:9" x14ac:dyDescent="0.3">
      <c r="A1754" t="str">
        <f>""</f>
        <v/>
      </c>
      <c r="F1754" t="str">
        <f>""</f>
        <v/>
      </c>
      <c r="G1754" t="str">
        <f>""</f>
        <v/>
      </c>
      <c r="I1754" t="str">
        <f t="shared" si="13"/>
        <v>GUARDIAN</v>
      </c>
    </row>
    <row r="1755" spans="1:9" x14ac:dyDescent="0.3">
      <c r="A1755" t="str">
        <f>""</f>
        <v/>
      </c>
      <c r="F1755" t="str">
        <f>""</f>
        <v/>
      </c>
      <c r="G1755" t="str">
        <f>""</f>
        <v/>
      </c>
      <c r="I1755" t="str">
        <f t="shared" si="13"/>
        <v>GUARDIAN</v>
      </c>
    </row>
    <row r="1756" spans="1:9" x14ac:dyDescent="0.3">
      <c r="A1756" t="str">
        <f>""</f>
        <v/>
      </c>
      <c r="F1756" t="str">
        <f>""</f>
        <v/>
      </c>
      <c r="G1756" t="str">
        <f>""</f>
        <v/>
      </c>
      <c r="I1756" t="str">
        <f t="shared" si="13"/>
        <v>GUARDIAN</v>
      </c>
    </row>
    <row r="1757" spans="1:9" x14ac:dyDescent="0.3">
      <c r="A1757" t="str">
        <f>""</f>
        <v/>
      </c>
      <c r="F1757" t="str">
        <f>""</f>
        <v/>
      </c>
      <c r="G1757" t="str">
        <f>""</f>
        <v/>
      </c>
      <c r="I1757" t="str">
        <f t="shared" si="13"/>
        <v>GUARDIAN</v>
      </c>
    </row>
    <row r="1758" spans="1:9" x14ac:dyDescent="0.3">
      <c r="A1758" t="str">
        <f>""</f>
        <v/>
      </c>
      <c r="F1758" t="str">
        <f>""</f>
        <v/>
      </c>
      <c r="G1758" t="str">
        <f>""</f>
        <v/>
      </c>
      <c r="I1758" t="str">
        <f t="shared" si="13"/>
        <v>GUARDIAN</v>
      </c>
    </row>
    <row r="1759" spans="1:9" x14ac:dyDescent="0.3">
      <c r="A1759" t="str">
        <f>""</f>
        <v/>
      </c>
      <c r="F1759" t="str">
        <f>""</f>
        <v/>
      </c>
      <c r="G1759" t="str">
        <f>""</f>
        <v/>
      </c>
      <c r="I1759" t="str">
        <f t="shared" si="13"/>
        <v>GUARDIAN</v>
      </c>
    </row>
    <row r="1760" spans="1:9" x14ac:dyDescent="0.3">
      <c r="A1760" t="str">
        <f>""</f>
        <v/>
      </c>
      <c r="F1760" t="str">
        <f>""</f>
        <v/>
      </c>
      <c r="G1760" t="str">
        <f>""</f>
        <v/>
      </c>
      <c r="I1760" t="str">
        <f t="shared" si="13"/>
        <v>GUARDIAN</v>
      </c>
    </row>
    <row r="1761" spans="1:9" x14ac:dyDescent="0.3">
      <c r="A1761" t="str">
        <f>""</f>
        <v/>
      </c>
      <c r="F1761" t="str">
        <f>""</f>
        <v/>
      </c>
      <c r="G1761" t="str">
        <f>""</f>
        <v/>
      </c>
      <c r="I1761" t="str">
        <f t="shared" si="13"/>
        <v>GUARDIAN</v>
      </c>
    </row>
    <row r="1762" spans="1:9" x14ac:dyDescent="0.3">
      <c r="A1762" t="str">
        <f>""</f>
        <v/>
      </c>
      <c r="F1762" t="str">
        <f>""</f>
        <v/>
      </c>
      <c r="G1762" t="str">
        <f>""</f>
        <v/>
      </c>
      <c r="I1762" t="str">
        <f t="shared" si="13"/>
        <v>GUARDIAN</v>
      </c>
    </row>
    <row r="1763" spans="1:9" x14ac:dyDescent="0.3">
      <c r="A1763" t="str">
        <f>""</f>
        <v/>
      </c>
      <c r="F1763" t="str">
        <f>"GDF201805301223"</f>
        <v>GDF201805301223</v>
      </c>
      <c r="G1763" t="str">
        <f>"GUARDIAN"</f>
        <v>GUARDIAN</v>
      </c>
      <c r="H1763">
        <v>144.84</v>
      </c>
      <c r="I1763" t="str">
        <f t="shared" si="13"/>
        <v>GUARDIAN</v>
      </c>
    </row>
    <row r="1764" spans="1:9" x14ac:dyDescent="0.3">
      <c r="A1764" t="str">
        <f>""</f>
        <v/>
      </c>
      <c r="F1764" t="str">
        <f>""</f>
        <v/>
      </c>
      <c r="G1764" t="str">
        <f>""</f>
        <v/>
      </c>
      <c r="I1764" t="str">
        <f t="shared" si="13"/>
        <v>GUARDIAN</v>
      </c>
    </row>
    <row r="1765" spans="1:9" x14ac:dyDescent="0.3">
      <c r="A1765" t="str">
        <f>""</f>
        <v/>
      </c>
      <c r="F1765" t="str">
        <f>"GDF201806131556"</f>
        <v>GDF201806131556</v>
      </c>
      <c r="G1765" t="str">
        <f>"GUARDIAN"</f>
        <v>GUARDIAN</v>
      </c>
      <c r="H1765">
        <v>2269.16</v>
      </c>
      <c r="I1765" t="str">
        <f t="shared" si="13"/>
        <v>GUARDIAN</v>
      </c>
    </row>
    <row r="1766" spans="1:9" x14ac:dyDescent="0.3">
      <c r="A1766" t="str">
        <f>""</f>
        <v/>
      </c>
      <c r="F1766" t="str">
        <f>""</f>
        <v/>
      </c>
      <c r="G1766" t="str">
        <f>""</f>
        <v/>
      </c>
      <c r="I1766" t="str">
        <f t="shared" si="13"/>
        <v>GUARDIAN</v>
      </c>
    </row>
    <row r="1767" spans="1:9" x14ac:dyDescent="0.3">
      <c r="A1767" t="str">
        <f>""</f>
        <v/>
      </c>
      <c r="F1767" t="str">
        <f>""</f>
        <v/>
      </c>
      <c r="G1767" t="str">
        <f>""</f>
        <v/>
      </c>
      <c r="I1767" t="str">
        <f t="shared" si="13"/>
        <v>GUARDIAN</v>
      </c>
    </row>
    <row r="1768" spans="1:9" x14ac:dyDescent="0.3">
      <c r="A1768" t="str">
        <f>""</f>
        <v/>
      </c>
      <c r="F1768" t="str">
        <f>""</f>
        <v/>
      </c>
      <c r="G1768" t="str">
        <f>""</f>
        <v/>
      </c>
      <c r="I1768" t="str">
        <f t="shared" ref="I1768:I1831" si="14">"GUARDIAN"</f>
        <v>GUARDIAN</v>
      </c>
    </row>
    <row r="1769" spans="1:9" x14ac:dyDescent="0.3">
      <c r="A1769" t="str">
        <f>""</f>
        <v/>
      </c>
      <c r="F1769" t="str">
        <f>""</f>
        <v/>
      </c>
      <c r="G1769" t="str">
        <f>""</f>
        <v/>
      </c>
      <c r="I1769" t="str">
        <f t="shared" si="14"/>
        <v>GUARDIAN</v>
      </c>
    </row>
    <row r="1770" spans="1:9" x14ac:dyDescent="0.3">
      <c r="A1770" t="str">
        <f>""</f>
        <v/>
      </c>
      <c r="F1770" t="str">
        <f>""</f>
        <v/>
      </c>
      <c r="G1770" t="str">
        <f>""</f>
        <v/>
      </c>
      <c r="I1770" t="str">
        <f t="shared" si="14"/>
        <v>GUARDIAN</v>
      </c>
    </row>
    <row r="1771" spans="1:9" x14ac:dyDescent="0.3">
      <c r="A1771" t="str">
        <f>""</f>
        <v/>
      </c>
      <c r="F1771" t="str">
        <f>""</f>
        <v/>
      </c>
      <c r="G1771" t="str">
        <f>""</f>
        <v/>
      </c>
      <c r="I1771" t="str">
        <f t="shared" si="14"/>
        <v>GUARDIAN</v>
      </c>
    </row>
    <row r="1772" spans="1:9" x14ac:dyDescent="0.3">
      <c r="A1772" t="str">
        <f>""</f>
        <v/>
      </c>
      <c r="F1772" t="str">
        <f>""</f>
        <v/>
      </c>
      <c r="G1772" t="str">
        <f>""</f>
        <v/>
      </c>
      <c r="I1772" t="str">
        <f t="shared" si="14"/>
        <v>GUARDIAN</v>
      </c>
    </row>
    <row r="1773" spans="1:9" x14ac:dyDescent="0.3">
      <c r="A1773" t="str">
        <f>""</f>
        <v/>
      </c>
      <c r="F1773" t="str">
        <f>""</f>
        <v/>
      </c>
      <c r="G1773" t="str">
        <f>""</f>
        <v/>
      </c>
      <c r="I1773" t="str">
        <f t="shared" si="14"/>
        <v>GUARDIAN</v>
      </c>
    </row>
    <row r="1774" spans="1:9" x14ac:dyDescent="0.3">
      <c r="A1774" t="str">
        <f>""</f>
        <v/>
      </c>
      <c r="F1774" t="str">
        <f>""</f>
        <v/>
      </c>
      <c r="G1774" t="str">
        <f>""</f>
        <v/>
      </c>
      <c r="I1774" t="str">
        <f t="shared" si="14"/>
        <v>GUARDIAN</v>
      </c>
    </row>
    <row r="1775" spans="1:9" x14ac:dyDescent="0.3">
      <c r="A1775" t="str">
        <f>""</f>
        <v/>
      </c>
      <c r="F1775" t="str">
        <f>""</f>
        <v/>
      </c>
      <c r="G1775" t="str">
        <f>""</f>
        <v/>
      </c>
      <c r="I1775" t="str">
        <f t="shared" si="14"/>
        <v>GUARDIAN</v>
      </c>
    </row>
    <row r="1776" spans="1:9" x14ac:dyDescent="0.3">
      <c r="A1776" t="str">
        <f>""</f>
        <v/>
      </c>
      <c r="F1776" t="str">
        <f>""</f>
        <v/>
      </c>
      <c r="G1776" t="str">
        <f>""</f>
        <v/>
      </c>
      <c r="I1776" t="str">
        <f t="shared" si="14"/>
        <v>GUARDIAN</v>
      </c>
    </row>
    <row r="1777" spans="1:9" x14ac:dyDescent="0.3">
      <c r="A1777" t="str">
        <f>""</f>
        <v/>
      </c>
      <c r="F1777" t="str">
        <f>""</f>
        <v/>
      </c>
      <c r="G1777" t="str">
        <f>""</f>
        <v/>
      </c>
      <c r="I1777" t="str">
        <f t="shared" si="14"/>
        <v>GUARDIAN</v>
      </c>
    </row>
    <row r="1778" spans="1:9" x14ac:dyDescent="0.3">
      <c r="A1778" t="str">
        <f>""</f>
        <v/>
      </c>
      <c r="F1778" t="str">
        <f>""</f>
        <v/>
      </c>
      <c r="G1778" t="str">
        <f>""</f>
        <v/>
      </c>
      <c r="I1778" t="str">
        <f t="shared" si="14"/>
        <v>GUARDIAN</v>
      </c>
    </row>
    <row r="1779" spans="1:9" x14ac:dyDescent="0.3">
      <c r="A1779" t="str">
        <f>""</f>
        <v/>
      </c>
      <c r="F1779" t="str">
        <f>""</f>
        <v/>
      </c>
      <c r="G1779" t="str">
        <f>""</f>
        <v/>
      </c>
      <c r="I1779" t="str">
        <f t="shared" si="14"/>
        <v>GUARDIAN</v>
      </c>
    </row>
    <row r="1780" spans="1:9" x14ac:dyDescent="0.3">
      <c r="A1780" t="str">
        <f>""</f>
        <v/>
      </c>
      <c r="F1780" t="str">
        <f>""</f>
        <v/>
      </c>
      <c r="G1780" t="str">
        <f>""</f>
        <v/>
      </c>
      <c r="I1780" t="str">
        <f t="shared" si="14"/>
        <v>GUARDIAN</v>
      </c>
    </row>
    <row r="1781" spans="1:9" x14ac:dyDescent="0.3">
      <c r="A1781" t="str">
        <f>""</f>
        <v/>
      </c>
      <c r="F1781" t="str">
        <f>""</f>
        <v/>
      </c>
      <c r="G1781" t="str">
        <f>""</f>
        <v/>
      </c>
      <c r="I1781" t="str">
        <f t="shared" si="14"/>
        <v>GUARDIAN</v>
      </c>
    </row>
    <row r="1782" spans="1:9" x14ac:dyDescent="0.3">
      <c r="A1782" t="str">
        <f>""</f>
        <v/>
      </c>
      <c r="F1782" t="str">
        <f>""</f>
        <v/>
      </c>
      <c r="G1782" t="str">
        <f>""</f>
        <v/>
      </c>
      <c r="I1782" t="str">
        <f t="shared" si="14"/>
        <v>GUARDIAN</v>
      </c>
    </row>
    <row r="1783" spans="1:9" x14ac:dyDescent="0.3">
      <c r="A1783" t="str">
        <f>""</f>
        <v/>
      </c>
      <c r="F1783" t="str">
        <f>""</f>
        <v/>
      </c>
      <c r="G1783" t="str">
        <f>""</f>
        <v/>
      </c>
      <c r="I1783" t="str">
        <f t="shared" si="14"/>
        <v>GUARDIAN</v>
      </c>
    </row>
    <row r="1784" spans="1:9" x14ac:dyDescent="0.3">
      <c r="A1784" t="str">
        <f>""</f>
        <v/>
      </c>
      <c r="F1784" t="str">
        <f>""</f>
        <v/>
      </c>
      <c r="G1784" t="str">
        <f>""</f>
        <v/>
      </c>
      <c r="I1784" t="str">
        <f t="shared" si="14"/>
        <v>GUARDIAN</v>
      </c>
    </row>
    <row r="1785" spans="1:9" x14ac:dyDescent="0.3">
      <c r="A1785" t="str">
        <f>""</f>
        <v/>
      </c>
      <c r="F1785" t="str">
        <f>""</f>
        <v/>
      </c>
      <c r="G1785" t="str">
        <f>""</f>
        <v/>
      </c>
      <c r="I1785" t="str">
        <f t="shared" si="14"/>
        <v>GUARDIAN</v>
      </c>
    </row>
    <row r="1786" spans="1:9" x14ac:dyDescent="0.3">
      <c r="A1786" t="str">
        <f>""</f>
        <v/>
      </c>
      <c r="F1786" t="str">
        <f>"GDF201806131561"</f>
        <v>GDF201806131561</v>
      </c>
      <c r="G1786" t="str">
        <f>"GUARDIAN"</f>
        <v>GUARDIAN</v>
      </c>
      <c r="H1786">
        <v>144.84</v>
      </c>
      <c r="I1786" t="str">
        <f t="shared" si="14"/>
        <v>GUARDIAN</v>
      </c>
    </row>
    <row r="1787" spans="1:9" x14ac:dyDescent="0.3">
      <c r="A1787" t="str">
        <f>""</f>
        <v/>
      </c>
      <c r="F1787" t="str">
        <f>""</f>
        <v/>
      </c>
      <c r="G1787" t="str">
        <f>""</f>
        <v/>
      </c>
      <c r="I1787" t="str">
        <f t="shared" si="14"/>
        <v>GUARDIAN</v>
      </c>
    </row>
    <row r="1788" spans="1:9" x14ac:dyDescent="0.3">
      <c r="A1788" t="str">
        <f>""</f>
        <v/>
      </c>
      <c r="F1788" t="str">
        <f>"GDS201805301204"</f>
        <v>GDS201805301204</v>
      </c>
      <c r="G1788" t="str">
        <f>"GUARDIAN"</f>
        <v>GUARDIAN</v>
      </c>
      <c r="H1788">
        <v>1729.56</v>
      </c>
      <c r="I1788" t="str">
        <f t="shared" si="14"/>
        <v>GUARDIAN</v>
      </c>
    </row>
    <row r="1789" spans="1:9" x14ac:dyDescent="0.3">
      <c r="A1789" t="str">
        <f>""</f>
        <v/>
      </c>
      <c r="F1789" t="str">
        <f>""</f>
        <v/>
      </c>
      <c r="G1789" t="str">
        <f>""</f>
        <v/>
      </c>
      <c r="I1789" t="str">
        <f t="shared" si="14"/>
        <v>GUARDIAN</v>
      </c>
    </row>
    <row r="1790" spans="1:9" x14ac:dyDescent="0.3">
      <c r="A1790" t="str">
        <f>""</f>
        <v/>
      </c>
      <c r="F1790" t="str">
        <f>""</f>
        <v/>
      </c>
      <c r="G1790" t="str">
        <f>""</f>
        <v/>
      </c>
      <c r="I1790" t="str">
        <f t="shared" si="14"/>
        <v>GUARDIAN</v>
      </c>
    </row>
    <row r="1791" spans="1:9" x14ac:dyDescent="0.3">
      <c r="A1791" t="str">
        <f>""</f>
        <v/>
      </c>
      <c r="F1791" t="str">
        <f>""</f>
        <v/>
      </c>
      <c r="G1791" t="str">
        <f>""</f>
        <v/>
      </c>
      <c r="I1791" t="str">
        <f t="shared" si="14"/>
        <v>GUARDIAN</v>
      </c>
    </row>
    <row r="1792" spans="1:9" x14ac:dyDescent="0.3">
      <c r="A1792" t="str">
        <f>""</f>
        <v/>
      </c>
      <c r="F1792" t="str">
        <f>""</f>
        <v/>
      </c>
      <c r="G1792" t="str">
        <f>""</f>
        <v/>
      </c>
      <c r="I1792" t="str">
        <f t="shared" si="14"/>
        <v>GUARDIAN</v>
      </c>
    </row>
    <row r="1793" spans="1:9" x14ac:dyDescent="0.3">
      <c r="A1793" t="str">
        <f>""</f>
        <v/>
      </c>
      <c r="F1793" t="str">
        <f>""</f>
        <v/>
      </c>
      <c r="G1793" t="str">
        <f>""</f>
        <v/>
      </c>
      <c r="I1793" t="str">
        <f t="shared" si="14"/>
        <v>GUARDIAN</v>
      </c>
    </row>
    <row r="1794" spans="1:9" x14ac:dyDescent="0.3">
      <c r="A1794" t="str">
        <f>""</f>
        <v/>
      </c>
      <c r="F1794" t="str">
        <f>""</f>
        <v/>
      </c>
      <c r="G1794" t="str">
        <f>""</f>
        <v/>
      </c>
      <c r="I1794" t="str">
        <f t="shared" si="14"/>
        <v>GUARDIAN</v>
      </c>
    </row>
    <row r="1795" spans="1:9" x14ac:dyDescent="0.3">
      <c r="A1795" t="str">
        <f>""</f>
        <v/>
      </c>
      <c r="F1795" t="str">
        <f>""</f>
        <v/>
      </c>
      <c r="G1795" t="str">
        <f>""</f>
        <v/>
      </c>
      <c r="I1795" t="str">
        <f t="shared" si="14"/>
        <v>GUARDIAN</v>
      </c>
    </row>
    <row r="1796" spans="1:9" x14ac:dyDescent="0.3">
      <c r="A1796" t="str">
        <f>""</f>
        <v/>
      </c>
      <c r="F1796" t="str">
        <f>""</f>
        <v/>
      </c>
      <c r="G1796" t="str">
        <f>""</f>
        <v/>
      </c>
      <c r="I1796" t="str">
        <f t="shared" si="14"/>
        <v>GUARDIAN</v>
      </c>
    </row>
    <row r="1797" spans="1:9" x14ac:dyDescent="0.3">
      <c r="A1797" t="str">
        <f>""</f>
        <v/>
      </c>
      <c r="F1797" t="str">
        <f>""</f>
        <v/>
      </c>
      <c r="G1797" t="str">
        <f>""</f>
        <v/>
      </c>
      <c r="I1797" t="str">
        <f t="shared" si="14"/>
        <v>GUARDIAN</v>
      </c>
    </row>
    <row r="1798" spans="1:9" x14ac:dyDescent="0.3">
      <c r="A1798" t="str">
        <f>""</f>
        <v/>
      </c>
      <c r="F1798" t="str">
        <f>""</f>
        <v/>
      </c>
      <c r="G1798" t="str">
        <f>""</f>
        <v/>
      </c>
      <c r="I1798" t="str">
        <f t="shared" si="14"/>
        <v>GUARDIAN</v>
      </c>
    </row>
    <row r="1799" spans="1:9" x14ac:dyDescent="0.3">
      <c r="A1799" t="str">
        <f>""</f>
        <v/>
      </c>
      <c r="F1799" t="str">
        <f>""</f>
        <v/>
      </c>
      <c r="G1799" t="str">
        <f>""</f>
        <v/>
      </c>
      <c r="I1799" t="str">
        <f t="shared" si="14"/>
        <v>GUARDIAN</v>
      </c>
    </row>
    <row r="1800" spans="1:9" x14ac:dyDescent="0.3">
      <c r="A1800" t="str">
        <f>""</f>
        <v/>
      </c>
      <c r="F1800" t="str">
        <f>""</f>
        <v/>
      </c>
      <c r="G1800" t="str">
        <f>""</f>
        <v/>
      </c>
      <c r="I1800" t="str">
        <f t="shared" si="14"/>
        <v>GUARDIAN</v>
      </c>
    </row>
    <row r="1801" spans="1:9" x14ac:dyDescent="0.3">
      <c r="A1801" t="str">
        <f>""</f>
        <v/>
      </c>
      <c r="F1801" t="str">
        <f>""</f>
        <v/>
      </c>
      <c r="G1801" t="str">
        <f>""</f>
        <v/>
      </c>
      <c r="I1801" t="str">
        <f t="shared" si="14"/>
        <v>GUARDIAN</v>
      </c>
    </row>
    <row r="1802" spans="1:9" x14ac:dyDescent="0.3">
      <c r="A1802" t="str">
        <f>""</f>
        <v/>
      </c>
      <c r="F1802" t="str">
        <f>""</f>
        <v/>
      </c>
      <c r="G1802" t="str">
        <f>""</f>
        <v/>
      </c>
      <c r="I1802" t="str">
        <f t="shared" si="14"/>
        <v>GUARDIAN</v>
      </c>
    </row>
    <row r="1803" spans="1:9" x14ac:dyDescent="0.3">
      <c r="A1803" t="str">
        <f>""</f>
        <v/>
      </c>
      <c r="F1803" t="str">
        <f>""</f>
        <v/>
      </c>
      <c r="G1803" t="str">
        <f>""</f>
        <v/>
      </c>
      <c r="I1803" t="str">
        <f t="shared" si="14"/>
        <v>GUARDIAN</v>
      </c>
    </row>
    <row r="1804" spans="1:9" x14ac:dyDescent="0.3">
      <c r="A1804" t="str">
        <f>""</f>
        <v/>
      </c>
      <c r="F1804" t="str">
        <f>""</f>
        <v/>
      </c>
      <c r="G1804" t="str">
        <f>""</f>
        <v/>
      </c>
      <c r="I1804" t="str">
        <f t="shared" si="14"/>
        <v>GUARDIAN</v>
      </c>
    </row>
    <row r="1805" spans="1:9" x14ac:dyDescent="0.3">
      <c r="A1805" t="str">
        <f>""</f>
        <v/>
      </c>
      <c r="F1805" t="str">
        <f>""</f>
        <v/>
      </c>
      <c r="G1805" t="str">
        <f>""</f>
        <v/>
      </c>
      <c r="I1805" t="str">
        <f t="shared" si="14"/>
        <v>GUARDIAN</v>
      </c>
    </row>
    <row r="1806" spans="1:9" x14ac:dyDescent="0.3">
      <c r="A1806" t="str">
        <f>""</f>
        <v/>
      </c>
      <c r="F1806" t="str">
        <f>""</f>
        <v/>
      </c>
      <c r="G1806" t="str">
        <f>""</f>
        <v/>
      </c>
      <c r="I1806" t="str">
        <f t="shared" si="14"/>
        <v>GUARDIAN</v>
      </c>
    </row>
    <row r="1807" spans="1:9" x14ac:dyDescent="0.3">
      <c r="A1807" t="str">
        <f>""</f>
        <v/>
      </c>
      <c r="F1807" t="str">
        <f>""</f>
        <v/>
      </c>
      <c r="G1807" t="str">
        <f>""</f>
        <v/>
      </c>
      <c r="I1807" t="str">
        <f t="shared" si="14"/>
        <v>GUARDIAN</v>
      </c>
    </row>
    <row r="1808" spans="1:9" x14ac:dyDescent="0.3">
      <c r="A1808" t="str">
        <f>""</f>
        <v/>
      </c>
      <c r="F1808" t="str">
        <f>""</f>
        <v/>
      </c>
      <c r="G1808" t="str">
        <f>""</f>
        <v/>
      </c>
      <c r="I1808" t="str">
        <f t="shared" si="14"/>
        <v>GUARDIAN</v>
      </c>
    </row>
    <row r="1809" spans="1:9" x14ac:dyDescent="0.3">
      <c r="A1809" t="str">
        <f>""</f>
        <v/>
      </c>
      <c r="F1809" t="str">
        <f>""</f>
        <v/>
      </c>
      <c r="G1809" t="str">
        <f>""</f>
        <v/>
      </c>
      <c r="I1809" t="str">
        <f t="shared" si="14"/>
        <v>GUARDIAN</v>
      </c>
    </row>
    <row r="1810" spans="1:9" x14ac:dyDescent="0.3">
      <c r="A1810" t="str">
        <f>""</f>
        <v/>
      </c>
      <c r="F1810" t="str">
        <f>""</f>
        <v/>
      </c>
      <c r="G1810" t="str">
        <f>""</f>
        <v/>
      </c>
      <c r="I1810" t="str">
        <f t="shared" si="14"/>
        <v>GUARDIAN</v>
      </c>
    </row>
    <row r="1811" spans="1:9" x14ac:dyDescent="0.3">
      <c r="A1811" t="str">
        <f>""</f>
        <v/>
      </c>
      <c r="F1811" t="str">
        <f>""</f>
        <v/>
      </c>
      <c r="G1811" t="str">
        <f>""</f>
        <v/>
      </c>
      <c r="I1811" t="str">
        <f t="shared" si="14"/>
        <v>GUARDIAN</v>
      </c>
    </row>
    <row r="1812" spans="1:9" x14ac:dyDescent="0.3">
      <c r="A1812" t="str">
        <f>""</f>
        <v/>
      </c>
      <c r="F1812" t="str">
        <f>""</f>
        <v/>
      </c>
      <c r="G1812" t="str">
        <f>""</f>
        <v/>
      </c>
      <c r="I1812" t="str">
        <f t="shared" si="14"/>
        <v>GUARDIAN</v>
      </c>
    </row>
    <row r="1813" spans="1:9" x14ac:dyDescent="0.3">
      <c r="A1813" t="str">
        <f>""</f>
        <v/>
      </c>
      <c r="F1813" t="str">
        <f>""</f>
        <v/>
      </c>
      <c r="G1813" t="str">
        <f>""</f>
        <v/>
      </c>
      <c r="I1813" t="str">
        <f t="shared" si="14"/>
        <v>GUARDIAN</v>
      </c>
    </row>
    <row r="1814" spans="1:9" x14ac:dyDescent="0.3">
      <c r="A1814" t="str">
        <f>""</f>
        <v/>
      </c>
      <c r="F1814" t="str">
        <f>"GDS201805301223"</f>
        <v>GDS201805301223</v>
      </c>
      <c r="G1814" t="str">
        <f>"GUARDIAN"</f>
        <v>GUARDIAN</v>
      </c>
      <c r="H1814">
        <v>29.82</v>
      </c>
      <c r="I1814" t="str">
        <f t="shared" si="14"/>
        <v>GUARDIAN</v>
      </c>
    </row>
    <row r="1815" spans="1:9" x14ac:dyDescent="0.3">
      <c r="A1815" t="str">
        <f>""</f>
        <v/>
      </c>
      <c r="F1815" t="str">
        <f>""</f>
        <v/>
      </c>
      <c r="G1815" t="str">
        <f>""</f>
        <v/>
      </c>
      <c r="I1815" t="str">
        <f t="shared" si="14"/>
        <v>GUARDIAN</v>
      </c>
    </row>
    <row r="1816" spans="1:9" x14ac:dyDescent="0.3">
      <c r="A1816" t="str">
        <f>""</f>
        <v/>
      </c>
      <c r="F1816" t="str">
        <f>"GDS201806131556"</f>
        <v>GDS201806131556</v>
      </c>
      <c r="G1816" t="str">
        <f>"GUARDIAN"</f>
        <v>GUARDIAN</v>
      </c>
      <c r="H1816">
        <v>1729.56</v>
      </c>
      <c r="I1816" t="str">
        <f t="shared" si="14"/>
        <v>GUARDIAN</v>
      </c>
    </row>
    <row r="1817" spans="1:9" x14ac:dyDescent="0.3">
      <c r="A1817" t="str">
        <f>""</f>
        <v/>
      </c>
      <c r="F1817" t="str">
        <f>""</f>
        <v/>
      </c>
      <c r="G1817" t="str">
        <f>""</f>
        <v/>
      </c>
      <c r="I1817" t="str">
        <f t="shared" si="14"/>
        <v>GUARDIAN</v>
      </c>
    </row>
    <row r="1818" spans="1:9" x14ac:dyDescent="0.3">
      <c r="A1818" t="str">
        <f>""</f>
        <v/>
      </c>
      <c r="F1818" t="str">
        <f>""</f>
        <v/>
      </c>
      <c r="G1818" t="str">
        <f>""</f>
        <v/>
      </c>
      <c r="I1818" t="str">
        <f t="shared" si="14"/>
        <v>GUARDIAN</v>
      </c>
    </row>
    <row r="1819" spans="1:9" x14ac:dyDescent="0.3">
      <c r="A1819" t="str">
        <f>""</f>
        <v/>
      </c>
      <c r="F1819" t="str">
        <f>""</f>
        <v/>
      </c>
      <c r="G1819" t="str">
        <f>""</f>
        <v/>
      </c>
      <c r="I1819" t="str">
        <f t="shared" si="14"/>
        <v>GUARDIAN</v>
      </c>
    </row>
    <row r="1820" spans="1:9" x14ac:dyDescent="0.3">
      <c r="A1820" t="str">
        <f>""</f>
        <v/>
      </c>
      <c r="F1820" t="str">
        <f>""</f>
        <v/>
      </c>
      <c r="G1820" t="str">
        <f>""</f>
        <v/>
      </c>
      <c r="I1820" t="str">
        <f t="shared" si="14"/>
        <v>GUARDIAN</v>
      </c>
    </row>
    <row r="1821" spans="1:9" x14ac:dyDescent="0.3">
      <c r="A1821" t="str">
        <f>""</f>
        <v/>
      </c>
      <c r="F1821" t="str">
        <f>""</f>
        <v/>
      </c>
      <c r="G1821" t="str">
        <f>""</f>
        <v/>
      </c>
      <c r="I1821" t="str">
        <f t="shared" si="14"/>
        <v>GUARDIAN</v>
      </c>
    </row>
    <row r="1822" spans="1:9" x14ac:dyDescent="0.3">
      <c r="A1822" t="str">
        <f>""</f>
        <v/>
      </c>
      <c r="F1822" t="str">
        <f>""</f>
        <v/>
      </c>
      <c r="G1822" t="str">
        <f>""</f>
        <v/>
      </c>
      <c r="I1822" t="str">
        <f t="shared" si="14"/>
        <v>GUARDIAN</v>
      </c>
    </row>
    <row r="1823" spans="1:9" x14ac:dyDescent="0.3">
      <c r="A1823" t="str">
        <f>""</f>
        <v/>
      </c>
      <c r="F1823" t="str">
        <f>""</f>
        <v/>
      </c>
      <c r="G1823" t="str">
        <f>""</f>
        <v/>
      </c>
      <c r="I1823" t="str">
        <f t="shared" si="14"/>
        <v>GUARDIAN</v>
      </c>
    </row>
    <row r="1824" spans="1:9" x14ac:dyDescent="0.3">
      <c r="A1824" t="str">
        <f>""</f>
        <v/>
      </c>
      <c r="F1824" t="str">
        <f>""</f>
        <v/>
      </c>
      <c r="G1824" t="str">
        <f>""</f>
        <v/>
      </c>
      <c r="I1824" t="str">
        <f t="shared" si="14"/>
        <v>GUARDIAN</v>
      </c>
    </row>
    <row r="1825" spans="1:9" x14ac:dyDescent="0.3">
      <c r="A1825" t="str">
        <f>""</f>
        <v/>
      </c>
      <c r="F1825" t="str">
        <f>""</f>
        <v/>
      </c>
      <c r="G1825" t="str">
        <f>""</f>
        <v/>
      </c>
      <c r="I1825" t="str">
        <f t="shared" si="14"/>
        <v>GUARDIAN</v>
      </c>
    </row>
    <row r="1826" spans="1:9" x14ac:dyDescent="0.3">
      <c r="A1826" t="str">
        <f>""</f>
        <v/>
      </c>
      <c r="F1826" t="str">
        <f>""</f>
        <v/>
      </c>
      <c r="G1826" t="str">
        <f>""</f>
        <v/>
      </c>
      <c r="I1826" t="str">
        <f t="shared" si="14"/>
        <v>GUARDIAN</v>
      </c>
    </row>
    <row r="1827" spans="1:9" x14ac:dyDescent="0.3">
      <c r="A1827" t="str">
        <f>""</f>
        <v/>
      </c>
      <c r="F1827" t="str">
        <f>""</f>
        <v/>
      </c>
      <c r="G1827" t="str">
        <f>""</f>
        <v/>
      </c>
      <c r="I1827" t="str">
        <f t="shared" si="14"/>
        <v>GUARDIAN</v>
      </c>
    </row>
    <row r="1828" spans="1:9" x14ac:dyDescent="0.3">
      <c r="A1828" t="str">
        <f>""</f>
        <v/>
      </c>
      <c r="F1828" t="str">
        <f>""</f>
        <v/>
      </c>
      <c r="G1828" t="str">
        <f>""</f>
        <v/>
      </c>
      <c r="I1828" t="str">
        <f t="shared" si="14"/>
        <v>GUARDIAN</v>
      </c>
    </row>
    <row r="1829" spans="1:9" x14ac:dyDescent="0.3">
      <c r="A1829" t="str">
        <f>""</f>
        <v/>
      </c>
      <c r="F1829" t="str">
        <f>""</f>
        <v/>
      </c>
      <c r="G1829" t="str">
        <f>""</f>
        <v/>
      </c>
      <c r="I1829" t="str">
        <f t="shared" si="14"/>
        <v>GUARDIAN</v>
      </c>
    </row>
    <row r="1830" spans="1:9" x14ac:dyDescent="0.3">
      <c r="A1830" t="str">
        <f>""</f>
        <v/>
      </c>
      <c r="F1830" t="str">
        <f>""</f>
        <v/>
      </c>
      <c r="G1830" t="str">
        <f>""</f>
        <v/>
      </c>
      <c r="I1830" t="str">
        <f t="shared" si="14"/>
        <v>GUARDIAN</v>
      </c>
    </row>
    <row r="1831" spans="1:9" x14ac:dyDescent="0.3">
      <c r="A1831" t="str">
        <f>""</f>
        <v/>
      </c>
      <c r="F1831" t="str">
        <f>""</f>
        <v/>
      </c>
      <c r="G1831" t="str">
        <f>""</f>
        <v/>
      </c>
      <c r="I1831" t="str">
        <f t="shared" si="14"/>
        <v>GUARDIAN</v>
      </c>
    </row>
    <row r="1832" spans="1:9" x14ac:dyDescent="0.3">
      <c r="A1832" t="str">
        <f>""</f>
        <v/>
      </c>
      <c r="F1832" t="str">
        <f>""</f>
        <v/>
      </c>
      <c r="G1832" t="str">
        <f>""</f>
        <v/>
      </c>
      <c r="I1832" t="str">
        <f t="shared" ref="I1832:I1843" si="15">"GUARDIAN"</f>
        <v>GUARDIAN</v>
      </c>
    </row>
    <row r="1833" spans="1:9" x14ac:dyDescent="0.3">
      <c r="A1833" t="str">
        <f>""</f>
        <v/>
      </c>
      <c r="F1833" t="str">
        <f>""</f>
        <v/>
      </c>
      <c r="G1833" t="str">
        <f>""</f>
        <v/>
      </c>
      <c r="I1833" t="str">
        <f t="shared" si="15"/>
        <v>GUARDIAN</v>
      </c>
    </row>
    <row r="1834" spans="1:9" x14ac:dyDescent="0.3">
      <c r="A1834" t="str">
        <f>""</f>
        <v/>
      </c>
      <c r="F1834" t="str">
        <f>""</f>
        <v/>
      </c>
      <c r="G1834" t="str">
        <f>""</f>
        <v/>
      </c>
      <c r="I1834" t="str">
        <f t="shared" si="15"/>
        <v>GUARDIAN</v>
      </c>
    </row>
    <row r="1835" spans="1:9" x14ac:dyDescent="0.3">
      <c r="A1835" t="str">
        <f>""</f>
        <v/>
      </c>
      <c r="F1835" t="str">
        <f>""</f>
        <v/>
      </c>
      <c r="G1835" t="str">
        <f>""</f>
        <v/>
      </c>
      <c r="I1835" t="str">
        <f t="shared" si="15"/>
        <v>GUARDIAN</v>
      </c>
    </row>
    <row r="1836" spans="1:9" x14ac:dyDescent="0.3">
      <c r="A1836" t="str">
        <f>""</f>
        <v/>
      </c>
      <c r="F1836" t="str">
        <f>""</f>
        <v/>
      </c>
      <c r="G1836" t="str">
        <f>""</f>
        <v/>
      </c>
      <c r="I1836" t="str">
        <f t="shared" si="15"/>
        <v>GUARDIAN</v>
      </c>
    </row>
    <row r="1837" spans="1:9" x14ac:dyDescent="0.3">
      <c r="A1837" t="str">
        <f>""</f>
        <v/>
      </c>
      <c r="F1837" t="str">
        <f>""</f>
        <v/>
      </c>
      <c r="G1837" t="str">
        <f>""</f>
        <v/>
      </c>
      <c r="I1837" t="str">
        <f t="shared" si="15"/>
        <v>GUARDIAN</v>
      </c>
    </row>
    <row r="1838" spans="1:9" x14ac:dyDescent="0.3">
      <c r="A1838" t="str">
        <f>""</f>
        <v/>
      </c>
      <c r="F1838" t="str">
        <f>""</f>
        <v/>
      </c>
      <c r="G1838" t="str">
        <f>""</f>
        <v/>
      </c>
      <c r="I1838" t="str">
        <f t="shared" si="15"/>
        <v>GUARDIAN</v>
      </c>
    </row>
    <row r="1839" spans="1:9" x14ac:dyDescent="0.3">
      <c r="A1839" t="str">
        <f>""</f>
        <v/>
      </c>
      <c r="F1839" t="str">
        <f>""</f>
        <v/>
      </c>
      <c r="G1839" t="str">
        <f>""</f>
        <v/>
      </c>
      <c r="I1839" t="str">
        <f t="shared" si="15"/>
        <v>GUARDIAN</v>
      </c>
    </row>
    <row r="1840" spans="1:9" x14ac:dyDescent="0.3">
      <c r="A1840" t="str">
        <f>""</f>
        <v/>
      </c>
      <c r="F1840" t="str">
        <f>""</f>
        <v/>
      </c>
      <c r="G1840" t="str">
        <f>""</f>
        <v/>
      </c>
      <c r="I1840" t="str">
        <f t="shared" si="15"/>
        <v>GUARDIAN</v>
      </c>
    </row>
    <row r="1841" spans="1:9" x14ac:dyDescent="0.3">
      <c r="A1841" t="str">
        <f>""</f>
        <v/>
      </c>
      <c r="F1841" t="str">
        <f>""</f>
        <v/>
      </c>
      <c r="G1841" t="str">
        <f>""</f>
        <v/>
      </c>
      <c r="I1841" t="str">
        <f t="shared" si="15"/>
        <v>GUARDIAN</v>
      </c>
    </row>
    <row r="1842" spans="1:9" x14ac:dyDescent="0.3">
      <c r="A1842" t="str">
        <f>""</f>
        <v/>
      </c>
      <c r="F1842" t="str">
        <f>"GDS201806131561"</f>
        <v>GDS201806131561</v>
      </c>
      <c r="G1842" t="str">
        <f>"GUARDIAN"</f>
        <v>GUARDIAN</v>
      </c>
      <c r="H1842">
        <v>29.82</v>
      </c>
      <c r="I1842" t="str">
        <f t="shared" si="15"/>
        <v>GUARDIAN</v>
      </c>
    </row>
    <row r="1843" spans="1:9" x14ac:dyDescent="0.3">
      <c r="A1843" t="str">
        <f>""</f>
        <v/>
      </c>
      <c r="F1843" t="str">
        <f>""</f>
        <v/>
      </c>
      <c r="G1843" t="str">
        <f>""</f>
        <v/>
      </c>
      <c r="I1843" t="str">
        <f t="shared" si="15"/>
        <v>GUARDIAN</v>
      </c>
    </row>
    <row r="1844" spans="1:9" x14ac:dyDescent="0.3">
      <c r="A1844" t="str">
        <f>""</f>
        <v/>
      </c>
      <c r="F1844" t="str">
        <f>"GV1201805301204"</f>
        <v>GV1201805301204</v>
      </c>
      <c r="G1844" t="str">
        <f>"GUARDIAN VISION"</f>
        <v>GUARDIAN VISION</v>
      </c>
      <c r="H1844">
        <v>375.2</v>
      </c>
      <c r="I1844" t="str">
        <f>"GUARDIAN VISION"</f>
        <v>GUARDIAN VISION</v>
      </c>
    </row>
    <row r="1845" spans="1:9" x14ac:dyDescent="0.3">
      <c r="A1845" t="str">
        <f>""</f>
        <v/>
      </c>
      <c r="F1845" t="str">
        <f>"GV1201805301223"</f>
        <v>GV1201805301223</v>
      </c>
      <c r="G1845" t="str">
        <f>"GUARDIAN VISION"</f>
        <v>GUARDIAN VISION</v>
      </c>
      <c r="H1845">
        <v>5.6</v>
      </c>
      <c r="I1845" t="str">
        <f>"GUARDIAN VISION"</f>
        <v>GUARDIAN VISION</v>
      </c>
    </row>
    <row r="1846" spans="1:9" x14ac:dyDescent="0.3">
      <c r="A1846" t="str">
        <f>""</f>
        <v/>
      </c>
      <c r="F1846" t="str">
        <f>"GV1201806131556"</f>
        <v>GV1201806131556</v>
      </c>
      <c r="G1846" t="str">
        <f>"GUARDIAN VISION"</f>
        <v>GUARDIAN VISION</v>
      </c>
      <c r="H1846">
        <v>375.2</v>
      </c>
      <c r="I1846" t="str">
        <f>"GUARDIAN VISION"</f>
        <v>GUARDIAN VISION</v>
      </c>
    </row>
    <row r="1847" spans="1:9" x14ac:dyDescent="0.3">
      <c r="A1847" t="str">
        <f>""</f>
        <v/>
      </c>
      <c r="F1847" t="str">
        <f>"GV1201806131561"</f>
        <v>GV1201806131561</v>
      </c>
      <c r="G1847" t="str">
        <f>"GUARDIAN VISION"</f>
        <v>GUARDIAN VISION</v>
      </c>
      <c r="H1847">
        <v>5.6</v>
      </c>
      <c r="I1847" t="str">
        <f>"GUARDIAN VISION"</f>
        <v>GUARDIAN VISION</v>
      </c>
    </row>
    <row r="1848" spans="1:9" x14ac:dyDescent="0.3">
      <c r="A1848" t="str">
        <f>""</f>
        <v/>
      </c>
      <c r="F1848" t="str">
        <f>"GVE201805301204"</f>
        <v>GVE201805301204</v>
      </c>
      <c r="G1848" t="str">
        <f>"GUARDIAN VISION VENDOR"</f>
        <v>GUARDIAN VISION VENDOR</v>
      </c>
      <c r="H1848">
        <v>553.5</v>
      </c>
      <c r="I1848" t="str">
        <f>"GUARDIAN VISION VENDOR"</f>
        <v>GUARDIAN VISION VENDOR</v>
      </c>
    </row>
    <row r="1849" spans="1:9" x14ac:dyDescent="0.3">
      <c r="A1849" t="str">
        <f>""</f>
        <v/>
      </c>
      <c r="F1849" t="str">
        <f>"GVE201805301223"</f>
        <v>GVE201805301223</v>
      </c>
      <c r="G1849" t="str">
        <f>"GUARDIAN VISION VENDOR"</f>
        <v>GUARDIAN VISION VENDOR</v>
      </c>
      <c r="H1849">
        <v>25.83</v>
      </c>
      <c r="I1849" t="str">
        <f>"GUARDIAN VISION VENDOR"</f>
        <v>GUARDIAN VISION VENDOR</v>
      </c>
    </row>
    <row r="1850" spans="1:9" x14ac:dyDescent="0.3">
      <c r="A1850" t="str">
        <f>""</f>
        <v/>
      </c>
      <c r="F1850" t="str">
        <f>"GVE201806131556"</f>
        <v>GVE201806131556</v>
      </c>
      <c r="G1850" t="str">
        <f>"GUARDIAN VISION VENDOR"</f>
        <v>GUARDIAN VISION VENDOR</v>
      </c>
      <c r="H1850">
        <v>553.5</v>
      </c>
      <c r="I1850" t="str">
        <f>"GUARDIAN VISION VENDOR"</f>
        <v>GUARDIAN VISION VENDOR</v>
      </c>
    </row>
    <row r="1851" spans="1:9" x14ac:dyDescent="0.3">
      <c r="A1851" t="str">
        <f>""</f>
        <v/>
      </c>
      <c r="F1851" t="str">
        <f>"GVE201806131561"</f>
        <v>GVE201806131561</v>
      </c>
      <c r="G1851" t="str">
        <f>"GUARDIAN VISION VENDOR"</f>
        <v>GUARDIAN VISION VENDOR</v>
      </c>
      <c r="H1851">
        <v>25.83</v>
      </c>
      <c r="I1851" t="str">
        <f>"GUARDIAN VISION VENDOR"</f>
        <v>GUARDIAN VISION VENDOR</v>
      </c>
    </row>
    <row r="1852" spans="1:9" x14ac:dyDescent="0.3">
      <c r="A1852" t="str">
        <f>""</f>
        <v/>
      </c>
      <c r="F1852" t="str">
        <f>"GVF201805301204"</f>
        <v>GVF201805301204</v>
      </c>
      <c r="G1852" t="str">
        <f>"GUARDIAN VISION"</f>
        <v>GUARDIAN VISION</v>
      </c>
      <c r="H1852">
        <v>472.8</v>
      </c>
      <c r="I1852" t="str">
        <f>"GUARDIAN VISION"</f>
        <v>GUARDIAN VISION</v>
      </c>
    </row>
    <row r="1853" spans="1:9" x14ac:dyDescent="0.3">
      <c r="A1853" t="str">
        <f>""</f>
        <v/>
      </c>
      <c r="F1853" t="str">
        <f>"GVF201805301223"</f>
        <v>GVF201805301223</v>
      </c>
      <c r="G1853" t="str">
        <f>"GUARDIAN VISION VENDOR"</f>
        <v>GUARDIAN VISION VENDOR</v>
      </c>
      <c r="H1853">
        <v>29.55</v>
      </c>
      <c r="I1853" t="str">
        <f>"GUARDIAN VISION VENDOR"</f>
        <v>GUARDIAN VISION VENDOR</v>
      </c>
    </row>
    <row r="1854" spans="1:9" x14ac:dyDescent="0.3">
      <c r="A1854" t="str">
        <f>""</f>
        <v/>
      </c>
      <c r="F1854" t="str">
        <f>"GVF201806131556"</f>
        <v>GVF201806131556</v>
      </c>
      <c r="G1854" t="str">
        <f>"GUARDIAN VISION"</f>
        <v>GUARDIAN VISION</v>
      </c>
      <c r="H1854">
        <v>472.8</v>
      </c>
      <c r="I1854" t="str">
        <f>"GUARDIAN VISION"</f>
        <v>GUARDIAN VISION</v>
      </c>
    </row>
    <row r="1855" spans="1:9" x14ac:dyDescent="0.3">
      <c r="A1855" t="str">
        <f>""</f>
        <v/>
      </c>
      <c r="F1855" t="str">
        <f>"GVF201806131561"</f>
        <v>GVF201806131561</v>
      </c>
      <c r="G1855" t="str">
        <f>"GUARDIAN VISION VENDOR"</f>
        <v>GUARDIAN VISION VENDOR</v>
      </c>
      <c r="H1855">
        <v>29.55</v>
      </c>
      <c r="I1855" t="str">
        <f>"GUARDIAN VISION VENDOR"</f>
        <v>GUARDIAN VISION VENDOR</v>
      </c>
    </row>
    <row r="1856" spans="1:9" x14ac:dyDescent="0.3">
      <c r="A1856" t="str">
        <f>""</f>
        <v/>
      </c>
      <c r="F1856" t="str">
        <f>"LIA201805301204"</f>
        <v>LIA201805301204</v>
      </c>
      <c r="G1856" t="str">
        <f>"GUARDIAN"</f>
        <v>GUARDIAN</v>
      </c>
      <c r="H1856">
        <v>168.38</v>
      </c>
      <c r="I1856" t="str">
        <f t="shared" ref="I1856:I1887" si="16">"GUARDIAN"</f>
        <v>GUARDIAN</v>
      </c>
    </row>
    <row r="1857" spans="1:9" x14ac:dyDescent="0.3">
      <c r="A1857" t="str">
        <f>""</f>
        <v/>
      </c>
      <c r="F1857" t="str">
        <f>""</f>
        <v/>
      </c>
      <c r="G1857" t="str">
        <f>""</f>
        <v/>
      </c>
      <c r="I1857" t="str">
        <f t="shared" si="16"/>
        <v>GUARDIAN</v>
      </c>
    </row>
    <row r="1858" spans="1:9" x14ac:dyDescent="0.3">
      <c r="A1858" t="str">
        <f>""</f>
        <v/>
      </c>
      <c r="F1858" t="str">
        <f>""</f>
        <v/>
      </c>
      <c r="G1858" t="str">
        <f>""</f>
        <v/>
      </c>
      <c r="I1858" t="str">
        <f t="shared" si="16"/>
        <v>GUARDIAN</v>
      </c>
    </row>
    <row r="1859" spans="1:9" x14ac:dyDescent="0.3">
      <c r="A1859" t="str">
        <f>""</f>
        <v/>
      </c>
      <c r="F1859" t="str">
        <f>""</f>
        <v/>
      </c>
      <c r="G1859" t="str">
        <f>""</f>
        <v/>
      </c>
      <c r="I1859" t="str">
        <f t="shared" si="16"/>
        <v>GUARDIAN</v>
      </c>
    </row>
    <row r="1860" spans="1:9" x14ac:dyDescent="0.3">
      <c r="A1860" t="str">
        <f>""</f>
        <v/>
      </c>
      <c r="F1860" t="str">
        <f>""</f>
        <v/>
      </c>
      <c r="G1860" t="str">
        <f>""</f>
        <v/>
      </c>
      <c r="I1860" t="str">
        <f t="shared" si="16"/>
        <v>GUARDIAN</v>
      </c>
    </row>
    <row r="1861" spans="1:9" x14ac:dyDescent="0.3">
      <c r="A1861" t="str">
        <f>""</f>
        <v/>
      </c>
      <c r="F1861" t="str">
        <f>""</f>
        <v/>
      </c>
      <c r="G1861" t="str">
        <f>""</f>
        <v/>
      </c>
      <c r="I1861" t="str">
        <f t="shared" si="16"/>
        <v>GUARDIAN</v>
      </c>
    </row>
    <row r="1862" spans="1:9" x14ac:dyDescent="0.3">
      <c r="A1862" t="str">
        <f>""</f>
        <v/>
      </c>
      <c r="F1862" t="str">
        <f>""</f>
        <v/>
      </c>
      <c r="G1862" t="str">
        <f>""</f>
        <v/>
      </c>
      <c r="I1862" t="str">
        <f t="shared" si="16"/>
        <v>GUARDIAN</v>
      </c>
    </row>
    <row r="1863" spans="1:9" x14ac:dyDescent="0.3">
      <c r="A1863" t="str">
        <f>""</f>
        <v/>
      </c>
      <c r="F1863" t="str">
        <f>""</f>
        <v/>
      </c>
      <c r="G1863" t="str">
        <f>""</f>
        <v/>
      </c>
      <c r="I1863" t="str">
        <f t="shared" si="16"/>
        <v>GUARDIAN</v>
      </c>
    </row>
    <row r="1864" spans="1:9" x14ac:dyDescent="0.3">
      <c r="A1864" t="str">
        <f>""</f>
        <v/>
      </c>
      <c r="F1864" t="str">
        <f>""</f>
        <v/>
      </c>
      <c r="G1864" t="str">
        <f>""</f>
        <v/>
      </c>
      <c r="I1864" t="str">
        <f t="shared" si="16"/>
        <v>GUARDIAN</v>
      </c>
    </row>
    <row r="1865" spans="1:9" x14ac:dyDescent="0.3">
      <c r="A1865" t="str">
        <f>""</f>
        <v/>
      </c>
      <c r="F1865" t="str">
        <f>""</f>
        <v/>
      </c>
      <c r="G1865" t="str">
        <f>""</f>
        <v/>
      </c>
      <c r="I1865" t="str">
        <f t="shared" si="16"/>
        <v>GUARDIAN</v>
      </c>
    </row>
    <row r="1866" spans="1:9" x14ac:dyDescent="0.3">
      <c r="A1866" t="str">
        <f>""</f>
        <v/>
      </c>
      <c r="F1866" t="str">
        <f>""</f>
        <v/>
      </c>
      <c r="G1866" t="str">
        <f>""</f>
        <v/>
      </c>
      <c r="I1866" t="str">
        <f t="shared" si="16"/>
        <v>GUARDIAN</v>
      </c>
    </row>
    <row r="1867" spans="1:9" x14ac:dyDescent="0.3">
      <c r="A1867" t="str">
        <f>""</f>
        <v/>
      </c>
      <c r="F1867" t="str">
        <f>""</f>
        <v/>
      </c>
      <c r="G1867" t="str">
        <f>""</f>
        <v/>
      </c>
      <c r="I1867" t="str">
        <f t="shared" si="16"/>
        <v>GUARDIAN</v>
      </c>
    </row>
    <row r="1868" spans="1:9" x14ac:dyDescent="0.3">
      <c r="A1868" t="str">
        <f>""</f>
        <v/>
      </c>
      <c r="F1868" t="str">
        <f>""</f>
        <v/>
      </c>
      <c r="G1868" t="str">
        <f>""</f>
        <v/>
      </c>
      <c r="I1868" t="str">
        <f t="shared" si="16"/>
        <v>GUARDIAN</v>
      </c>
    </row>
    <row r="1869" spans="1:9" x14ac:dyDescent="0.3">
      <c r="A1869" t="str">
        <f>""</f>
        <v/>
      </c>
      <c r="F1869" t="str">
        <f>""</f>
        <v/>
      </c>
      <c r="G1869" t="str">
        <f>""</f>
        <v/>
      </c>
      <c r="I1869" t="str">
        <f t="shared" si="16"/>
        <v>GUARDIAN</v>
      </c>
    </row>
    <row r="1870" spans="1:9" x14ac:dyDescent="0.3">
      <c r="A1870" t="str">
        <f>""</f>
        <v/>
      </c>
      <c r="F1870" t="str">
        <f>""</f>
        <v/>
      </c>
      <c r="G1870" t="str">
        <f>""</f>
        <v/>
      </c>
      <c r="I1870" t="str">
        <f t="shared" si="16"/>
        <v>GUARDIAN</v>
      </c>
    </row>
    <row r="1871" spans="1:9" x14ac:dyDescent="0.3">
      <c r="A1871" t="str">
        <f>""</f>
        <v/>
      </c>
      <c r="F1871" t="str">
        <f>""</f>
        <v/>
      </c>
      <c r="G1871" t="str">
        <f>""</f>
        <v/>
      </c>
      <c r="I1871" t="str">
        <f t="shared" si="16"/>
        <v>GUARDIAN</v>
      </c>
    </row>
    <row r="1872" spans="1:9" x14ac:dyDescent="0.3">
      <c r="A1872" t="str">
        <f>""</f>
        <v/>
      </c>
      <c r="F1872" t="str">
        <f>""</f>
        <v/>
      </c>
      <c r="G1872" t="str">
        <f>""</f>
        <v/>
      </c>
      <c r="I1872" t="str">
        <f t="shared" si="16"/>
        <v>GUARDIAN</v>
      </c>
    </row>
    <row r="1873" spans="1:9" x14ac:dyDescent="0.3">
      <c r="A1873" t="str">
        <f>""</f>
        <v/>
      </c>
      <c r="F1873" t="str">
        <f>""</f>
        <v/>
      </c>
      <c r="G1873" t="str">
        <f>""</f>
        <v/>
      </c>
      <c r="I1873" t="str">
        <f t="shared" si="16"/>
        <v>GUARDIAN</v>
      </c>
    </row>
    <row r="1874" spans="1:9" x14ac:dyDescent="0.3">
      <c r="A1874" t="str">
        <f>""</f>
        <v/>
      </c>
      <c r="F1874" t="str">
        <f>""</f>
        <v/>
      </c>
      <c r="G1874" t="str">
        <f>""</f>
        <v/>
      </c>
      <c r="I1874" t="str">
        <f t="shared" si="16"/>
        <v>GUARDIAN</v>
      </c>
    </row>
    <row r="1875" spans="1:9" x14ac:dyDescent="0.3">
      <c r="A1875" t="str">
        <f>""</f>
        <v/>
      </c>
      <c r="F1875" t="str">
        <f>""</f>
        <v/>
      </c>
      <c r="G1875" t="str">
        <f>""</f>
        <v/>
      </c>
      <c r="I1875" t="str">
        <f t="shared" si="16"/>
        <v>GUARDIAN</v>
      </c>
    </row>
    <row r="1876" spans="1:9" x14ac:dyDescent="0.3">
      <c r="A1876" t="str">
        <f>""</f>
        <v/>
      </c>
      <c r="F1876" t="str">
        <f>""</f>
        <v/>
      </c>
      <c r="G1876" t="str">
        <f>""</f>
        <v/>
      </c>
      <c r="I1876" t="str">
        <f t="shared" si="16"/>
        <v>GUARDIAN</v>
      </c>
    </row>
    <row r="1877" spans="1:9" x14ac:dyDescent="0.3">
      <c r="A1877" t="str">
        <f>""</f>
        <v/>
      </c>
      <c r="F1877" t="str">
        <f>""</f>
        <v/>
      </c>
      <c r="G1877" t="str">
        <f>""</f>
        <v/>
      </c>
      <c r="I1877" t="str">
        <f t="shared" si="16"/>
        <v>GUARDIAN</v>
      </c>
    </row>
    <row r="1878" spans="1:9" x14ac:dyDescent="0.3">
      <c r="A1878" t="str">
        <f>""</f>
        <v/>
      </c>
      <c r="F1878" t="str">
        <f>"LIA201805301223"</f>
        <v>LIA201805301223</v>
      </c>
      <c r="G1878" t="str">
        <f>"GUARDIAN"</f>
        <v>GUARDIAN</v>
      </c>
      <c r="H1878">
        <v>25.78</v>
      </c>
      <c r="I1878" t="str">
        <f t="shared" si="16"/>
        <v>GUARDIAN</v>
      </c>
    </row>
    <row r="1879" spans="1:9" x14ac:dyDescent="0.3">
      <c r="A1879" t="str">
        <f>""</f>
        <v/>
      </c>
      <c r="F1879" t="str">
        <f>""</f>
        <v/>
      </c>
      <c r="G1879" t="str">
        <f>""</f>
        <v/>
      </c>
      <c r="I1879" t="str">
        <f t="shared" si="16"/>
        <v>GUARDIAN</v>
      </c>
    </row>
    <row r="1880" spans="1:9" x14ac:dyDescent="0.3">
      <c r="A1880" t="str">
        <f>""</f>
        <v/>
      </c>
      <c r="F1880" t="str">
        <f>"LIA201806131556"</f>
        <v>LIA201806131556</v>
      </c>
      <c r="G1880" t="str">
        <f>"GUARDIAN"</f>
        <v>GUARDIAN</v>
      </c>
      <c r="H1880">
        <v>168.38</v>
      </c>
      <c r="I1880" t="str">
        <f t="shared" si="16"/>
        <v>GUARDIAN</v>
      </c>
    </row>
    <row r="1881" spans="1:9" x14ac:dyDescent="0.3">
      <c r="A1881" t="str">
        <f>""</f>
        <v/>
      </c>
      <c r="F1881" t="str">
        <f>""</f>
        <v/>
      </c>
      <c r="G1881" t="str">
        <f>""</f>
        <v/>
      </c>
      <c r="I1881" t="str">
        <f t="shared" si="16"/>
        <v>GUARDIAN</v>
      </c>
    </row>
    <row r="1882" spans="1:9" x14ac:dyDescent="0.3">
      <c r="A1882" t="str">
        <f>""</f>
        <v/>
      </c>
      <c r="F1882" t="str">
        <f>""</f>
        <v/>
      </c>
      <c r="G1882" t="str">
        <f>""</f>
        <v/>
      </c>
      <c r="I1882" t="str">
        <f t="shared" si="16"/>
        <v>GUARDIAN</v>
      </c>
    </row>
    <row r="1883" spans="1:9" x14ac:dyDescent="0.3">
      <c r="A1883" t="str">
        <f>""</f>
        <v/>
      </c>
      <c r="F1883" t="str">
        <f>""</f>
        <v/>
      </c>
      <c r="G1883" t="str">
        <f>""</f>
        <v/>
      </c>
      <c r="I1883" t="str">
        <f t="shared" si="16"/>
        <v>GUARDIAN</v>
      </c>
    </row>
    <row r="1884" spans="1:9" x14ac:dyDescent="0.3">
      <c r="A1884" t="str">
        <f>""</f>
        <v/>
      </c>
      <c r="F1884" t="str">
        <f>""</f>
        <v/>
      </c>
      <c r="G1884" t="str">
        <f>""</f>
        <v/>
      </c>
      <c r="I1884" t="str">
        <f t="shared" si="16"/>
        <v>GUARDIAN</v>
      </c>
    </row>
    <row r="1885" spans="1:9" x14ac:dyDescent="0.3">
      <c r="A1885" t="str">
        <f>""</f>
        <v/>
      </c>
      <c r="F1885" t="str">
        <f>""</f>
        <v/>
      </c>
      <c r="G1885" t="str">
        <f>""</f>
        <v/>
      </c>
      <c r="I1885" t="str">
        <f t="shared" si="16"/>
        <v>GUARDIAN</v>
      </c>
    </row>
    <row r="1886" spans="1:9" x14ac:dyDescent="0.3">
      <c r="A1886" t="str">
        <f>""</f>
        <v/>
      </c>
      <c r="F1886" t="str">
        <f>""</f>
        <v/>
      </c>
      <c r="G1886" t="str">
        <f>""</f>
        <v/>
      </c>
      <c r="I1886" t="str">
        <f t="shared" si="16"/>
        <v>GUARDIAN</v>
      </c>
    </row>
    <row r="1887" spans="1:9" x14ac:dyDescent="0.3">
      <c r="A1887" t="str">
        <f>""</f>
        <v/>
      </c>
      <c r="F1887" t="str">
        <f>""</f>
        <v/>
      </c>
      <c r="G1887" t="str">
        <f>""</f>
        <v/>
      </c>
      <c r="I1887" t="str">
        <f t="shared" si="16"/>
        <v>GUARDIAN</v>
      </c>
    </row>
    <row r="1888" spans="1:9" x14ac:dyDescent="0.3">
      <c r="A1888" t="str">
        <f>""</f>
        <v/>
      </c>
      <c r="F1888" t="str">
        <f>""</f>
        <v/>
      </c>
      <c r="G1888" t="str">
        <f>""</f>
        <v/>
      </c>
      <c r="I1888" t="str">
        <f t="shared" ref="I1888:I1919" si="17">"GUARDIAN"</f>
        <v>GUARDIAN</v>
      </c>
    </row>
    <row r="1889" spans="1:9" x14ac:dyDescent="0.3">
      <c r="A1889" t="str">
        <f>""</f>
        <v/>
      </c>
      <c r="F1889" t="str">
        <f>""</f>
        <v/>
      </c>
      <c r="G1889" t="str">
        <f>""</f>
        <v/>
      </c>
      <c r="I1889" t="str">
        <f t="shared" si="17"/>
        <v>GUARDIAN</v>
      </c>
    </row>
    <row r="1890" spans="1:9" x14ac:dyDescent="0.3">
      <c r="A1890" t="str">
        <f>""</f>
        <v/>
      </c>
      <c r="F1890" t="str">
        <f>""</f>
        <v/>
      </c>
      <c r="G1890" t="str">
        <f>""</f>
        <v/>
      </c>
      <c r="I1890" t="str">
        <f t="shared" si="17"/>
        <v>GUARDIAN</v>
      </c>
    </row>
    <row r="1891" spans="1:9" x14ac:dyDescent="0.3">
      <c r="A1891" t="str">
        <f>""</f>
        <v/>
      </c>
      <c r="F1891" t="str">
        <f>""</f>
        <v/>
      </c>
      <c r="G1891" t="str">
        <f>""</f>
        <v/>
      </c>
      <c r="I1891" t="str">
        <f t="shared" si="17"/>
        <v>GUARDIAN</v>
      </c>
    </row>
    <row r="1892" spans="1:9" x14ac:dyDescent="0.3">
      <c r="A1892" t="str">
        <f>""</f>
        <v/>
      </c>
      <c r="F1892" t="str">
        <f>""</f>
        <v/>
      </c>
      <c r="G1892" t="str">
        <f>""</f>
        <v/>
      </c>
      <c r="I1892" t="str">
        <f t="shared" si="17"/>
        <v>GUARDIAN</v>
      </c>
    </row>
    <row r="1893" spans="1:9" x14ac:dyDescent="0.3">
      <c r="A1893" t="str">
        <f>""</f>
        <v/>
      </c>
      <c r="F1893" t="str">
        <f>""</f>
        <v/>
      </c>
      <c r="G1893" t="str">
        <f>""</f>
        <v/>
      </c>
      <c r="I1893" t="str">
        <f t="shared" si="17"/>
        <v>GUARDIAN</v>
      </c>
    </row>
    <row r="1894" spans="1:9" x14ac:dyDescent="0.3">
      <c r="A1894" t="str">
        <f>""</f>
        <v/>
      </c>
      <c r="F1894" t="str">
        <f>""</f>
        <v/>
      </c>
      <c r="G1894" t="str">
        <f>""</f>
        <v/>
      </c>
      <c r="I1894" t="str">
        <f t="shared" si="17"/>
        <v>GUARDIAN</v>
      </c>
    </row>
    <row r="1895" spans="1:9" x14ac:dyDescent="0.3">
      <c r="A1895" t="str">
        <f>""</f>
        <v/>
      </c>
      <c r="F1895" t="str">
        <f>""</f>
        <v/>
      </c>
      <c r="G1895" t="str">
        <f>""</f>
        <v/>
      </c>
      <c r="I1895" t="str">
        <f t="shared" si="17"/>
        <v>GUARDIAN</v>
      </c>
    </row>
    <row r="1896" spans="1:9" x14ac:dyDescent="0.3">
      <c r="A1896" t="str">
        <f>""</f>
        <v/>
      </c>
      <c r="F1896" t="str">
        <f>""</f>
        <v/>
      </c>
      <c r="G1896" t="str">
        <f>""</f>
        <v/>
      </c>
      <c r="I1896" t="str">
        <f t="shared" si="17"/>
        <v>GUARDIAN</v>
      </c>
    </row>
    <row r="1897" spans="1:9" x14ac:dyDescent="0.3">
      <c r="A1897" t="str">
        <f>""</f>
        <v/>
      </c>
      <c r="F1897" t="str">
        <f>""</f>
        <v/>
      </c>
      <c r="G1897" t="str">
        <f>""</f>
        <v/>
      </c>
      <c r="I1897" t="str">
        <f t="shared" si="17"/>
        <v>GUARDIAN</v>
      </c>
    </row>
    <row r="1898" spans="1:9" x14ac:dyDescent="0.3">
      <c r="A1898" t="str">
        <f>""</f>
        <v/>
      </c>
      <c r="F1898" t="str">
        <f>""</f>
        <v/>
      </c>
      <c r="G1898" t="str">
        <f>""</f>
        <v/>
      </c>
      <c r="I1898" t="str">
        <f t="shared" si="17"/>
        <v>GUARDIAN</v>
      </c>
    </row>
    <row r="1899" spans="1:9" x14ac:dyDescent="0.3">
      <c r="A1899" t="str">
        <f>""</f>
        <v/>
      </c>
      <c r="F1899" t="str">
        <f>""</f>
        <v/>
      </c>
      <c r="G1899" t="str">
        <f>""</f>
        <v/>
      </c>
      <c r="I1899" t="str">
        <f t="shared" si="17"/>
        <v>GUARDIAN</v>
      </c>
    </row>
    <row r="1900" spans="1:9" x14ac:dyDescent="0.3">
      <c r="A1900" t="str">
        <f>""</f>
        <v/>
      </c>
      <c r="F1900" t="str">
        <f>""</f>
        <v/>
      </c>
      <c r="G1900" t="str">
        <f>""</f>
        <v/>
      </c>
      <c r="I1900" t="str">
        <f t="shared" si="17"/>
        <v>GUARDIAN</v>
      </c>
    </row>
    <row r="1901" spans="1:9" x14ac:dyDescent="0.3">
      <c r="A1901" t="str">
        <f>""</f>
        <v/>
      </c>
      <c r="F1901" t="str">
        <f>""</f>
        <v/>
      </c>
      <c r="G1901" t="str">
        <f>""</f>
        <v/>
      </c>
      <c r="I1901" t="str">
        <f t="shared" si="17"/>
        <v>GUARDIAN</v>
      </c>
    </row>
    <row r="1902" spans="1:9" x14ac:dyDescent="0.3">
      <c r="A1902" t="str">
        <f>""</f>
        <v/>
      </c>
      <c r="F1902" t="str">
        <f>"LIA201806131561"</f>
        <v>LIA201806131561</v>
      </c>
      <c r="G1902" t="str">
        <f>"GUARDIAN"</f>
        <v>GUARDIAN</v>
      </c>
      <c r="H1902">
        <v>25.78</v>
      </c>
      <c r="I1902" t="str">
        <f t="shared" si="17"/>
        <v>GUARDIAN</v>
      </c>
    </row>
    <row r="1903" spans="1:9" x14ac:dyDescent="0.3">
      <c r="A1903" t="str">
        <f>""</f>
        <v/>
      </c>
      <c r="F1903" t="str">
        <f>""</f>
        <v/>
      </c>
      <c r="G1903" t="str">
        <f>""</f>
        <v/>
      </c>
      <c r="I1903" t="str">
        <f t="shared" si="17"/>
        <v>GUARDIAN</v>
      </c>
    </row>
    <row r="1904" spans="1:9" x14ac:dyDescent="0.3">
      <c r="A1904" t="str">
        <f>""</f>
        <v/>
      </c>
      <c r="F1904" t="str">
        <f>"LIC201805301204"</f>
        <v>LIC201805301204</v>
      </c>
      <c r="G1904" t="str">
        <f>"GUARDIAN"</f>
        <v>GUARDIAN</v>
      </c>
      <c r="H1904">
        <v>33.97</v>
      </c>
      <c r="I1904" t="str">
        <f t="shared" si="17"/>
        <v>GUARDIAN</v>
      </c>
    </row>
    <row r="1905" spans="1:9" x14ac:dyDescent="0.3">
      <c r="A1905" t="str">
        <f>""</f>
        <v/>
      </c>
      <c r="F1905" t="str">
        <f>"LIC201805301223"</f>
        <v>LIC201805301223</v>
      </c>
      <c r="G1905" t="str">
        <f>"GUARDIAN"</f>
        <v>GUARDIAN</v>
      </c>
      <c r="H1905">
        <v>1.05</v>
      </c>
      <c r="I1905" t="str">
        <f t="shared" si="17"/>
        <v>GUARDIAN</v>
      </c>
    </row>
    <row r="1906" spans="1:9" x14ac:dyDescent="0.3">
      <c r="A1906" t="str">
        <f>""</f>
        <v/>
      </c>
      <c r="F1906" t="str">
        <f>"LIC201806131556"</f>
        <v>LIC201806131556</v>
      </c>
      <c r="G1906" t="str">
        <f>"GUARDIAN"</f>
        <v>GUARDIAN</v>
      </c>
      <c r="H1906">
        <v>33.97</v>
      </c>
      <c r="I1906" t="str">
        <f t="shared" si="17"/>
        <v>GUARDIAN</v>
      </c>
    </row>
    <row r="1907" spans="1:9" x14ac:dyDescent="0.3">
      <c r="A1907" t="str">
        <f>""</f>
        <v/>
      </c>
      <c r="F1907" t="str">
        <f>"LIC201806131561"</f>
        <v>LIC201806131561</v>
      </c>
      <c r="G1907" t="str">
        <f>"GUARDIAN"</f>
        <v>GUARDIAN</v>
      </c>
      <c r="H1907">
        <v>1.05</v>
      </c>
      <c r="I1907" t="str">
        <f t="shared" si="17"/>
        <v>GUARDIAN</v>
      </c>
    </row>
    <row r="1908" spans="1:9" x14ac:dyDescent="0.3">
      <c r="A1908" t="str">
        <f>""</f>
        <v/>
      </c>
      <c r="F1908" t="str">
        <f>"LIE201805301204"</f>
        <v>LIE201805301204</v>
      </c>
      <c r="G1908" t="str">
        <f>"GUARDIAN"</f>
        <v>GUARDIAN</v>
      </c>
      <c r="H1908">
        <v>3206.55</v>
      </c>
      <c r="I1908" t="str">
        <f t="shared" si="17"/>
        <v>GUARDIAN</v>
      </c>
    </row>
    <row r="1909" spans="1:9" x14ac:dyDescent="0.3">
      <c r="A1909" t="str">
        <f>""</f>
        <v/>
      </c>
      <c r="F1909" t="str">
        <f>""</f>
        <v/>
      </c>
      <c r="G1909" t="str">
        <f>""</f>
        <v/>
      </c>
      <c r="I1909" t="str">
        <f t="shared" si="17"/>
        <v>GUARDIAN</v>
      </c>
    </row>
    <row r="1910" spans="1:9" x14ac:dyDescent="0.3">
      <c r="A1910" t="str">
        <f>""</f>
        <v/>
      </c>
      <c r="F1910" t="str">
        <f>""</f>
        <v/>
      </c>
      <c r="G1910" t="str">
        <f>""</f>
        <v/>
      </c>
      <c r="I1910" t="str">
        <f t="shared" si="17"/>
        <v>GUARDIAN</v>
      </c>
    </row>
    <row r="1911" spans="1:9" x14ac:dyDescent="0.3">
      <c r="A1911" t="str">
        <f>""</f>
        <v/>
      </c>
      <c r="F1911" t="str">
        <f>""</f>
        <v/>
      </c>
      <c r="G1911" t="str">
        <f>""</f>
        <v/>
      </c>
      <c r="I1911" t="str">
        <f t="shared" si="17"/>
        <v>GUARDIAN</v>
      </c>
    </row>
    <row r="1912" spans="1:9" x14ac:dyDescent="0.3">
      <c r="A1912" t="str">
        <f>""</f>
        <v/>
      </c>
      <c r="F1912" t="str">
        <f>""</f>
        <v/>
      </c>
      <c r="G1912" t="str">
        <f>""</f>
        <v/>
      </c>
      <c r="I1912" t="str">
        <f t="shared" si="17"/>
        <v>GUARDIAN</v>
      </c>
    </row>
    <row r="1913" spans="1:9" x14ac:dyDescent="0.3">
      <c r="A1913" t="str">
        <f>""</f>
        <v/>
      </c>
      <c r="F1913" t="str">
        <f>""</f>
        <v/>
      </c>
      <c r="G1913" t="str">
        <f>""</f>
        <v/>
      </c>
      <c r="I1913" t="str">
        <f t="shared" si="17"/>
        <v>GUARDIAN</v>
      </c>
    </row>
    <row r="1914" spans="1:9" x14ac:dyDescent="0.3">
      <c r="A1914" t="str">
        <f>""</f>
        <v/>
      </c>
      <c r="F1914" t="str">
        <f>""</f>
        <v/>
      </c>
      <c r="G1914" t="str">
        <f>""</f>
        <v/>
      </c>
      <c r="I1914" t="str">
        <f t="shared" si="17"/>
        <v>GUARDIAN</v>
      </c>
    </row>
    <row r="1915" spans="1:9" x14ac:dyDescent="0.3">
      <c r="A1915" t="str">
        <f>""</f>
        <v/>
      </c>
      <c r="F1915" t="str">
        <f>""</f>
        <v/>
      </c>
      <c r="G1915" t="str">
        <f>""</f>
        <v/>
      </c>
      <c r="I1915" t="str">
        <f t="shared" si="17"/>
        <v>GUARDIAN</v>
      </c>
    </row>
    <row r="1916" spans="1:9" x14ac:dyDescent="0.3">
      <c r="A1916" t="str">
        <f>""</f>
        <v/>
      </c>
      <c r="F1916" t="str">
        <f>""</f>
        <v/>
      </c>
      <c r="G1916" t="str">
        <f>""</f>
        <v/>
      </c>
      <c r="I1916" t="str">
        <f t="shared" si="17"/>
        <v>GUARDIAN</v>
      </c>
    </row>
    <row r="1917" spans="1:9" x14ac:dyDescent="0.3">
      <c r="A1917" t="str">
        <f>""</f>
        <v/>
      </c>
      <c r="F1917" t="str">
        <f>""</f>
        <v/>
      </c>
      <c r="G1917" t="str">
        <f>""</f>
        <v/>
      </c>
      <c r="I1917" t="str">
        <f t="shared" si="17"/>
        <v>GUARDIAN</v>
      </c>
    </row>
    <row r="1918" spans="1:9" x14ac:dyDescent="0.3">
      <c r="A1918" t="str">
        <f>""</f>
        <v/>
      </c>
      <c r="F1918" t="str">
        <f>""</f>
        <v/>
      </c>
      <c r="G1918" t="str">
        <f>""</f>
        <v/>
      </c>
      <c r="I1918" t="str">
        <f t="shared" si="17"/>
        <v>GUARDIAN</v>
      </c>
    </row>
    <row r="1919" spans="1:9" x14ac:dyDescent="0.3">
      <c r="A1919" t="str">
        <f>""</f>
        <v/>
      </c>
      <c r="F1919" t="str">
        <f>""</f>
        <v/>
      </c>
      <c r="G1919" t="str">
        <f>""</f>
        <v/>
      </c>
      <c r="I1919" t="str">
        <f t="shared" si="17"/>
        <v>GUARDIAN</v>
      </c>
    </row>
    <row r="1920" spans="1:9" x14ac:dyDescent="0.3">
      <c r="A1920" t="str">
        <f>""</f>
        <v/>
      </c>
      <c r="F1920" t="str">
        <f>""</f>
        <v/>
      </c>
      <c r="G1920" t="str">
        <f>""</f>
        <v/>
      </c>
      <c r="I1920" t="str">
        <f t="shared" ref="I1920:I1951" si="18">"GUARDIAN"</f>
        <v>GUARDIAN</v>
      </c>
    </row>
    <row r="1921" spans="1:9" x14ac:dyDescent="0.3">
      <c r="A1921" t="str">
        <f>""</f>
        <v/>
      </c>
      <c r="F1921" t="str">
        <f>""</f>
        <v/>
      </c>
      <c r="G1921" t="str">
        <f>""</f>
        <v/>
      </c>
      <c r="I1921" t="str">
        <f t="shared" si="18"/>
        <v>GUARDIAN</v>
      </c>
    </row>
    <row r="1922" spans="1:9" x14ac:dyDescent="0.3">
      <c r="A1922" t="str">
        <f>""</f>
        <v/>
      </c>
      <c r="F1922" t="str">
        <f>""</f>
        <v/>
      </c>
      <c r="G1922" t="str">
        <f>""</f>
        <v/>
      </c>
      <c r="I1922" t="str">
        <f t="shared" si="18"/>
        <v>GUARDIAN</v>
      </c>
    </row>
    <row r="1923" spans="1:9" x14ac:dyDescent="0.3">
      <c r="A1923" t="str">
        <f>""</f>
        <v/>
      </c>
      <c r="F1923" t="str">
        <f>""</f>
        <v/>
      </c>
      <c r="G1923" t="str">
        <f>""</f>
        <v/>
      </c>
      <c r="I1923" t="str">
        <f t="shared" si="18"/>
        <v>GUARDIAN</v>
      </c>
    </row>
    <row r="1924" spans="1:9" x14ac:dyDescent="0.3">
      <c r="A1924" t="str">
        <f>""</f>
        <v/>
      </c>
      <c r="F1924" t="str">
        <f>""</f>
        <v/>
      </c>
      <c r="G1924" t="str">
        <f>""</f>
        <v/>
      </c>
      <c r="I1924" t="str">
        <f t="shared" si="18"/>
        <v>GUARDIAN</v>
      </c>
    </row>
    <row r="1925" spans="1:9" x14ac:dyDescent="0.3">
      <c r="A1925" t="str">
        <f>""</f>
        <v/>
      </c>
      <c r="F1925" t="str">
        <f>""</f>
        <v/>
      </c>
      <c r="G1925" t="str">
        <f>""</f>
        <v/>
      </c>
      <c r="I1925" t="str">
        <f t="shared" si="18"/>
        <v>GUARDIAN</v>
      </c>
    </row>
    <row r="1926" spans="1:9" x14ac:dyDescent="0.3">
      <c r="A1926" t="str">
        <f>""</f>
        <v/>
      </c>
      <c r="F1926" t="str">
        <f>""</f>
        <v/>
      </c>
      <c r="G1926" t="str">
        <f>""</f>
        <v/>
      </c>
      <c r="I1926" t="str">
        <f t="shared" si="18"/>
        <v>GUARDIAN</v>
      </c>
    </row>
    <row r="1927" spans="1:9" x14ac:dyDescent="0.3">
      <c r="A1927" t="str">
        <f>""</f>
        <v/>
      </c>
      <c r="F1927" t="str">
        <f>""</f>
        <v/>
      </c>
      <c r="G1927" t="str">
        <f>""</f>
        <v/>
      </c>
      <c r="I1927" t="str">
        <f t="shared" si="18"/>
        <v>GUARDIAN</v>
      </c>
    </row>
    <row r="1928" spans="1:9" x14ac:dyDescent="0.3">
      <c r="A1928" t="str">
        <f>""</f>
        <v/>
      </c>
      <c r="F1928" t="str">
        <f>""</f>
        <v/>
      </c>
      <c r="G1928" t="str">
        <f>""</f>
        <v/>
      </c>
      <c r="I1928" t="str">
        <f t="shared" si="18"/>
        <v>GUARDIAN</v>
      </c>
    </row>
    <row r="1929" spans="1:9" x14ac:dyDescent="0.3">
      <c r="A1929" t="str">
        <f>""</f>
        <v/>
      </c>
      <c r="F1929" t="str">
        <f>""</f>
        <v/>
      </c>
      <c r="G1929" t="str">
        <f>""</f>
        <v/>
      </c>
      <c r="I1929" t="str">
        <f t="shared" si="18"/>
        <v>GUARDIAN</v>
      </c>
    </row>
    <row r="1930" spans="1:9" x14ac:dyDescent="0.3">
      <c r="A1930" t="str">
        <f>""</f>
        <v/>
      </c>
      <c r="F1930" t="str">
        <f>""</f>
        <v/>
      </c>
      <c r="G1930" t="str">
        <f>""</f>
        <v/>
      </c>
      <c r="I1930" t="str">
        <f t="shared" si="18"/>
        <v>GUARDIAN</v>
      </c>
    </row>
    <row r="1931" spans="1:9" x14ac:dyDescent="0.3">
      <c r="A1931" t="str">
        <f>""</f>
        <v/>
      </c>
      <c r="F1931" t="str">
        <f>""</f>
        <v/>
      </c>
      <c r="G1931" t="str">
        <f>""</f>
        <v/>
      </c>
      <c r="I1931" t="str">
        <f t="shared" si="18"/>
        <v>GUARDIAN</v>
      </c>
    </row>
    <row r="1932" spans="1:9" x14ac:dyDescent="0.3">
      <c r="A1932" t="str">
        <f>""</f>
        <v/>
      </c>
      <c r="F1932" t="str">
        <f>""</f>
        <v/>
      </c>
      <c r="G1932" t="str">
        <f>""</f>
        <v/>
      </c>
      <c r="I1932" t="str">
        <f t="shared" si="18"/>
        <v>GUARDIAN</v>
      </c>
    </row>
    <row r="1933" spans="1:9" x14ac:dyDescent="0.3">
      <c r="A1933" t="str">
        <f>""</f>
        <v/>
      </c>
      <c r="F1933" t="str">
        <f>""</f>
        <v/>
      </c>
      <c r="G1933" t="str">
        <f>""</f>
        <v/>
      </c>
      <c r="I1933" t="str">
        <f t="shared" si="18"/>
        <v>GUARDIAN</v>
      </c>
    </row>
    <row r="1934" spans="1:9" x14ac:dyDescent="0.3">
      <c r="A1934" t="str">
        <f>""</f>
        <v/>
      </c>
      <c r="F1934" t="str">
        <f>""</f>
        <v/>
      </c>
      <c r="G1934" t="str">
        <f>""</f>
        <v/>
      </c>
      <c r="I1934" t="str">
        <f t="shared" si="18"/>
        <v>GUARDIAN</v>
      </c>
    </row>
    <row r="1935" spans="1:9" x14ac:dyDescent="0.3">
      <c r="A1935" t="str">
        <f>""</f>
        <v/>
      </c>
      <c r="F1935" t="str">
        <f>""</f>
        <v/>
      </c>
      <c r="G1935" t="str">
        <f>""</f>
        <v/>
      </c>
      <c r="I1935" t="str">
        <f t="shared" si="18"/>
        <v>GUARDIAN</v>
      </c>
    </row>
    <row r="1936" spans="1:9" x14ac:dyDescent="0.3">
      <c r="A1936" t="str">
        <f>""</f>
        <v/>
      </c>
      <c r="F1936" t="str">
        <f>""</f>
        <v/>
      </c>
      <c r="G1936" t="str">
        <f>""</f>
        <v/>
      </c>
      <c r="I1936" t="str">
        <f t="shared" si="18"/>
        <v>GUARDIAN</v>
      </c>
    </row>
    <row r="1937" spans="1:9" x14ac:dyDescent="0.3">
      <c r="A1937" t="str">
        <f>""</f>
        <v/>
      </c>
      <c r="F1937" t="str">
        <f>""</f>
        <v/>
      </c>
      <c r="G1937" t="str">
        <f>""</f>
        <v/>
      </c>
      <c r="I1937" t="str">
        <f t="shared" si="18"/>
        <v>GUARDIAN</v>
      </c>
    </row>
    <row r="1938" spans="1:9" x14ac:dyDescent="0.3">
      <c r="A1938" t="str">
        <f>""</f>
        <v/>
      </c>
      <c r="F1938" t="str">
        <f>""</f>
        <v/>
      </c>
      <c r="G1938" t="str">
        <f>""</f>
        <v/>
      </c>
      <c r="I1938" t="str">
        <f t="shared" si="18"/>
        <v>GUARDIAN</v>
      </c>
    </row>
    <row r="1939" spans="1:9" x14ac:dyDescent="0.3">
      <c r="A1939" t="str">
        <f>""</f>
        <v/>
      </c>
      <c r="F1939" t="str">
        <f>""</f>
        <v/>
      </c>
      <c r="G1939" t="str">
        <f>""</f>
        <v/>
      </c>
      <c r="I1939" t="str">
        <f t="shared" si="18"/>
        <v>GUARDIAN</v>
      </c>
    </row>
    <row r="1940" spans="1:9" x14ac:dyDescent="0.3">
      <c r="A1940" t="str">
        <f>""</f>
        <v/>
      </c>
      <c r="F1940" t="str">
        <f>""</f>
        <v/>
      </c>
      <c r="G1940" t="str">
        <f>""</f>
        <v/>
      </c>
      <c r="I1940" t="str">
        <f t="shared" si="18"/>
        <v>GUARDIAN</v>
      </c>
    </row>
    <row r="1941" spans="1:9" x14ac:dyDescent="0.3">
      <c r="A1941" t="str">
        <f>""</f>
        <v/>
      </c>
      <c r="F1941" t="str">
        <f>""</f>
        <v/>
      </c>
      <c r="G1941" t="str">
        <f>""</f>
        <v/>
      </c>
      <c r="I1941" t="str">
        <f t="shared" si="18"/>
        <v>GUARDIAN</v>
      </c>
    </row>
    <row r="1942" spans="1:9" x14ac:dyDescent="0.3">
      <c r="A1942" t="str">
        <f>""</f>
        <v/>
      </c>
      <c r="F1942" t="str">
        <f>""</f>
        <v/>
      </c>
      <c r="G1942" t="str">
        <f>""</f>
        <v/>
      </c>
      <c r="I1942" t="str">
        <f t="shared" si="18"/>
        <v>GUARDIAN</v>
      </c>
    </row>
    <row r="1943" spans="1:9" x14ac:dyDescent="0.3">
      <c r="A1943" t="str">
        <f>""</f>
        <v/>
      </c>
      <c r="F1943" t="str">
        <f>""</f>
        <v/>
      </c>
      <c r="G1943" t="str">
        <f>""</f>
        <v/>
      </c>
      <c r="I1943" t="str">
        <f t="shared" si="18"/>
        <v>GUARDIAN</v>
      </c>
    </row>
    <row r="1944" spans="1:9" x14ac:dyDescent="0.3">
      <c r="A1944" t="str">
        <f>""</f>
        <v/>
      </c>
      <c r="F1944" t="str">
        <f>""</f>
        <v/>
      </c>
      <c r="G1944" t="str">
        <f>""</f>
        <v/>
      </c>
      <c r="I1944" t="str">
        <f t="shared" si="18"/>
        <v>GUARDIAN</v>
      </c>
    </row>
    <row r="1945" spans="1:9" x14ac:dyDescent="0.3">
      <c r="A1945" t="str">
        <f>""</f>
        <v/>
      </c>
      <c r="F1945" t="str">
        <f>""</f>
        <v/>
      </c>
      <c r="G1945" t="str">
        <f>""</f>
        <v/>
      </c>
      <c r="I1945" t="str">
        <f t="shared" si="18"/>
        <v>GUARDIAN</v>
      </c>
    </row>
    <row r="1946" spans="1:9" x14ac:dyDescent="0.3">
      <c r="A1946" t="str">
        <f>""</f>
        <v/>
      </c>
      <c r="F1946" t="str">
        <f>""</f>
        <v/>
      </c>
      <c r="G1946" t="str">
        <f>""</f>
        <v/>
      </c>
      <c r="I1946" t="str">
        <f t="shared" si="18"/>
        <v>GUARDIAN</v>
      </c>
    </row>
    <row r="1947" spans="1:9" x14ac:dyDescent="0.3">
      <c r="A1947" t="str">
        <f>""</f>
        <v/>
      </c>
      <c r="F1947" t="str">
        <f>""</f>
        <v/>
      </c>
      <c r="G1947" t="str">
        <f>""</f>
        <v/>
      </c>
      <c r="I1947" t="str">
        <f t="shared" si="18"/>
        <v>GUARDIAN</v>
      </c>
    </row>
    <row r="1948" spans="1:9" x14ac:dyDescent="0.3">
      <c r="A1948" t="str">
        <f>""</f>
        <v/>
      </c>
      <c r="F1948" t="str">
        <f>""</f>
        <v/>
      </c>
      <c r="G1948" t="str">
        <f>""</f>
        <v/>
      </c>
      <c r="I1948" t="str">
        <f t="shared" si="18"/>
        <v>GUARDIAN</v>
      </c>
    </row>
    <row r="1949" spans="1:9" x14ac:dyDescent="0.3">
      <c r="A1949" t="str">
        <f>""</f>
        <v/>
      </c>
      <c r="F1949" t="str">
        <f>""</f>
        <v/>
      </c>
      <c r="G1949" t="str">
        <f>""</f>
        <v/>
      </c>
      <c r="I1949" t="str">
        <f t="shared" si="18"/>
        <v>GUARDIAN</v>
      </c>
    </row>
    <row r="1950" spans="1:9" x14ac:dyDescent="0.3">
      <c r="A1950" t="str">
        <f>""</f>
        <v/>
      </c>
      <c r="F1950" t="str">
        <f>""</f>
        <v/>
      </c>
      <c r="G1950" t="str">
        <f>""</f>
        <v/>
      </c>
      <c r="I1950" t="str">
        <f t="shared" si="18"/>
        <v>GUARDIAN</v>
      </c>
    </row>
    <row r="1951" spans="1:9" x14ac:dyDescent="0.3">
      <c r="A1951" t="str">
        <f>""</f>
        <v/>
      </c>
      <c r="F1951" t="str">
        <f>""</f>
        <v/>
      </c>
      <c r="G1951" t="str">
        <f>""</f>
        <v/>
      </c>
      <c r="I1951" t="str">
        <f t="shared" si="18"/>
        <v>GUARDIAN</v>
      </c>
    </row>
    <row r="1952" spans="1:9" x14ac:dyDescent="0.3">
      <c r="A1952" t="str">
        <f>""</f>
        <v/>
      </c>
      <c r="F1952" t="str">
        <f>""</f>
        <v/>
      </c>
      <c r="G1952" t="str">
        <f>""</f>
        <v/>
      </c>
      <c r="I1952" t="str">
        <f t="shared" ref="I1952:I1983" si="19">"GUARDIAN"</f>
        <v>GUARDIAN</v>
      </c>
    </row>
    <row r="1953" spans="1:9" x14ac:dyDescent="0.3">
      <c r="A1953" t="str">
        <f>""</f>
        <v/>
      </c>
      <c r="F1953" t="str">
        <f>""</f>
        <v/>
      </c>
      <c r="G1953" t="str">
        <f>""</f>
        <v/>
      </c>
      <c r="I1953" t="str">
        <f t="shared" si="19"/>
        <v>GUARDIAN</v>
      </c>
    </row>
    <row r="1954" spans="1:9" x14ac:dyDescent="0.3">
      <c r="A1954" t="str">
        <f>""</f>
        <v/>
      </c>
      <c r="F1954" t="str">
        <f>""</f>
        <v/>
      </c>
      <c r="G1954" t="str">
        <f>""</f>
        <v/>
      </c>
      <c r="I1954" t="str">
        <f t="shared" si="19"/>
        <v>GUARDIAN</v>
      </c>
    </row>
    <row r="1955" spans="1:9" x14ac:dyDescent="0.3">
      <c r="A1955" t="str">
        <f>""</f>
        <v/>
      </c>
      <c r="F1955" t="str">
        <f>""</f>
        <v/>
      </c>
      <c r="G1955" t="str">
        <f>""</f>
        <v/>
      </c>
      <c r="I1955" t="str">
        <f t="shared" si="19"/>
        <v>GUARDIAN</v>
      </c>
    </row>
    <row r="1956" spans="1:9" x14ac:dyDescent="0.3">
      <c r="A1956" t="str">
        <f>""</f>
        <v/>
      </c>
      <c r="F1956" t="str">
        <f>""</f>
        <v/>
      </c>
      <c r="G1956" t="str">
        <f>""</f>
        <v/>
      </c>
      <c r="I1956" t="str">
        <f t="shared" si="19"/>
        <v>GUARDIAN</v>
      </c>
    </row>
    <row r="1957" spans="1:9" x14ac:dyDescent="0.3">
      <c r="A1957" t="str">
        <f>""</f>
        <v/>
      </c>
      <c r="F1957" t="str">
        <f>""</f>
        <v/>
      </c>
      <c r="G1957" t="str">
        <f>""</f>
        <v/>
      </c>
      <c r="I1957" t="str">
        <f t="shared" si="19"/>
        <v>GUARDIAN</v>
      </c>
    </row>
    <row r="1958" spans="1:9" x14ac:dyDescent="0.3">
      <c r="A1958" t="str">
        <f>""</f>
        <v/>
      </c>
      <c r="F1958" t="str">
        <f>""</f>
        <v/>
      </c>
      <c r="G1958" t="str">
        <f>""</f>
        <v/>
      </c>
      <c r="I1958" t="str">
        <f t="shared" si="19"/>
        <v>GUARDIAN</v>
      </c>
    </row>
    <row r="1959" spans="1:9" x14ac:dyDescent="0.3">
      <c r="A1959" t="str">
        <f>""</f>
        <v/>
      </c>
      <c r="F1959" t="str">
        <f>"LIE201805301223"</f>
        <v>LIE201805301223</v>
      </c>
      <c r="G1959" t="str">
        <f>"GUARDIAN"</f>
        <v>GUARDIAN</v>
      </c>
      <c r="H1959">
        <v>97.35</v>
      </c>
      <c r="I1959" t="str">
        <f t="shared" si="19"/>
        <v>GUARDIAN</v>
      </c>
    </row>
    <row r="1960" spans="1:9" x14ac:dyDescent="0.3">
      <c r="A1960" t="str">
        <f>""</f>
        <v/>
      </c>
      <c r="F1960" t="str">
        <f>""</f>
        <v/>
      </c>
      <c r="G1960" t="str">
        <f>""</f>
        <v/>
      </c>
      <c r="I1960" t="str">
        <f t="shared" si="19"/>
        <v>GUARDIAN</v>
      </c>
    </row>
    <row r="1961" spans="1:9" x14ac:dyDescent="0.3">
      <c r="A1961" t="str">
        <f>""</f>
        <v/>
      </c>
      <c r="F1961" t="str">
        <f>"LIE201806131556"</f>
        <v>LIE201806131556</v>
      </c>
      <c r="G1961" t="str">
        <f>"GUARDIAN"</f>
        <v>GUARDIAN</v>
      </c>
      <c r="H1961">
        <v>3206.55</v>
      </c>
      <c r="I1961" t="str">
        <f t="shared" si="19"/>
        <v>GUARDIAN</v>
      </c>
    </row>
    <row r="1962" spans="1:9" x14ac:dyDescent="0.3">
      <c r="A1962" t="str">
        <f>""</f>
        <v/>
      </c>
      <c r="F1962" t="str">
        <f>""</f>
        <v/>
      </c>
      <c r="G1962" t="str">
        <f>""</f>
        <v/>
      </c>
      <c r="I1962" t="str">
        <f t="shared" si="19"/>
        <v>GUARDIAN</v>
      </c>
    </row>
    <row r="1963" spans="1:9" x14ac:dyDescent="0.3">
      <c r="A1963" t="str">
        <f>""</f>
        <v/>
      </c>
      <c r="F1963" t="str">
        <f>""</f>
        <v/>
      </c>
      <c r="G1963" t="str">
        <f>""</f>
        <v/>
      </c>
      <c r="I1963" t="str">
        <f t="shared" si="19"/>
        <v>GUARDIAN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 t="shared" si="19"/>
        <v>GUARDIAN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 t="shared" si="19"/>
        <v>GUARDIAN</v>
      </c>
    </row>
    <row r="1966" spans="1:9" x14ac:dyDescent="0.3">
      <c r="A1966" t="str">
        <f>""</f>
        <v/>
      </c>
      <c r="F1966" t="str">
        <f>""</f>
        <v/>
      </c>
      <c r="G1966" t="str">
        <f>""</f>
        <v/>
      </c>
      <c r="I1966" t="str">
        <f t="shared" si="19"/>
        <v>GUARDIAN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 t="shared" si="19"/>
        <v>GUARDIAN</v>
      </c>
    </row>
    <row r="1968" spans="1:9" x14ac:dyDescent="0.3">
      <c r="A1968" t="str">
        <f>""</f>
        <v/>
      </c>
      <c r="F1968" t="str">
        <f>""</f>
        <v/>
      </c>
      <c r="G1968" t="str">
        <f>""</f>
        <v/>
      </c>
      <c r="I1968" t="str">
        <f t="shared" si="19"/>
        <v>GUARDIAN</v>
      </c>
    </row>
    <row r="1969" spans="1:9" x14ac:dyDescent="0.3">
      <c r="A1969" t="str">
        <f>""</f>
        <v/>
      </c>
      <c r="F1969" t="str">
        <f>""</f>
        <v/>
      </c>
      <c r="G1969" t="str">
        <f>""</f>
        <v/>
      </c>
      <c r="I1969" t="str">
        <f t="shared" si="19"/>
        <v>GUARDIAN</v>
      </c>
    </row>
    <row r="1970" spans="1:9" x14ac:dyDescent="0.3">
      <c r="A1970" t="str">
        <f>""</f>
        <v/>
      </c>
      <c r="F1970" t="str">
        <f>""</f>
        <v/>
      </c>
      <c r="G1970" t="str">
        <f>""</f>
        <v/>
      </c>
      <c r="I1970" t="str">
        <f t="shared" si="19"/>
        <v>GUARDIAN</v>
      </c>
    </row>
    <row r="1971" spans="1:9" x14ac:dyDescent="0.3">
      <c r="A1971" t="str">
        <f>""</f>
        <v/>
      </c>
      <c r="F1971" t="str">
        <f>""</f>
        <v/>
      </c>
      <c r="G1971" t="str">
        <f>""</f>
        <v/>
      </c>
      <c r="I1971" t="str">
        <f t="shared" si="19"/>
        <v>GUARDIAN</v>
      </c>
    </row>
    <row r="1972" spans="1:9" x14ac:dyDescent="0.3">
      <c r="A1972" t="str">
        <f>""</f>
        <v/>
      </c>
      <c r="F1972" t="str">
        <f>""</f>
        <v/>
      </c>
      <c r="G1972" t="str">
        <f>""</f>
        <v/>
      </c>
      <c r="I1972" t="str">
        <f t="shared" si="19"/>
        <v>GUARDIAN</v>
      </c>
    </row>
    <row r="1973" spans="1:9" x14ac:dyDescent="0.3">
      <c r="A1973" t="str">
        <f>""</f>
        <v/>
      </c>
      <c r="F1973" t="str">
        <f>""</f>
        <v/>
      </c>
      <c r="G1973" t="str">
        <f>""</f>
        <v/>
      </c>
      <c r="I1973" t="str">
        <f t="shared" si="19"/>
        <v>GUARDIAN</v>
      </c>
    </row>
    <row r="1974" spans="1:9" x14ac:dyDescent="0.3">
      <c r="A1974" t="str">
        <f>""</f>
        <v/>
      </c>
      <c r="F1974" t="str">
        <f>""</f>
        <v/>
      </c>
      <c r="G1974" t="str">
        <f>""</f>
        <v/>
      </c>
      <c r="I1974" t="str">
        <f t="shared" si="19"/>
        <v>GUARDIAN</v>
      </c>
    </row>
    <row r="1975" spans="1:9" x14ac:dyDescent="0.3">
      <c r="A1975" t="str">
        <f>""</f>
        <v/>
      </c>
      <c r="F1975" t="str">
        <f>""</f>
        <v/>
      </c>
      <c r="G1975" t="str">
        <f>""</f>
        <v/>
      </c>
      <c r="I1975" t="str">
        <f t="shared" si="19"/>
        <v>GUARDIAN</v>
      </c>
    </row>
    <row r="1976" spans="1:9" x14ac:dyDescent="0.3">
      <c r="A1976" t="str">
        <f>""</f>
        <v/>
      </c>
      <c r="F1976" t="str">
        <f>""</f>
        <v/>
      </c>
      <c r="G1976" t="str">
        <f>""</f>
        <v/>
      </c>
      <c r="I1976" t="str">
        <f t="shared" si="19"/>
        <v>GUARDIAN</v>
      </c>
    </row>
    <row r="1977" spans="1:9" x14ac:dyDescent="0.3">
      <c r="A1977" t="str">
        <f>""</f>
        <v/>
      </c>
      <c r="F1977" t="str">
        <f>""</f>
        <v/>
      </c>
      <c r="G1977" t="str">
        <f>""</f>
        <v/>
      </c>
      <c r="I1977" t="str">
        <f t="shared" si="19"/>
        <v>GUARDIAN</v>
      </c>
    </row>
    <row r="1978" spans="1:9" x14ac:dyDescent="0.3">
      <c r="A1978" t="str">
        <f>""</f>
        <v/>
      </c>
      <c r="F1978" t="str">
        <f>""</f>
        <v/>
      </c>
      <c r="G1978" t="str">
        <f>""</f>
        <v/>
      </c>
      <c r="I1978" t="str">
        <f t="shared" si="19"/>
        <v>GUARDIAN</v>
      </c>
    </row>
    <row r="1979" spans="1:9" x14ac:dyDescent="0.3">
      <c r="A1979" t="str">
        <f>""</f>
        <v/>
      </c>
      <c r="F1979" t="str">
        <f>""</f>
        <v/>
      </c>
      <c r="G1979" t="str">
        <f>""</f>
        <v/>
      </c>
      <c r="I1979" t="str">
        <f t="shared" si="19"/>
        <v>GUARDIAN</v>
      </c>
    </row>
    <row r="1980" spans="1:9" x14ac:dyDescent="0.3">
      <c r="A1980" t="str">
        <f>""</f>
        <v/>
      </c>
      <c r="F1980" t="str">
        <f>""</f>
        <v/>
      </c>
      <c r="G1980" t="str">
        <f>""</f>
        <v/>
      </c>
      <c r="I1980" t="str">
        <f t="shared" si="19"/>
        <v>GUARDIAN</v>
      </c>
    </row>
    <row r="1981" spans="1:9" x14ac:dyDescent="0.3">
      <c r="A1981" t="str">
        <f>""</f>
        <v/>
      </c>
      <c r="F1981" t="str">
        <f>""</f>
        <v/>
      </c>
      <c r="G1981" t="str">
        <f>""</f>
        <v/>
      </c>
      <c r="I1981" t="str">
        <f t="shared" si="19"/>
        <v>GUARDIAN</v>
      </c>
    </row>
    <row r="1982" spans="1:9" x14ac:dyDescent="0.3">
      <c r="A1982" t="str">
        <f>""</f>
        <v/>
      </c>
      <c r="F1982" t="str">
        <f>""</f>
        <v/>
      </c>
      <c r="G1982" t="str">
        <f>""</f>
        <v/>
      </c>
      <c r="I1982" t="str">
        <f t="shared" si="19"/>
        <v>GUARDIAN</v>
      </c>
    </row>
    <row r="1983" spans="1:9" x14ac:dyDescent="0.3">
      <c r="A1983" t="str">
        <f>""</f>
        <v/>
      </c>
      <c r="F1983" t="str">
        <f>""</f>
        <v/>
      </c>
      <c r="G1983" t="str">
        <f>""</f>
        <v/>
      </c>
      <c r="I1983" t="str">
        <f t="shared" si="19"/>
        <v>GUARDIAN</v>
      </c>
    </row>
    <row r="1984" spans="1:9" x14ac:dyDescent="0.3">
      <c r="A1984" t="str">
        <f>""</f>
        <v/>
      </c>
      <c r="F1984" t="str">
        <f>""</f>
        <v/>
      </c>
      <c r="G1984" t="str">
        <f>""</f>
        <v/>
      </c>
      <c r="I1984" t="str">
        <f t="shared" ref="I1984:I2015" si="20">"GUARDIAN"</f>
        <v>GUARDIAN</v>
      </c>
    </row>
    <row r="1985" spans="1:9" x14ac:dyDescent="0.3">
      <c r="A1985" t="str">
        <f>""</f>
        <v/>
      </c>
      <c r="F1985" t="str">
        <f>""</f>
        <v/>
      </c>
      <c r="G1985" t="str">
        <f>""</f>
        <v/>
      </c>
      <c r="I1985" t="str">
        <f t="shared" si="20"/>
        <v>GUARDIAN</v>
      </c>
    </row>
    <row r="1986" spans="1:9" x14ac:dyDescent="0.3">
      <c r="A1986" t="str">
        <f>""</f>
        <v/>
      </c>
      <c r="F1986" t="str">
        <f>""</f>
        <v/>
      </c>
      <c r="G1986" t="str">
        <f>""</f>
        <v/>
      </c>
      <c r="I1986" t="str">
        <f t="shared" si="20"/>
        <v>GUARDIAN</v>
      </c>
    </row>
    <row r="1987" spans="1:9" x14ac:dyDescent="0.3">
      <c r="A1987" t="str">
        <f>""</f>
        <v/>
      </c>
      <c r="F1987" t="str">
        <f>""</f>
        <v/>
      </c>
      <c r="G1987" t="str">
        <f>""</f>
        <v/>
      </c>
      <c r="I1987" t="str">
        <f t="shared" si="20"/>
        <v>GUARDIAN</v>
      </c>
    </row>
    <row r="1988" spans="1:9" x14ac:dyDescent="0.3">
      <c r="A1988" t="str">
        <f>""</f>
        <v/>
      </c>
      <c r="F1988" t="str">
        <f>""</f>
        <v/>
      </c>
      <c r="G1988" t="str">
        <f>""</f>
        <v/>
      </c>
      <c r="I1988" t="str">
        <f t="shared" si="20"/>
        <v>GUARDIAN</v>
      </c>
    </row>
    <row r="1989" spans="1:9" x14ac:dyDescent="0.3">
      <c r="A1989" t="str">
        <f>""</f>
        <v/>
      </c>
      <c r="F1989" t="str">
        <f>""</f>
        <v/>
      </c>
      <c r="G1989" t="str">
        <f>""</f>
        <v/>
      </c>
      <c r="I1989" t="str">
        <f t="shared" si="20"/>
        <v>GUARDIAN</v>
      </c>
    </row>
    <row r="1990" spans="1:9" x14ac:dyDescent="0.3">
      <c r="A1990" t="str">
        <f>""</f>
        <v/>
      </c>
      <c r="F1990" t="str">
        <f>""</f>
        <v/>
      </c>
      <c r="G1990" t="str">
        <f>""</f>
        <v/>
      </c>
      <c r="I1990" t="str">
        <f t="shared" si="20"/>
        <v>GUARDIAN</v>
      </c>
    </row>
    <row r="1991" spans="1:9" x14ac:dyDescent="0.3">
      <c r="A1991" t="str">
        <f>""</f>
        <v/>
      </c>
      <c r="F1991" t="str">
        <f>""</f>
        <v/>
      </c>
      <c r="G1991" t="str">
        <f>""</f>
        <v/>
      </c>
      <c r="I1991" t="str">
        <f t="shared" si="20"/>
        <v>GUARDIAN</v>
      </c>
    </row>
    <row r="1992" spans="1:9" x14ac:dyDescent="0.3">
      <c r="A1992" t="str">
        <f>""</f>
        <v/>
      </c>
      <c r="F1992" t="str">
        <f>""</f>
        <v/>
      </c>
      <c r="G1992" t="str">
        <f>""</f>
        <v/>
      </c>
      <c r="I1992" t="str">
        <f t="shared" si="20"/>
        <v>GUARDIAN</v>
      </c>
    </row>
    <row r="1993" spans="1:9" x14ac:dyDescent="0.3">
      <c r="A1993" t="str">
        <f>""</f>
        <v/>
      </c>
      <c r="F1993" t="str">
        <f>""</f>
        <v/>
      </c>
      <c r="G1993" t="str">
        <f>""</f>
        <v/>
      </c>
      <c r="I1993" t="str">
        <f t="shared" si="20"/>
        <v>GUARDIAN</v>
      </c>
    </row>
    <row r="1994" spans="1:9" x14ac:dyDescent="0.3">
      <c r="A1994" t="str">
        <f>""</f>
        <v/>
      </c>
      <c r="F1994" t="str">
        <f>""</f>
        <v/>
      </c>
      <c r="G1994" t="str">
        <f>""</f>
        <v/>
      </c>
      <c r="I1994" t="str">
        <f t="shared" si="20"/>
        <v>GUARDIAN</v>
      </c>
    </row>
    <row r="1995" spans="1:9" x14ac:dyDescent="0.3">
      <c r="A1995" t="str">
        <f>""</f>
        <v/>
      </c>
      <c r="F1995" t="str">
        <f>""</f>
        <v/>
      </c>
      <c r="G1995" t="str">
        <f>""</f>
        <v/>
      </c>
      <c r="I1995" t="str">
        <f t="shared" si="20"/>
        <v>GUARDIAN</v>
      </c>
    </row>
    <row r="1996" spans="1:9" x14ac:dyDescent="0.3">
      <c r="A1996" t="str">
        <f>""</f>
        <v/>
      </c>
      <c r="F1996" t="str">
        <f>""</f>
        <v/>
      </c>
      <c r="G1996" t="str">
        <f>""</f>
        <v/>
      </c>
      <c r="I1996" t="str">
        <f t="shared" si="20"/>
        <v>GUARDIAN</v>
      </c>
    </row>
    <row r="1997" spans="1:9" x14ac:dyDescent="0.3">
      <c r="A1997" t="str">
        <f>""</f>
        <v/>
      </c>
      <c r="F1997" t="str">
        <f>""</f>
        <v/>
      </c>
      <c r="G1997" t="str">
        <f>""</f>
        <v/>
      </c>
      <c r="I1997" t="str">
        <f t="shared" si="20"/>
        <v>GUARDIAN</v>
      </c>
    </row>
    <row r="1998" spans="1:9" x14ac:dyDescent="0.3">
      <c r="A1998" t="str">
        <f>""</f>
        <v/>
      </c>
      <c r="F1998" t="str">
        <f>""</f>
        <v/>
      </c>
      <c r="G1998" t="str">
        <f>""</f>
        <v/>
      </c>
      <c r="I1998" t="str">
        <f t="shared" si="20"/>
        <v>GUARDIAN</v>
      </c>
    </row>
    <row r="1999" spans="1:9" x14ac:dyDescent="0.3">
      <c r="A1999" t="str">
        <f>""</f>
        <v/>
      </c>
      <c r="F1999" t="str">
        <f>""</f>
        <v/>
      </c>
      <c r="G1999" t="str">
        <f>""</f>
        <v/>
      </c>
      <c r="I1999" t="str">
        <f t="shared" si="20"/>
        <v>GUARDIAN</v>
      </c>
    </row>
    <row r="2000" spans="1:9" x14ac:dyDescent="0.3">
      <c r="A2000" t="str">
        <f>""</f>
        <v/>
      </c>
      <c r="F2000" t="str">
        <f>""</f>
        <v/>
      </c>
      <c r="G2000" t="str">
        <f>""</f>
        <v/>
      </c>
      <c r="I2000" t="str">
        <f t="shared" si="20"/>
        <v>GUARDIAN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 t="shared" si="20"/>
        <v>GUARDIAN</v>
      </c>
    </row>
    <row r="2002" spans="1:9" x14ac:dyDescent="0.3">
      <c r="A2002" t="str">
        <f>""</f>
        <v/>
      </c>
      <c r="F2002" t="str">
        <f>""</f>
        <v/>
      </c>
      <c r="G2002" t="str">
        <f>""</f>
        <v/>
      </c>
      <c r="I2002" t="str">
        <f t="shared" si="20"/>
        <v>GUARDIAN</v>
      </c>
    </row>
    <row r="2003" spans="1:9" x14ac:dyDescent="0.3">
      <c r="A2003" t="str">
        <f>""</f>
        <v/>
      </c>
      <c r="F2003" t="str">
        <f>""</f>
        <v/>
      </c>
      <c r="G2003" t="str">
        <f>""</f>
        <v/>
      </c>
      <c r="I2003" t="str">
        <f t="shared" si="20"/>
        <v>GUARDIAN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 t="shared" si="20"/>
        <v>GUARDIAN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 t="shared" si="20"/>
        <v>GUARDIAN</v>
      </c>
    </row>
    <row r="2006" spans="1:9" x14ac:dyDescent="0.3">
      <c r="A2006" t="str">
        <f>""</f>
        <v/>
      </c>
      <c r="F2006" t="str">
        <f>""</f>
        <v/>
      </c>
      <c r="G2006" t="str">
        <f>""</f>
        <v/>
      </c>
      <c r="I2006" t="str">
        <f t="shared" si="20"/>
        <v>GUARDIAN</v>
      </c>
    </row>
    <row r="2007" spans="1:9" x14ac:dyDescent="0.3">
      <c r="A2007" t="str">
        <f>""</f>
        <v/>
      </c>
      <c r="F2007" t="str">
        <f>""</f>
        <v/>
      </c>
      <c r="G2007" t="str">
        <f>""</f>
        <v/>
      </c>
      <c r="I2007" t="str">
        <f t="shared" si="20"/>
        <v>GUARDIAN</v>
      </c>
    </row>
    <row r="2008" spans="1:9" x14ac:dyDescent="0.3">
      <c r="A2008" t="str">
        <f>""</f>
        <v/>
      </c>
      <c r="F2008" t="str">
        <f>""</f>
        <v/>
      </c>
      <c r="G2008" t="str">
        <f>""</f>
        <v/>
      </c>
      <c r="I2008" t="str">
        <f t="shared" si="20"/>
        <v>GUARDIAN</v>
      </c>
    </row>
    <row r="2009" spans="1:9" x14ac:dyDescent="0.3">
      <c r="A2009" t="str">
        <f>""</f>
        <v/>
      </c>
      <c r="F2009" t="str">
        <f>""</f>
        <v/>
      </c>
      <c r="G2009" t="str">
        <f>""</f>
        <v/>
      </c>
      <c r="I2009" t="str">
        <f t="shared" si="20"/>
        <v>GUARDIAN</v>
      </c>
    </row>
    <row r="2010" spans="1:9" x14ac:dyDescent="0.3">
      <c r="A2010" t="str">
        <f>""</f>
        <v/>
      </c>
      <c r="F2010" t="str">
        <f>""</f>
        <v/>
      </c>
      <c r="G2010" t="str">
        <f>""</f>
        <v/>
      </c>
      <c r="I2010" t="str">
        <f t="shared" si="20"/>
        <v>GUARDIAN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 t="shared" si="20"/>
        <v>GUARDIAN</v>
      </c>
    </row>
    <row r="2012" spans="1:9" x14ac:dyDescent="0.3">
      <c r="A2012" t="str">
        <f>""</f>
        <v/>
      </c>
      <c r="F2012" t="str">
        <f>"LIE201806131561"</f>
        <v>LIE201806131561</v>
      </c>
      <c r="G2012" t="str">
        <f>"GUARDIAN"</f>
        <v>GUARDIAN</v>
      </c>
      <c r="H2012">
        <v>97.35</v>
      </c>
      <c r="I2012" t="str">
        <f t="shared" si="20"/>
        <v>GUARDIAN</v>
      </c>
    </row>
    <row r="2013" spans="1:9" x14ac:dyDescent="0.3">
      <c r="A2013" t="str">
        <f>""</f>
        <v/>
      </c>
      <c r="F2013" t="str">
        <f>""</f>
        <v/>
      </c>
      <c r="G2013" t="str">
        <f>""</f>
        <v/>
      </c>
      <c r="I2013" t="str">
        <f t="shared" si="20"/>
        <v>GUARDIAN</v>
      </c>
    </row>
    <row r="2014" spans="1:9" x14ac:dyDescent="0.3">
      <c r="A2014" t="str">
        <f>""</f>
        <v/>
      </c>
      <c r="F2014" t="str">
        <f>"LIS201805301204"</f>
        <v>LIS201805301204</v>
      </c>
      <c r="G2014" t="str">
        <f t="shared" ref="G2014:G2023" si="21">"GUARDIAN"</f>
        <v>GUARDIAN</v>
      </c>
      <c r="H2014">
        <v>384.02</v>
      </c>
      <c r="I2014" t="str">
        <f t="shared" si="20"/>
        <v>GUARDIAN</v>
      </c>
    </row>
    <row r="2015" spans="1:9" x14ac:dyDescent="0.3">
      <c r="A2015" t="str">
        <f>""</f>
        <v/>
      </c>
      <c r="F2015" t="str">
        <f>"LIS201805301223"</f>
        <v>LIS201805301223</v>
      </c>
      <c r="G2015" t="str">
        <f t="shared" si="21"/>
        <v>GUARDIAN</v>
      </c>
      <c r="H2015">
        <v>31.03</v>
      </c>
      <c r="I2015" t="str">
        <f t="shared" si="20"/>
        <v>GUARDIAN</v>
      </c>
    </row>
    <row r="2016" spans="1:9" x14ac:dyDescent="0.3">
      <c r="A2016" t="str">
        <f>""</f>
        <v/>
      </c>
      <c r="F2016" t="str">
        <f>"LIS201806131556"</f>
        <v>LIS201806131556</v>
      </c>
      <c r="G2016" t="str">
        <f t="shared" si="21"/>
        <v>GUARDIAN</v>
      </c>
      <c r="H2016">
        <v>384.02</v>
      </c>
      <c r="I2016" t="str">
        <f t="shared" ref="I2016:I2023" si="22">"GUARDIAN"</f>
        <v>GUARDIAN</v>
      </c>
    </row>
    <row r="2017" spans="1:9" x14ac:dyDescent="0.3">
      <c r="A2017" t="str">
        <f>""</f>
        <v/>
      </c>
      <c r="F2017" t="str">
        <f>"LIS201806131561"</f>
        <v>LIS201806131561</v>
      </c>
      <c r="G2017" t="str">
        <f t="shared" si="21"/>
        <v>GUARDIAN</v>
      </c>
      <c r="H2017">
        <v>31.03</v>
      </c>
      <c r="I2017" t="str">
        <f t="shared" si="22"/>
        <v>GUARDIAN</v>
      </c>
    </row>
    <row r="2018" spans="1:9" x14ac:dyDescent="0.3">
      <c r="A2018" t="str">
        <f>""</f>
        <v/>
      </c>
      <c r="F2018" t="str">
        <f>"LTD201805301204"</f>
        <v>LTD201805301204</v>
      </c>
      <c r="G2018" t="str">
        <f t="shared" si="21"/>
        <v>GUARDIAN</v>
      </c>
      <c r="H2018">
        <v>760.03</v>
      </c>
      <c r="I2018" t="str">
        <f t="shared" si="22"/>
        <v>GUARDIAN</v>
      </c>
    </row>
    <row r="2019" spans="1:9" x14ac:dyDescent="0.3">
      <c r="A2019" t="str">
        <f>""</f>
        <v/>
      </c>
      <c r="F2019" t="str">
        <f>"LTD201806131556"</f>
        <v>LTD201806131556</v>
      </c>
      <c r="G2019" t="str">
        <f t="shared" si="21"/>
        <v>GUARDIAN</v>
      </c>
      <c r="H2019">
        <v>760.03</v>
      </c>
      <c r="I2019" t="str">
        <f t="shared" si="22"/>
        <v>GUARDIAN</v>
      </c>
    </row>
    <row r="2020" spans="1:9" x14ac:dyDescent="0.3">
      <c r="A2020" t="str">
        <f>"GUARDI"</f>
        <v>GUARDI</v>
      </c>
      <c r="B2020" t="s">
        <v>442</v>
      </c>
      <c r="C2020">
        <v>0</v>
      </c>
      <c r="D2020" s="2">
        <v>112.44</v>
      </c>
      <c r="E2020" s="1">
        <v>43278</v>
      </c>
      <c r="F2020" t="str">
        <f>"AEG201805301204"</f>
        <v>AEG201805301204</v>
      </c>
      <c r="G2020" t="str">
        <f t="shared" si="21"/>
        <v>GUARDIAN</v>
      </c>
      <c r="H2020">
        <v>6.66</v>
      </c>
      <c r="I2020" t="str">
        <f t="shared" si="22"/>
        <v>GUARDIAN</v>
      </c>
    </row>
    <row r="2021" spans="1:9" x14ac:dyDescent="0.3">
      <c r="A2021" t="str">
        <f>""</f>
        <v/>
      </c>
      <c r="F2021" t="str">
        <f>"AEG201806131556"</f>
        <v>AEG201806131556</v>
      </c>
      <c r="G2021" t="str">
        <f t="shared" si="21"/>
        <v>GUARDIAN</v>
      </c>
      <c r="H2021">
        <v>6.66</v>
      </c>
      <c r="I2021" t="str">
        <f t="shared" si="22"/>
        <v>GUARDIAN</v>
      </c>
    </row>
    <row r="2022" spans="1:9" x14ac:dyDescent="0.3">
      <c r="A2022" t="str">
        <f>""</f>
        <v/>
      </c>
      <c r="F2022" t="str">
        <f>"AFG201805301204"</f>
        <v>AFG201805301204</v>
      </c>
      <c r="G2022" t="str">
        <f t="shared" si="21"/>
        <v>GUARDIAN</v>
      </c>
      <c r="H2022">
        <v>49.56</v>
      </c>
      <c r="I2022" t="str">
        <f t="shared" si="22"/>
        <v>GUARDIAN</v>
      </c>
    </row>
    <row r="2023" spans="1:9" x14ac:dyDescent="0.3">
      <c r="A2023" t="str">
        <f>""</f>
        <v/>
      </c>
      <c r="F2023" t="str">
        <f>"AFG201806131556"</f>
        <v>AFG201806131556</v>
      </c>
      <c r="G2023" t="str">
        <f t="shared" si="21"/>
        <v>GUARDIAN</v>
      </c>
      <c r="H2023">
        <v>49.56</v>
      </c>
      <c r="I2023" t="str">
        <f t="shared" si="22"/>
        <v>GUARDIAN</v>
      </c>
    </row>
    <row r="2024" spans="1:9" x14ac:dyDescent="0.3">
      <c r="A2024" t="str">
        <f>"IRSACS"</f>
        <v>IRSACS</v>
      </c>
      <c r="B2024" t="s">
        <v>443</v>
      </c>
      <c r="C2024">
        <v>46390</v>
      </c>
      <c r="D2024" s="2">
        <v>238.43</v>
      </c>
      <c r="E2024" s="1">
        <v>43252</v>
      </c>
      <c r="F2024" t="str">
        <f>"IJ2201805301204"</f>
        <v>IJ2201805301204</v>
      </c>
      <c r="G2024" t="str">
        <f>"LISA JACKSON 2 IRS LEVY"</f>
        <v>LISA JACKSON 2 IRS LEVY</v>
      </c>
      <c r="H2024">
        <v>238.43</v>
      </c>
      <c r="I2024" t="str">
        <f>"LISA JACKSON 2 IRS LEVY"</f>
        <v>LISA JACKSON 2 IRS LEVY</v>
      </c>
    </row>
    <row r="2025" spans="1:9" x14ac:dyDescent="0.3">
      <c r="A2025" t="str">
        <f>"IRSACS"</f>
        <v>IRSACS</v>
      </c>
      <c r="B2025" t="s">
        <v>443</v>
      </c>
      <c r="C2025">
        <v>46419</v>
      </c>
      <c r="D2025" s="2">
        <v>238.43</v>
      </c>
      <c r="E2025" s="1">
        <v>43266</v>
      </c>
      <c r="F2025" t="str">
        <f>"IJ2201806131556"</f>
        <v>IJ2201806131556</v>
      </c>
      <c r="G2025" t="str">
        <f>"LISA JACKSON 2 IRS LEVY"</f>
        <v>LISA JACKSON 2 IRS LEVY</v>
      </c>
      <c r="H2025">
        <v>238.43</v>
      </c>
      <c r="I2025" t="str">
        <f>"LISA JACKSON 2 IRS LEVY"</f>
        <v>LISA JACKSON 2 IRS LEVY</v>
      </c>
    </row>
    <row r="2026" spans="1:9" x14ac:dyDescent="0.3">
      <c r="A2026" t="str">
        <f>"IRSACS"</f>
        <v>IRSACS</v>
      </c>
      <c r="B2026" t="s">
        <v>443</v>
      </c>
      <c r="C2026">
        <v>46444</v>
      </c>
      <c r="D2026" s="2">
        <v>238.43</v>
      </c>
      <c r="E2026" s="1">
        <v>43280</v>
      </c>
      <c r="F2026" t="str">
        <f>"IJ2201806271719"</f>
        <v>IJ2201806271719</v>
      </c>
      <c r="G2026" t="str">
        <f>"LISA JACKSON 2 IRS LEVY"</f>
        <v>LISA JACKSON 2 IRS LEVY</v>
      </c>
      <c r="H2026">
        <v>238.43</v>
      </c>
      <c r="I2026" t="str">
        <f>"LISA JACKSON 2 IRS LEVY"</f>
        <v>LISA JACKSON 2 IRS LEVY</v>
      </c>
    </row>
    <row r="2027" spans="1:9" x14ac:dyDescent="0.3">
      <c r="A2027" t="str">
        <f>"IRSPY"</f>
        <v>IRSPY</v>
      </c>
      <c r="B2027" t="s">
        <v>444</v>
      </c>
      <c r="C2027">
        <v>0</v>
      </c>
      <c r="D2027" s="2">
        <v>208590.75</v>
      </c>
      <c r="E2027" s="1">
        <v>43252</v>
      </c>
      <c r="F2027" t="str">
        <f>"T1 201805301204"</f>
        <v>T1 201805301204</v>
      </c>
      <c r="G2027" t="str">
        <f>"FEDERAL WITHHOLDING"</f>
        <v>FEDERAL WITHHOLDING</v>
      </c>
      <c r="H2027">
        <v>66574.63</v>
      </c>
      <c r="I2027" t="str">
        <f>"FEDERAL WITHHOLDING"</f>
        <v>FEDERAL WITHHOLDING</v>
      </c>
    </row>
    <row r="2028" spans="1:9" x14ac:dyDescent="0.3">
      <c r="A2028" t="str">
        <f>""</f>
        <v/>
      </c>
      <c r="F2028" t="str">
        <f>"T1 201805301223"</f>
        <v>T1 201805301223</v>
      </c>
      <c r="G2028" t="str">
        <f>"FEDERAL WITHHOLDING"</f>
        <v>FEDERAL WITHHOLDING</v>
      </c>
      <c r="H2028">
        <v>2782.22</v>
      </c>
      <c r="I2028" t="str">
        <f>"FEDERAL WITHHOLDING"</f>
        <v>FEDERAL WITHHOLDING</v>
      </c>
    </row>
    <row r="2029" spans="1:9" x14ac:dyDescent="0.3">
      <c r="A2029" t="str">
        <f>""</f>
        <v/>
      </c>
      <c r="F2029" t="str">
        <f>"T1 201805301224"</f>
        <v>T1 201805301224</v>
      </c>
      <c r="G2029" t="str">
        <f>"FEDERAL WITHHOLDING"</f>
        <v>FEDERAL WITHHOLDING</v>
      </c>
      <c r="H2029">
        <v>3585.32</v>
      </c>
      <c r="I2029" t="str">
        <f>"FEDERAL WITHHOLDING"</f>
        <v>FEDERAL WITHHOLDING</v>
      </c>
    </row>
    <row r="2030" spans="1:9" x14ac:dyDescent="0.3">
      <c r="A2030" t="str">
        <f>""</f>
        <v/>
      </c>
      <c r="F2030" t="str">
        <f>"T3 201805301204"</f>
        <v>T3 201805301204</v>
      </c>
      <c r="G2030" t="str">
        <f>"SOCIAL SECURITY TAXES"</f>
        <v>SOCIAL SECURITY TAXES</v>
      </c>
      <c r="H2030">
        <v>100513.64</v>
      </c>
      <c r="I2030" t="str">
        <f t="shared" ref="I2030:I2061" si="23">"SOCIAL SECURITY TAXES"</f>
        <v>SOCIAL SECURITY TAXES</v>
      </c>
    </row>
    <row r="2031" spans="1:9" x14ac:dyDescent="0.3">
      <c r="A2031" t="str">
        <f>""</f>
        <v/>
      </c>
      <c r="F2031" t="str">
        <f>""</f>
        <v/>
      </c>
      <c r="G2031" t="str">
        <f>""</f>
        <v/>
      </c>
      <c r="I2031" t="str">
        <f t="shared" si="23"/>
        <v>SOCIAL SECURITY TAXES</v>
      </c>
    </row>
    <row r="2032" spans="1:9" x14ac:dyDescent="0.3">
      <c r="A2032" t="str">
        <f>""</f>
        <v/>
      </c>
      <c r="F2032" t="str">
        <f>""</f>
        <v/>
      </c>
      <c r="G2032" t="str">
        <f>""</f>
        <v/>
      </c>
      <c r="I2032" t="str">
        <f t="shared" si="23"/>
        <v>SOCIAL SECURITY TAXES</v>
      </c>
    </row>
    <row r="2033" spans="1:9" x14ac:dyDescent="0.3">
      <c r="A2033" t="str">
        <f>""</f>
        <v/>
      </c>
      <c r="F2033" t="str">
        <f>""</f>
        <v/>
      </c>
      <c r="G2033" t="str">
        <f>""</f>
        <v/>
      </c>
      <c r="I2033" t="str">
        <f t="shared" si="23"/>
        <v>SOCIAL SECURITY TAXES</v>
      </c>
    </row>
    <row r="2034" spans="1:9" x14ac:dyDescent="0.3">
      <c r="A2034" t="str">
        <f>""</f>
        <v/>
      </c>
      <c r="F2034" t="str">
        <f>""</f>
        <v/>
      </c>
      <c r="G2034" t="str">
        <f>""</f>
        <v/>
      </c>
      <c r="I2034" t="str">
        <f t="shared" si="23"/>
        <v>SOCIAL SECURITY TAXES</v>
      </c>
    </row>
    <row r="2035" spans="1:9" x14ac:dyDescent="0.3">
      <c r="A2035" t="str">
        <f>""</f>
        <v/>
      </c>
      <c r="F2035" t="str">
        <f>""</f>
        <v/>
      </c>
      <c r="G2035" t="str">
        <f>""</f>
        <v/>
      </c>
      <c r="I2035" t="str">
        <f t="shared" si="23"/>
        <v>SOCIAL SECURITY TAXES</v>
      </c>
    </row>
    <row r="2036" spans="1:9" x14ac:dyDescent="0.3">
      <c r="A2036" t="str">
        <f>""</f>
        <v/>
      </c>
      <c r="F2036" t="str">
        <f>""</f>
        <v/>
      </c>
      <c r="G2036" t="str">
        <f>""</f>
        <v/>
      </c>
      <c r="I2036" t="str">
        <f t="shared" si="23"/>
        <v>SOCIAL SECURITY TAXES</v>
      </c>
    </row>
    <row r="2037" spans="1:9" x14ac:dyDescent="0.3">
      <c r="A2037" t="str">
        <f>""</f>
        <v/>
      </c>
      <c r="F2037" t="str">
        <f>""</f>
        <v/>
      </c>
      <c r="G2037" t="str">
        <f>""</f>
        <v/>
      </c>
      <c r="I2037" t="str">
        <f t="shared" si="23"/>
        <v>SOCIAL SECURITY TAXES</v>
      </c>
    </row>
    <row r="2038" spans="1:9" x14ac:dyDescent="0.3">
      <c r="A2038" t="str">
        <f>""</f>
        <v/>
      </c>
      <c r="F2038" t="str">
        <f>""</f>
        <v/>
      </c>
      <c r="G2038" t="str">
        <f>""</f>
        <v/>
      </c>
      <c r="I2038" t="str">
        <f t="shared" si="23"/>
        <v>SOCIAL SECURITY TAXES</v>
      </c>
    </row>
    <row r="2039" spans="1:9" x14ac:dyDescent="0.3">
      <c r="A2039" t="str">
        <f>""</f>
        <v/>
      </c>
      <c r="F2039" t="str">
        <f>""</f>
        <v/>
      </c>
      <c r="G2039" t="str">
        <f>""</f>
        <v/>
      </c>
      <c r="I2039" t="str">
        <f t="shared" si="23"/>
        <v>SOCIAL SECURITY TAXES</v>
      </c>
    </row>
    <row r="2040" spans="1:9" x14ac:dyDescent="0.3">
      <c r="A2040" t="str">
        <f>""</f>
        <v/>
      </c>
      <c r="F2040" t="str">
        <f>""</f>
        <v/>
      </c>
      <c r="G2040" t="str">
        <f>""</f>
        <v/>
      </c>
      <c r="I2040" t="str">
        <f t="shared" si="23"/>
        <v>SOCIAL SECURITY TAXES</v>
      </c>
    </row>
    <row r="2041" spans="1:9" x14ac:dyDescent="0.3">
      <c r="A2041" t="str">
        <f>""</f>
        <v/>
      </c>
      <c r="F2041" t="str">
        <f>""</f>
        <v/>
      </c>
      <c r="G2041" t="str">
        <f>""</f>
        <v/>
      </c>
      <c r="I2041" t="str">
        <f t="shared" si="23"/>
        <v>SOCIAL SECURITY TAXES</v>
      </c>
    </row>
    <row r="2042" spans="1:9" x14ac:dyDescent="0.3">
      <c r="A2042" t="str">
        <f>""</f>
        <v/>
      </c>
      <c r="F2042" t="str">
        <f>""</f>
        <v/>
      </c>
      <c r="G2042" t="str">
        <f>""</f>
        <v/>
      </c>
      <c r="I2042" t="str">
        <f t="shared" si="23"/>
        <v>SOCIAL SECURITY TAXES</v>
      </c>
    </row>
    <row r="2043" spans="1:9" x14ac:dyDescent="0.3">
      <c r="A2043" t="str">
        <f>""</f>
        <v/>
      </c>
      <c r="F2043" t="str">
        <f>""</f>
        <v/>
      </c>
      <c r="G2043" t="str">
        <f>""</f>
        <v/>
      </c>
      <c r="I2043" t="str">
        <f t="shared" si="23"/>
        <v>SOCIAL SECURITY TAXES</v>
      </c>
    </row>
    <row r="2044" spans="1:9" x14ac:dyDescent="0.3">
      <c r="A2044" t="str">
        <f>""</f>
        <v/>
      </c>
      <c r="F2044" t="str">
        <f>""</f>
        <v/>
      </c>
      <c r="G2044" t="str">
        <f>""</f>
        <v/>
      </c>
      <c r="I2044" t="str">
        <f t="shared" si="23"/>
        <v>SOCIAL SECURITY TAXES</v>
      </c>
    </row>
    <row r="2045" spans="1:9" x14ac:dyDescent="0.3">
      <c r="A2045" t="str">
        <f>""</f>
        <v/>
      </c>
      <c r="F2045" t="str">
        <f>""</f>
        <v/>
      </c>
      <c r="G2045" t="str">
        <f>""</f>
        <v/>
      </c>
      <c r="I2045" t="str">
        <f t="shared" si="23"/>
        <v>SOCIAL SECURITY TAXES</v>
      </c>
    </row>
    <row r="2046" spans="1:9" x14ac:dyDescent="0.3">
      <c r="A2046" t="str">
        <f>""</f>
        <v/>
      </c>
      <c r="F2046" t="str">
        <f>""</f>
        <v/>
      </c>
      <c r="G2046" t="str">
        <f>""</f>
        <v/>
      </c>
      <c r="I2046" t="str">
        <f t="shared" si="23"/>
        <v>SOCIAL SECURITY TAXES</v>
      </c>
    </row>
    <row r="2047" spans="1:9" x14ac:dyDescent="0.3">
      <c r="A2047" t="str">
        <f>""</f>
        <v/>
      </c>
      <c r="F2047" t="str">
        <f>""</f>
        <v/>
      </c>
      <c r="G2047" t="str">
        <f>""</f>
        <v/>
      </c>
      <c r="I2047" t="str">
        <f t="shared" si="23"/>
        <v>SOCIAL SECURITY TAXES</v>
      </c>
    </row>
    <row r="2048" spans="1:9" x14ac:dyDescent="0.3">
      <c r="A2048" t="str">
        <f>""</f>
        <v/>
      </c>
      <c r="F2048" t="str">
        <f>""</f>
        <v/>
      </c>
      <c r="G2048" t="str">
        <f>""</f>
        <v/>
      </c>
      <c r="I2048" t="str">
        <f t="shared" si="23"/>
        <v>SOCIAL SECURITY TAXES</v>
      </c>
    </row>
    <row r="2049" spans="1:9" x14ac:dyDescent="0.3">
      <c r="A2049" t="str">
        <f>""</f>
        <v/>
      </c>
      <c r="F2049" t="str">
        <f>""</f>
        <v/>
      </c>
      <c r="G2049" t="str">
        <f>""</f>
        <v/>
      </c>
      <c r="I2049" t="str">
        <f t="shared" si="23"/>
        <v>SOCIAL SECURITY TAXES</v>
      </c>
    </row>
    <row r="2050" spans="1:9" x14ac:dyDescent="0.3">
      <c r="A2050" t="str">
        <f>""</f>
        <v/>
      </c>
      <c r="F2050" t="str">
        <f>""</f>
        <v/>
      </c>
      <c r="G2050" t="str">
        <f>""</f>
        <v/>
      </c>
      <c r="I2050" t="str">
        <f t="shared" si="23"/>
        <v>SOCIAL SECURITY TAXES</v>
      </c>
    </row>
    <row r="2051" spans="1:9" x14ac:dyDescent="0.3">
      <c r="A2051" t="str">
        <f>""</f>
        <v/>
      </c>
      <c r="F2051" t="str">
        <f>""</f>
        <v/>
      </c>
      <c r="G2051" t="str">
        <f>""</f>
        <v/>
      </c>
      <c r="I2051" t="str">
        <f t="shared" si="23"/>
        <v>SOCIAL SECURITY TAXES</v>
      </c>
    </row>
    <row r="2052" spans="1:9" x14ac:dyDescent="0.3">
      <c r="A2052" t="str">
        <f>""</f>
        <v/>
      </c>
      <c r="F2052" t="str">
        <f>""</f>
        <v/>
      </c>
      <c r="G2052" t="str">
        <f>""</f>
        <v/>
      </c>
      <c r="I2052" t="str">
        <f t="shared" si="23"/>
        <v>SOCIAL SECURITY TAXES</v>
      </c>
    </row>
    <row r="2053" spans="1:9" x14ac:dyDescent="0.3">
      <c r="A2053" t="str">
        <f>""</f>
        <v/>
      </c>
      <c r="F2053" t="str">
        <f>""</f>
        <v/>
      </c>
      <c r="G2053" t="str">
        <f>""</f>
        <v/>
      </c>
      <c r="I2053" t="str">
        <f t="shared" si="23"/>
        <v>SOCIAL SECURITY TAXES</v>
      </c>
    </row>
    <row r="2054" spans="1:9" x14ac:dyDescent="0.3">
      <c r="A2054" t="str">
        <f>""</f>
        <v/>
      </c>
      <c r="F2054" t="str">
        <f>""</f>
        <v/>
      </c>
      <c r="G2054" t="str">
        <f>""</f>
        <v/>
      </c>
      <c r="I2054" t="str">
        <f t="shared" si="23"/>
        <v>SOCIAL SECURITY TAXES</v>
      </c>
    </row>
    <row r="2055" spans="1:9" x14ac:dyDescent="0.3">
      <c r="A2055" t="str">
        <f>""</f>
        <v/>
      </c>
      <c r="F2055" t="str">
        <f>""</f>
        <v/>
      </c>
      <c r="G2055" t="str">
        <f>""</f>
        <v/>
      </c>
      <c r="I2055" t="str">
        <f t="shared" si="23"/>
        <v>SOCIAL SECURITY TAXES</v>
      </c>
    </row>
    <row r="2056" spans="1:9" x14ac:dyDescent="0.3">
      <c r="A2056" t="str">
        <f>""</f>
        <v/>
      </c>
      <c r="F2056" t="str">
        <f>""</f>
        <v/>
      </c>
      <c r="G2056" t="str">
        <f>""</f>
        <v/>
      </c>
      <c r="I2056" t="str">
        <f t="shared" si="23"/>
        <v>SOCIAL SECURITY TAXES</v>
      </c>
    </row>
    <row r="2057" spans="1:9" x14ac:dyDescent="0.3">
      <c r="A2057" t="str">
        <f>""</f>
        <v/>
      </c>
      <c r="F2057" t="str">
        <f>""</f>
        <v/>
      </c>
      <c r="G2057" t="str">
        <f>""</f>
        <v/>
      </c>
      <c r="I2057" t="str">
        <f t="shared" si="23"/>
        <v>SOCIAL SECURITY TAXES</v>
      </c>
    </row>
    <row r="2058" spans="1:9" x14ac:dyDescent="0.3">
      <c r="A2058" t="str">
        <f>""</f>
        <v/>
      </c>
      <c r="F2058" t="str">
        <f>""</f>
        <v/>
      </c>
      <c r="G2058" t="str">
        <f>""</f>
        <v/>
      </c>
      <c r="I2058" t="str">
        <f t="shared" si="23"/>
        <v>SOCIAL SECURITY TAXES</v>
      </c>
    </row>
    <row r="2059" spans="1:9" x14ac:dyDescent="0.3">
      <c r="A2059" t="str">
        <f>""</f>
        <v/>
      </c>
      <c r="F2059" t="str">
        <f>""</f>
        <v/>
      </c>
      <c r="G2059" t="str">
        <f>""</f>
        <v/>
      </c>
      <c r="I2059" t="str">
        <f t="shared" si="23"/>
        <v>SOCIAL SECURITY TAXES</v>
      </c>
    </row>
    <row r="2060" spans="1:9" x14ac:dyDescent="0.3">
      <c r="A2060" t="str">
        <f>""</f>
        <v/>
      </c>
      <c r="F2060" t="str">
        <f>""</f>
        <v/>
      </c>
      <c r="G2060" t="str">
        <f>""</f>
        <v/>
      </c>
      <c r="I2060" t="str">
        <f t="shared" si="23"/>
        <v>SOCIAL SECURITY TAXES</v>
      </c>
    </row>
    <row r="2061" spans="1:9" x14ac:dyDescent="0.3">
      <c r="A2061" t="str">
        <f>""</f>
        <v/>
      </c>
      <c r="F2061" t="str">
        <f>""</f>
        <v/>
      </c>
      <c r="G2061" t="str">
        <f>""</f>
        <v/>
      </c>
      <c r="I2061" t="str">
        <f t="shared" si="23"/>
        <v>SOCIAL SECURITY TAXES</v>
      </c>
    </row>
    <row r="2062" spans="1:9" x14ac:dyDescent="0.3">
      <c r="A2062" t="str">
        <f>""</f>
        <v/>
      </c>
      <c r="F2062" t="str">
        <f>""</f>
        <v/>
      </c>
      <c r="G2062" t="str">
        <f>""</f>
        <v/>
      </c>
      <c r="I2062" t="str">
        <f t="shared" ref="I2062:I2086" si="24">"SOCIAL SECURITY TAXES"</f>
        <v>SOCIAL SECURITY TAXES</v>
      </c>
    </row>
    <row r="2063" spans="1:9" x14ac:dyDescent="0.3">
      <c r="A2063" t="str">
        <f>""</f>
        <v/>
      </c>
      <c r="F2063" t="str">
        <f>""</f>
        <v/>
      </c>
      <c r="G2063" t="str">
        <f>""</f>
        <v/>
      </c>
      <c r="I2063" t="str">
        <f t="shared" si="24"/>
        <v>SOCIAL SECURITY TAXES</v>
      </c>
    </row>
    <row r="2064" spans="1:9" x14ac:dyDescent="0.3">
      <c r="A2064" t="str">
        <f>""</f>
        <v/>
      </c>
      <c r="F2064" t="str">
        <f>""</f>
        <v/>
      </c>
      <c r="G2064" t="str">
        <f>""</f>
        <v/>
      </c>
      <c r="I2064" t="str">
        <f t="shared" si="24"/>
        <v>SOCIAL SECURITY TAXES</v>
      </c>
    </row>
    <row r="2065" spans="1:9" x14ac:dyDescent="0.3">
      <c r="A2065" t="str">
        <f>""</f>
        <v/>
      </c>
      <c r="F2065" t="str">
        <f>""</f>
        <v/>
      </c>
      <c r="G2065" t="str">
        <f>""</f>
        <v/>
      </c>
      <c r="I2065" t="str">
        <f t="shared" si="24"/>
        <v>SOCIAL SECURITY TAXES</v>
      </c>
    </row>
    <row r="2066" spans="1:9" x14ac:dyDescent="0.3">
      <c r="A2066" t="str">
        <f>""</f>
        <v/>
      </c>
      <c r="F2066" t="str">
        <f>""</f>
        <v/>
      </c>
      <c r="G2066" t="str">
        <f>""</f>
        <v/>
      </c>
      <c r="I2066" t="str">
        <f t="shared" si="24"/>
        <v>SOCIAL SECURITY TAXES</v>
      </c>
    </row>
    <row r="2067" spans="1:9" x14ac:dyDescent="0.3">
      <c r="A2067" t="str">
        <f>""</f>
        <v/>
      </c>
      <c r="F2067" t="str">
        <f>""</f>
        <v/>
      </c>
      <c r="G2067" t="str">
        <f>""</f>
        <v/>
      </c>
      <c r="I2067" t="str">
        <f t="shared" si="24"/>
        <v>SOCIAL SECURITY TAXES</v>
      </c>
    </row>
    <row r="2068" spans="1:9" x14ac:dyDescent="0.3">
      <c r="A2068" t="str">
        <f>""</f>
        <v/>
      </c>
      <c r="F2068" t="str">
        <f>""</f>
        <v/>
      </c>
      <c r="G2068" t="str">
        <f>""</f>
        <v/>
      </c>
      <c r="I2068" t="str">
        <f t="shared" si="24"/>
        <v>SOCIAL SECURITY TAXES</v>
      </c>
    </row>
    <row r="2069" spans="1:9" x14ac:dyDescent="0.3">
      <c r="A2069" t="str">
        <f>""</f>
        <v/>
      </c>
      <c r="F2069" t="str">
        <f>""</f>
        <v/>
      </c>
      <c r="G2069" t="str">
        <f>""</f>
        <v/>
      </c>
      <c r="I2069" t="str">
        <f t="shared" si="24"/>
        <v>SOCIAL SECURITY TAXES</v>
      </c>
    </row>
    <row r="2070" spans="1:9" x14ac:dyDescent="0.3">
      <c r="A2070" t="str">
        <f>""</f>
        <v/>
      </c>
      <c r="F2070" t="str">
        <f>""</f>
        <v/>
      </c>
      <c r="G2070" t="str">
        <f>""</f>
        <v/>
      </c>
      <c r="I2070" t="str">
        <f t="shared" si="24"/>
        <v>SOCIAL SECURITY TAXES</v>
      </c>
    </row>
    <row r="2071" spans="1:9" x14ac:dyDescent="0.3">
      <c r="A2071" t="str">
        <f>""</f>
        <v/>
      </c>
      <c r="F2071" t="str">
        <f>""</f>
        <v/>
      </c>
      <c r="G2071" t="str">
        <f>""</f>
        <v/>
      </c>
      <c r="I2071" t="str">
        <f t="shared" si="24"/>
        <v>SOCIAL SECURITY TAXES</v>
      </c>
    </row>
    <row r="2072" spans="1:9" x14ac:dyDescent="0.3">
      <c r="A2072" t="str">
        <f>""</f>
        <v/>
      </c>
      <c r="F2072" t="str">
        <f>""</f>
        <v/>
      </c>
      <c r="G2072" t="str">
        <f>""</f>
        <v/>
      </c>
      <c r="I2072" t="str">
        <f t="shared" si="24"/>
        <v>SOCIAL SECURITY TAXES</v>
      </c>
    </row>
    <row r="2073" spans="1:9" x14ac:dyDescent="0.3">
      <c r="A2073" t="str">
        <f>""</f>
        <v/>
      </c>
      <c r="F2073" t="str">
        <f>""</f>
        <v/>
      </c>
      <c r="G2073" t="str">
        <f>""</f>
        <v/>
      </c>
      <c r="I2073" t="str">
        <f t="shared" si="24"/>
        <v>SOCIAL SECURITY TAXES</v>
      </c>
    </row>
    <row r="2074" spans="1:9" x14ac:dyDescent="0.3">
      <c r="A2074" t="str">
        <f>""</f>
        <v/>
      </c>
      <c r="F2074" t="str">
        <f>""</f>
        <v/>
      </c>
      <c r="G2074" t="str">
        <f>""</f>
        <v/>
      </c>
      <c r="I2074" t="str">
        <f t="shared" si="24"/>
        <v>SOCIAL SECURITY TAXES</v>
      </c>
    </row>
    <row r="2075" spans="1:9" x14ac:dyDescent="0.3">
      <c r="A2075" t="str">
        <f>""</f>
        <v/>
      </c>
      <c r="F2075" t="str">
        <f>""</f>
        <v/>
      </c>
      <c r="G2075" t="str">
        <f>""</f>
        <v/>
      </c>
      <c r="I2075" t="str">
        <f t="shared" si="24"/>
        <v>SOCIAL SECURITY TAXES</v>
      </c>
    </row>
    <row r="2076" spans="1:9" x14ac:dyDescent="0.3">
      <c r="A2076" t="str">
        <f>""</f>
        <v/>
      </c>
      <c r="F2076" t="str">
        <f>""</f>
        <v/>
      </c>
      <c r="G2076" t="str">
        <f>""</f>
        <v/>
      </c>
      <c r="I2076" t="str">
        <f t="shared" si="24"/>
        <v>SOCIAL SECURITY TAXES</v>
      </c>
    </row>
    <row r="2077" spans="1:9" x14ac:dyDescent="0.3">
      <c r="A2077" t="str">
        <f>""</f>
        <v/>
      </c>
      <c r="F2077" t="str">
        <f>""</f>
        <v/>
      </c>
      <c r="G2077" t="str">
        <f>""</f>
        <v/>
      </c>
      <c r="I2077" t="str">
        <f t="shared" si="24"/>
        <v>SOCIAL SECURITY TAXES</v>
      </c>
    </row>
    <row r="2078" spans="1:9" x14ac:dyDescent="0.3">
      <c r="A2078" t="str">
        <f>""</f>
        <v/>
      </c>
      <c r="F2078" t="str">
        <f>""</f>
        <v/>
      </c>
      <c r="G2078" t="str">
        <f>""</f>
        <v/>
      </c>
      <c r="I2078" t="str">
        <f t="shared" si="24"/>
        <v>SOCIAL SECURITY TAXES</v>
      </c>
    </row>
    <row r="2079" spans="1:9" x14ac:dyDescent="0.3">
      <c r="A2079" t="str">
        <f>""</f>
        <v/>
      </c>
      <c r="F2079" t="str">
        <f>""</f>
        <v/>
      </c>
      <c r="G2079" t="str">
        <f>""</f>
        <v/>
      </c>
      <c r="I2079" t="str">
        <f t="shared" si="24"/>
        <v>SOCIAL SECURITY TAXES</v>
      </c>
    </row>
    <row r="2080" spans="1:9" x14ac:dyDescent="0.3">
      <c r="A2080" t="str">
        <f>""</f>
        <v/>
      </c>
      <c r="F2080" t="str">
        <f>""</f>
        <v/>
      </c>
      <c r="G2080" t="str">
        <f>""</f>
        <v/>
      </c>
      <c r="I2080" t="str">
        <f t="shared" si="24"/>
        <v>SOCIAL SECURITY TAXES</v>
      </c>
    </row>
    <row r="2081" spans="1:9" x14ac:dyDescent="0.3">
      <c r="A2081" t="str">
        <f>""</f>
        <v/>
      </c>
      <c r="F2081" t="str">
        <f>""</f>
        <v/>
      </c>
      <c r="G2081" t="str">
        <f>""</f>
        <v/>
      </c>
      <c r="I2081" t="str">
        <f t="shared" si="24"/>
        <v>SOCIAL SECURITY TAXES</v>
      </c>
    </row>
    <row r="2082" spans="1:9" x14ac:dyDescent="0.3">
      <c r="A2082" t="str">
        <f>""</f>
        <v/>
      </c>
      <c r="F2082" t="str">
        <f>""</f>
        <v/>
      </c>
      <c r="G2082" t="str">
        <f>""</f>
        <v/>
      </c>
      <c r="I2082" t="str">
        <f t="shared" si="24"/>
        <v>SOCIAL SECURITY TAXES</v>
      </c>
    </row>
    <row r="2083" spans="1:9" x14ac:dyDescent="0.3">
      <c r="A2083" t="str">
        <f>""</f>
        <v/>
      </c>
      <c r="F2083" t="str">
        <f>"T3 201805301223"</f>
        <v>T3 201805301223</v>
      </c>
      <c r="G2083" t="str">
        <f>"SOCIAL SECURITY TAXES"</f>
        <v>SOCIAL SECURITY TAXES</v>
      </c>
      <c r="H2083">
        <v>3955.84</v>
      </c>
      <c r="I2083" t="str">
        <f t="shared" si="24"/>
        <v>SOCIAL SECURITY TAXES</v>
      </c>
    </row>
    <row r="2084" spans="1:9" x14ac:dyDescent="0.3">
      <c r="A2084" t="str">
        <f>""</f>
        <v/>
      </c>
      <c r="F2084" t="str">
        <f>""</f>
        <v/>
      </c>
      <c r="G2084" t="str">
        <f>""</f>
        <v/>
      </c>
      <c r="I2084" t="str">
        <f t="shared" si="24"/>
        <v>SOCIAL SECURITY TAXES</v>
      </c>
    </row>
    <row r="2085" spans="1:9" x14ac:dyDescent="0.3">
      <c r="A2085" t="str">
        <f>""</f>
        <v/>
      </c>
      <c r="F2085" t="str">
        <f>"T3 201805301224"</f>
        <v>T3 201805301224</v>
      </c>
      <c r="G2085" t="str">
        <f>"SOCIAL SECURITY TAXES"</f>
        <v>SOCIAL SECURITY TAXES</v>
      </c>
      <c r="H2085">
        <v>5467.96</v>
      </c>
      <c r="I2085" t="str">
        <f t="shared" si="24"/>
        <v>SOCIAL SECURITY TAXES</v>
      </c>
    </row>
    <row r="2086" spans="1:9" x14ac:dyDescent="0.3">
      <c r="A2086" t="str">
        <f>""</f>
        <v/>
      </c>
      <c r="F2086" t="str">
        <f>""</f>
        <v/>
      </c>
      <c r="G2086" t="str">
        <f>""</f>
        <v/>
      </c>
      <c r="I2086" t="str">
        <f t="shared" si="24"/>
        <v>SOCIAL SECURITY TAXES</v>
      </c>
    </row>
    <row r="2087" spans="1:9" x14ac:dyDescent="0.3">
      <c r="A2087" t="str">
        <f>""</f>
        <v/>
      </c>
      <c r="F2087" t="str">
        <f>"T4 201805301204"</f>
        <v>T4 201805301204</v>
      </c>
      <c r="G2087" t="str">
        <f>"MEDICARE TAXES"</f>
        <v>MEDICARE TAXES</v>
      </c>
      <c r="H2087">
        <v>23507.16</v>
      </c>
      <c r="I2087" t="str">
        <f t="shared" ref="I2087:I2118" si="25">"MEDICARE TAXES"</f>
        <v>MEDICARE TAXES</v>
      </c>
    </row>
    <row r="2088" spans="1:9" x14ac:dyDescent="0.3">
      <c r="A2088" t="str">
        <f>""</f>
        <v/>
      </c>
      <c r="F2088" t="str">
        <f>""</f>
        <v/>
      </c>
      <c r="G2088" t="str">
        <f>""</f>
        <v/>
      </c>
      <c r="I2088" t="str">
        <f t="shared" si="25"/>
        <v>MEDICARE TAXES</v>
      </c>
    </row>
    <row r="2089" spans="1:9" x14ac:dyDescent="0.3">
      <c r="A2089" t="str">
        <f>""</f>
        <v/>
      </c>
      <c r="F2089" t="str">
        <f>""</f>
        <v/>
      </c>
      <c r="G2089" t="str">
        <f>""</f>
        <v/>
      </c>
      <c r="I2089" t="str">
        <f t="shared" si="25"/>
        <v>MEDICARE TAXES</v>
      </c>
    </row>
    <row r="2090" spans="1:9" x14ac:dyDescent="0.3">
      <c r="A2090" t="str">
        <f>""</f>
        <v/>
      </c>
      <c r="F2090" t="str">
        <f>""</f>
        <v/>
      </c>
      <c r="G2090" t="str">
        <f>""</f>
        <v/>
      </c>
      <c r="I2090" t="str">
        <f t="shared" si="25"/>
        <v>MEDICARE TAXES</v>
      </c>
    </row>
    <row r="2091" spans="1:9" x14ac:dyDescent="0.3">
      <c r="A2091" t="str">
        <f>""</f>
        <v/>
      </c>
      <c r="F2091" t="str">
        <f>""</f>
        <v/>
      </c>
      <c r="G2091" t="str">
        <f>""</f>
        <v/>
      </c>
      <c r="I2091" t="str">
        <f t="shared" si="25"/>
        <v>MEDICARE TAXES</v>
      </c>
    </row>
    <row r="2092" spans="1:9" x14ac:dyDescent="0.3">
      <c r="A2092" t="str">
        <f>""</f>
        <v/>
      </c>
      <c r="F2092" t="str">
        <f>""</f>
        <v/>
      </c>
      <c r="G2092" t="str">
        <f>""</f>
        <v/>
      </c>
      <c r="I2092" t="str">
        <f t="shared" si="25"/>
        <v>MEDICARE TAXES</v>
      </c>
    </row>
    <row r="2093" spans="1:9" x14ac:dyDescent="0.3">
      <c r="A2093" t="str">
        <f>""</f>
        <v/>
      </c>
      <c r="F2093" t="str">
        <f>""</f>
        <v/>
      </c>
      <c r="G2093" t="str">
        <f>""</f>
        <v/>
      </c>
      <c r="I2093" t="str">
        <f t="shared" si="25"/>
        <v>MEDICARE TAXES</v>
      </c>
    </row>
    <row r="2094" spans="1:9" x14ac:dyDescent="0.3">
      <c r="A2094" t="str">
        <f>""</f>
        <v/>
      </c>
      <c r="F2094" t="str">
        <f>""</f>
        <v/>
      </c>
      <c r="G2094" t="str">
        <f>""</f>
        <v/>
      </c>
      <c r="I2094" t="str">
        <f t="shared" si="25"/>
        <v>MEDICARE TAXES</v>
      </c>
    </row>
    <row r="2095" spans="1:9" x14ac:dyDescent="0.3">
      <c r="A2095" t="str">
        <f>""</f>
        <v/>
      </c>
      <c r="F2095" t="str">
        <f>""</f>
        <v/>
      </c>
      <c r="G2095" t="str">
        <f>""</f>
        <v/>
      </c>
      <c r="I2095" t="str">
        <f t="shared" si="25"/>
        <v>MEDICARE TAXES</v>
      </c>
    </row>
    <row r="2096" spans="1:9" x14ac:dyDescent="0.3">
      <c r="A2096" t="str">
        <f>""</f>
        <v/>
      </c>
      <c r="F2096" t="str">
        <f>""</f>
        <v/>
      </c>
      <c r="G2096" t="str">
        <f>""</f>
        <v/>
      </c>
      <c r="I2096" t="str">
        <f t="shared" si="25"/>
        <v>MEDICARE TAXES</v>
      </c>
    </row>
    <row r="2097" spans="1:9" x14ac:dyDescent="0.3">
      <c r="A2097" t="str">
        <f>""</f>
        <v/>
      </c>
      <c r="F2097" t="str">
        <f>""</f>
        <v/>
      </c>
      <c r="G2097" t="str">
        <f>""</f>
        <v/>
      </c>
      <c r="I2097" t="str">
        <f t="shared" si="25"/>
        <v>MEDICARE TAXES</v>
      </c>
    </row>
    <row r="2098" spans="1:9" x14ac:dyDescent="0.3">
      <c r="A2098" t="str">
        <f>""</f>
        <v/>
      </c>
      <c r="F2098" t="str">
        <f>""</f>
        <v/>
      </c>
      <c r="G2098" t="str">
        <f>""</f>
        <v/>
      </c>
      <c r="I2098" t="str">
        <f t="shared" si="25"/>
        <v>MEDICARE TAXES</v>
      </c>
    </row>
    <row r="2099" spans="1:9" x14ac:dyDescent="0.3">
      <c r="A2099" t="str">
        <f>""</f>
        <v/>
      </c>
      <c r="F2099" t="str">
        <f>""</f>
        <v/>
      </c>
      <c r="G2099" t="str">
        <f>""</f>
        <v/>
      </c>
      <c r="I2099" t="str">
        <f t="shared" si="25"/>
        <v>MEDICARE TAXES</v>
      </c>
    </row>
    <row r="2100" spans="1:9" x14ac:dyDescent="0.3">
      <c r="A2100" t="str">
        <f>""</f>
        <v/>
      </c>
      <c r="F2100" t="str">
        <f>""</f>
        <v/>
      </c>
      <c r="G2100" t="str">
        <f>""</f>
        <v/>
      </c>
      <c r="I2100" t="str">
        <f t="shared" si="25"/>
        <v>MEDICARE TAXES</v>
      </c>
    </row>
    <row r="2101" spans="1:9" x14ac:dyDescent="0.3">
      <c r="A2101" t="str">
        <f>""</f>
        <v/>
      </c>
      <c r="F2101" t="str">
        <f>""</f>
        <v/>
      </c>
      <c r="G2101" t="str">
        <f>""</f>
        <v/>
      </c>
      <c r="I2101" t="str">
        <f t="shared" si="25"/>
        <v>MEDICARE TAXES</v>
      </c>
    </row>
    <row r="2102" spans="1:9" x14ac:dyDescent="0.3">
      <c r="A2102" t="str">
        <f>""</f>
        <v/>
      </c>
      <c r="F2102" t="str">
        <f>""</f>
        <v/>
      </c>
      <c r="G2102" t="str">
        <f>""</f>
        <v/>
      </c>
      <c r="I2102" t="str">
        <f t="shared" si="25"/>
        <v>MEDICARE TAXES</v>
      </c>
    </row>
    <row r="2103" spans="1:9" x14ac:dyDescent="0.3">
      <c r="A2103" t="str">
        <f>""</f>
        <v/>
      </c>
      <c r="F2103" t="str">
        <f>""</f>
        <v/>
      </c>
      <c r="G2103" t="str">
        <f>""</f>
        <v/>
      </c>
      <c r="I2103" t="str">
        <f t="shared" si="25"/>
        <v>MEDICARE TAXES</v>
      </c>
    </row>
    <row r="2104" spans="1:9" x14ac:dyDescent="0.3">
      <c r="A2104" t="str">
        <f>""</f>
        <v/>
      </c>
      <c r="F2104" t="str">
        <f>""</f>
        <v/>
      </c>
      <c r="G2104" t="str">
        <f>""</f>
        <v/>
      </c>
      <c r="I2104" t="str">
        <f t="shared" si="25"/>
        <v>MEDICARE TAXES</v>
      </c>
    </row>
    <row r="2105" spans="1:9" x14ac:dyDescent="0.3">
      <c r="A2105" t="str">
        <f>""</f>
        <v/>
      </c>
      <c r="F2105" t="str">
        <f>""</f>
        <v/>
      </c>
      <c r="G2105" t="str">
        <f>""</f>
        <v/>
      </c>
      <c r="I2105" t="str">
        <f t="shared" si="25"/>
        <v>MEDICARE TAXES</v>
      </c>
    </row>
    <row r="2106" spans="1:9" x14ac:dyDescent="0.3">
      <c r="A2106" t="str">
        <f>""</f>
        <v/>
      </c>
      <c r="F2106" t="str">
        <f>""</f>
        <v/>
      </c>
      <c r="G2106" t="str">
        <f>""</f>
        <v/>
      </c>
      <c r="I2106" t="str">
        <f t="shared" si="25"/>
        <v>MEDICARE TAXES</v>
      </c>
    </row>
    <row r="2107" spans="1:9" x14ac:dyDescent="0.3">
      <c r="A2107" t="str">
        <f>""</f>
        <v/>
      </c>
      <c r="F2107" t="str">
        <f>""</f>
        <v/>
      </c>
      <c r="G2107" t="str">
        <f>""</f>
        <v/>
      </c>
      <c r="I2107" t="str">
        <f t="shared" si="25"/>
        <v>MEDICARE TAXES</v>
      </c>
    </row>
    <row r="2108" spans="1:9" x14ac:dyDescent="0.3">
      <c r="A2108" t="str">
        <f>""</f>
        <v/>
      </c>
      <c r="F2108" t="str">
        <f>""</f>
        <v/>
      </c>
      <c r="G2108" t="str">
        <f>""</f>
        <v/>
      </c>
      <c r="I2108" t="str">
        <f t="shared" si="25"/>
        <v>MEDICARE TAXES</v>
      </c>
    </row>
    <row r="2109" spans="1:9" x14ac:dyDescent="0.3">
      <c r="A2109" t="str">
        <f>""</f>
        <v/>
      </c>
      <c r="F2109" t="str">
        <f>""</f>
        <v/>
      </c>
      <c r="G2109" t="str">
        <f>""</f>
        <v/>
      </c>
      <c r="I2109" t="str">
        <f t="shared" si="25"/>
        <v>MEDICARE TAXES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25"/>
        <v>MEDICARE TAXES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25"/>
        <v>MEDICARE TAXES</v>
      </c>
    </row>
    <row r="2112" spans="1:9" x14ac:dyDescent="0.3">
      <c r="A2112" t="str">
        <f>""</f>
        <v/>
      </c>
      <c r="F2112" t="str">
        <f>""</f>
        <v/>
      </c>
      <c r="G2112" t="str">
        <f>""</f>
        <v/>
      </c>
      <c r="I2112" t="str">
        <f t="shared" si="25"/>
        <v>MEDICARE TAXES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25"/>
        <v>MEDICARE TAXES</v>
      </c>
    </row>
    <row r="2114" spans="1:9" x14ac:dyDescent="0.3">
      <c r="A2114" t="str">
        <f>""</f>
        <v/>
      </c>
      <c r="F2114" t="str">
        <f>""</f>
        <v/>
      </c>
      <c r="G2114" t="str">
        <f>""</f>
        <v/>
      </c>
      <c r="I2114" t="str">
        <f t="shared" si="25"/>
        <v>MEDICARE TAXES</v>
      </c>
    </row>
    <row r="2115" spans="1:9" x14ac:dyDescent="0.3">
      <c r="A2115" t="str">
        <f>""</f>
        <v/>
      </c>
      <c r="F2115" t="str">
        <f>""</f>
        <v/>
      </c>
      <c r="G2115" t="str">
        <f>""</f>
        <v/>
      </c>
      <c r="I2115" t="str">
        <f t="shared" si="25"/>
        <v>MEDICARE TAXES</v>
      </c>
    </row>
    <row r="2116" spans="1:9" x14ac:dyDescent="0.3">
      <c r="A2116" t="str">
        <f>""</f>
        <v/>
      </c>
      <c r="F2116" t="str">
        <f>""</f>
        <v/>
      </c>
      <c r="G2116" t="str">
        <f>""</f>
        <v/>
      </c>
      <c r="I2116" t="str">
        <f t="shared" si="25"/>
        <v>MEDICARE TAXES</v>
      </c>
    </row>
    <row r="2117" spans="1:9" x14ac:dyDescent="0.3">
      <c r="A2117" t="str">
        <f>""</f>
        <v/>
      </c>
      <c r="F2117" t="str">
        <f>""</f>
        <v/>
      </c>
      <c r="G2117" t="str">
        <f>""</f>
        <v/>
      </c>
      <c r="I2117" t="str">
        <f t="shared" si="25"/>
        <v>MEDICARE TAXES</v>
      </c>
    </row>
    <row r="2118" spans="1:9" x14ac:dyDescent="0.3">
      <c r="A2118" t="str">
        <f>""</f>
        <v/>
      </c>
      <c r="F2118" t="str">
        <f>""</f>
        <v/>
      </c>
      <c r="G2118" t="str">
        <f>""</f>
        <v/>
      </c>
      <c r="I2118" t="str">
        <f t="shared" si="25"/>
        <v>MEDICARE TAXES</v>
      </c>
    </row>
    <row r="2119" spans="1:9" x14ac:dyDescent="0.3">
      <c r="A2119" t="str">
        <f>""</f>
        <v/>
      </c>
      <c r="F2119" t="str">
        <f>""</f>
        <v/>
      </c>
      <c r="G2119" t="str">
        <f>""</f>
        <v/>
      </c>
      <c r="I2119" t="str">
        <f t="shared" ref="I2119:I2143" si="26">"MEDICARE TAXES"</f>
        <v>MEDICARE TAXES</v>
      </c>
    </row>
    <row r="2120" spans="1:9" x14ac:dyDescent="0.3">
      <c r="A2120" t="str">
        <f>""</f>
        <v/>
      </c>
      <c r="F2120" t="str">
        <f>""</f>
        <v/>
      </c>
      <c r="G2120" t="str">
        <f>""</f>
        <v/>
      </c>
      <c r="I2120" t="str">
        <f t="shared" si="26"/>
        <v>MEDICARE TAXES</v>
      </c>
    </row>
    <row r="2121" spans="1:9" x14ac:dyDescent="0.3">
      <c r="A2121" t="str">
        <f>""</f>
        <v/>
      </c>
      <c r="F2121" t="str">
        <f>""</f>
        <v/>
      </c>
      <c r="G2121" t="str">
        <f>""</f>
        <v/>
      </c>
      <c r="I2121" t="str">
        <f t="shared" si="26"/>
        <v>MEDICARE TAXES</v>
      </c>
    </row>
    <row r="2122" spans="1:9" x14ac:dyDescent="0.3">
      <c r="A2122" t="str">
        <f>""</f>
        <v/>
      </c>
      <c r="F2122" t="str">
        <f>""</f>
        <v/>
      </c>
      <c r="G2122" t="str">
        <f>""</f>
        <v/>
      </c>
      <c r="I2122" t="str">
        <f t="shared" si="26"/>
        <v>MEDICARE TAXES</v>
      </c>
    </row>
    <row r="2123" spans="1:9" x14ac:dyDescent="0.3">
      <c r="A2123" t="str">
        <f>""</f>
        <v/>
      </c>
      <c r="F2123" t="str">
        <f>""</f>
        <v/>
      </c>
      <c r="G2123" t="str">
        <f>""</f>
        <v/>
      </c>
      <c r="I2123" t="str">
        <f t="shared" si="26"/>
        <v>MEDICARE TAXES</v>
      </c>
    </row>
    <row r="2124" spans="1:9" x14ac:dyDescent="0.3">
      <c r="A2124" t="str">
        <f>""</f>
        <v/>
      </c>
      <c r="F2124" t="str">
        <f>""</f>
        <v/>
      </c>
      <c r="G2124" t="str">
        <f>""</f>
        <v/>
      </c>
      <c r="I2124" t="str">
        <f t="shared" si="26"/>
        <v>MEDICARE TAXES</v>
      </c>
    </row>
    <row r="2125" spans="1:9" x14ac:dyDescent="0.3">
      <c r="A2125" t="str">
        <f>""</f>
        <v/>
      </c>
      <c r="F2125" t="str">
        <f>""</f>
        <v/>
      </c>
      <c r="G2125" t="str">
        <f>""</f>
        <v/>
      </c>
      <c r="I2125" t="str">
        <f t="shared" si="26"/>
        <v>MEDICARE TAXES</v>
      </c>
    </row>
    <row r="2126" spans="1:9" x14ac:dyDescent="0.3">
      <c r="A2126" t="str">
        <f>""</f>
        <v/>
      </c>
      <c r="F2126" t="str">
        <f>""</f>
        <v/>
      </c>
      <c r="G2126" t="str">
        <f>""</f>
        <v/>
      </c>
      <c r="I2126" t="str">
        <f t="shared" si="26"/>
        <v>MEDICARE TAXES</v>
      </c>
    </row>
    <row r="2127" spans="1:9" x14ac:dyDescent="0.3">
      <c r="A2127" t="str">
        <f>""</f>
        <v/>
      </c>
      <c r="F2127" t="str">
        <f>""</f>
        <v/>
      </c>
      <c r="G2127" t="str">
        <f>""</f>
        <v/>
      </c>
      <c r="I2127" t="str">
        <f t="shared" si="26"/>
        <v>MEDICARE TAXES</v>
      </c>
    </row>
    <row r="2128" spans="1:9" x14ac:dyDescent="0.3">
      <c r="A2128" t="str">
        <f>""</f>
        <v/>
      </c>
      <c r="F2128" t="str">
        <f>""</f>
        <v/>
      </c>
      <c r="G2128" t="str">
        <f>""</f>
        <v/>
      </c>
      <c r="I2128" t="str">
        <f t="shared" si="26"/>
        <v>MEDICARE TAXES</v>
      </c>
    </row>
    <row r="2129" spans="1:9" x14ac:dyDescent="0.3">
      <c r="A2129" t="str">
        <f>""</f>
        <v/>
      </c>
      <c r="F2129" t="str">
        <f>""</f>
        <v/>
      </c>
      <c r="G2129" t="str">
        <f>""</f>
        <v/>
      </c>
      <c r="I2129" t="str">
        <f t="shared" si="26"/>
        <v>MEDICARE TAXES</v>
      </c>
    </row>
    <row r="2130" spans="1:9" x14ac:dyDescent="0.3">
      <c r="A2130" t="str">
        <f>""</f>
        <v/>
      </c>
      <c r="F2130" t="str">
        <f>""</f>
        <v/>
      </c>
      <c r="G2130" t="str">
        <f>""</f>
        <v/>
      </c>
      <c r="I2130" t="str">
        <f t="shared" si="26"/>
        <v>MEDICARE TAXES</v>
      </c>
    </row>
    <row r="2131" spans="1:9" x14ac:dyDescent="0.3">
      <c r="A2131" t="str">
        <f>""</f>
        <v/>
      </c>
      <c r="F2131" t="str">
        <f>""</f>
        <v/>
      </c>
      <c r="G2131" t="str">
        <f>""</f>
        <v/>
      </c>
      <c r="I2131" t="str">
        <f t="shared" si="26"/>
        <v>MEDICARE TAXES</v>
      </c>
    </row>
    <row r="2132" spans="1:9" x14ac:dyDescent="0.3">
      <c r="A2132" t="str">
        <f>""</f>
        <v/>
      </c>
      <c r="F2132" t="str">
        <f>""</f>
        <v/>
      </c>
      <c r="G2132" t="str">
        <f>""</f>
        <v/>
      </c>
      <c r="I2132" t="str">
        <f t="shared" si="26"/>
        <v>MEDICARE TAXES</v>
      </c>
    </row>
    <row r="2133" spans="1:9" x14ac:dyDescent="0.3">
      <c r="A2133" t="str">
        <f>""</f>
        <v/>
      </c>
      <c r="F2133" t="str">
        <f>""</f>
        <v/>
      </c>
      <c r="G2133" t="str">
        <f>""</f>
        <v/>
      </c>
      <c r="I2133" t="str">
        <f t="shared" si="26"/>
        <v>MEDICARE TAXES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26"/>
        <v>MEDICARE TAXES</v>
      </c>
    </row>
    <row r="2135" spans="1:9" x14ac:dyDescent="0.3">
      <c r="A2135" t="str">
        <f>""</f>
        <v/>
      </c>
      <c r="F2135" t="str">
        <f>""</f>
        <v/>
      </c>
      <c r="G2135" t="str">
        <f>""</f>
        <v/>
      </c>
      <c r="I2135" t="str">
        <f t="shared" si="26"/>
        <v>MEDICARE TAXES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26"/>
        <v>MEDICARE TAXES</v>
      </c>
    </row>
    <row r="2137" spans="1:9" x14ac:dyDescent="0.3">
      <c r="A2137" t="str">
        <f>""</f>
        <v/>
      </c>
      <c r="F2137" t="str">
        <f>""</f>
        <v/>
      </c>
      <c r="G2137" t="str">
        <f>""</f>
        <v/>
      </c>
      <c r="I2137" t="str">
        <f t="shared" si="26"/>
        <v>MEDICARE TAXES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26"/>
        <v>MEDICARE TAXES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26"/>
        <v>MEDICARE TAXES</v>
      </c>
    </row>
    <row r="2140" spans="1:9" x14ac:dyDescent="0.3">
      <c r="A2140" t="str">
        <f>""</f>
        <v/>
      </c>
      <c r="F2140" t="str">
        <f>"T4 201805301223"</f>
        <v>T4 201805301223</v>
      </c>
      <c r="G2140" t="str">
        <f>"MEDICARE TAXES"</f>
        <v>MEDICARE TAXES</v>
      </c>
      <c r="H2140">
        <v>925.16</v>
      </c>
      <c r="I2140" t="str">
        <f t="shared" si="26"/>
        <v>MEDICARE TAXES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si="26"/>
        <v>MEDICARE TAXES</v>
      </c>
    </row>
    <row r="2142" spans="1:9" x14ac:dyDescent="0.3">
      <c r="A2142" t="str">
        <f>""</f>
        <v/>
      </c>
      <c r="F2142" t="str">
        <f>"T4 201805301224"</f>
        <v>T4 201805301224</v>
      </c>
      <c r="G2142" t="str">
        <f>"MEDICARE TAXES"</f>
        <v>MEDICARE TAXES</v>
      </c>
      <c r="H2142">
        <v>1278.82</v>
      </c>
      <c r="I2142" t="str">
        <f t="shared" si="26"/>
        <v>MEDICARE TAXES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26"/>
        <v>MEDICARE TAXES</v>
      </c>
    </row>
    <row r="2144" spans="1:9" x14ac:dyDescent="0.3">
      <c r="A2144" t="str">
        <f>"IRSPY"</f>
        <v>IRSPY</v>
      </c>
      <c r="B2144" t="s">
        <v>444</v>
      </c>
      <c r="C2144">
        <v>0</v>
      </c>
      <c r="D2144" s="2">
        <v>212263.2</v>
      </c>
      <c r="E2144" s="1">
        <v>43266</v>
      </c>
      <c r="F2144" t="str">
        <f>"T1 201806131556"</f>
        <v>T1 201806131556</v>
      </c>
      <c r="G2144" t="str">
        <f>"FEDERAL WITHHOLDING"</f>
        <v>FEDERAL WITHHOLDING</v>
      </c>
      <c r="H2144">
        <v>67240.34</v>
      </c>
      <c r="I2144" t="str">
        <f>"FEDERAL WITHHOLDING"</f>
        <v>FEDERAL WITHHOLDING</v>
      </c>
    </row>
    <row r="2145" spans="1:9" x14ac:dyDescent="0.3">
      <c r="A2145" t="str">
        <f>""</f>
        <v/>
      </c>
      <c r="F2145" t="str">
        <f>"T1 201806131561"</f>
        <v>T1 201806131561</v>
      </c>
      <c r="G2145" t="str">
        <f>"FEDERAL WITHHOLDING"</f>
        <v>FEDERAL WITHHOLDING</v>
      </c>
      <c r="H2145">
        <v>2760.65</v>
      </c>
      <c r="I2145" t="str">
        <f>"FEDERAL WITHHOLDING"</f>
        <v>FEDERAL WITHHOLDING</v>
      </c>
    </row>
    <row r="2146" spans="1:9" x14ac:dyDescent="0.3">
      <c r="A2146" t="str">
        <f>""</f>
        <v/>
      </c>
      <c r="F2146" t="str">
        <f>"T1 201806131563"</f>
        <v>T1 201806131563</v>
      </c>
      <c r="G2146" t="str">
        <f>"FEDERAL WITHHOLDING"</f>
        <v>FEDERAL WITHHOLDING</v>
      </c>
      <c r="H2146">
        <v>4716.87</v>
      </c>
      <c r="I2146" t="str">
        <f>"FEDERAL WITHHOLDING"</f>
        <v>FEDERAL WITHHOLDING</v>
      </c>
    </row>
    <row r="2147" spans="1:9" x14ac:dyDescent="0.3">
      <c r="A2147" t="str">
        <f>""</f>
        <v/>
      </c>
      <c r="F2147" t="str">
        <f>"T3 201806131556"</f>
        <v>T3 201806131556</v>
      </c>
      <c r="G2147" t="str">
        <f>"SOCIAL SECURITY TAXES"</f>
        <v>SOCIAL SECURITY TAXES</v>
      </c>
      <c r="H2147">
        <v>101185.74</v>
      </c>
      <c r="I2147" t="str">
        <f t="shared" ref="I2147:I2178" si="27">"SOCIAL SECURITY TAXES"</f>
        <v>SOCIAL SECURITY TAXES</v>
      </c>
    </row>
    <row r="2148" spans="1:9" x14ac:dyDescent="0.3">
      <c r="A2148" t="str">
        <f>""</f>
        <v/>
      </c>
      <c r="F2148" t="str">
        <f>""</f>
        <v/>
      </c>
      <c r="G2148" t="str">
        <f>""</f>
        <v/>
      </c>
      <c r="I2148" t="str">
        <f t="shared" si="27"/>
        <v>SOCIAL SECURITY TAXES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27"/>
        <v>SOCIAL SECURITY TAXES</v>
      </c>
    </row>
    <row r="2150" spans="1:9" x14ac:dyDescent="0.3">
      <c r="A2150" t="str">
        <f>""</f>
        <v/>
      </c>
      <c r="F2150" t="str">
        <f>""</f>
        <v/>
      </c>
      <c r="G2150" t="str">
        <f>""</f>
        <v/>
      </c>
      <c r="I2150" t="str">
        <f t="shared" si="27"/>
        <v>SOCIAL SECURITY TAXES</v>
      </c>
    </row>
    <row r="2151" spans="1:9" x14ac:dyDescent="0.3">
      <c r="A2151" t="str">
        <f>""</f>
        <v/>
      </c>
      <c r="F2151" t="str">
        <f>""</f>
        <v/>
      </c>
      <c r="G2151" t="str">
        <f>""</f>
        <v/>
      </c>
      <c r="I2151" t="str">
        <f t="shared" si="27"/>
        <v>SOCIAL SECURITY TAXES</v>
      </c>
    </row>
    <row r="2152" spans="1:9" x14ac:dyDescent="0.3">
      <c r="A2152" t="str">
        <f>""</f>
        <v/>
      </c>
      <c r="F2152" t="str">
        <f>""</f>
        <v/>
      </c>
      <c r="G2152" t="str">
        <f>""</f>
        <v/>
      </c>
      <c r="I2152" t="str">
        <f t="shared" si="27"/>
        <v>SOCIAL SECURITY TAXES</v>
      </c>
    </row>
    <row r="2153" spans="1:9" x14ac:dyDescent="0.3">
      <c r="A2153" t="str">
        <f>""</f>
        <v/>
      </c>
      <c r="F2153" t="str">
        <f>""</f>
        <v/>
      </c>
      <c r="G2153" t="str">
        <f>""</f>
        <v/>
      </c>
      <c r="I2153" t="str">
        <f t="shared" si="27"/>
        <v>SOCIAL SECURITY TAXES</v>
      </c>
    </row>
    <row r="2154" spans="1:9" x14ac:dyDescent="0.3">
      <c r="A2154" t="str">
        <f>""</f>
        <v/>
      </c>
      <c r="F2154" t="str">
        <f>""</f>
        <v/>
      </c>
      <c r="G2154" t="str">
        <f>""</f>
        <v/>
      </c>
      <c r="I2154" t="str">
        <f t="shared" si="27"/>
        <v>SOCIAL SECURITY TAXES</v>
      </c>
    </row>
    <row r="2155" spans="1:9" x14ac:dyDescent="0.3">
      <c r="A2155" t="str">
        <f>""</f>
        <v/>
      </c>
      <c r="F2155" t="str">
        <f>""</f>
        <v/>
      </c>
      <c r="G2155" t="str">
        <f>""</f>
        <v/>
      </c>
      <c r="I2155" t="str">
        <f t="shared" si="27"/>
        <v>SOCIAL SECURITY TAXES</v>
      </c>
    </row>
    <row r="2156" spans="1:9" x14ac:dyDescent="0.3">
      <c r="A2156" t="str">
        <f>""</f>
        <v/>
      </c>
      <c r="F2156" t="str">
        <f>""</f>
        <v/>
      </c>
      <c r="G2156" t="str">
        <f>""</f>
        <v/>
      </c>
      <c r="I2156" t="str">
        <f t="shared" si="27"/>
        <v>SOCIAL SECURITY TAXES</v>
      </c>
    </row>
    <row r="2157" spans="1:9" x14ac:dyDescent="0.3">
      <c r="A2157" t="str">
        <f>""</f>
        <v/>
      </c>
      <c r="F2157" t="str">
        <f>""</f>
        <v/>
      </c>
      <c r="G2157" t="str">
        <f>""</f>
        <v/>
      </c>
      <c r="I2157" t="str">
        <f t="shared" si="27"/>
        <v>SOCIAL SECURITY TAXES</v>
      </c>
    </row>
    <row r="2158" spans="1:9" x14ac:dyDescent="0.3">
      <c r="A2158" t="str">
        <f>""</f>
        <v/>
      </c>
      <c r="F2158" t="str">
        <f>""</f>
        <v/>
      </c>
      <c r="G2158" t="str">
        <f>""</f>
        <v/>
      </c>
      <c r="I2158" t="str">
        <f t="shared" si="27"/>
        <v>SOCIAL SECURITY TAXES</v>
      </c>
    </row>
    <row r="2159" spans="1:9" x14ac:dyDescent="0.3">
      <c r="A2159" t="str">
        <f>""</f>
        <v/>
      </c>
      <c r="F2159" t="str">
        <f>""</f>
        <v/>
      </c>
      <c r="G2159" t="str">
        <f>""</f>
        <v/>
      </c>
      <c r="I2159" t="str">
        <f t="shared" si="27"/>
        <v>SOCIAL SECURITY TAXES</v>
      </c>
    </row>
    <row r="2160" spans="1:9" x14ac:dyDescent="0.3">
      <c r="A2160" t="str">
        <f>""</f>
        <v/>
      </c>
      <c r="F2160" t="str">
        <f>""</f>
        <v/>
      </c>
      <c r="G2160" t="str">
        <f>""</f>
        <v/>
      </c>
      <c r="I2160" t="str">
        <f t="shared" si="27"/>
        <v>SOCIAL SECURITY TAXES</v>
      </c>
    </row>
    <row r="2161" spans="1:9" x14ac:dyDescent="0.3">
      <c r="A2161" t="str">
        <f>""</f>
        <v/>
      </c>
      <c r="F2161" t="str">
        <f>""</f>
        <v/>
      </c>
      <c r="G2161" t="str">
        <f>""</f>
        <v/>
      </c>
      <c r="I2161" t="str">
        <f t="shared" si="27"/>
        <v>SOCIAL SECURITY TAXES</v>
      </c>
    </row>
    <row r="2162" spans="1:9" x14ac:dyDescent="0.3">
      <c r="A2162" t="str">
        <f>""</f>
        <v/>
      </c>
      <c r="F2162" t="str">
        <f>""</f>
        <v/>
      </c>
      <c r="G2162" t="str">
        <f>""</f>
        <v/>
      </c>
      <c r="I2162" t="str">
        <f t="shared" si="27"/>
        <v>SOCIAL SECURITY TAXES</v>
      </c>
    </row>
    <row r="2163" spans="1:9" x14ac:dyDescent="0.3">
      <c r="A2163" t="str">
        <f>""</f>
        <v/>
      </c>
      <c r="F2163" t="str">
        <f>""</f>
        <v/>
      </c>
      <c r="G2163" t="str">
        <f>""</f>
        <v/>
      </c>
      <c r="I2163" t="str">
        <f t="shared" si="27"/>
        <v>SOCIAL SECURITY TAXES</v>
      </c>
    </row>
    <row r="2164" spans="1:9" x14ac:dyDescent="0.3">
      <c r="A2164" t="str">
        <f>""</f>
        <v/>
      </c>
      <c r="F2164" t="str">
        <f>""</f>
        <v/>
      </c>
      <c r="G2164" t="str">
        <f>""</f>
        <v/>
      </c>
      <c r="I2164" t="str">
        <f t="shared" si="27"/>
        <v>SOCIAL SECURITY TAXES</v>
      </c>
    </row>
    <row r="2165" spans="1:9" x14ac:dyDescent="0.3">
      <c r="A2165" t="str">
        <f>""</f>
        <v/>
      </c>
      <c r="F2165" t="str">
        <f>""</f>
        <v/>
      </c>
      <c r="G2165" t="str">
        <f>""</f>
        <v/>
      </c>
      <c r="I2165" t="str">
        <f t="shared" si="27"/>
        <v>SOCIAL SECURITY TAXES</v>
      </c>
    </row>
    <row r="2166" spans="1:9" x14ac:dyDescent="0.3">
      <c r="A2166" t="str">
        <f>""</f>
        <v/>
      </c>
      <c r="F2166" t="str">
        <f>""</f>
        <v/>
      </c>
      <c r="G2166" t="str">
        <f>""</f>
        <v/>
      </c>
      <c r="I2166" t="str">
        <f t="shared" si="27"/>
        <v>SOCIAL SECURITY TAXES</v>
      </c>
    </row>
    <row r="2167" spans="1:9" x14ac:dyDescent="0.3">
      <c r="A2167" t="str">
        <f>""</f>
        <v/>
      </c>
      <c r="F2167" t="str">
        <f>""</f>
        <v/>
      </c>
      <c r="G2167" t="str">
        <f>""</f>
        <v/>
      </c>
      <c r="I2167" t="str">
        <f t="shared" si="27"/>
        <v>SOCIAL SECURITY TAXES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27"/>
        <v>SOCIAL SECURITY TAXES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27"/>
        <v>SOCIAL SECURITY TAXES</v>
      </c>
    </row>
    <row r="2170" spans="1:9" x14ac:dyDescent="0.3">
      <c r="A2170" t="str">
        <f>""</f>
        <v/>
      </c>
      <c r="F2170" t="str">
        <f>""</f>
        <v/>
      </c>
      <c r="G2170" t="str">
        <f>""</f>
        <v/>
      </c>
      <c r="I2170" t="str">
        <f t="shared" si="27"/>
        <v>SOCIAL SECURITY TAXES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27"/>
        <v>SOCIAL SECURITY TAXES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27"/>
        <v>SOCIAL SECURITY TAXES</v>
      </c>
    </row>
    <row r="2173" spans="1:9" x14ac:dyDescent="0.3">
      <c r="A2173" t="str">
        <f>""</f>
        <v/>
      </c>
      <c r="F2173" t="str">
        <f>""</f>
        <v/>
      </c>
      <c r="G2173" t="str">
        <f>""</f>
        <v/>
      </c>
      <c r="I2173" t="str">
        <f t="shared" si="27"/>
        <v>SOCIAL SECURITY TAXES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27"/>
        <v>SOCIAL SECURITY TAXES</v>
      </c>
    </row>
    <row r="2175" spans="1:9" x14ac:dyDescent="0.3">
      <c r="A2175" t="str">
        <f>""</f>
        <v/>
      </c>
      <c r="F2175" t="str">
        <f>""</f>
        <v/>
      </c>
      <c r="G2175" t="str">
        <f>""</f>
        <v/>
      </c>
      <c r="I2175" t="str">
        <f t="shared" si="27"/>
        <v>SOCIAL SECURITY TAXES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27"/>
        <v>SOCIAL SECURITY TAXES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27"/>
        <v>SOCIAL SECURITY TAXES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27"/>
        <v>SOCIAL SECURITY TAXES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ref="I2179:I2205" si="28">"SOCIAL SECURITY TAXES"</f>
        <v>SOCIAL SECURITY TAXES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28"/>
        <v>SOCIAL SECURITY TAXES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28"/>
        <v>SOCIAL SECURITY TAXES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28"/>
        <v>SOCIAL SECURITY TAXES</v>
      </c>
    </row>
    <row r="2183" spans="1:9" x14ac:dyDescent="0.3">
      <c r="A2183" t="str">
        <f>""</f>
        <v/>
      </c>
      <c r="F2183" t="str">
        <f>""</f>
        <v/>
      </c>
      <c r="G2183" t="str">
        <f>""</f>
        <v/>
      </c>
      <c r="I2183" t="str">
        <f t="shared" si="28"/>
        <v>SOCIAL SECURITY TAXES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si="28"/>
        <v>SOCIAL SECURITY TAXES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28"/>
        <v>SOCIAL SECURITY TAXES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si="28"/>
        <v>SOCIAL SECURITY TAXES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28"/>
        <v>SOCIAL SECURITY TAXES</v>
      </c>
    </row>
    <row r="2188" spans="1:9" x14ac:dyDescent="0.3">
      <c r="A2188" t="str">
        <f>""</f>
        <v/>
      </c>
      <c r="F2188" t="str">
        <f>""</f>
        <v/>
      </c>
      <c r="G2188" t="str">
        <f>""</f>
        <v/>
      </c>
      <c r="I2188" t="str">
        <f t="shared" si="28"/>
        <v>SOCIAL SECURITY TAXES</v>
      </c>
    </row>
    <row r="2189" spans="1:9" x14ac:dyDescent="0.3">
      <c r="A2189" t="str">
        <f>""</f>
        <v/>
      </c>
      <c r="F2189" t="str">
        <f>""</f>
        <v/>
      </c>
      <c r="G2189" t="str">
        <f>""</f>
        <v/>
      </c>
      <c r="I2189" t="str">
        <f t="shared" si="28"/>
        <v>SOCIAL SECURITY TAXES</v>
      </c>
    </row>
    <row r="2190" spans="1:9" x14ac:dyDescent="0.3">
      <c r="A2190" t="str">
        <f>""</f>
        <v/>
      </c>
      <c r="F2190" t="str">
        <f>""</f>
        <v/>
      </c>
      <c r="G2190" t="str">
        <f>""</f>
        <v/>
      </c>
      <c r="I2190" t="str">
        <f t="shared" si="28"/>
        <v>SOCIAL SECURITY TAXES</v>
      </c>
    </row>
    <row r="2191" spans="1:9" x14ac:dyDescent="0.3">
      <c r="A2191" t="str">
        <f>""</f>
        <v/>
      </c>
      <c r="F2191" t="str">
        <f>""</f>
        <v/>
      </c>
      <c r="G2191" t="str">
        <f>""</f>
        <v/>
      </c>
      <c r="I2191" t="str">
        <f t="shared" si="28"/>
        <v>SOCIAL SECURITY TAXES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28"/>
        <v>SOCIAL SECURITY TAXES</v>
      </c>
    </row>
    <row r="2193" spans="1:9" x14ac:dyDescent="0.3">
      <c r="A2193" t="str">
        <f>""</f>
        <v/>
      </c>
      <c r="F2193" t="str">
        <f>""</f>
        <v/>
      </c>
      <c r="G2193" t="str">
        <f>""</f>
        <v/>
      </c>
      <c r="I2193" t="str">
        <f t="shared" si="28"/>
        <v>SOCIAL SECURITY TAXES</v>
      </c>
    </row>
    <row r="2194" spans="1:9" x14ac:dyDescent="0.3">
      <c r="A2194" t="str">
        <f>""</f>
        <v/>
      </c>
      <c r="F2194" t="str">
        <f>""</f>
        <v/>
      </c>
      <c r="G2194" t="str">
        <f>""</f>
        <v/>
      </c>
      <c r="I2194" t="str">
        <f t="shared" si="28"/>
        <v>SOCIAL SECURITY TAXES</v>
      </c>
    </row>
    <row r="2195" spans="1:9" x14ac:dyDescent="0.3">
      <c r="A2195" t="str">
        <f>""</f>
        <v/>
      </c>
      <c r="F2195" t="str">
        <f>""</f>
        <v/>
      </c>
      <c r="G2195" t="str">
        <f>""</f>
        <v/>
      </c>
      <c r="I2195" t="str">
        <f t="shared" si="28"/>
        <v>SOCIAL SECURITY TAXES</v>
      </c>
    </row>
    <row r="2196" spans="1:9" x14ac:dyDescent="0.3">
      <c r="A2196" t="str">
        <f>""</f>
        <v/>
      </c>
      <c r="F2196" t="str">
        <f>""</f>
        <v/>
      </c>
      <c r="G2196" t="str">
        <f>""</f>
        <v/>
      </c>
      <c r="I2196" t="str">
        <f t="shared" si="28"/>
        <v>SOCIAL SECURITY TAXES</v>
      </c>
    </row>
    <row r="2197" spans="1:9" x14ac:dyDescent="0.3">
      <c r="A2197" t="str">
        <f>""</f>
        <v/>
      </c>
      <c r="F2197" t="str">
        <f>""</f>
        <v/>
      </c>
      <c r="G2197" t="str">
        <f>""</f>
        <v/>
      </c>
      <c r="I2197" t="str">
        <f t="shared" si="28"/>
        <v>SOCIAL SECURITY TAXES</v>
      </c>
    </row>
    <row r="2198" spans="1:9" x14ac:dyDescent="0.3">
      <c r="A2198" t="str">
        <f>""</f>
        <v/>
      </c>
      <c r="F2198" t="str">
        <f>""</f>
        <v/>
      </c>
      <c r="G2198" t="str">
        <f>""</f>
        <v/>
      </c>
      <c r="I2198" t="str">
        <f t="shared" si="28"/>
        <v>SOCIAL SECURITY TAXES</v>
      </c>
    </row>
    <row r="2199" spans="1:9" x14ac:dyDescent="0.3">
      <c r="A2199" t="str">
        <f>""</f>
        <v/>
      </c>
      <c r="F2199" t="str">
        <f>""</f>
        <v/>
      </c>
      <c r="G2199" t="str">
        <f>""</f>
        <v/>
      </c>
      <c r="I2199" t="str">
        <f t="shared" si="28"/>
        <v>SOCIAL SECURITY TAXES</v>
      </c>
    </row>
    <row r="2200" spans="1:9" x14ac:dyDescent="0.3">
      <c r="A2200" t="str">
        <f>""</f>
        <v/>
      </c>
      <c r="F2200" t="str">
        <f>"T3 201806131561"</f>
        <v>T3 201806131561</v>
      </c>
      <c r="G2200" t="str">
        <f>"SOCIAL SECURITY TAXES"</f>
        <v>SOCIAL SECURITY TAXES</v>
      </c>
      <c r="H2200">
        <v>3942</v>
      </c>
      <c r="I2200" t="str">
        <f t="shared" si="28"/>
        <v>SOCIAL SECURITY TAXES</v>
      </c>
    </row>
    <row r="2201" spans="1:9" x14ac:dyDescent="0.3">
      <c r="A2201" t="str">
        <f>""</f>
        <v/>
      </c>
      <c r="F2201" t="str">
        <f>""</f>
        <v/>
      </c>
      <c r="G2201" t="str">
        <f>""</f>
        <v/>
      </c>
      <c r="I2201" t="str">
        <f t="shared" si="28"/>
        <v>SOCIAL SECURITY TAXES</v>
      </c>
    </row>
    <row r="2202" spans="1:9" x14ac:dyDescent="0.3">
      <c r="A2202" t="str">
        <f>""</f>
        <v/>
      </c>
      <c r="F2202" t="str">
        <f>"T3 201806131563"</f>
        <v>T3 201806131563</v>
      </c>
      <c r="G2202" t="str">
        <f>"SOCIAL SECURITY TAXES"</f>
        <v>SOCIAL SECURITY TAXES</v>
      </c>
      <c r="H2202">
        <v>6298.54</v>
      </c>
      <c r="I2202" t="str">
        <f t="shared" si="28"/>
        <v>SOCIAL SECURITY TAXES</v>
      </c>
    </row>
    <row r="2203" spans="1:9" x14ac:dyDescent="0.3">
      <c r="A2203" t="str">
        <f>""</f>
        <v/>
      </c>
      <c r="F2203" t="str">
        <f>""</f>
        <v/>
      </c>
      <c r="G2203" t="str">
        <f>""</f>
        <v/>
      </c>
      <c r="I2203" t="str">
        <f t="shared" si="28"/>
        <v>SOCIAL SECURITY TAXES</v>
      </c>
    </row>
    <row r="2204" spans="1:9" x14ac:dyDescent="0.3">
      <c r="A2204" t="str">
        <f>""</f>
        <v/>
      </c>
      <c r="F2204" t="str">
        <f>"T3 201806131593"</f>
        <v>T3 201806131593</v>
      </c>
      <c r="G2204" t="str">
        <f>"SOCIAL SECURITY TAXES"</f>
        <v>SOCIAL SECURITY TAXES</v>
      </c>
      <c r="H2204">
        <v>48.46</v>
      </c>
      <c r="I2204" t="str">
        <f t="shared" si="28"/>
        <v>SOCIAL SECURITY TAXES</v>
      </c>
    </row>
    <row r="2205" spans="1:9" x14ac:dyDescent="0.3">
      <c r="A2205" t="str">
        <f>""</f>
        <v/>
      </c>
      <c r="F2205" t="str">
        <f>""</f>
        <v/>
      </c>
      <c r="G2205" t="str">
        <f>""</f>
        <v/>
      </c>
      <c r="I2205" t="str">
        <f t="shared" si="28"/>
        <v>SOCIAL SECURITY TAXES</v>
      </c>
    </row>
    <row r="2206" spans="1:9" x14ac:dyDescent="0.3">
      <c r="A2206" t="str">
        <f>""</f>
        <v/>
      </c>
      <c r="F2206" t="str">
        <f>"T4 201806131556"</f>
        <v>T4 201806131556</v>
      </c>
      <c r="G2206" t="str">
        <f>"MEDICARE TAXES"</f>
        <v>MEDICARE TAXES</v>
      </c>
      <c r="H2206">
        <v>23664.28</v>
      </c>
      <c r="I2206" t="str">
        <f t="shared" ref="I2206:I2237" si="29">"MEDICARE TAXES"</f>
        <v>MEDICARE TAXES</v>
      </c>
    </row>
    <row r="2207" spans="1:9" x14ac:dyDescent="0.3">
      <c r="A2207" t="str">
        <f>""</f>
        <v/>
      </c>
      <c r="F2207" t="str">
        <f>""</f>
        <v/>
      </c>
      <c r="G2207" t="str">
        <f>""</f>
        <v/>
      </c>
      <c r="I2207" t="str">
        <f t="shared" si="29"/>
        <v>MEDICARE TAXES</v>
      </c>
    </row>
    <row r="2208" spans="1:9" x14ac:dyDescent="0.3">
      <c r="A2208" t="str">
        <f>""</f>
        <v/>
      </c>
      <c r="F2208" t="str">
        <f>""</f>
        <v/>
      </c>
      <c r="G2208" t="str">
        <f>""</f>
        <v/>
      </c>
      <c r="I2208" t="str">
        <f t="shared" si="29"/>
        <v>MEDICARE TAXES</v>
      </c>
    </row>
    <row r="2209" spans="1:9" x14ac:dyDescent="0.3">
      <c r="A2209" t="str">
        <f>""</f>
        <v/>
      </c>
      <c r="F2209" t="str">
        <f>""</f>
        <v/>
      </c>
      <c r="G2209" t="str">
        <f>""</f>
        <v/>
      </c>
      <c r="I2209" t="str">
        <f t="shared" si="29"/>
        <v>MEDICARE TAXES</v>
      </c>
    </row>
    <row r="2210" spans="1:9" x14ac:dyDescent="0.3">
      <c r="A2210" t="str">
        <f>""</f>
        <v/>
      </c>
      <c r="F2210" t="str">
        <f>""</f>
        <v/>
      </c>
      <c r="G2210" t="str">
        <f>""</f>
        <v/>
      </c>
      <c r="I2210" t="str">
        <f t="shared" si="29"/>
        <v>MEDICARE TAXES</v>
      </c>
    </row>
    <row r="2211" spans="1:9" x14ac:dyDescent="0.3">
      <c r="A2211" t="str">
        <f>""</f>
        <v/>
      </c>
      <c r="F2211" t="str">
        <f>""</f>
        <v/>
      </c>
      <c r="G2211" t="str">
        <f>""</f>
        <v/>
      </c>
      <c r="I2211" t="str">
        <f t="shared" si="29"/>
        <v>MEDICARE TAXES</v>
      </c>
    </row>
    <row r="2212" spans="1:9" x14ac:dyDescent="0.3">
      <c r="A2212" t="str">
        <f>""</f>
        <v/>
      </c>
      <c r="F2212" t="str">
        <f>""</f>
        <v/>
      </c>
      <c r="G2212" t="str">
        <f>""</f>
        <v/>
      </c>
      <c r="I2212" t="str">
        <f t="shared" si="29"/>
        <v>MEDICARE TAXES</v>
      </c>
    </row>
    <row r="2213" spans="1:9" x14ac:dyDescent="0.3">
      <c r="A2213" t="str">
        <f>""</f>
        <v/>
      </c>
      <c r="F2213" t="str">
        <f>""</f>
        <v/>
      </c>
      <c r="G2213" t="str">
        <f>""</f>
        <v/>
      </c>
      <c r="I2213" t="str">
        <f t="shared" si="29"/>
        <v>MEDICARE TAXES</v>
      </c>
    </row>
    <row r="2214" spans="1:9" x14ac:dyDescent="0.3">
      <c r="A2214" t="str">
        <f>""</f>
        <v/>
      </c>
      <c r="F2214" t="str">
        <f>""</f>
        <v/>
      </c>
      <c r="G2214" t="str">
        <f>""</f>
        <v/>
      </c>
      <c r="I2214" t="str">
        <f t="shared" si="29"/>
        <v>MEDICARE TAXES</v>
      </c>
    </row>
    <row r="2215" spans="1:9" x14ac:dyDescent="0.3">
      <c r="A2215" t="str">
        <f>""</f>
        <v/>
      </c>
      <c r="F2215" t="str">
        <f>""</f>
        <v/>
      </c>
      <c r="G2215" t="str">
        <f>""</f>
        <v/>
      </c>
      <c r="I2215" t="str">
        <f t="shared" si="29"/>
        <v>MEDICARE TAXES</v>
      </c>
    </row>
    <row r="2216" spans="1:9" x14ac:dyDescent="0.3">
      <c r="A2216" t="str">
        <f>""</f>
        <v/>
      </c>
      <c r="F2216" t="str">
        <f>""</f>
        <v/>
      </c>
      <c r="G2216" t="str">
        <f>""</f>
        <v/>
      </c>
      <c r="I2216" t="str">
        <f t="shared" si="29"/>
        <v>MEDICARE TAXES</v>
      </c>
    </row>
    <row r="2217" spans="1:9" x14ac:dyDescent="0.3">
      <c r="A2217" t="str">
        <f>""</f>
        <v/>
      </c>
      <c r="F2217" t="str">
        <f>""</f>
        <v/>
      </c>
      <c r="G2217" t="str">
        <f>""</f>
        <v/>
      </c>
      <c r="I2217" t="str">
        <f t="shared" si="29"/>
        <v>MEDICARE TAXES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29"/>
        <v>MEDICARE TAXES</v>
      </c>
    </row>
    <row r="2219" spans="1:9" x14ac:dyDescent="0.3">
      <c r="A2219" t="str">
        <f>""</f>
        <v/>
      </c>
      <c r="F2219" t="str">
        <f>""</f>
        <v/>
      </c>
      <c r="G2219" t="str">
        <f>""</f>
        <v/>
      </c>
      <c r="I2219" t="str">
        <f t="shared" si="29"/>
        <v>MEDICARE TAXES</v>
      </c>
    </row>
    <row r="2220" spans="1:9" x14ac:dyDescent="0.3">
      <c r="A2220" t="str">
        <f>""</f>
        <v/>
      </c>
      <c r="F2220" t="str">
        <f>""</f>
        <v/>
      </c>
      <c r="G2220" t="str">
        <f>""</f>
        <v/>
      </c>
      <c r="I2220" t="str">
        <f t="shared" si="29"/>
        <v>MEDICARE TAXES</v>
      </c>
    </row>
    <row r="2221" spans="1:9" x14ac:dyDescent="0.3">
      <c r="A2221" t="str">
        <f>""</f>
        <v/>
      </c>
      <c r="F2221" t="str">
        <f>""</f>
        <v/>
      </c>
      <c r="G2221" t="str">
        <f>""</f>
        <v/>
      </c>
      <c r="I2221" t="str">
        <f t="shared" si="29"/>
        <v>MEDICARE TAXES</v>
      </c>
    </row>
    <row r="2222" spans="1:9" x14ac:dyDescent="0.3">
      <c r="A2222" t="str">
        <f>""</f>
        <v/>
      </c>
      <c r="F2222" t="str">
        <f>""</f>
        <v/>
      </c>
      <c r="G2222" t="str">
        <f>""</f>
        <v/>
      </c>
      <c r="I2222" t="str">
        <f t="shared" si="29"/>
        <v>MEDICARE TAXES</v>
      </c>
    </row>
    <row r="2223" spans="1:9" x14ac:dyDescent="0.3">
      <c r="A2223" t="str">
        <f>""</f>
        <v/>
      </c>
      <c r="F2223" t="str">
        <f>""</f>
        <v/>
      </c>
      <c r="G2223" t="str">
        <f>""</f>
        <v/>
      </c>
      <c r="I2223" t="str">
        <f t="shared" si="29"/>
        <v>MEDICARE TAXES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29"/>
        <v>MEDICARE TAXES</v>
      </c>
    </row>
    <row r="2225" spans="1:9" x14ac:dyDescent="0.3">
      <c r="A2225" t="str">
        <f>""</f>
        <v/>
      </c>
      <c r="F2225" t="str">
        <f>""</f>
        <v/>
      </c>
      <c r="G2225" t="str">
        <f>""</f>
        <v/>
      </c>
      <c r="I2225" t="str">
        <f t="shared" si="29"/>
        <v>MEDICARE TAXES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29"/>
        <v>MEDICARE TAXES</v>
      </c>
    </row>
    <row r="2227" spans="1:9" x14ac:dyDescent="0.3">
      <c r="A2227" t="str">
        <f>""</f>
        <v/>
      </c>
      <c r="F2227" t="str">
        <f>""</f>
        <v/>
      </c>
      <c r="G2227" t="str">
        <f>""</f>
        <v/>
      </c>
      <c r="I2227" t="str">
        <f t="shared" si="29"/>
        <v>MEDICARE TAXES</v>
      </c>
    </row>
    <row r="2228" spans="1:9" x14ac:dyDescent="0.3">
      <c r="A2228" t="str">
        <f>""</f>
        <v/>
      </c>
      <c r="F2228" t="str">
        <f>""</f>
        <v/>
      </c>
      <c r="G2228" t="str">
        <f>""</f>
        <v/>
      </c>
      <c r="I2228" t="str">
        <f t="shared" si="29"/>
        <v>MEDICARE TAXES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29"/>
        <v>MEDICARE TAXES</v>
      </c>
    </row>
    <row r="2230" spans="1:9" x14ac:dyDescent="0.3">
      <c r="A2230" t="str">
        <f>""</f>
        <v/>
      </c>
      <c r="F2230" t="str">
        <f>""</f>
        <v/>
      </c>
      <c r="G2230" t="str">
        <f>""</f>
        <v/>
      </c>
      <c r="I2230" t="str">
        <f t="shared" si="29"/>
        <v>MEDICARE TAXES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29"/>
        <v>MEDICARE TAXES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29"/>
        <v>MEDICARE TAXES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29"/>
        <v>MEDICARE TAXES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29"/>
        <v>MEDICARE TAXES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29"/>
        <v>MEDICARE TAXES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29"/>
        <v>MEDICARE TAXES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si="29"/>
        <v>MEDICARE TAXES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ref="I2238:I2264" si="30">"MEDICARE TAXES"</f>
        <v>MEDICARE TAXES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30"/>
        <v>MEDICARE TAXES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si="30"/>
        <v>MEDICARE TAXES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30"/>
        <v>MEDICARE TAXES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30"/>
        <v>MEDICARE TAXES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30"/>
        <v>MEDICARE TAXES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30"/>
        <v>MEDICARE TAXES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30"/>
        <v>MEDICARE TAXES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30"/>
        <v>MEDICARE TAXES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30"/>
        <v>MEDICARE TAXES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si="30"/>
        <v>MEDICARE TAXES</v>
      </c>
    </row>
    <row r="2249" spans="1:9" x14ac:dyDescent="0.3">
      <c r="A2249" t="str">
        <f>""</f>
        <v/>
      </c>
      <c r="F2249" t="str">
        <f>""</f>
        <v/>
      </c>
      <c r="G2249" t="str">
        <f>""</f>
        <v/>
      </c>
      <c r="I2249" t="str">
        <f t="shared" si="30"/>
        <v>MEDICARE TAXES</v>
      </c>
    </row>
    <row r="2250" spans="1:9" x14ac:dyDescent="0.3">
      <c r="A2250" t="str">
        <f>""</f>
        <v/>
      </c>
      <c r="F2250" t="str">
        <f>""</f>
        <v/>
      </c>
      <c r="G2250" t="str">
        <f>""</f>
        <v/>
      </c>
      <c r="I2250" t="str">
        <f t="shared" si="30"/>
        <v>MEDICARE TAXES</v>
      </c>
    </row>
    <row r="2251" spans="1:9" x14ac:dyDescent="0.3">
      <c r="A2251" t="str">
        <f>""</f>
        <v/>
      </c>
      <c r="F2251" t="str">
        <f>""</f>
        <v/>
      </c>
      <c r="G2251" t="str">
        <f>""</f>
        <v/>
      </c>
      <c r="I2251" t="str">
        <f t="shared" si="30"/>
        <v>MEDICARE TAXES</v>
      </c>
    </row>
    <row r="2252" spans="1:9" x14ac:dyDescent="0.3">
      <c r="A2252" t="str">
        <f>""</f>
        <v/>
      </c>
      <c r="F2252" t="str">
        <f>""</f>
        <v/>
      </c>
      <c r="G2252" t="str">
        <f>""</f>
        <v/>
      </c>
      <c r="I2252" t="str">
        <f t="shared" si="30"/>
        <v>MEDICARE TAXES</v>
      </c>
    </row>
    <row r="2253" spans="1:9" x14ac:dyDescent="0.3">
      <c r="A2253" t="str">
        <f>""</f>
        <v/>
      </c>
      <c r="F2253" t="str">
        <f>""</f>
        <v/>
      </c>
      <c r="G2253" t="str">
        <f>""</f>
        <v/>
      </c>
      <c r="I2253" t="str">
        <f t="shared" si="30"/>
        <v>MEDICARE TAXES</v>
      </c>
    </row>
    <row r="2254" spans="1:9" x14ac:dyDescent="0.3">
      <c r="A2254" t="str">
        <f>""</f>
        <v/>
      </c>
      <c r="F2254" t="str">
        <f>""</f>
        <v/>
      </c>
      <c r="G2254" t="str">
        <f>""</f>
        <v/>
      </c>
      <c r="I2254" t="str">
        <f t="shared" si="30"/>
        <v>MEDICARE TAXES</v>
      </c>
    </row>
    <row r="2255" spans="1:9" x14ac:dyDescent="0.3">
      <c r="A2255" t="str">
        <f>""</f>
        <v/>
      </c>
      <c r="F2255" t="str">
        <f>""</f>
        <v/>
      </c>
      <c r="G2255" t="str">
        <f>""</f>
        <v/>
      </c>
      <c r="I2255" t="str">
        <f t="shared" si="30"/>
        <v>MEDICARE TAXES</v>
      </c>
    </row>
    <row r="2256" spans="1:9" x14ac:dyDescent="0.3">
      <c r="A2256" t="str">
        <f>""</f>
        <v/>
      </c>
      <c r="F2256" t="str">
        <f>""</f>
        <v/>
      </c>
      <c r="G2256" t="str">
        <f>""</f>
        <v/>
      </c>
      <c r="I2256" t="str">
        <f t="shared" si="30"/>
        <v>MEDICARE TAXES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si="30"/>
        <v>MEDICARE TAXES</v>
      </c>
    </row>
    <row r="2258" spans="1:9" x14ac:dyDescent="0.3">
      <c r="A2258" t="str">
        <f>""</f>
        <v/>
      </c>
      <c r="F2258" t="str">
        <f>""</f>
        <v/>
      </c>
      <c r="G2258" t="str">
        <f>""</f>
        <v/>
      </c>
      <c r="I2258" t="str">
        <f t="shared" si="30"/>
        <v>MEDICARE TAXES</v>
      </c>
    </row>
    <row r="2259" spans="1:9" x14ac:dyDescent="0.3">
      <c r="A2259" t="str">
        <f>""</f>
        <v/>
      </c>
      <c r="F2259" t="str">
        <f>"T4 201806131561"</f>
        <v>T4 201806131561</v>
      </c>
      <c r="G2259" t="str">
        <f>"MEDICARE TAXES"</f>
        <v>MEDICARE TAXES</v>
      </c>
      <c r="H2259">
        <v>921.92</v>
      </c>
      <c r="I2259" t="str">
        <f t="shared" si="30"/>
        <v>MEDICARE TAXES</v>
      </c>
    </row>
    <row r="2260" spans="1:9" x14ac:dyDescent="0.3">
      <c r="A2260" t="str">
        <f>""</f>
        <v/>
      </c>
      <c r="F2260" t="str">
        <f>""</f>
        <v/>
      </c>
      <c r="G2260" t="str">
        <f>""</f>
        <v/>
      </c>
      <c r="I2260" t="str">
        <f t="shared" si="30"/>
        <v>MEDICARE TAXES</v>
      </c>
    </row>
    <row r="2261" spans="1:9" x14ac:dyDescent="0.3">
      <c r="A2261" t="str">
        <f>""</f>
        <v/>
      </c>
      <c r="F2261" t="str">
        <f>"T4 201806131563"</f>
        <v>T4 201806131563</v>
      </c>
      <c r="G2261" t="str">
        <f>"MEDICARE TAXES"</f>
        <v>MEDICARE TAXES</v>
      </c>
      <c r="H2261">
        <v>1473.06</v>
      </c>
      <c r="I2261" t="str">
        <f t="shared" si="30"/>
        <v>MEDICARE TAXES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30"/>
        <v>MEDICARE TAXES</v>
      </c>
    </row>
    <row r="2263" spans="1:9" x14ac:dyDescent="0.3">
      <c r="A2263" t="str">
        <f>""</f>
        <v/>
      </c>
      <c r="F2263" t="str">
        <f>"T4 201806131593"</f>
        <v>T4 201806131593</v>
      </c>
      <c r="G2263" t="str">
        <f>"MEDICARE TAXES"</f>
        <v>MEDICARE TAXES</v>
      </c>
      <c r="H2263">
        <v>11.34</v>
      </c>
      <c r="I2263" t="str">
        <f t="shared" si="30"/>
        <v>MEDICARE TAXES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30"/>
        <v>MEDICARE TAXES</v>
      </c>
    </row>
    <row r="2265" spans="1:9" x14ac:dyDescent="0.3">
      <c r="A2265" t="str">
        <f>"IRSPY"</f>
        <v>IRSPY</v>
      </c>
      <c r="B2265" t="s">
        <v>444</v>
      </c>
      <c r="C2265">
        <v>0</v>
      </c>
      <c r="D2265" s="2">
        <v>213052.55</v>
      </c>
      <c r="E2265" s="1">
        <v>43280</v>
      </c>
      <c r="F2265" t="str">
        <f>"T1 201806271719"</f>
        <v>T1 201806271719</v>
      </c>
      <c r="G2265" t="str">
        <f>"FEDERAL WITHHOLDING"</f>
        <v>FEDERAL WITHHOLDING</v>
      </c>
      <c r="H2265">
        <v>68634.28</v>
      </c>
      <c r="I2265" t="str">
        <f>"FEDERAL WITHHOLDING"</f>
        <v>FEDERAL WITHHOLDING</v>
      </c>
    </row>
    <row r="2266" spans="1:9" x14ac:dyDescent="0.3">
      <c r="A2266" t="str">
        <f>""</f>
        <v/>
      </c>
      <c r="F2266" t="str">
        <f>"T1 201806271720"</f>
        <v>T1 201806271720</v>
      </c>
      <c r="G2266" t="str">
        <f>"FEDERAL WITHHOLDING"</f>
        <v>FEDERAL WITHHOLDING</v>
      </c>
      <c r="H2266">
        <v>2963.02</v>
      </c>
      <c r="I2266" t="str">
        <f>"FEDERAL WITHHOLDING"</f>
        <v>FEDERAL WITHHOLDING</v>
      </c>
    </row>
    <row r="2267" spans="1:9" x14ac:dyDescent="0.3">
      <c r="A2267" t="str">
        <f>""</f>
        <v/>
      </c>
      <c r="F2267" t="str">
        <f>"T1 201806271721"</f>
        <v>T1 201806271721</v>
      </c>
      <c r="G2267" t="str">
        <f>"FEDERAL WITHHOLDING"</f>
        <v>FEDERAL WITHHOLDING</v>
      </c>
      <c r="H2267">
        <v>3970.83</v>
      </c>
      <c r="I2267" t="str">
        <f>"FEDERAL WITHHOLDING"</f>
        <v>FEDERAL WITHHOLDING</v>
      </c>
    </row>
    <row r="2268" spans="1:9" x14ac:dyDescent="0.3">
      <c r="A2268" t="str">
        <f>""</f>
        <v/>
      </c>
      <c r="F2268" t="str">
        <f>"T3 201806271719"</f>
        <v>T3 201806271719</v>
      </c>
      <c r="G2268" t="str">
        <f>"SOCIAL SECURITY TAXES"</f>
        <v>SOCIAL SECURITY TAXES</v>
      </c>
      <c r="H2268">
        <v>101519.5</v>
      </c>
      <c r="I2268" t="str">
        <f t="shared" ref="I2268:I2299" si="31">"SOCIAL SECURITY TAXES"</f>
        <v>SOCIAL SECURITY TAXES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si="31"/>
        <v>SOCIAL SECURITY TAXES</v>
      </c>
    </row>
    <row r="2270" spans="1:9" x14ac:dyDescent="0.3">
      <c r="A2270" t="str">
        <f>""</f>
        <v/>
      </c>
      <c r="F2270" t="str">
        <f>""</f>
        <v/>
      </c>
      <c r="G2270" t="str">
        <f>""</f>
        <v/>
      </c>
      <c r="I2270" t="str">
        <f t="shared" si="31"/>
        <v>SOCIAL SECURITY TAXES</v>
      </c>
    </row>
    <row r="2271" spans="1:9" x14ac:dyDescent="0.3">
      <c r="A2271" t="str">
        <f>""</f>
        <v/>
      </c>
      <c r="F2271" t="str">
        <f>""</f>
        <v/>
      </c>
      <c r="G2271" t="str">
        <f>""</f>
        <v/>
      </c>
      <c r="I2271" t="str">
        <f t="shared" si="31"/>
        <v>SOCIAL SECURITY TAXES</v>
      </c>
    </row>
    <row r="2272" spans="1:9" x14ac:dyDescent="0.3">
      <c r="A2272" t="str">
        <f>""</f>
        <v/>
      </c>
      <c r="F2272" t="str">
        <f>""</f>
        <v/>
      </c>
      <c r="G2272" t="str">
        <f>""</f>
        <v/>
      </c>
      <c r="I2272" t="str">
        <f t="shared" si="31"/>
        <v>SOCIAL SECURITY TAXES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31"/>
        <v>SOCIAL SECURITY TAXES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31"/>
        <v>SOCIAL SECURITY TAXES</v>
      </c>
    </row>
    <row r="2275" spans="1:9" x14ac:dyDescent="0.3">
      <c r="A2275" t="str">
        <f>""</f>
        <v/>
      </c>
      <c r="F2275" t="str">
        <f>""</f>
        <v/>
      </c>
      <c r="G2275" t="str">
        <f>""</f>
        <v/>
      </c>
      <c r="I2275" t="str">
        <f t="shared" si="31"/>
        <v>SOCIAL SECURITY TAXES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31"/>
        <v>SOCIAL SECURITY TAXES</v>
      </c>
    </row>
    <row r="2277" spans="1:9" x14ac:dyDescent="0.3">
      <c r="A2277" t="str">
        <f>""</f>
        <v/>
      </c>
      <c r="F2277" t="str">
        <f>""</f>
        <v/>
      </c>
      <c r="G2277" t="str">
        <f>""</f>
        <v/>
      </c>
      <c r="I2277" t="str">
        <f t="shared" si="31"/>
        <v>SOCIAL SECURITY TAXES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31"/>
        <v>SOCIAL SECURITY TAXES</v>
      </c>
    </row>
    <row r="2279" spans="1:9" x14ac:dyDescent="0.3">
      <c r="A2279" t="str">
        <f>""</f>
        <v/>
      </c>
      <c r="F2279" t="str">
        <f>""</f>
        <v/>
      </c>
      <c r="G2279" t="str">
        <f>""</f>
        <v/>
      </c>
      <c r="I2279" t="str">
        <f t="shared" si="31"/>
        <v>SOCIAL SECURITY TAXES</v>
      </c>
    </row>
    <row r="2280" spans="1:9" x14ac:dyDescent="0.3">
      <c r="A2280" t="str">
        <f>""</f>
        <v/>
      </c>
      <c r="F2280" t="str">
        <f>""</f>
        <v/>
      </c>
      <c r="G2280" t="str">
        <f>""</f>
        <v/>
      </c>
      <c r="I2280" t="str">
        <f t="shared" si="31"/>
        <v>SOCIAL SECURITY TAXES</v>
      </c>
    </row>
    <row r="2281" spans="1:9" x14ac:dyDescent="0.3">
      <c r="A2281" t="str">
        <f>""</f>
        <v/>
      </c>
      <c r="F2281" t="str">
        <f>""</f>
        <v/>
      </c>
      <c r="G2281" t="str">
        <f>""</f>
        <v/>
      </c>
      <c r="I2281" t="str">
        <f t="shared" si="31"/>
        <v>SOCIAL SECURITY TAXES</v>
      </c>
    </row>
    <row r="2282" spans="1:9" x14ac:dyDescent="0.3">
      <c r="A2282" t="str">
        <f>""</f>
        <v/>
      </c>
      <c r="F2282" t="str">
        <f>""</f>
        <v/>
      </c>
      <c r="G2282" t="str">
        <f>""</f>
        <v/>
      </c>
      <c r="I2282" t="str">
        <f t="shared" si="31"/>
        <v>SOCIAL SECURITY TAXES</v>
      </c>
    </row>
    <row r="2283" spans="1:9" x14ac:dyDescent="0.3">
      <c r="A2283" t="str">
        <f>""</f>
        <v/>
      </c>
      <c r="F2283" t="str">
        <f>""</f>
        <v/>
      </c>
      <c r="G2283" t="str">
        <f>""</f>
        <v/>
      </c>
      <c r="I2283" t="str">
        <f t="shared" si="31"/>
        <v>SOCIAL SECURITY TAXES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31"/>
        <v>SOCIAL SECURITY TAXES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si="31"/>
        <v>SOCIAL SECURITY TAXES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31"/>
        <v>SOCIAL SECURITY TAXES</v>
      </c>
    </row>
    <row r="2287" spans="1:9" x14ac:dyDescent="0.3">
      <c r="A2287" t="str">
        <f>""</f>
        <v/>
      </c>
      <c r="F2287" t="str">
        <f>""</f>
        <v/>
      </c>
      <c r="G2287" t="str">
        <f>""</f>
        <v/>
      </c>
      <c r="I2287" t="str">
        <f t="shared" si="31"/>
        <v>SOCIAL SECURITY TAXES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si="31"/>
        <v>SOCIAL SECURITY TAXES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si="31"/>
        <v>SOCIAL SECURITY TAXES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31"/>
        <v>SOCIAL SECURITY TAXES</v>
      </c>
    </row>
    <row r="2291" spans="1:9" x14ac:dyDescent="0.3">
      <c r="A2291" t="str">
        <f>""</f>
        <v/>
      </c>
      <c r="F2291" t="str">
        <f>""</f>
        <v/>
      </c>
      <c r="G2291" t="str">
        <f>""</f>
        <v/>
      </c>
      <c r="I2291" t="str">
        <f t="shared" si="31"/>
        <v>SOCIAL SECURITY TAXES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31"/>
        <v>SOCIAL SECURITY TAXES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31"/>
        <v>SOCIAL SECURITY TAXES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31"/>
        <v>SOCIAL SECURITY TAXES</v>
      </c>
    </row>
    <row r="2295" spans="1:9" x14ac:dyDescent="0.3">
      <c r="A2295" t="str">
        <f>""</f>
        <v/>
      </c>
      <c r="F2295" t="str">
        <f>""</f>
        <v/>
      </c>
      <c r="G2295" t="str">
        <f>""</f>
        <v/>
      </c>
      <c r="I2295" t="str">
        <f t="shared" si="31"/>
        <v>SOCIAL SECURITY TAXES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31"/>
        <v>SOCIAL SECURITY TAXES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31"/>
        <v>SOCIAL SECURITY TAXES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31"/>
        <v>SOCIAL SECURITY TAXES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31"/>
        <v>SOCIAL SECURITY TAXES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ref="I2300:I2324" si="32">"SOCIAL SECURITY TAXES"</f>
        <v>SOCIAL SECURITY TAXES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si="32"/>
        <v>SOCIAL SECURITY TAXES</v>
      </c>
    </row>
    <row r="2302" spans="1:9" x14ac:dyDescent="0.3">
      <c r="A2302" t="str">
        <f>""</f>
        <v/>
      </c>
      <c r="F2302" t="str">
        <f>""</f>
        <v/>
      </c>
      <c r="G2302" t="str">
        <f>""</f>
        <v/>
      </c>
      <c r="I2302" t="str">
        <f t="shared" si="32"/>
        <v>SOCIAL SECURITY TAXES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32"/>
        <v>SOCIAL SECURITY TAXES</v>
      </c>
    </row>
    <row r="2304" spans="1:9" x14ac:dyDescent="0.3">
      <c r="A2304" t="str">
        <f>""</f>
        <v/>
      </c>
      <c r="F2304" t="str">
        <f>""</f>
        <v/>
      </c>
      <c r="G2304" t="str">
        <f>""</f>
        <v/>
      </c>
      <c r="I2304" t="str">
        <f t="shared" si="32"/>
        <v>SOCIAL SECURITY TAXES</v>
      </c>
    </row>
    <row r="2305" spans="1:9" x14ac:dyDescent="0.3">
      <c r="A2305" t="str">
        <f>""</f>
        <v/>
      </c>
      <c r="F2305" t="str">
        <f>""</f>
        <v/>
      </c>
      <c r="G2305" t="str">
        <f>""</f>
        <v/>
      </c>
      <c r="I2305" t="str">
        <f t="shared" si="32"/>
        <v>SOCIAL SECURITY TAXES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32"/>
        <v>SOCIAL SECURITY TAXES</v>
      </c>
    </row>
    <row r="2307" spans="1:9" x14ac:dyDescent="0.3">
      <c r="A2307" t="str">
        <f>""</f>
        <v/>
      </c>
      <c r="F2307" t="str">
        <f>""</f>
        <v/>
      </c>
      <c r="G2307" t="str">
        <f>""</f>
        <v/>
      </c>
      <c r="I2307" t="str">
        <f t="shared" si="32"/>
        <v>SOCIAL SECURITY TAXES</v>
      </c>
    </row>
    <row r="2308" spans="1:9" x14ac:dyDescent="0.3">
      <c r="A2308" t="str">
        <f>""</f>
        <v/>
      </c>
      <c r="F2308" t="str">
        <f>""</f>
        <v/>
      </c>
      <c r="G2308" t="str">
        <f>""</f>
        <v/>
      </c>
      <c r="I2308" t="str">
        <f t="shared" si="32"/>
        <v>SOCIAL SECURITY TAXES</v>
      </c>
    </row>
    <row r="2309" spans="1:9" x14ac:dyDescent="0.3">
      <c r="A2309" t="str">
        <f>""</f>
        <v/>
      </c>
      <c r="F2309" t="str">
        <f>""</f>
        <v/>
      </c>
      <c r="G2309" t="str">
        <f>""</f>
        <v/>
      </c>
      <c r="I2309" t="str">
        <f t="shared" si="32"/>
        <v>SOCIAL SECURITY TAXES</v>
      </c>
    </row>
    <row r="2310" spans="1:9" x14ac:dyDescent="0.3">
      <c r="A2310" t="str">
        <f>""</f>
        <v/>
      </c>
      <c r="F2310" t="str">
        <f>""</f>
        <v/>
      </c>
      <c r="G2310" t="str">
        <f>""</f>
        <v/>
      </c>
      <c r="I2310" t="str">
        <f t="shared" si="32"/>
        <v>SOCIAL SECURITY TAXES</v>
      </c>
    </row>
    <row r="2311" spans="1:9" x14ac:dyDescent="0.3">
      <c r="A2311" t="str">
        <f>""</f>
        <v/>
      </c>
      <c r="F2311" t="str">
        <f>""</f>
        <v/>
      </c>
      <c r="G2311" t="str">
        <f>""</f>
        <v/>
      </c>
      <c r="I2311" t="str">
        <f t="shared" si="32"/>
        <v>SOCIAL SECURITY TAXES</v>
      </c>
    </row>
    <row r="2312" spans="1:9" x14ac:dyDescent="0.3">
      <c r="A2312" t="str">
        <f>""</f>
        <v/>
      </c>
      <c r="F2312" t="str">
        <f>""</f>
        <v/>
      </c>
      <c r="G2312" t="str">
        <f>""</f>
        <v/>
      </c>
      <c r="I2312" t="str">
        <f t="shared" si="32"/>
        <v>SOCIAL SECURITY TAXES</v>
      </c>
    </row>
    <row r="2313" spans="1:9" x14ac:dyDescent="0.3">
      <c r="A2313" t="str">
        <f>""</f>
        <v/>
      </c>
      <c r="F2313" t="str">
        <f>""</f>
        <v/>
      </c>
      <c r="G2313" t="str">
        <f>""</f>
        <v/>
      </c>
      <c r="I2313" t="str">
        <f t="shared" si="32"/>
        <v>SOCIAL SECURITY TAXES</v>
      </c>
    </row>
    <row r="2314" spans="1:9" x14ac:dyDescent="0.3">
      <c r="A2314" t="str">
        <f>""</f>
        <v/>
      </c>
      <c r="F2314" t="str">
        <f>""</f>
        <v/>
      </c>
      <c r="G2314" t="str">
        <f>""</f>
        <v/>
      </c>
      <c r="I2314" t="str">
        <f t="shared" si="32"/>
        <v>SOCIAL SECURITY TAXES</v>
      </c>
    </row>
    <row r="2315" spans="1:9" x14ac:dyDescent="0.3">
      <c r="A2315" t="str">
        <f>""</f>
        <v/>
      </c>
      <c r="F2315" t="str">
        <f>""</f>
        <v/>
      </c>
      <c r="G2315" t="str">
        <f>""</f>
        <v/>
      </c>
      <c r="I2315" t="str">
        <f t="shared" si="32"/>
        <v>SOCIAL SECURITY TAXES</v>
      </c>
    </row>
    <row r="2316" spans="1:9" x14ac:dyDescent="0.3">
      <c r="A2316" t="str">
        <f>""</f>
        <v/>
      </c>
      <c r="F2316" t="str">
        <f>""</f>
        <v/>
      </c>
      <c r="G2316" t="str">
        <f>""</f>
        <v/>
      </c>
      <c r="I2316" t="str">
        <f t="shared" si="32"/>
        <v>SOCIAL SECURITY TAXES</v>
      </c>
    </row>
    <row r="2317" spans="1:9" x14ac:dyDescent="0.3">
      <c r="A2317" t="str">
        <f>""</f>
        <v/>
      </c>
      <c r="F2317" t="str">
        <f>""</f>
        <v/>
      </c>
      <c r="G2317" t="str">
        <f>""</f>
        <v/>
      </c>
      <c r="I2317" t="str">
        <f t="shared" si="32"/>
        <v>SOCIAL SECURITY TAXES</v>
      </c>
    </row>
    <row r="2318" spans="1:9" x14ac:dyDescent="0.3">
      <c r="A2318" t="str">
        <f>""</f>
        <v/>
      </c>
      <c r="F2318" t="str">
        <f>""</f>
        <v/>
      </c>
      <c r="G2318" t="str">
        <f>""</f>
        <v/>
      </c>
      <c r="I2318" t="str">
        <f t="shared" si="32"/>
        <v>SOCIAL SECURITY TAXES</v>
      </c>
    </row>
    <row r="2319" spans="1:9" x14ac:dyDescent="0.3">
      <c r="A2319" t="str">
        <f>""</f>
        <v/>
      </c>
      <c r="F2319" t="str">
        <f>""</f>
        <v/>
      </c>
      <c r="G2319" t="str">
        <f>""</f>
        <v/>
      </c>
      <c r="I2319" t="str">
        <f t="shared" si="32"/>
        <v>SOCIAL SECURITY TAXES</v>
      </c>
    </row>
    <row r="2320" spans="1:9" x14ac:dyDescent="0.3">
      <c r="A2320" t="str">
        <f>""</f>
        <v/>
      </c>
      <c r="F2320" t="str">
        <f>""</f>
        <v/>
      </c>
      <c r="G2320" t="str">
        <f>""</f>
        <v/>
      </c>
      <c r="I2320" t="str">
        <f t="shared" si="32"/>
        <v>SOCIAL SECURITY TAXES</v>
      </c>
    </row>
    <row r="2321" spans="1:9" x14ac:dyDescent="0.3">
      <c r="A2321" t="str">
        <f>""</f>
        <v/>
      </c>
      <c r="F2321" t="str">
        <f>"T3 201806271720"</f>
        <v>T3 201806271720</v>
      </c>
      <c r="G2321" t="str">
        <f>"SOCIAL SECURITY TAXES"</f>
        <v>SOCIAL SECURITY TAXES</v>
      </c>
      <c r="H2321">
        <v>4129.76</v>
      </c>
      <c r="I2321" t="str">
        <f t="shared" si="32"/>
        <v>SOCIAL SECURITY TAXES</v>
      </c>
    </row>
    <row r="2322" spans="1:9" x14ac:dyDescent="0.3">
      <c r="A2322" t="str">
        <f>""</f>
        <v/>
      </c>
      <c r="F2322" t="str">
        <f>""</f>
        <v/>
      </c>
      <c r="G2322" t="str">
        <f>""</f>
        <v/>
      </c>
      <c r="I2322" t="str">
        <f t="shared" si="32"/>
        <v>SOCIAL SECURITY TAXES</v>
      </c>
    </row>
    <row r="2323" spans="1:9" x14ac:dyDescent="0.3">
      <c r="A2323" t="str">
        <f>""</f>
        <v/>
      </c>
      <c r="F2323" t="str">
        <f>"T3 201806271721"</f>
        <v>T3 201806271721</v>
      </c>
      <c r="G2323" t="str">
        <f>"SOCIAL SECURITY TAXES"</f>
        <v>SOCIAL SECURITY TAXES</v>
      </c>
      <c r="H2323">
        <v>5776.16</v>
      </c>
      <c r="I2323" t="str">
        <f t="shared" si="32"/>
        <v>SOCIAL SECURITY TAXES</v>
      </c>
    </row>
    <row r="2324" spans="1:9" x14ac:dyDescent="0.3">
      <c r="A2324" t="str">
        <f>""</f>
        <v/>
      </c>
      <c r="F2324" t="str">
        <f>""</f>
        <v/>
      </c>
      <c r="G2324" t="str">
        <f>""</f>
        <v/>
      </c>
      <c r="I2324" t="str">
        <f t="shared" si="32"/>
        <v>SOCIAL SECURITY TAXES</v>
      </c>
    </row>
    <row r="2325" spans="1:9" x14ac:dyDescent="0.3">
      <c r="A2325" t="str">
        <f>""</f>
        <v/>
      </c>
      <c r="F2325" t="str">
        <f>"T4 201806271719"</f>
        <v>T4 201806271719</v>
      </c>
      <c r="G2325" t="str">
        <f>"MEDICARE TAXES"</f>
        <v>MEDICARE TAXES</v>
      </c>
      <c r="H2325">
        <v>23742.3</v>
      </c>
      <c r="I2325" t="str">
        <f t="shared" ref="I2325:I2356" si="33">"MEDICARE TAXES"</f>
        <v>MEDICARE TAXES</v>
      </c>
    </row>
    <row r="2326" spans="1:9" x14ac:dyDescent="0.3">
      <c r="A2326" t="str">
        <f>""</f>
        <v/>
      </c>
      <c r="F2326" t="str">
        <f>""</f>
        <v/>
      </c>
      <c r="G2326" t="str">
        <f>""</f>
        <v/>
      </c>
      <c r="I2326" t="str">
        <f t="shared" si="33"/>
        <v>MEDICARE TAXES</v>
      </c>
    </row>
    <row r="2327" spans="1:9" x14ac:dyDescent="0.3">
      <c r="A2327" t="str">
        <f>""</f>
        <v/>
      </c>
      <c r="F2327" t="str">
        <f>""</f>
        <v/>
      </c>
      <c r="G2327" t="str">
        <f>""</f>
        <v/>
      </c>
      <c r="I2327" t="str">
        <f t="shared" si="33"/>
        <v>MEDICARE TAXES</v>
      </c>
    </row>
    <row r="2328" spans="1:9" x14ac:dyDescent="0.3">
      <c r="A2328" t="str">
        <f>""</f>
        <v/>
      </c>
      <c r="F2328" t="str">
        <f>""</f>
        <v/>
      </c>
      <c r="G2328" t="str">
        <f>""</f>
        <v/>
      </c>
      <c r="I2328" t="str">
        <f t="shared" si="33"/>
        <v>MEDICARE TAXES</v>
      </c>
    </row>
    <row r="2329" spans="1:9" x14ac:dyDescent="0.3">
      <c r="A2329" t="str">
        <f>""</f>
        <v/>
      </c>
      <c r="F2329" t="str">
        <f>""</f>
        <v/>
      </c>
      <c r="G2329" t="str">
        <f>""</f>
        <v/>
      </c>
      <c r="I2329" t="str">
        <f t="shared" si="33"/>
        <v>MEDICARE TAXES</v>
      </c>
    </row>
    <row r="2330" spans="1:9" x14ac:dyDescent="0.3">
      <c r="A2330" t="str">
        <f>""</f>
        <v/>
      </c>
      <c r="F2330" t="str">
        <f>""</f>
        <v/>
      </c>
      <c r="G2330" t="str">
        <f>""</f>
        <v/>
      </c>
      <c r="I2330" t="str">
        <f t="shared" si="33"/>
        <v>MEDICARE TAXES</v>
      </c>
    </row>
    <row r="2331" spans="1:9" x14ac:dyDescent="0.3">
      <c r="A2331" t="str">
        <f>""</f>
        <v/>
      </c>
      <c r="F2331" t="str">
        <f>""</f>
        <v/>
      </c>
      <c r="G2331" t="str">
        <f>""</f>
        <v/>
      </c>
      <c r="I2331" t="str">
        <f t="shared" si="33"/>
        <v>MEDICARE TAXES</v>
      </c>
    </row>
    <row r="2332" spans="1:9" x14ac:dyDescent="0.3">
      <c r="A2332" t="str">
        <f>""</f>
        <v/>
      </c>
      <c r="F2332" t="str">
        <f>""</f>
        <v/>
      </c>
      <c r="G2332" t="str">
        <f>""</f>
        <v/>
      </c>
      <c r="I2332" t="str">
        <f t="shared" si="33"/>
        <v>MEDICARE TAXES</v>
      </c>
    </row>
    <row r="2333" spans="1:9" x14ac:dyDescent="0.3">
      <c r="A2333" t="str">
        <f>""</f>
        <v/>
      </c>
      <c r="F2333" t="str">
        <f>""</f>
        <v/>
      </c>
      <c r="G2333" t="str">
        <f>""</f>
        <v/>
      </c>
      <c r="I2333" t="str">
        <f t="shared" si="33"/>
        <v>MEDICARE TAXES</v>
      </c>
    </row>
    <row r="2334" spans="1:9" x14ac:dyDescent="0.3">
      <c r="A2334" t="str">
        <f>""</f>
        <v/>
      </c>
      <c r="F2334" t="str">
        <f>""</f>
        <v/>
      </c>
      <c r="G2334" t="str">
        <f>""</f>
        <v/>
      </c>
      <c r="I2334" t="str">
        <f t="shared" si="33"/>
        <v>MEDICARE TAXES</v>
      </c>
    </row>
    <row r="2335" spans="1:9" x14ac:dyDescent="0.3">
      <c r="A2335" t="str">
        <f>""</f>
        <v/>
      </c>
      <c r="F2335" t="str">
        <f>""</f>
        <v/>
      </c>
      <c r="G2335" t="str">
        <f>""</f>
        <v/>
      </c>
      <c r="I2335" t="str">
        <f t="shared" si="33"/>
        <v>MEDICARE TAXES</v>
      </c>
    </row>
    <row r="2336" spans="1:9" x14ac:dyDescent="0.3">
      <c r="A2336" t="str">
        <f>""</f>
        <v/>
      </c>
      <c r="F2336" t="str">
        <f>""</f>
        <v/>
      </c>
      <c r="G2336" t="str">
        <f>""</f>
        <v/>
      </c>
      <c r="I2336" t="str">
        <f t="shared" si="33"/>
        <v>MEDICARE TAXES</v>
      </c>
    </row>
    <row r="2337" spans="1:9" x14ac:dyDescent="0.3">
      <c r="A2337" t="str">
        <f>""</f>
        <v/>
      </c>
      <c r="F2337" t="str">
        <f>""</f>
        <v/>
      </c>
      <c r="G2337" t="str">
        <f>""</f>
        <v/>
      </c>
      <c r="I2337" t="str">
        <f t="shared" si="33"/>
        <v>MEDICARE TAXES</v>
      </c>
    </row>
    <row r="2338" spans="1:9" x14ac:dyDescent="0.3">
      <c r="A2338" t="str">
        <f>""</f>
        <v/>
      </c>
      <c r="F2338" t="str">
        <f>""</f>
        <v/>
      </c>
      <c r="G2338" t="str">
        <f>""</f>
        <v/>
      </c>
      <c r="I2338" t="str">
        <f t="shared" si="33"/>
        <v>MEDICARE TAXES</v>
      </c>
    </row>
    <row r="2339" spans="1:9" x14ac:dyDescent="0.3">
      <c r="A2339" t="str">
        <f>""</f>
        <v/>
      </c>
      <c r="F2339" t="str">
        <f>""</f>
        <v/>
      </c>
      <c r="G2339" t="str">
        <f>""</f>
        <v/>
      </c>
      <c r="I2339" t="str">
        <f t="shared" si="33"/>
        <v>MEDICARE TAXES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33"/>
        <v>MEDICARE TAXES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33"/>
        <v>MEDICARE TAXES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33"/>
        <v>MEDICARE TAXES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33"/>
        <v>MEDICARE TAXES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si="33"/>
        <v>MEDICARE TAXES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si="33"/>
        <v>MEDICARE TAXES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33"/>
        <v>MEDICARE TAXES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33"/>
        <v>MEDICARE TAXES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33"/>
        <v>MEDICARE TAXES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si="33"/>
        <v>MEDICARE TAXES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33"/>
        <v>MEDICARE TAXES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33"/>
        <v>MEDICARE TAXES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33"/>
        <v>MEDICARE TAXES</v>
      </c>
    </row>
    <row r="2353" spans="1:9" x14ac:dyDescent="0.3">
      <c r="A2353" t="str">
        <f>""</f>
        <v/>
      </c>
      <c r="F2353" t="str">
        <f>""</f>
        <v/>
      </c>
      <c r="G2353" t="str">
        <f>""</f>
        <v/>
      </c>
      <c r="I2353" t="str">
        <f t="shared" si="33"/>
        <v>MEDICARE TAXES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33"/>
        <v>MEDICARE TAXES</v>
      </c>
    </row>
    <row r="2355" spans="1:9" x14ac:dyDescent="0.3">
      <c r="A2355" t="str">
        <f>""</f>
        <v/>
      </c>
      <c r="F2355" t="str">
        <f>""</f>
        <v/>
      </c>
      <c r="G2355" t="str">
        <f>""</f>
        <v/>
      </c>
      <c r="I2355" t="str">
        <f t="shared" si="33"/>
        <v>MEDICARE TAXES</v>
      </c>
    </row>
    <row r="2356" spans="1:9" x14ac:dyDescent="0.3">
      <c r="A2356" t="str">
        <f>""</f>
        <v/>
      </c>
      <c r="F2356" t="str">
        <f>""</f>
        <v/>
      </c>
      <c r="G2356" t="str">
        <f>""</f>
        <v/>
      </c>
      <c r="I2356" t="str">
        <f t="shared" si="33"/>
        <v>MEDICARE TAXES</v>
      </c>
    </row>
    <row r="2357" spans="1:9" x14ac:dyDescent="0.3">
      <c r="A2357" t="str">
        <f>""</f>
        <v/>
      </c>
      <c r="F2357" t="str">
        <f>""</f>
        <v/>
      </c>
      <c r="G2357" t="str">
        <f>""</f>
        <v/>
      </c>
      <c r="I2357" t="str">
        <f t="shared" ref="I2357:I2381" si="34">"MEDICARE TAXES"</f>
        <v>MEDICARE TAXES</v>
      </c>
    </row>
    <row r="2358" spans="1:9" x14ac:dyDescent="0.3">
      <c r="A2358" t="str">
        <f>""</f>
        <v/>
      </c>
      <c r="F2358" t="str">
        <f>""</f>
        <v/>
      </c>
      <c r="G2358" t="str">
        <f>""</f>
        <v/>
      </c>
      <c r="I2358" t="str">
        <f t="shared" si="34"/>
        <v>MEDICARE TAXES</v>
      </c>
    </row>
    <row r="2359" spans="1:9" x14ac:dyDescent="0.3">
      <c r="A2359" t="str">
        <f>""</f>
        <v/>
      </c>
      <c r="F2359" t="str">
        <f>""</f>
        <v/>
      </c>
      <c r="G2359" t="str">
        <f>""</f>
        <v/>
      </c>
      <c r="I2359" t="str">
        <f t="shared" si="34"/>
        <v>MEDICARE TAXES</v>
      </c>
    </row>
    <row r="2360" spans="1:9" x14ac:dyDescent="0.3">
      <c r="A2360" t="str">
        <f>""</f>
        <v/>
      </c>
      <c r="F2360" t="str">
        <f>""</f>
        <v/>
      </c>
      <c r="G2360" t="str">
        <f>""</f>
        <v/>
      </c>
      <c r="I2360" t="str">
        <f t="shared" si="34"/>
        <v>MEDICARE TAXES</v>
      </c>
    </row>
    <row r="2361" spans="1:9" x14ac:dyDescent="0.3">
      <c r="A2361" t="str">
        <f>""</f>
        <v/>
      </c>
      <c r="F2361" t="str">
        <f>""</f>
        <v/>
      </c>
      <c r="G2361" t="str">
        <f>""</f>
        <v/>
      </c>
      <c r="I2361" t="str">
        <f t="shared" si="34"/>
        <v>MEDICARE TAXES</v>
      </c>
    </row>
    <row r="2362" spans="1:9" x14ac:dyDescent="0.3">
      <c r="A2362" t="str">
        <f>""</f>
        <v/>
      </c>
      <c r="F2362" t="str">
        <f>""</f>
        <v/>
      </c>
      <c r="G2362" t="str">
        <f>""</f>
        <v/>
      </c>
      <c r="I2362" t="str">
        <f t="shared" si="34"/>
        <v>MEDICARE TAXES</v>
      </c>
    </row>
    <row r="2363" spans="1:9" x14ac:dyDescent="0.3">
      <c r="A2363" t="str">
        <f>""</f>
        <v/>
      </c>
      <c r="F2363" t="str">
        <f>""</f>
        <v/>
      </c>
      <c r="G2363" t="str">
        <f>""</f>
        <v/>
      </c>
      <c r="I2363" t="str">
        <f t="shared" si="34"/>
        <v>MEDICARE TAXES</v>
      </c>
    </row>
    <row r="2364" spans="1:9" x14ac:dyDescent="0.3">
      <c r="A2364" t="str">
        <f>""</f>
        <v/>
      </c>
      <c r="F2364" t="str">
        <f>""</f>
        <v/>
      </c>
      <c r="G2364" t="str">
        <f>""</f>
        <v/>
      </c>
      <c r="I2364" t="str">
        <f t="shared" si="34"/>
        <v>MEDICARE TAXES</v>
      </c>
    </row>
    <row r="2365" spans="1:9" x14ac:dyDescent="0.3">
      <c r="A2365" t="str">
        <f>""</f>
        <v/>
      </c>
      <c r="F2365" t="str">
        <f>""</f>
        <v/>
      </c>
      <c r="G2365" t="str">
        <f>""</f>
        <v/>
      </c>
      <c r="I2365" t="str">
        <f t="shared" si="34"/>
        <v>MEDICARE TAXES</v>
      </c>
    </row>
    <row r="2366" spans="1:9" x14ac:dyDescent="0.3">
      <c r="A2366" t="str">
        <f>""</f>
        <v/>
      </c>
      <c r="F2366" t="str">
        <f>""</f>
        <v/>
      </c>
      <c r="G2366" t="str">
        <f>""</f>
        <v/>
      </c>
      <c r="I2366" t="str">
        <f t="shared" si="34"/>
        <v>MEDICARE TAXES</v>
      </c>
    </row>
    <row r="2367" spans="1:9" x14ac:dyDescent="0.3">
      <c r="A2367" t="str">
        <f>""</f>
        <v/>
      </c>
      <c r="F2367" t="str">
        <f>""</f>
        <v/>
      </c>
      <c r="G2367" t="str">
        <f>""</f>
        <v/>
      </c>
      <c r="I2367" t="str">
        <f t="shared" si="34"/>
        <v>MEDICARE TAXES</v>
      </c>
    </row>
    <row r="2368" spans="1:9" x14ac:dyDescent="0.3">
      <c r="A2368" t="str">
        <f>""</f>
        <v/>
      </c>
      <c r="F2368" t="str">
        <f>""</f>
        <v/>
      </c>
      <c r="G2368" t="str">
        <f>""</f>
        <v/>
      </c>
      <c r="I2368" t="str">
        <f t="shared" si="34"/>
        <v>MEDICARE TAXES</v>
      </c>
    </row>
    <row r="2369" spans="1:9" x14ac:dyDescent="0.3">
      <c r="A2369" t="str">
        <f>""</f>
        <v/>
      </c>
      <c r="F2369" t="str">
        <f>""</f>
        <v/>
      </c>
      <c r="G2369" t="str">
        <f>""</f>
        <v/>
      </c>
      <c r="I2369" t="str">
        <f t="shared" si="34"/>
        <v>MEDICARE TAXES</v>
      </c>
    </row>
    <row r="2370" spans="1:9" x14ac:dyDescent="0.3">
      <c r="A2370" t="str">
        <f>""</f>
        <v/>
      </c>
      <c r="F2370" t="str">
        <f>""</f>
        <v/>
      </c>
      <c r="G2370" t="str">
        <f>""</f>
        <v/>
      </c>
      <c r="I2370" t="str">
        <f t="shared" si="34"/>
        <v>MEDICARE TAXES</v>
      </c>
    </row>
    <row r="2371" spans="1:9" x14ac:dyDescent="0.3">
      <c r="A2371" t="str">
        <f>""</f>
        <v/>
      </c>
      <c r="F2371" t="str">
        <f>""</f>
        <v/>
      </c>
      <c r="G2371" t="str">
        <f>""</f>
        <v/>
      </c>
      <c r="I2371" t="str">
        <f t="shared" si="34"/>
        <v>MEDICARE TAXES</v>
      </c>
    </row>
    <row r="2372" spans="1:9" x14ac:dyDescent="0.3">
      <c r="A2372" t="str">
        <f>""</f>
        <v/>
      </c>
      <c r="F2372" t="str">
        <f>""</f>
        <v/>
      </c>
      <c r="G2372" t="str">
        <f>""</f>
        <v/>
      </c>
      <c r="I2372" t="str">
        <f t="shared" si="34"/>
        <v>MEDICARE TAXES</v>
      </c>
    </row>
    <row r="2373" spans="1:9" x14ac:dyDescent="0.3">
      <c r="A2373" t="str">
        <f>""</f>
        <v/>
      </c>
      <c r="F2373" t="str">
        <f>""</f>
        <v/>
      </c>
      <c r="G2373" t="str">
        <f>""</f>
        <v/>
      </c>
      <c r="I2373" t="str">
        <f t="shared" si="34"/>
        <v>MEDICARE TAXES</v>
      </c>
    </row>
    <row r="2374" spans="1:9" x14ac:dyDescent="0.3">
      <c r="A2374" t="str">
        <f>""</f>
        <v/>
      </c>
      <c r="F2374" t="str">
        <f>""</f>
        <v/>
      </c>
      <c r="G2374" t="str">
        <f>""</f>
        <v/>
      </c>
      <c r="I2374" t="str">
        <f t="shared" si="34"/>
        <v>MEDICARE TAXES</v>
      </c>
    </row>
    <row r="2375" spans="1:9" x14ac:dyDescent="0.3">
      <c r="A2375" t="str">
        <f>""</f>
        <v/>
      </c>
      <c r="F2375" t="str">
        <f>""</f>
        <v/>
      </c>
      <c r="G2375" t="str">
        <f>""</f>
        <v/>
      </c>
      <c r="I2375" t="str">
        <f t="shared" si="34"/>
        <v>MEDICARE TAXES</v>
      </c>
    </row>
    <row r="2376" spans="1:9" x14ac:dyDescent="0.3">
      <c r="A2376" t="str">
        <f>""</f>
        <v/>
      </c>
      <c r="F2376" t="str">
        <f>""</f>
        <v/>
      </c>
      <c r="G2376" t="str">
        <f>""</f>
        <v/>
      </c>
      <c r="I2376" t="str">
        <f t="shared" si="34"/>
        <v>MEDICARE TAXES</v>
      </c>
    </row>
    <row r="2377" spans="1:9" x14ac:dyDescent="0.3">
      <c r="A2377" t="str">
        <f>""</f>
        <v/>
      </c>
      <c r="F2377" t="str">
        <f>""</f>
        <v/>
      </c>
      <c r="G2377" t="str">
        <f>""</f>
        <v/>
      </c>
      <c r="I2377" t="str">
        <f t="shared" si="34"/>
        <v>MEDICARE TAXES</v>
      </c>
    </row>
    <row r="2378" spans="1:9" x14ac:dyDescent="0.3">
      <c r="A2378" t="str">
        <f>""</f>
        <v/>
      </c>
      <c r="F2378" t="str">
        <f>"T4 201806271720"</f>
        <v>T4 201806271720</v>
      </c>
      <c r="G2378" t="str">
        <f>"MEDICARE TAXES"</f>
        <v>MEDICARE TAXES</v>
      </c>
      <c r="H2378">
        <v>965.8</v>
      </c>
      <c r="I2378" t="str">
        <f t="shared" si="34"/>
        <v>MEDICARE TAXES</v>
      </c>
    </row>
    <row r="2379" spans="1:9" x14ac:dyDescent="0.3">
      <c r="A2379" t="str">
        <f>""</f>
        <v/>
      </c>
      <c r="F2379" t="str">
        <f>""</f>
        <v/>
      </c>
      <c r="G2379" t="str">
        <f>""</f>
        <v/>
      </c>
      <c r="I2379" t="str">
        <f t="shared" si="34"/>
        <v>MEDICARE TAXES</v>
      </c>
    </row>
    <row r="2380" spans="1:9" x14ac:dyDescent="0.3">
      <c r="A2380" t="str">
        <f>""</f>
        <v/>
      </c>
      <c r="F2380" t="str">
        <f>"T4 201806271721"</f>
        <v>T4 201806271721</v>
      </c>
      <c r="G2380" t="str">
        <f>"MEDICARE TAXES"</f>
        <v>MEDICARE TAXES</v>
      </c>
      <c r="H2380">
        <v>1350.9</v>
      </c>
      <c r="I2380" t="str">
        <f t="shared" si="34"/>
        <v>MEDICARE TAXES</v>
      </c>
    </row>
    <row r="2381" spans="1:9" x14ac:dyDescent="0.3">
      <c r="A2381" t="str">
        <f>""</f>
        <v/>
      </c>
      <c r="F2381" t="str">
        <f>""</f>
        <v/>
      </c>
      <c r="G2381" t="str">
        <f>""</f>
        <v/>
      </c>
      <c r="I2381" t="str">
        <f t="shared" si="34"/>
        <v>MEDICARE TAXES</v>
      </c>
    </row>
    <row r="2382" spans="1:9" x14ac:dyDescent="0.3">
      <c r="A2382" t="str">
        <f>"004638"</f>
        <v>004638</v>
      </c>
      <c r="B2382" t="s">
        <v>445</v>
      </c>
      <c r="C2382">
        <v>46389</v>
      </c>
      <c r="D2382" s="2">
        <v>268.74</v>
      </c>
      <c r="E2382" s="1">
        <v>43252</v>
      </c>
      <c r="F2382" t="str">
        <f>"C64201805301204"</f>
        <v>C64201805301204</v>
      </c>
      <c r="G2382" t="str">
        <f>"CASE #912745322"</f>
        <v>CASE #912745322</v>
      </c>
      <c r="H2382">
        <v>268.74</v>
      </c>
      <c r="I2382" t="str">
        <f>"CASE #912745322"</f>
        <v>CASE #912745322</v>
      </c>
    </row>
    <row r="2383" spans="1:9" x14ac:dyDescent="0.3">
      <c r="A2383" t="str">
        <f>"004638"</f>
        <v>004638</v>
      </c>
      <c r="B2383" t="s">
        <v>445</v>
      </c>
      <c r="C2383">
        <v>46418</v>
      </c>
      <c r="D2383" s="2">
        <v>268.74</v>
      </c>
      <c r="E2383" s="1">
        <v>43266</v>
      </c>
      <c r="F2383" t="str">
        <f>"C64201806131556"</f>
        <v>C64201806131556</v>
      </c>
      <c r="G2383" t="str">
        <f>"CASE #912745322"</f>
        <v>CASE #912745322</v>
      </c>
      <c r="H2383">
        <v>268.74</v>
      </c>
      <c r="I2383" t="str">
        <f>"CASE #912745322"</f>
        <v>CASE #912745322</v>
      </c>
    </row>
    <row r="2384" spans="1:9" x14ac:dyDescent="0.3">
      <c r="A2384" t="str">
        <f>"004638"</f>
        <v>004638</v>
      </c>
      <c r="B2384" t="s">
        <v>445</v>
      </c>
      <c r="C2384">
        <v>46443</v>
      </c>
      <c r="D2384" s="2">
        <v>268.74</v>
      </c>
      <c r="E2384" s="1">
        <v>43280</v>
      </c>
      <c r="F2384" t="str">
        <f>"C64201806271719"</f>
        <v>C64201806271719</v>
      </c>
      <c r="G2384" t="str">
        <f>"CASE #912745322"</f>
        <v>CASE #912745322</v>
      </c>
      <c r="H2384">
        <v>268.74</v>
      </c>
      <c r="I2384" t="str">
        <f>"CASE #912745322"</f>
        <v>CASE #912745322</v>
      </c>
    </row>
    <row r="2385" spans="1:9" x14ac:dyDescent="0.3">
      <c r="A2385" t="str">
        <f>"001507"</f>
        <v>001507</v>
      </c>
      <c r="B2385" t="s">
        <v>446</v>
      </c>
      <c r="C2385">
        <v>0</v>
      </c>
      <c r="D2385" s="2">
        <v>28070.74</v>
      </c>
      <c r="E2385" s="1">
        <v>43278</v>
      </c>
      <c r="F2385" t="str">
        <f>"201806271727"</f>
        <v>201806271727</v>
      </c>
      <c r="G2385" t="str">
        <f>"MONUMENTAL LIFE INS CO"</f>
        <v>MONUMENTAL LIFE INS CO</v>
      </c>
      <c r="H2385">
        <v>28070.74</v>
      </c>
      <c r="I2385" t="str">
        <f>"MONUMENTAL LIFE INS CO"</f>
        <v>MONUMENTAL LIFE INS CO</v>
      </c>
    </row>
    <row r="2386" spans="1:9" x14ac:dyDescent="0.3">
      <c r="A2386" t="str">
        <f>"002456"</f>
        <v>002456</v>
      </c>
      <c r="B2386" t="s">
        <v>447</v>
      </c>
      <c r="C2386">
        <v>0</v>
      </c>
      <c r="D2386" s="2">
        <v>674.82</v>
      </c>
      <c r="E2386" s="1">
        <v>43278</v>
      </c>
      <c r="F2386" t="str">
        <f>"LIX201805301204"</f>
        <v>LIX201805301204</v>
      </c>
      <c r="G2386" t="str">
        <f>"TEXAS LIFE/OLIVO GROUP"</f>
        <v>TEXAS LIFE/OLIVO GROUP</v>
      </c>
      <c r="H2386">
        <v>337.41</v>
      </c>
      <c r="I2386" t="str">
        <f>"TEXAS LIFE/OLIVO GROUP"</f>
        <v>TEXAS LIFE/OLIVO GROUP</v>
      </c>
    </row>
    <row r="2387" spans="1:9" x14ac:dyDescent="0.3">
      <c r="A2387" t="str">
        <f>""</f>
        <v/>
      </c>
      <c r="F2387" t="str">
        <f>"LIX201806131556"</f>
        <v>LIX201806131556</v>
      </c>
      <c r="G2387" t="str">
        <f>"TEXAS LIFE/OLIVO GROUP"</f>
        <v>TEXAS LIFE/OLIVO GROUP</v>
      </c>
      <c r="H2387">
        <v>337.41</v>
      </c>
      <c r="I2387" t="str">
        <f>"TEXAS LIFE/OLIVO GROUP"</f>
        <v>TEXAS LIFE/OLIVO GROUP</v>
      </c>
    </row>
    <row r="2388" spans="1:9" x14ac:dyDescent="0.3">
      <c r="A2388" t="str">
        <f>"TACHEB"</f>
        <v>TACHEB</v>
      </c>
      <c r="B2388" t="s">
        <v>448</v>
      </c>
      <c r="C2388">
        <v>46449</v>
      </c>
      <c r="D2388" s="2">
        <v>337385.92</v>
      </c>
      <c r="E2388" s="1">
        <v>43278</v>
      </c>
      <c r="F2388" t="str">
        <f>"201806271728"</f>
        <v>201806271728</v>
      </c>
      <c r="G2388" t="str">
        <f>"TAC HEALTH BENEFITS POOL"</f>
        <v>TAC HEALTH BENEFITS POOL</v>
      </c>
      <c r="H2388">
        <v>15769.22</v>
      </c>
      <c r="I2388" t="str">
        <f>"TAC HEALTH BENEFITS POOL"</f>
        <v>TAC HEALTH BENEFITS POOL</v>
      </c>
    </row>
    <row r="2389" spans="1:9" x14ac:dyDescent="0.3">
      <c r="A2389" t="str">
        <f>""</f>
        <v/>
      </c>
      <c r="F2389" t="str">
        <f>"2EC201805301204"</f>
        <v>2EC201805301204</v>
      </c>
      <c r="G2389" t="str">
        <f>"BCBS PAYABLE"</f>
        <v>BCBS PAYABLE</v>
      </c>
      <c r="H2389">
        <v>45452.09</v>
      </c>
      <c r="I2389" t="str">
        <f t="shared" ref="I2389:I2452" si="35">"BCBS PAYABLE"</f>
        <v>BCBS PAYABLE</v>
      </c>
    </row>
    <row r="2390" spans="1:9" x14ac:dyDescent="0.3">
      <c r="A2390" t="str">
        <f>""</f>
        <v/>
      </c>
      <c r="F2390" t="str">
        <f>""</f>
        <v/>
      </c>
      <c r="G2390" t="str">
        <f>""</f>
        <v/>
      </c>
      <c r="I2390" t="str">
        <f t="shared" si="35"/>
        <v>BCBS PAYABLE</v>
      </c>
    </row>
    <row r="2391" spans="1:9" x14ac:dyDescent="0.3">
      <c r="A2391" t="str">
        <f>""</f>
        <v/>
      </c>
      <c r="F2391" t="str">
        <f>""</f>
        <v/>
      </c>
      <c r="G2391" t="str">
        <f>""</f>
        <v/>
      </c>
      <c r="I2391" t="str">
        <f t="shared" si="35"/>
        <v>BCBS PAYABLE</v>
      </c>
    </row>
    <row r="2392" spans="1:9" x14ac:dyDescent="0.3">
      <c r="A2392" t="str">
        <f>""</f>
        <v/>
      </c>
      <c r="F2392" t="str">
        <f>""</f>
        <v/>
      </c>
      <c r="G2392" t="str">
        <f>""</f>
        <v/>
      </c>
      <c r="I2392" t="str">
        <f t="shared" si="35"/>
        <v>BCBS PAYABLE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35"/>
        <v>BCBS PAYABLE</v>
      </c>
    </row>
    <row r="2394" spans="1:9" x14ac:dyDescent="0.3">
      <c r="A2394" t="str">
        <f>""</f>
        <v/>
      </c>
      <c r="F2394" t="str">
        <f>""</f>
        <v/>
      </c>
      <c r="G2394" t="str">
        <f>""</f>
        <v/>
      </c>
      <c r="I2394" t="str">
        <f t="shared" si="35"/>
        <v>BCBS PAYABLE</v>
      </c>
    </row>
    <row r="2395" spans="1:9" x14ac:dyDescent="0.3">
      <c r="A2395" t="str">
        <f>""</f>
        <v/>
      </c>
      <c r="F2395" t="str">
        <f>""</f>
        <v/>
      </c>
      <c r="G2395" t="str">
        <f>""</f>
        <v/>
      </c>
      <c r="I2395" t="str">
        <f t="shared" si="35"/>
        <v>BCBS PAYABLE</v>
      </c>
    </row>
    <row r="2396" spans="1:9" x14ac:dyDescent="0.3">
      <c r="A2396" t="str">
        <f>""</f>
        <v/>
      </c>
      <c r="F2396" t="str">
        <f>""</f>
        <v/>
      </c>
      <c r="G2396" t="str">
        <f>""</f>
        <v/>
      </c>
      <c r="I2396" t="str">
        <f t="shared" si="35"/>
        <v>BCBS PAYABLE</v>
      </c>
    </row>
    <row r="2397" spans="1:9" x14ac:dyDescent="0.3">
      <c r="A2397" t="str">
        <f>""</f>
        <v/>
      </c>
      <c r="F2397" t="str">
        <f>""</f>
        <v/>
      </c>
      <c r="G2397" t="str">
        <f>""</f>
        <v/>
      </c>
      <c r="I2397" t="str">
        <f t="shared" si="35"/>
        <v>BCBS PAYABLE</v>
      </c>
    </row>
    <row r="2398" spans="1:9" x14ac:dyDescent="0.3">
      <c r="A2398" t="str">
        <f>""</f>
        <v/>
      </c>
      <c r="F2398" t="str">
        <f>""</f>
        <v/>
      </c>
      <c r="G2398" t="str">
        <f>""</f>
        <v/>
      </c>
      <c r="I2398" t="str">
        <f t="shared" si="35"/>
        <v>BCBS PAYABLE</v>
      </c>
    </row>
    <row r="2399" spans="1:9" x14ac:dyDescent="0.3">
      <c r="A2399" t="str">
        <f>""</f>
        <v/>
      </c>
      <c r="F2399" t="str">
        <f>""</f>
        <v/>
      </c>
      <c r="G2399" t="str">
        <f>""</f>
        <v/>
      </c>
      <c r="I2399" t="str">
        <f t="shared" si="35"/>
        <v>BCBS PAYABLE</v>
      </c>
    </row>
    <row r="2400" spans="1:9" x14ac:dyDescent="0.3">
      <c r="A2400" t="str">
        <f>""</f>
        <v/>
      </c>
      <c r="F2400" t="str">
        <f>""</f>
        <v/>
      </c>
      <c r="G2400" t="str">
        <f>""</f>
        <v/>
      </c>
      <c r="I2400" t="str">
        <f t="shared" si="35"/>
        <v>BCBS PAYABLE</v>
      </c>
    </row>
    <row r="2401" spans="1:9" x14ac:dyDescent="0.3">
      <c r="A2401" t="str">
        <f>""</f>
        <v/>
      </c>
      <c r="F2401" t="str">
        <f>""</f>
        <v/>
      </c>
      <c r="G2401" t="str">
        <f>""</f>
        <v/>
      </c>
      <c r="I2401" t="str">
        <f t="shared" si="35"/>
        <v>BCBS PAYABLE</v>
      </c>
    </row>
    <row r="2402" spans="1:9" x14ac:dyDescent="0.3">
      <c r="A2402" t="str">
        <f>""</f>
        <v/>
      </c>
      <c r="F2402" t="str">
        <f>""</f>
        <v/>
      </c>
      <c r="G2402" t="str">
        <f>""</f>
        <v/>
      </c>
      <c r="I2402" t="str">
        <f t="shared" si="35"/>
        <v>BCBS PAYABLE</v>
      </c>
    </row>
    <row r="2403" spans="1:9" x14ac:dyDescent="0.3">
      <c r="A2403" t="str">
        <f>""</f>
        <v/>
      </c>
      <c r="F2403" t="str">
        <f>""</f>
        <v/>
      </c>
      <c r="G2403" t="str">
        <f>""</f>
        <v/>
      </c>
      <c r="I2403" t="str">
        <f t="shared" si="35"/>
        <v>BCBS PAYABLE</v>
      </c>
    </row>
    <row r="2404" spans="1:9" x14ac:dyDescent="0.3">
      <c r="A2404" t="str">
        <f>""</f>
        <v/>
      </c>
      <c r="F2404" t="str">
        <f>""</f>
        <v/>
      </c>
      <c r="G2404" t="str">
        <f>""</f>
        <v/>
      </c>
      <c r="I2404" t="str">
        <f t="shared" si="35"/>
        <v>BCBS PAYABLE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si="35"/>
        <v>BCBS PAYABLE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35"/>
        <v>BCBS PAYABLE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si="35"/>
        <v>BCBS PAYABLE</v>
      </c>
    </row>
    <row r="2408" spans="1:9" x14ac:dyDescent="0.3">
      <c r="A2408" t="str">
        <f>""</f>
        <v/>
      </c>
      <c r="F2408" t="str">
        <f>""</f>
        <v/>
      </c>
      <c r="G2408" t="str">
        <f>""</f>
        <v/>
      </c>
      <c r="I2408" t="str">
        <f t="shared" si="35"/>
        <v>BCBS PAYABLE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si="35"/>
        <v>BCBS PAYABLE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35"/>
        <v>BCBS PAYABLE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35"/>
        <v>BCBS PAYABLE</v>
      </c>
    </row>
    <row r="2412" spans="1:9" x14ac:dyDescent="0.3">
      <c r="A2412" t="str">
        <f>""</f>
        <v/>
      </c>
      <c r="F2412" t="str">
        <f>""</f>
        <v/>
      </c>
      <c r="G2412" t="str">
        <f>""</f>
        <v/>
      </c>
      <c r="I2412" t="str">
        <f t="shared" si="35"/>
        <v>BCBS PAYABLE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35"/>
        <v>BCBS PAYABLE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si="35"/>
        <v>BCBS PAYABLE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35"/>
        <v>BCBS PAYABLE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35"/>
        <v>BCBS PAYABLE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35"/>
        <v>BCBS PAYABLE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35"/>
        <v>BCBS PAYABLE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35"/>
        <v>BCBS PAYABLE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35"/>
        <v>BCBS PAYABLE</v>
      </c>
    </row>
    <row r="2421" spans="1:9" x14ac:dyDescent="0.3">
      <c r="A2421" t="str">
        <f>""</f>
        <v/>
      </c>
      <c r="F2421" t="str">
        <f>""</f>
        <v/>
      </c>
      <c r="G2421" t="str">
        <f>""</f>
        <v/>
      </c>
      <c r="I2421" t="str">
        <f t="shared" si="35"/>
        <v>BCBS PAYABLE</v>
      </c>
    </row>
    <row r="2422" spans="1:9" x14ac:dyDescent="0.3">
      <c r="A2422" t="str">
        <f>""</f>
        <v/>
      </c>
      <c r="F2422" t="str">
        <f>"2EC201805301223"</f>
        <v>2EC201805301223</v>
      </c>
      <c r="G2422" t="str">
        <f>"BCBS PAYABLE"</f>
        <v>BCBS PAYABLE</v>
      </c>
      <c r="H2422">
        <v>1795.24</v>
      </c>
      <c r="I2422" t="str">
        <f t="shared" si="35"/>
        <v>BCBS PAYABLE</v>
      </c>
    </row>
    <row r="2423" spans="1:9" x14ac:dyDescent="0.3">
      <c r="A2423" t="str">
        <f>""</f>
        <v/>
      </c>
      <c r="F2423" t="str">
        <f>""</f>
        <v/>
      </c>
      <c r="G2423" t="str">
        <f>""</f>
        <v/>
      </c>
      <c r="I2423" t="str">
        <f t="shared" si="35"/>
        <v>BCBS PAYABLE</v>
      </c>
    </row>
    <row r="2424" spans="1:9" x14ac:dyDescent="0.3">
      <c r="A2424" t="str">
        <f>""</f>
        <v/>
      </c>
      <c r="F2424" t="str">
        <f>"2EC201806131556"</f>
        <v>2EC201806131556</v>
      </c>
      <c r="G2424" t="str">
        <f>"BCBS PAYABLE"</f>
        <v>BCBS PAYABLE</v>
      </c>
      <c r="H2424">
        <v>46023.18</v>
      </c>
      <c r="I2424" t="str">
        <f t="shared" si="35"/>
        <v>BCBS PAYABLE</v>
      </c>
    </row>
    <row r="2425" spans="1:9" x14ac:dyDescent="0.3">
      <c r="A2425" t="str">
        <f>""</f>
        <v/>
      </c>
      <c r="F2425" t="str">
        <f>""</f>
        <v/>
      </c>
      <c r="G2425" t="str">
        <f>""</f>
        <v/>
      </c>
      <c r="I2425" t="str">
        <f t="shared" si="35"/>
        <v>BCBS PAYABLE</v>
      </c>
    </row>
    <row r="2426" spans="1:9" x14ac:dyDescent="0.3">
      <c r="A2426" t="str">
        <f>""</f>
        <v/>
      </c>
      <c r="F2426" t="str">
        <f>""</f>
        <v/>
      </c>
      <c r="G2426" t="str">
        <f>""</f>
        <v/>
      </c>
      <c r="I2426" t="str">
        <f t="shared" si="35"/>
        <v>BCBS PAYABLE</v>
      </c>
    </row>
    <row r="2427" spans="1:9" x14ac:dyDescent="0.3">
      <c r="A2427" t="str">
        <f>""</f>
        <v/>
      </c>
      <c r="F2427" t="str">
        <f>""</f>
        <v/>
      </c>
      <c r="G2427" t="str">
        <f>""</f>
        <v/>
      </c>
      <c r="I2427" t="str">
        <f t="shared" si="35"/>
        <v>BCBS PAYABLE</v>
      </c>
    </row>
    <row r="2428" spans="1:9" x14ac:dyDescent="0.3">
      <c r="A2428" t="str">
        <f>""</f>
        <v/>
      </c>
      <c r="F2428" t="str">
        <f>""</f>
        <v/>
      </c>
      <c r="G2428" t="str">
        <f>""</f>
        <v/>
      </c>
      <c r="I2428" t="str">
        <f t="shared" si="35"/>
        <v>BCBS PAYABLE</v>
      </c>
    </row>
    <row r="2429" spans="1:9" x14ac:dyDescent="0.3">
      <c r="A2429" t="str">
        <f>""</f>
        <v/>
      </c>
      <c r="F2429" t="str">
        <f>""</f>
        <v/>
      </c>
      <c r="G2429" t="str">
        <f>""</f>
        <v/>
      </c>
      <c r="I2429" t="str">
        <f t="shared" si="35"/>
        <v>BCBS PAYABLE</v>
      </c>
    </row>
    <row r="2430" spans="1:9" x14ac:dyDescent="0.3">
      <c r="A2430" t="str">
        <f>""</f>
        <v/>
      </c>
      <c r="F2430" t="str">
        <f>""</f>
        <v/>
      </c>
      <c r="G2430" t="str">
        <f>""</f>
        <v/>
      </c>
      <c r="I2430" t="str">
        <f t="shared" si="35"/>
        <v>BCBS PAYABLE</v>
      </c>
    </row>
    <row r="2431" spans="1:9" x14ac:dyDescent="0.3">
      <c r="A2431" t="str">
        <f>""</f>
        <v/>
      </c>
      <c r="F2431" t="str">
        <f>""</f>
        <v/>
      </c>
      <c r="G2431" t="str">
        <f>""</f>
        <v/>
      </c>
      <c r="I2431" t="str">
        <f t="shared" si="35"/>
        <v>BCBS PAYABLE</v>
      </c>
    </row>
    <row r="2432" spans="1:9" x14ac:dyDescent="0.3">
      <c r="A2432" t="str">
        <f>""</f>
        <v/>
      </c>
      <c r="F2432" t="str">
        <f>""</f>
        <v/>
      </c>
      <c r="G2432" t="str">
        <f>""</f>
        <v/>
      </c>
      <c r="I2432" t="str">
        <f t="shared" si="35"/>
        <v>BCBS PAYABLE</v>
      </c>
    </row>
    <row r="2433" spans="1:9" x14ac:dyDescent="0.3">
      <c r="A2433" t="str">
        <f>""</f>
        <v/>
      </c>
      <c r="F2433" t="str">
        <f>""</f>
        <v/>
      </c>
      <c r="G2433" t="str">
        <f>""</f>
        <v/>
      </c>
      <c r="I2433" t="str">
        <f t="shared" si="35"/>
        <v>BCBS PAYABLE</v>
      </c>
    </row>
    <row r="2434" spans="1:9" x14ac:dyDescent="0.3">
      <c r="A2434" t="str">
        <f>""</f>
        <v/>
      </c>
      <c r="F2434" t="str">
        <f>""</f>
        <v/>
      </c>
      <c r="G2434" t="str">
        <f>""</f>
        <v/>
      </c>
      <c r="I2434" t="str">
        <f t="shared" si="35"/>
        <v>BCBS PAYABLE</v>
      </c>
    </row>
    <row r="2435" spans="1:9" x14ac:dyDescent="0.3">
      <c r="A2435" t="str">
        <f>""</f>
        <v/>
      </c>
      <c r="F2435" t="str">
        <f>""</f>
        <v/>
      </c>
      <c r="G2435" t="str">
        <f>""</f>
        <v/>
      </c>
      <c r="I2435" t="str">
        <f t="shared" si="35"/>
        <v>BCBS PAYABLE</v>
      </c>
    </row>
    <row r="2436" spans="1:9" x14ac:dyDescent="0.3">
      <c r="A2436" t="str">
        <f>""</f>
        <v/>
      </c>
      <c r="F2436" t="str">
        <f>""</f>
        <v/>
      </c>
      <c r="G2436" t="str">
        <f>""</f>
        <v/>
      </c>
      <c r="I2436" t="str">
        <f t="shared" si="35"/>
        <v>BCBS PAYABLE</v>
      </c>
    </row>
    <row r="2437" spans="1:9" x14ac:dyDescent="0.3">
      <c r="A2437" t="str">
        <f>""</f>
        <v/>
      </c>
      <c r="F2437" t="str">
        <f>""</f>
        <v/>
      </c>
      <c r="G2437" t="str">
        <f>""</f>
        <v/>
      </c>
      <c r="I2437" t="str">
        <f t="shared" si="35"/>
        <v>BCBS PAYABLE</v>
      </c>
    </row>
    <row r="2438" spans="1:9" x14ac:dyDescent="0.3">
      <c r="A2438" t="str">
        <f>""</f>
        <v/>
      </c>
      <c r="F2438" t="str">
        <f>""</f>
        <v/>
      </c>
      <c r="G2438" t="str">
        <f>""</f>
        <v/>
      </c>
      <c r="I2438" t="str">
        <f t="shared" si="35"/>
        <v>BCBS PAYABLE</v>
      </c>
    </row>
    <row r="2439" spans="1:9" x14ac:dyDescent="0.3">
      <c r="A2439" t="str">
        <f>""</f>
        <v/>
      </c>
      <c r="F2439" t="str">
        <f>""</f>
        <v/>
      </c>
      <c r="G2439" t="str">
        <f>""</f>
        <v/>
      </c>
      <c r="I2439" t="str">
        <f t="shared" si="35"/>
        <v>BCBS PAYABLE</v>
      </c>
    </row>
    <row r="2440" spans="1:9" x14ac:dyDescent="0.3">
      <c r="A2440" t="str">
        <f>""</f>
        <v/>
      </c>
      <c r="F2440" t="str">
        <f>""</f>
        <v/>
      </c>
      <c r="G2440" t="str">
        <f>""</f>
        <v/>
      </c>
      <c r="I2440" t="str">
        <f t="shared" si="35"/>
        <v>BCBS PAYABLE</v>
      </c>
    </row>
    <row r="2441" spans="1:9" x14ac:dyDescent="0.3">
      <c r="A2441" t="str">
        <f>""</f>
        <v/>
      </c>
      <c r="F2441" t="str">
        <f>""</f>
        <v/>
      </c>
      <c r="G2441" t="str">
        <f>""</f>
        <v/>
      </c>
      <c r="I2441" t="str">
        <f t="shared" si="35"/>
        <v>BCBS PAYABLE</v>
      </c>
    </row>
    <row r="2442" spans="1:9" x14ac:dyDescent="0.3">
      <c r="A2442" t="str">
        <f>""</f>
        <v/>
      </c>
      <c r="F2442" t="str">
        <f>""</f>
        <v/>
      </c>
      <c r="G2442" t="str">
        <f>""</f>
        <v/>
      </c>
      <c r="I2442" t="str">
        <f t="shared" si="35"/>
        <v>BCBS PAYABLE</v>
      </c>
    </row>
    <row r="2443" spans="1:9" x14ac:dyDescent="0.3">
      <c r="A2443" t="str">
        <f>""</f>
        <v/>
      </c>
      <c r="F2443" t="str">
        <f>""</f>
        <v/>
      </c>
      <c r="G2443" t="str">
        <f>""</f>
        <v/>
      </c>
      <c r="I2443" t="str">
        <f t="shared" si="35"/>
        <v>BCBS PAYABLE</v>
      </c>
    </row>
    <row r="2444" spans="1:9" x14ac:dyDescent="0.3">
      <c r="A2444" t="str">
        <f>""</f>
        <v/>
      </c>
      <c r="F2444" t="str">
        <f>""</f>
        <v/>
      </c>
      <c r="G2444" t="str">
        <f>""</f>
        <v/>
      </c>
      <c r="I2444" t="str">
        <f t="shared" si="35"/>
        <v>BCBS PAYABLE</v>
      </c>
    </row>
    <row r="2445" spans="1:9" x14ac:dyDescent="0.3">
      <c r="A2445" t="str">
        <f>""</f>
        <v/>
      </c>
      <c r="F2445" t="str">
        <f>""</f>
        <v/>
      </c>
      <c r="G2445" t="str">
        <f>""</f>
        <v/>
      </c>
      <c r="I2445" t="str">
        <f t="shared" si="35"/>
        <v>BCBS PAYABLE</v>
      </c>
    </row>
    <row r="2446" spans="1:9" x14ac:dyDescent="0.3">
      <c r="A2446" t="str">
        <f>""</f>
        <v/>
      </c>
      <c r="F2446" t="str">
        <f>""</f>
        <v/>
      </c>
      <c r="G2446" t="str">
        <f>""</f>
        <v/>
      </c>
      <c r="I2446" t="str">
        <f t="shared" si="35"/>
        <v>BCBS PAYABLE</v>
      </c>
    </row>
    <row r="2447" spans="1:9" x14ac:dyDescent="0.3">
      <c r="A2447" t="str">
        <f>""</f>
        <v/>
      </c>
      <c r="F2447" t="str">
        <f>""</f>
        <v/>
      </c>
      <c r="G2447" t="str">
        <f>""</f>
        <v/>
      </c>
      <c r="I2447" t="str">
        <f t="shared" si="35"/>
        <v>BCBS PAYABLE</v>
      </c>
    </row>
    <row r="2448" spans="1:9" x14ac:dyDescent="0.3">
      <c r="A2448" t="str">
        <f>""</f>
        <v/>
      </c>
      <c r="F2448" t="str">
        <f>""</f>
        <v/>
      </c>
      <c r="G2448" t="str">
        <f>""</f>
        <v/>
      </c>
      <c r="I2448" t="str">
        <f t="shared" si="35"/>
        <v>BCBS PAYABLE</v>
      </c>
    </row>
    <row r="2449" spans="1:9" x14ac:dyDescent="0.3">
      <c r="A2449" t="str">
        <f>""</f>
        <v/>
      </c>
      <c r="F2449" t="str">
        <f>""</f>
        <v/>
      </c>
      <c r="G2449" t="str">
        <f>""</f>
        <v/>
      </c>
      <c r="I2449" t="str">
        <f t="shared" si="35"/>
        <v>BCBS PAYABLE</v>
      </c>
    </row>
    <row r="2450" spans="1:9" x14ac:dyDescent="0.3">
      <c r="A2450" t="str">
        <f>""</f>
        <v/>
      </c>
      <c r="F2450" t="str">
        <f>""</f>
        <v/>
      </c>
      <c r="G2450" t="str">
        <f>""</f>
        <v/>
      </c>
      <c r="I2450" t="str">
        <f t="shared" si="35"/>
        <v>BCBS PAYABLE</v>
      </c>
    </row>
    <row r="2451" spans="1:9" x14ac:dyDescent="0.3">
      <c r="A2451" t="str">
        <f>""</f>
        <v/>
      </c>
      <c r="F2451" t="str">
        <f>""</f>
        <v/>
      </c>
      <c r="G2451" t="str">
        <f>""</f>
        <v/>
      </c>
      <c r="I2451" t="str">
        <f t="shared" si="35"/>
        <v>BCBS PAYABLE</v>
      </c>
    </row>
    <row r="2452" spans="1:9" x14ac:dyDescent="0.3">
      <c r="A2452" t="str">
        <f>""</f>
        <v/>
      </c>
      <c r="F2452" t="str">
        <f>""</f>
        <v/>
      </c>
      <c r="G2452" t="str">
        <f>""</f>
        <v/>
      </c>
      <c r="I2452" t="str">
        <f t="shared" si="35"/>
        <v>BCBS PAYABLE</v>
      </c>
    </row>
    <row r="2453" spans="1:9" x14ac:dyDescent="0.3">
      <c r="A2453" t="str">
        <f>""</f>
        <v/>
      </c>
      <c r="F2453" t="str">
        <f>""</f>
        <v/>
      </c>
      <c r="G2453" t="str">
        <f>""</f>
        <v/>
      </c>
      <c r="I2453" t="str">
        <f t="shared" ref="I2453:I2516" si="36">"BCBS PAYABLE"</f>
        <v>BCBS PAYABLE</v>
      </c>
    </row>
    <row r="2454" spans="1:9" x14ac:dyDescent="0.3">
      <c r="A2454" t="str">
        <f>""</f>
        <v/>
      </c>
      <c r="F2454" t="str">
        <f>""</f>
        <v/>
      </c>
      <c r="G2454" t="str">
        <f>""</f>
        <v/>
      </c>
      <c r="I2454" t="str">
        <f t="shared" si="36"/>
        <v>BCBS PAYABLE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36"/>
        <v>BCBS PAYABLE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36"/>
        <v>BCBS PAYABLE</v>
      </c>
    </row>
    <row r="2457" spans="1:9" x14ac:dyDescent="0.3">
      <c r="A2457" t="str">
        <f>""</f>
        <v/>
      </c>
      <c r="F2457" t="str">
        <f>"2EC201806131561"</f>
        <v>2EC201806131561</v>
      </c>
      <c r="G2457" t="str">
        <f>"BCBS PAYABLE"</f>
        <v>BCBS PAYABLE</v>
      </c>
      <c r="H2457">
        <v>1795.24</v>
      </c>
      <c r="I2457" t="str">
        <f t="shared" si="36"/>
        <v>BCBS PAYABLE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si="36"/>
        <v>BCBS PAYABLE</v>
      </c>
    </row>
    <row r="2459" spans="1:9" x14ac:dyDescent="0.3">
      <c r="A2459" t="str">
        <f>""</f>
        <v/>
      </c>
      <c r="F2459" t="str">
        <f>"2EF201805301204"</f>
        <v>2EF201805301204</v>
      </c>
      <c r="G2459" t="str">
        <f>"BCBS PAYABLE"</f>
        <v>BCBS PAYABLE</v>
      </c>
      <c r="H2459">
        <v>891.87</v>
      </c>
      <c r="I2459" t="str">
        <f t="shared" si="36"/>
        <v>BCBS PAYABLE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36"/>
        <v>BCBS PAYABLE</v>
      </c>
    </row>
    <row r="2461" spans="1:9" x14ac:dyDescent="0.3">
      <c r="A2461" t="str">
        <f>""</f>
        <v/>
      </c>
      <c r="F2461" t="str">
        <f>"2EF201806131556"</f>
        <v>2EF201806131556</v>
      </c>
      <c r="G2461" t="str">
        <f>"BCBS PAYABLE"</f>
        <v>BCBS PAYABLE</v>
      </c>
      <c r="H2461">
        <v>891.87</v>
      </c>
      <c r="I2461" t="str">
        <f t="shared" si="36"/>
        <v>BCBS PAYABLE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si="36"/>
        <v>BCBS PAYABLE</v>
      </c>
    </row>
    <row r="2463" spans="1:9" x14ac:dyDescent="0.3">
      <c r="A2463" t="str">
        <f>""</f>
        <v/>
      </c>
      <c r="F2463" t="str">
        <f>"2EO201805301204"</f>
        <v>2EO201805301204</v>
      </c>
      <c r="G2463" t="str">
        <f>"BCBS PAYABLE"</f>
        <v>BCBS PAYABLE</v>
      </c>
      <c r="H2463">
        <v>90775.34</v>
      </c>
      <c r="I2463" t="str">
        <f t="shared" si="36"/>
        <v>BCBS PAYABLE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36"/>
        <v>BCBS PAYABLE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si="36"/>
        <v>BCBS PAYABLE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36"/>
        <v>BCBS PAYABLE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36"/>
        <v>BCBS PAYABLE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36"/>
        <v>BCBS PAYABLE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36"/>
        <v>BCBS PAYABLE</v>
      </c>
    </row>
    <row r="2470" spans="1:9" x14ac:dyDescent="0.3">
      <c r="A2470" t="str">
        <f>""</f>
        <v/>
      </c>
      <c r="F2470" t="str">
        <f>""</f>
        <v/>
      </c>
      <c r="G2470" t="str">
        <f>""</f>
        <v/>
      </c>
      <c r="I2470" t="str">
        <f t="shared" si="36"/>
        <v>BCBS PAYABLE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si="36"/>
        <v>BCBS PAYABLE</v>
      </c>
    </row>
    <row r="2472" spans="1:9" x14ac:dyDescent="0.3">
      <c r="A2472" t="str">
        <f>""</f>
        <v/>
      </c>
      <c r="F2472" t="str">
        <f>""</f>
        <v/>
      </c>
      <c r="G2472" t="str">
        <f>""</f>
        <v/>
      </c>
      <c r="I2472" t="str">
        <f t="shared" si="36"/>
        <v>BCBS PAYABLE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36"/>
        <v>BCBS PAYABLE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36"/>
        <v>BCBS PAYABLE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36"/>
        <v>BCBS PAYABLE</v>
      </c>
    </row>
    <row r="2476" spans="1:9" x14ac:dyDescent="0.3">
      <c r="A2476" t="str">
        <f>""</f>
        <v/>
      </c>
      <c r="F2476" t="str">
        <f>""</f>
        <v/>
      </c>
      <c r="G2476" t="str">
        <f>""</f>
        <v/>
      </c>
      <c r="I2476" t="str">
        <f t="shared" si="36"/>
        <v>BCBS PAYABLE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36"/>
        <v>BCBS PAYABLE</v>
      </c>
    </row>
    <row r="2478" spans="1:9" x14ac:dyDescent="0.3">
      <c r="A2478" t="str">
        <f>""</f>
        <v/>
      </c>
      <c r="F2478" t="str">
        <f>""</f>
        <v/>
      </c>
      <c r="G2478" t="str">
        <f>""</f>
        <v/>
      </c>
      <c r="I2478" t="str">
        <f t="shared" si="36"/>
        <v>BCBS PAYABLE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36"/>
        <v>BCBS PAYABLE</v>
      </c>
    </row>
    <row r="2480" spans="1:9" x14ac:dyDescent="0.3">
      <c r="A2480" t="str">
        <f>""</f>
        <v/>
      </c>
      <c r="F2480" t="str">
        <f>""</f>
        <v/>
      </c>
      <c r="G2480" t="str">
        <f>""</f>
        <v/>
      </c>
      <c r="I2480" t="str">
        <f t="shared" si="36"/>
        <v>BCBS PAYABLE</v>
      </c>
    </row>
    <row r="2481" spans="1:9" x14ac:dyDescent="0.3">
      <c r="A2481" t="str">
        <f>""</f>
        <v/>
      </c>
      <c r="F2481" t="str">
        <f>""</f>
        <v/>
      </c>
      <c r="G2481" t="str">
        <f>""</f>
        <v/>
      </c>
      <c r="I2481" t="str">
        <f t="shared" si="36"/>
        <v>BCBS PAYABLE</v>
      </c>
    </row>
    <row r="2482" spans="1:9" x14ac:dyDescent="0.3">
      <c r="A2482" t="str">
        <f>""</f>
        <v/>
      </c>
      <c r="F2482" t="str">
        <f>""</f>
        <v/>
      </c>
      <c r="G2482" t="str">
        <f>""</f>
        <v/>
      </c>
      <c r="I2482" t="str">
        <f t="shared" si="36"/>
        <v>BCBS PAYABLE</v>
      </c>
    </row>
    <row r="2483" spans="1:9" x14ac:dyDescent="0.3">
      <c r="A2483" t="str">
        <f>""</f>
        <v/>
      </c>
      <c r="F2483" t="str">
        <f>""</f>
        <v/>
      </c>
      <c r="G2483" t="str">
        <f>""</f>
        <v/>
      </c>
      <c r="I2483" t="str">
        <f t="shared" si="36"/>
        <v>BCBS PAYABLE</v>
      </c>
    </row>
    <row r="2484" spans="1:9" x14ac:dyDescent="0.3">
      <c r="A2484" t="str">
        <f>""</f>
        <v/>
      </c>
      <c r="F2484" t="str">
        <f>""</f>
        <v/>
      </c>
      <c r="G2484" t="str">
        <f>""</f>
        <v/>
      </c>
      <c r="I2484" t="str">
        <f t="shared" si="36"/>
        <v>BCBS PAYABLE</v>
      </c>
    </row>
    <row r="2485" spans="1:9" x14ac:dyDescent="0.3">
      <c r="A2485" t="str">
        <f>""</f>
        <v/>
      </c>
      <c r="F2485" t="str">
        <f>""</f>
        <v/>
      </c>
      <c r="G2485" t="str">
        <f>""</f>
        <v/>
      </c>
      <c r="I2485" t="str">
        <f t="shared" si="36"/>
        <v>BCBS PAYABLE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 t="shared" si="36"/>
        <v>BCBS PAYABLE</v>
      </c>
    </row>
    <row r="2487" spans="1:9" x14ac:dyDescent="0.3">
      <c r="A2487" t="str">
        <f>""</f>
        <v/>
      </c>
      <c r="F2487" t="str">
        <f>""</f>
        <v/>
      </c>
      <c r="G2487" t="str">
        <f>""</f>
        <v/>
      </c>
      <c r="I2487" t="str">
        <f t="shared" si="36"/>
        <v>BCBS PAYABLE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 t="shared" si="36"/>
        <v>BCBS PAYABLE</v>
      </c>
    </row>
    <row r="2489" spans="1:9" x14ac:dyDescent="0.3">
      <c r="A2489" t="str">
        <f>""</f>
        <v/>
      </c>
      <c r="F2489" t="str">
        <f>""</f>
        <v/>
      </c>
      <c r="G2489" t="str">
        <f>""</f>
        <v/>
      </c>
      <c r="I2489" t="str">
        <f t="shared" si="36"/>
        <v>BCBS PAYABLE</v>
      </c>
    </row>
    <row r="2490" spans="1:9" x14ac:dyDescent="0.3">
      <c r="A2490" t="str">
        <f>""</f>
        <v/>
      </c>
      <c r="F2490" t="str">
        <f>""</f>
        <v/>
      </c>
      <c r="G2490" t="str">
        <f>""</f>
        <v/>
      </c>
      <c r="I2490" t="str">
        <f t="shared" si="36"/>
        <v>BCBS PAYABLE</v>
      </c>
    </row>
    <row r="2491" spans="1:9" x14ac:dyDescent="0.3">
      <c r="A2491" t="str">
        <f>""</f>
        <v/>
      </c>
      <c r="F2491" t="str">
        <f>""</f>
        <v/>
      </c>
      <c r="G2491" t="str">
        <f>""</f>
        <v/>
      </c>
      <c r="I2491" t="str">
        <f t="shared" si="36"/>
        <v>BCBS PAYABLE</v>
      </c>
    </row>
    <row r="2492" spans="1:9" x14ac:dyDescent="0.3">
      <c r="A2492" t="str">
        <f>""</f>
        <v/>
      </c>
      <c r="F2492" t="str">
        <f>""</f>
        <v/>
      </c>
      <c r="G2492" t="str">
        <f>""</f>
        <v/>
      </c>
      <c r="I2492" t="str">
        <f t="shared" si="36"/>
        <v>BCBS PAYABLE</v>
      </c>
    </row>
    <row r="2493" spans="1:9" x14ac:dyDescent="0.3">
      <c r="A2493" t="str">
        <f>""</f>
        <v/>
      </c>
      <c r="F2493" t="str">
        <f>""</f>
        <v/>
      </c>
      <c r="G2493" t="str">
        <f>""</f>
        <v/>
      </c>
      <c r="I2493" t="str">
        <f t="shared" si="36"/>
        <v>BCBS PAYABLE</v>
      </c>
    </row>
    <row r="2494" spans="1:9" x14ac:dyDescent="0.3">
      <c r="A2494" t="str">
        <f>""</f>
        <v/>
      </c>
      <c r="F2494" t="str">
        <f>""</f>
        <v/>
      </c>
      <c r="G2494" t="str">
        <f>""</f>
        <v/>
      </c>
      <c r="I2494" t="str">
        <f t="shared" si="36"/>
        <v>BCBS PAYABLE</v>
      </c>
    </row>
    <row r="2495" spans="1:9" x14ac:dyDescent="0.3">
      <c r="A2495" t="str">
        <f>""</f>
        <v/>
      </c>
      <c r="F2495" t="str">
        <f>""</f>
        <v/>
      </c>
      <c r="G2495" t="str">
        <f>""</f>
        <v/>
      </c>
      <c r="I2495" t="str">
        <f t="shared" si="36"/>
        <v>BCBS PAYABLE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36"/>
        <v>BCBS PAYABLE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si="36"/>
        <v>BCBS PAYABLE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36"/>
        <v>BCBS PAYABLE</v>
      </c>
    </row>
    <row r="2499" spans="1:9" x14ac:dyDescent="0.3">
      <c r="A2499" t="str">
        <f>""</f>
        <v/>
      </c>
      <c r="F2499" t="str">
        <f>""</f>
        <v/>
      </c>
      <c r="G2499" t="str">
        <f>""</f>
        <v/>
      </c>
      <c r="I2499" t="str">
        <f t="shared" si="36"/>
        <v>BCBS PAYABLE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 t="shared" si="36"/>
        <v>BCBS PAYABLE</v>
      </c>
    </row>
    <row r="2501" spans="1:9" x14ac:dyDescent="0.3">
      <c r="A2501" t="str">
        <f>""</f>
        <v/>
      </c>
      <c r="F2501" t="str">
        <f>""</f>
        <v/>
      </c>
      <c r="G2501" t="str">
        <f>""</f>
        <v/>
      </c>
      <c r="I2501" t="str">
        <f t="shared" si="36"/>
        <v>BCBS PAYABLE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 t="shared" si="36"/>
        <v>BCBS PAYABLE</v>
      </c>
    </row>
    <row r="2503" spans="1:9" x14ac:dyDescent="0.3">
      <c r="A2503" t="str">
        <f>""</f>
        <v/>
      </c>
      <c r="F2503" t="str">
        <f>""</f>
        <v/>
      </c>
      <c r="G2503" t="str">
        <f>""</f>
        <v/>
      </c>
      <c r="I2503" t="str">
        <f t="shared" si="36"/>
        <v>BCBS PAYABLE</v>
      </c>
    </row>
    <row r="2504" spans="1:9" x14ac:dyDescent="0.3">
      <c r="A2504" t="str">
        <f>""</f>
        <v/>
      </c>
      <c r="F2504" t="str">
        <f>""</f>
        <v/>
      </c>
      <c r="G2504" t="str">
        <f>""</f>
        <v/>
      </c>
      <c r="I2504" t="str">
        <f t="shared" si="36"/>
        <v>BCBS PAYABLE</v>
      </c>
    </row>
    <row r="2505" spans="1:9" x14ac:dyDescent="0.3">
      <c r="A2505" t="str">
        <f>""</f>
        <v/>
      </c>
      <c r="F2505" t="str">
        <f>""</f>
        <v/>
      </c>
      <c r="G2505" t="str">
        <f>""</f>
        <v/>
      </c>
      <c r="I2505" t="str">
        <f t="shared" si="36"/>
        <v>BCBS PAYABLE</v>
      </c>
    </row>
    <row r="2506" spans="1:9" x14ac:dyDescent="0.3">
      <c r="A2506" t="str">
        <f>""</f>
        <v/>
      </c>
      <c r="F2506" t="str">
        <f>""</f>
        <v/>
      </c>
      <c r="G2506" t="str">
        <f>""</f>
        <v/>
      </c>
      <c r="I2506" t="str">
        <f t="shared" si="36"/>
        <v>BCBS PAYABLE</v>
      </c>
    </row>
    <row r="2507" spans="1:9" x14ac:dyDescent="0.3">
      <c r="A2507" t="str">
        <f>""</f>
        <v/>
      </c>
      <c r="F2507" t="str">
        <f>""</f>
        <v/>
      </c>
      <c r="G2507" t="str">
        <f>""</f>
        <v/>
      </c>
      <c r="I2507" t="str">
        <f t="shared" si="36"/>
        <v>BCBS PAYABLE</v>
      </c>
    </row>
    <row r="2508" spans="1:9" x14ac:dyDescent="0.3">
      <c r="A2508" t="str">
        <f>""</f>
        <v/>
      </c>
      <c r="F2508" t="str">
        <f>"2EO201805301223"</f>
        <v>2EO201805301223</v>
      </c>
      <c r="G2508" t="str">
        <f>"BCBS PAYABLE"</f>
        <v>BCBS PAYABLE</v>
      </c>
      <c r="H2508">
        <v>3591.83</v>
      </c>
      <c r="I2508" t="str">
        <f t="shared" si="36"/>
        <v>BCBS PAYABLE</v>
      </c>
    </row>
    <row r="2509" spans="1:9" x14ac:dyDescent="0.3">
      <c r="A2509" t="str">
        <f>""</f>
        <v/>
      </c>
      <c r="F2509" t="str">
        <f>"2EO201806131556"</f>
        <v>2EO201806131556</v>
      </c>
      <c r="G2509" t="str">
        <f>"BCBS PAYABLE"</f>
        <v>BCBS PAYABLE</v>
      </c>
      <c r="H2509">
        <v>90448.81</v>
      </c>
      <c r="I2509" t="str">
        <f t="shared" si="36"/>
        <v>BCBS PAYABLE</v>
      </c>
    </row>
    <row r="2510" spans="1:9" x14ac:dyDescent="0.3">
      <c r="A2510" t="str">
        <f>""</f>
        <v/>
      </c>
      <c r="F2510" t="str">
        <f>""</f>
        <v/>
      </c>
      <c r="G2510" t="str">
        <f>""</f>
        <v/>
      </c>
      <c r="I2510" t="str">
        <f t="shared" si="36"/>
        <v>BCBS PAYABLE</v>
      </c>
    </row>
    <row r="2511" spans="1:9" x14ac:dyDescent="0.3">
      <c r="A2511" t="str">
        <f>""</f>
        <v/>
      </c>
      <c r="F2511" t="str">
        <f>""</f>
        <v/>
      </c>
      <c r="G2511" t="str">
        <f>""</f>
        <v/>
      </c>
      <c r="I2511" t="str">
        <f t="shared" si="36"/>
        <v>BCBS PAYABLE</v>
      </c>
    </row>
    <row r="2512" spans="1:9" x14ac:dyDescent="0.3">
      <c r="A2512" t="str">
        <f>""</f>
        <v/>
      </c>
      <c r="F2512" t="str">
        <f>""</f>
        <v/>
      </c>
      <c r="G2512" t="str">
        <f>""</f>
        <v/>
      </c>
      <c r="I2512" t="str">
        <f t="shared" si="36"/>
        <v>BCBS PAYABLE</v>
      </c>
    </row>
    <row r="2513" spans="1:9" x14ac:dyDescent="0.3">
      <c r="A2513" t="str">
        <f>""</f>
        <v/>
      </c>
      <c r="F2513" t="str">
        <f>""</f>
        <v/>
      </c>
      <c r="G2513" t="str">
        <f>""</f>
        <v/>
      </c>
      <c r="I2513" t="str">
        <f t="shared" si="36"/>
        <v>BCBS PAYABLE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36"/>
        <v>BCBS PAYABLE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36"/>
        <v>BCBS PAYABLE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36"/>
        <v>BCBS PAYABLE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ref="I2517:I2580" si="37">"BCBS PAYABLE"</f>
        <v>BCBS PAYABLE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37"/>
        <v>BCBS PAYABLE</v>
      </c>
    </row>
    <row r="2519" spans="1:9" x14ac:dyDescent="0.3">
      <c r="A2519" t="str">
        <f>""</f>
        <v/>
      </c>
      <c r="F2519" t="str">
        <f>""</f>
        <v/>
      </c>
      <c r="G2519" t="str">
        <f>""</f>
        <v/>
      </c>
      <c r="I2519" t="str">
        <f t="shared" si="37"/>
        <v>BCBS PAYABLE</v>
      </c>
    </row>
    <row r="2520" spans="1:9" x14ac:dyDescent="0.3">
      <c r="A2520" t="str">
        <f>""</f>
        <v/>
      </c>
      <c r="F2520" t="str">
        <f>""</f>
        <v/>
      </c>
      <c r="G2520" t="str">
        <f>""</f>
        <v/>
      </c>
      <c r="I2520" t="str">
        <f t="shared" si="37"/>
        <v>BCBS PAYABLE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37"/>
        <v>BCBS PAYABLE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37"/>
        <v>BCBS PAYABLE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37"/>
        <v>BCBS PAYABLE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si="37"/>
        <v>BCBS PAYABLE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37"/>
        <v>BCBS PAYABLE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37"/>
        <v>BCBS PAYABLE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si="37"/>
        <v>BCBS PAYABLE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37"/>
        <v>BCBS PAYABLE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si="37"/>
        <v>BCBS PAYABLE</v>
      </c>
    </row>
    <row r="2530" spans="1:9" x14ac:dyDescent="0.3">
      <c r="A2530" t="str">
        <f>""</f>
        <v/>
      </c>
      <c r="F2530" t="str">
        <f>""</f>
        <v/>
      </c>
      <c r="G2530" t="str">
        <f>""</f>
        <v/>
      </c>
      <c r="I2530" t="str">
        <f t="shared" si="37"/>
        <v>BCBS PAYABLE</v>
      </c>
    </row>
    <row r="2531" spans="1:9" x14ac:dyDescent="0.3">
      <c r="A2531" t="str">
        <f>""</f>
        <v/>
      </c>
      <c r="F2531" t="str">
        <f>""</f>
        <v/>
      </c>
      <c r="G2531" t="str">
        <f>""</f>
        <v/>
      </c>
      <c r="I2531" t="str">
        <f t="shared" si="37"/>
        <v>BCBS PAYABLE</v>
      </c>
    </row>
    <row r="2532" spans="1:9" x14ac:dyDescent="0.3">
      <c r="A2532" t="str">
        <f>""</f>
        <v/>
      </c>
      <c r="F2532" t="str">
        <f>""</f>
        <v/>
      </c>
      <c r="G2532" t="str">
        <f>""</f>
        <v/>
      </c>
      <c r="I2532" t="str">
        <f t="shared" si="37"/>
        <v>BCBS PAYABLE</v>
      </c>
    </row>
    <row r="2533" spans="1:9" x14ac:dyDescent="0.3">
      <c r="A2533" t="str">
        <f>""</f>
        <v/>
      </c>
      <c r="F2533" t="str">
        <f>""</f>
        <v/>
      </c>
      <c r="G2533" t="str">
        <f>""</f>
        <v/>
      </c>
      <c r="I2533" t="str">
        <f t="shared" si="37"/>
        <v>BCBS PAYABLE</v>
      </c>
    </row>
    <row r="2534" spans="1:9" x14ac:dyDescent="0.3">
      <c r="A2534" t="str">
        <f>""</f>
        <v/>
      </c>
      <c r="F2534" t="str">
        <f>""</f>
        <v/>
      </c>
      <c r="G2534" t="str">
        <f>""</f>
        <v/>
      </c>
      <c r="I2534" t="str">
        <f t="shared" si="37"/>
        <v>BCBS PAYABLE</v>
      </c>
    </row>
    <row r="2535" spans="1:9" x14ac:dyDescent="0.3">
      <c r="A2535" t="str">
        <f>""</f>
        <v/>
      </c>
      <c r="F2535" t="str">
        <f>""</f>
        <v/>
      </c>
      <c r="G2535" t="str">
        <f>""</f>
        <v/>
      </c>
      <c r="I2535" t="str">
        <f t="shared" si="37"/>
        <v>BCBS PAYABLE</v>
      </c>
    </row>
    <row r="2536" spans="1:9" x14ac:dyDescent="0.3">
      <c r="A2536" t="str">
        <f>""</f>
        <v/>
      </c>
      <c r="F2536" t="str">
        <f>""</f>
        <v/>
      </c>
      <c r="G2536" t="str">
        <f>""</f>
        <v/>
      </c>
      <c r="I2536" t="str">
        <f t="shared" si="37"/>
        <v>BCBS PAYABLE</v>
      </c>
    </row>
    <row r="2537" spans="1:9" x14ac:dyDescent="0.3">
      <c r="A2537" t="str">
        <f>""</f>
        <v/>
      </c>
      <c r="F2537" t="str">
        <f>""</f>
        <v/>
      </c>
      <c r="G2537" t="str">
        <f>""</f>
        <v/>
      </c>
      <c r="I2537" t="str">
        <f t="shared" si="37"/>
        <v>BCBS PAYABLE</v>
      </c>
    </row>
    <row r="2538" spans="1:9" x14ac:dyDescent="0.3">
      <c r="A2538" t="str">
        <f>""</f>
        <v/>
      </c>
      <c r="F2538" t="str">
        <f>""</f>
        <v/>
      </c>
      <c r="G2538" t="str">
        <f>""</f>
        <v/>
      </c>
      <c r="I2538" t="str">
        <f t="shared" si="37"/>
        <v>BCBS PAYABLE</v>
      </c>
    </row>
    <row r="2539" spans="1:9" x14ac:dyDescent="0.3">
      <c r="A2539" t="str">
        <f>""</f>
        <v/>
      </c>
      <c r="F2539" t="str">
        <f>""</f>
        <v/>
      </c>
      <c r="G2539" t="str">
        <f>""</f>
        <v/>
      </c>
      <c r="I2539" t="str">
        <f t="shared" si="37"/>
        <v>BCBS PAYABLE</v>
      </c>
    </row>
    <row r="2540" spans="1:9" x14ac:dyDescent="0.3">
      <c r="A2540" t="str">
        <f>""</f>
        <v/>
      </c>
      <c r="F2540" t="str">
        <f>""</f>
        <v/>
      </c>
      <c r="G2540" t="str">
        <f>""</f>
        <v/>
      </c>
      <c r="I2540" t="str">
        <f t="shared" si="37"/>
        <v>BCBS PAYABLE</v>
      </c>
    </row>
    <row r="2541" spans="1:9" x14ac:dyDescent="0.3">
      <c r="A2541" t="str">
        <f>""</f>
        <v/>
      </c>
      <c r="F2541" t="str">
        <f>""</f>
        <v/>
      </c>
      <c r="G2541" t="str">
        <f>""</f>
        <v/>
      </c>
      <c r="I2541" t="str">
        <f t="shared" si="37"/>
        <v>BCBS PAYABLE</v>
      </c>
    </row>
    <row r="2542" spans="1:9" x14ac:dyDescent="0.3">
      <c r="A2542" t="str">
        <f>""</f>
        <v/>
      </c>
      <c r="F2542" t="str">
        <f>""</f>
        <v/>
      </c>
      <c r="G2542" t="str">
        <f>""</f>
        <v/>
      </c>
      <c r="I2542" t="str">
        <f t="shared" si="37"/>
        <v>BCBS PAYABLE</v>
      </c>
    </row>
    <row r="2543" spans="1:9" x14ac:dyDescent="0.3">
      <c r="A2543" t="str">
        <f>""</f>
        <v/>
      </c>
      <c r="F2543" t="str">
        <f>""</f>
        <v/>
      </c>
      <c r="G2543" t="str">
        <f>""</f>
        <v/>
      </c>
      <c r="I2543" t="str">
        <f t="shared" si="37"/>
        <v>BCBS PAYABLE</v>
      </c>
    </row>
    <row r="2544" spans="1:9" x14ac:dyDescent="0.3">
      <c r="A2544" t="str">
        <f>""</f>
        <v/>
      </c>
      <c r="F2544" t="str">
        <f>""</f>
        <v/>
      </c>
      <c r="G2544" t="str">
        <f>""</f>
        <v/>
      </c>
      <c r="I2544" t="str">
        <f t="shared" si="37"/>
        <v>BCBS PAYABLE</v>
      </c>
    </row>
    <row r="2545" spans="1:9" x14ac:dyDescent="0.3">
      <c r="A2545" t="str">
        <f>""</f>
        <v/>
      </c>
      <c r="F2545" t="str">
        <f>""</f>
        <v/>
      </c>
      <c r="G2545" t="str">
        <f>""</f>
        <v/>
      </c>
      <c r="I2545" t="str">
        <f t="shared" si="37"/>
        <v>BCBS PAYABLE</v>
      </c>
    </row>
    <row r="2546" spans="1:9" x14ac:dyDescent="0.3">
      <c r="A2546" t="str">
        <f>""</f>
        <v/>
      </c>
      <c r="F2546" t="str">
        <f>""</f>
        <v/>
      </c>
      <c r="G2546" t="str">
        <f>""</f>
        <v/>
      </c>
      <c r="I2546" t="str">
        <f t="shared" si="37"/>
        <v>BCBS PAYABLE</v>
      </c>
    </row>
    <row r="2547" spans="1:9" x14ac:dyDescent="0.3">
      <c r="A2547" t="str">
        <f>""</f>
        <v/>
      </c>
      <c r="F2547" t="str">
        <f>""</f>
        <v/>
      </c>
      <c r="G2547" t="str">
        <f>""</f>
        <v/>
      </c>
      <c r="I2547" t="str">
        <f t="shared" si="37"/>
        <v>BCBS PAYABLE</v>
      </c>
    </row>
    <row r="2548" spans="1:9" x14ac:dyDescent="0.3">
      <c r="A2548" t="str">
        <f>""</f>
        <v/>
      </c>
      <c r="F2548" t="str">
        <f>""</f>
        <v/>
      </c>
      <c r="G2548" t="str">
        <f>""</f>
        <v/>
      </c>
      <c r="I2548" t="str">
        <f t="shared" si="37"/>
        <v>BCBS PAYABLE</v>
      </c>
    </row>
    <row r="2549" spans="1:9" x14ac:dyDescent="0.3">
      <c r="A2549" t="str">
        <f>""</f>
        <v/>
      </c>
      <c r="F2549" t="str">
        <f>""</f>
        <v/>
      </c>
      <c r="G2549" t="str">
        <f>""</f>
        <v/>
      </c>
      <c r="I2549" t="str">
        <f t="shared" si="37"/>
        <v>BCBS PAYABLE</v>
      </c>
    </row>
    <row r="2550" spans="1:9" x14ac:dyDescent="0.3">
      <c r="A2550" t="str">
        <f>""</f>
        <v/>
      </c>
      <c r="F2550" t="str">
        <f>""</f>
        <v/>
      </c>
      <c r="G2550" t="str">
        <f>""</f>
        <v/>
      </c>
      <c r="I2550" t="str">
        <f t="shared" si="37"/>
        <v>BCBS PAYABLE</v>
      </c>
    </row>
    <row r="2551" spans="1:9" x14ac:dyDescent="0.3">
      <c r="A2551" t="str">
        <f>""</f>
        <v/>
      </c>
      <c r="F2551" t="str">
        <f>""</f>
        <v/>
      </c>
      <c r="G2551" t="str">
        <f>""</f>
        <v/>
      </c>
      <c r="I2551" t="str">
        <f t="shared" si="37"/>
        <v>BCBS PAYABLE</v>
      </c>
    </row>
    <row r="2552" spans="1:9" x14ac:dyDescent="0.3">
      <c r="A2552" t="str">
        <f>""</f>
        <v/>
      </c>
      <c r="F2552" t="str">
        <f>""</f>
        <v/>
      </c>
      <c r="G2552" t="str">
        <f>""</f>
        <v/>
      </c>
      <c r="I2552" t="str">
        <f t="shared" si="37"/>
        <v>BCBS PAYABLE</v>
      </c>
    </row>
    <row r="2553" spans="1:9" x14ac:dyDescent="0.3">
      <c r="A2553" t="str">
        <f>""</f>
        <v/>
      </c>
      <c r="F2553" t="str">
        <f>""</f>
        <v/>
      </c>
      <c r="G2553" t="str">
        <f>""</f>
        <v/>
      </c>
      <c r="I2553" t="str">
        <f t="shared" si="37"/>
        <v>BCBS PAYABLE</v>
      </c>
    </row>
    <row r="2554" spans="1:9" x14ac:dyDescent="0.3">
      <c r="A2554" t="str">
        <f>""</f>
        <v/>
      </c>
      <c r="F2554" t="str">
        <f>"2EO201806131561"</f>
        <v>2EO201806131561</v>
      </c>
      <c r="G2554" t="str">
        <f>"BCBS PAYABLE"</f>
        <v>BCBS PAYABLE</v>
      </c>
      <c r="H2554">
        <v>3591.83</v>
      </c>
      <c r="I2554" t="str">
        <f t="shared" si="37"/>
        <v>BCBS PAYABLE</v>
      </c>
    </row>
    <row r="2555" spans="1:9" x14ac:dyDescent="0.3">
      <c r="A2555" t="str">
        <f>""</f>
        <v/>
      </c>
      <c r="F2555" t="str">
        <f>"2ES201805301204"</f>
        <v>2ES201805301204</v>
      </c>
      <c r="G2555" t="str">
        <f>"BCBS PAYABLE"</f>
        <v>BCBS PAYABLE</v>
      </c>
      <c r="H2555">
        <v>17660.28</v>
      </c>
      <c r="I2555" t="str">
        <f t="shared" si="37"/>
        <v>BCBS PAYABLE</v>
      </c>
    </row>
    <row r="2556" spans="1:9" x14ac:dyDescent="0.3">
      <c r="A2556" t="str">
        <f>""</f>
        <v/>
      </c>
      <c r="F2556" t="str">
        <f>""</f>
        <v/>
      </c>
      <c r="G2556" t="str">
        <f>""</f>
        <v/>
      </c>
      <c r="I2556" t="str">
        <f t="shared" si="37"/>
        <v>BCBS PAYABLE</v>
      </c>
    </row>
    <row r="2557" spans="1:9" x14ac:dyDescent="0.3">
      <c r="A2557" t="str">
        <f>""</f>
        <v/>
      </c>
      <c r="F2557" t="str">
        <f>""</f>
        <v/>
      </c>
      <c r="G2557" t="str">
        <f>""</f>
        <v/>
      </c>
      <c r="I2557" t="str">
        <f t="shared" si="37"/>
        <v>BCBS PAYABLE</v>
      </c>
    </row>
    <row r="2558" spans="1:9" x14ac:dyDescent="0.3">
      <c r="A2558" t="str">
        <f>""</f>
        <v/>
      </c>
      <c r="F2558" t="str">
        <f>""</f>
        <v/>
      </c>
      <c r="G2558" t="str">
        <f>""</f>
        <v/>
      </c>
      <c r="I2558" t="str">
        <f t="shared" si="37"/>
        <v>BCBS PAYABLE</v>
      </c>
    </row>
    <row r="2559" spans="1:9" x14ac:dyDescent="0.3">
      <c r="A2559" t="str">
        <f>""</f>
        <v/>
      </c>
      <c r="F2559" t="str">
        <f>""</f>
        <v/>
      </c>
      <c r="G2559" t="str">
        <f>""</f>
        <v/>
      </c>
      <c r="I2559" t="str">
        <f t="shared" si="37"/>
        <v>BCBS PAYABLE</v>
      </c>
    </row>
    <row r="2560" spans="1:9" x14ac:dyDescent="0.3">
      <c r="A2560" t="str">
        <f>""</f>
        <v/>
      </c>
      <c r="F2560" t="str">
        <f>""</f>
        <v/>
      </c>
      <c r="G2560" t="str">
        <f>""</f>
        <v/>
      </c>
      <c r="I2560" t="str">
        <f t="shared" si="37"/>
        <v>BCBS PAYABLE</v>
      </c>
    </row>
    <row r="2561" spans="1:9" x14ac:dyDescent="0.3">
      <c r="A2561" t="str">
        <f>""</f>
        <v/>
      </c>
      <c r="F2561" t="str">
        <f>""</f>
        <v/>
      </c>
      <c r="G2561" t="str">
        <f>""</f>
        <v/>
      </c>
      <c r="I2561" t="str">
        <f t="shared" si="37"/>
        <v>BCBS PAYABLE</v>
      </c>
    </row>
    <row r="2562" spans="1:9" x14ac:dyDescent="0.3">
      <c r="A2562" t="str">
        <f>""</f>
        <v/>
      </c>
      <c r="F2562" t="str">
        <f>""</f>
        <v/>
      </c>
      <c r="G2562" t="str">
        <f>""</f>
        <v/>
      </c>
      <c r="I2562" t="str">
        <f t="shared" si="37"/>
        <v>BCBS PAYABLE</v>
      </c>
    </row>
    <row r="2563" spans="1:9" x14ac:dyDescent="0.3">
      <c r="A2563" t="str">
        <f>""</f>
        <v/>
      </c>
      <c r="F2563" t="str">
        <f>""</f>
        <v/>
      </c>
      <c r="G2563" t="str">
        <f>""</f>
        <v/>
      </c>
      <c r="I2563" t="str">
        <f t="shared" si="37"/>
        <v>BCBS PAYABLE</v>
      </c>
    </row>
    <row r="2564" spans="1:9" x14ac:dyDescent="0.3">
      <c r="A2564" t="str">
        <f>""</f>
        <v/>
      </c>
      <c r="F2564" t="str">
        <f>""</f>
        <v/>
      </c>
      <c r="G2564" t="str">
        <f>""</f>
        <v/>
      </c>
      <c r="I2564" t="str">
        <f t="shared" si="37"/>
        <v>BCBS PAYABLE</v>
      </c>
    </row>
    <row r="2565" spans="1:9" x14ac:dyDescent="0.3">
      <c r="A2565" t="str">
        <f>""</f>
        <v/>
      </c>
      <c r="F2565" t="str">
        <f>""</f>
        <v/>
      </c>
      <c r="G2565" t="str">
        <f>""</f>
        <v/>
      </c>
      <c r="I2565" t="str">
        <f t="shared" si="37"/>
        <v>BCBS PAYABLE</v>
      </c>
    </row>
    <row r="2566" spans="1:9" x14ac:dyDescent="0.3">
      <c r="A2566" t="str">
        <f>""</f>
        <v/>
      </c>
      <c r="F2566" t="str">
        <f>""</f>
        <v/>
      </c>
      <c r="G2566" t="str">
        <f>""</f>
        <v/>
      </c>
      <c r="I2566" t="str">
        <f t="shared" si="37"/>
        <v>BCBS PAYABLE</v>
      </c>
    </row>
    <row r="2567" spans="1:9" x14ac:dyDescent="0.3">
      <c r="A2567" t="str">
        <f>""</f>
        <v/>
      </c>
      <c r="F2567" t="str">
        <f>""</f>
        <v/>
      </c>
      <c r="G2567" t="str">
        <f>""</f>
        <v/>
      </c>
      <c r="I2567" t="str">
        <f t="shared" si="37"/>
        <v>BCBS PAYABLE</v>
      </c>
    </row>
    <row r="2568" spans="1:9" x14ac:dyDescent="0.3">
      <c r="A2568" t="str">
        <f>""</f>
        <v/>
      </c>
      <c r="F2568" t="str">
        <f>""</f>
        <v/>
      </c>
      <c r="G2568" t="str">
        <f>""</f>
        <v/>
      </c>
      <c r="I2568" t="str">
        <f t="shared" si="37"/>
        <v>BCBS PAYABLE</v>
      </c>
    </row>
    <row r="2569" spans="1:9" x14ac:dyDescent="0.3">
      <c r="A2569" t="str">
        <f>""</f>
        <v/>
      </c>
      <c r="F2569" t="str">
        <f>""</f>
        <v/>
      </c>
      <c r="G2569" t="str">
        <f>""</f>
        <v/>
      </c>
      <c r="I2569" t="str">
        <f t="shared" si="37"/>
        <v>BCBS PAYABLE</v>
      </c>
    </row>
    <row r="2570" spans="1:9" x14ac:dyDescent="0.3">
      <c r="A2570" t="str">
        <f>""</f>
        <v/>
      </c>
      <c r="F2570" t="str">
        <f>""</f>
        <v/>
      </c>
      <c r="G2570" t="str">
        <f>""</f>
        <v/>
      </c>
      <c r="I2570" t="str">
        <f t="shared" si="37"/>
        <v>BCBS PAYABLE</v>
      </c>
    </row>
    <row r="2571" spans="1:9" x14ac:dyDescent="0.3">
      <c r="A2571" t="str">
        <f>""</f>
        <v/>
      </c>
      <c r="F2571" t="str">
        <f>""</f>
        <v/>
      </c>
      <c r="G2571" t="str">
        <f>""</f>
        <v/>
      </c>
      <c r="I2571" t="str">
        <f t="shared" si="37"/>
        <v>BCBS PAYABLE</v>
      </c>
    </row>
    <row r="2572" spans="1:9" x14ac:dyDescent="0.3">
      <c r="A2572" t="str">
        <f>""</f>
        <v/>
      </c>
      <c r="F2572" t="str">
        <f>""</f>
        <v/>
      </c>
      <c r="G2572" t="str">
        <f>""</f>
        <v/>
      </c>
      <c r="I2572" t="str">
        <f t="shared" si="37"/>
        <v>BCBS PAYABLE</v>
      </c>
    </row>
    <row r="2573" spans="1:9" x14ac:dyDescent="0.3">
      <c r="A2573" t="str">
        <f>""</f>
        <v/>
      </c>
      <c r="F2573" t="str">
        <f>""</f>
        <v/>
      </c>
      <c r="G2573" t="str">
        <f>""</f>
        <v/>
      </c>
      <c r="I2573" t="str">
        <f t="shared" si="37"/>
        <v>BCBS PAYABLE</v>
      </c>
    </row>
    <row r="2574" spans="1:9" x14ac:dyDescent="0.3">
      <c r="A2574" t="str">
        <f>""</f>
        <v/>
      </c>
      <c r="F2574" t="str">
        <f>"2ES201805301223"</f>
        <v>2ES201805301223</v>
      </c>
      <c r="G2574" t="str">
        <f>"BCBS PAYABLE"</f>
        <v>BCBS PAYABLE</v>
      </c>
      <c r="H2574">
        <v>519.41999999999996</v>
      </c>
      <c r="I2574" t="str">
        <f t="shared" si="37"/>
        <v>BCBS PAYABLE</v>
      </c>
    </row>
    <row r="2575" spans="1:9" x14ac:dyDescent="0.3">
      <c r="A2575" t="str">
        <f>""</f>
        <v/>
      </c>
      <c r="F2575" t="str">
        <f>""</f>
        <v/>
      </c>
      <c r="G2575" t="str">
        <f>""</f>
        <v/>
      </c>
      <c r="I2575" t="str">
        <f t="shared" si="37"/>
        <v>BCBS PAYABLE</v>
      </c>
    </row>
    <row r="2576" spans="1:9" x14ac:dyDescent="0.3">
      <c r="A2576" t="str">
        <f>""</f>
        <v/>
      </c>
      <c r="F2576" t="str">
        <f>"2ES201806131556"</f>
        <v>2ES201806131556</v>
      </c>
      <c r="G2576" t="str">
        <f>"BCBS PAYABLE"</f>
        <v>BCBS PAYABLE</v>
      </c>
      <c r="H2576">
        <v>17660.28</v>
      </c>
      <c r="I2576" t="str">
        <f t="shared" si="37"/>
        <v>BCBS PAYABLE</v>
      </c>
    </row>
    <row r="2577" spans="1:9" x14ac:dyDescent="0.3">
      <c r="A2577" t="str">
        <f>""</f>
        <v/>
      </c>
      <c r="F2577" t="str">
        <f>""</f>
        <v/>
      </c>
      <c r="G2577" t="str">
        <f>""</f>
        <v/>
      </c>
      <c r="I2577" t="str">
        <f t="shared" si="37"/>
        <v>BCBS PAYABLE</v>
      </c>
    </row>
    <row r="2578" spans="1:9" x14ac:dyDescent="0.3">
      <c r="A2578" t="str">
        <f>""</f>
        <v/>
      </c>
      <c r="F2578" t="str">
        <f>""</f>
        <v/>
      </c>
      <c r="G2578" t="str">
        <f>""</f>
        <v/>
      </c>
      <c r="I2578" t="str">
        <f t="shared" si="37"/>
        <v>BCBS PAYABLE</v>
      </c>
    </row>
    <row r="2579" spans="1:9" x14ac:dyDescent="0.3">
      <c r="A2579" t="str">
        <f>""</f>
        <v/>
      </c>
      <c r="F2579" t="str">
        <f>""</f>
        <v/>
      </c>
      <c r="G2579" t="str">
        <f>""</f>
        <v/>
      </c>
      <c r="I2579" t="str">
        <f t="shared" si="37"/>
        <v>BCBS PAYABLE</v>
      </c>
    </row>
    <row r="2580" spans="1:9" x14ac:dyDescent="0.3">
      <c r="A2580" t="str">
        <f>""</f>
        <v/>
      </c>
      <c r="F2580" t="str">
        <f>""</f>
        <v/>
      </c>
      <c r="G2580" t="str">
        <f>""</f>
        <v/>
      </c>
      <c r="I2580" t="str">
        <f t="shared" si="37"/>
        <v>BCBS PAYABLE</v>
      </c>
    </row>
    <row r="2581" spans="1:9" x14ac:dyDescent="0.3">
      <c r="A2581" t="str">
        <f>""</f>
        <v/>
      </c>
      <c r="F2581" t="str">
        <f>""</f>
        <v/>
      </c>
      <c r="G2581" t="str">
        <f>""</f>
        <v/>
      </c>
      <c r="I2581" t="str">
        <f t="shared" ref="I2581:I2596" si="38">"BCBS PAYABLE"</f>
        <v>BCBS PAYABLE</v>
      </c>
    </row>
    <row r="2582" spans="1:9" x14ac:dyDescent="0.3">
      <c r="A2582" t="str">
        <f>""</f>
        <v/>
      </c>
      <c r="F2582" t="str">
        <f>""</f>
        <v/>
      </c>
      <c r="G2582" t="str">
        <f>""</f>
        <v/>
      </c>
      <c r="I2582" t="str">
        <f t="shared" si="38"/>
        <v>BCBS PAYABLE</v>
      </c>
    </row>
    <row r="2583" spans="1:9" x14ac:dyDescent="0.3">
      <c r="A2583" t="str">
        <f>""</f>
        <v/>
      </c>
      <c r="F2583" t="str">
        <f>""</f>
        <v/>
      </c>
      <c r="G2583" t="str">
        <f>""</f>
        <v/>
      </c>
      <c r="I2583" t="str">
        <f t="shared" si="38"/>
        <v>BCBS PAYABLE</v>
      </c>
    </row>
    <row r="2584" spans="1:9" x14ac:dyDescent="0.3">
      <c r="A2584" t="str">
        <f>""</f>
        <v/>
      </c>
      <c r="F2584" t="str">
        <f>""</f>
        <v/>
      </c>
      <c r="G2584" t="str">
        <f>""</f>
        <v/>
      </c>
      <c r="I2584" t="str">
        <f t="shared" si="38"/>
        <v>BCBS PAYABLE</v>
      </c>
    </row>
    <row r="2585" spans="1:9" x14ac:dyDescent="0.3">
      <c r="A2585" t="str">
        <f>""</f>
        <v/>
      </c>
      <c r="F2585" t="str">
        <f>""</f>
        <v/>
      </c>
      <c r="G2585" t="str">
        <f>""</f>
        <v/>
      </c>
      <c r="I2585" t="str">
        <f t="shared" si="38"/>
        <v>BCBS PAYABLE</v>
      </c>
    </row>
    <row r="2586" spans="1:9" x14ac:dyDescent="0.3">
      <c r="A2586" t="str">
        <f>""</f>
        <v/>
      </c>
      <c r="F2586" t="str">
        <f>""</f>
        <v/>
      </c>
      <c r="G2586" t="str">
        <f>""</f>
        <v/>
      </c>
      <c r="I2586" t="str">
        <f t="shared" si="38"/>
        <v>BCBS PAYABLE</v>
      </c>
    </row>
    <row r="2587" spans="1:9" x14ac:dyDescent="0.3">
      <c r="A2587" t="str">
        <f>""</f>
        <v/>
      </c>
      <c r="F2587" t="str">
        <f>""</f>
        <v/>
      </c>
      <c r="G2587" t="str">
        <f>""</f>
        <v/>
      </c>
      <c r="I2587" t="str">
        <f t="shared" si="38"/>
        <v>BCBS PAYABLE</v>
      </c>
    </row>
    <row r="2588" spans="1:9" x14ac:dyDescent="0.3">
      <c r="A2588" t="str">
        <f>""</f>
        <v/>
      </c>
      <c r="F2588" t="str">
        <f>""</f>
        <v/>
      </c>
      <c r="G2588" t="str">
        <f>""</f>
        <v/>
      </c>
      <c r="I2588" t="str">
        <f t="shared" si="38"/>
        <v>BCBS PAYABLE</v>
      </c>
    </row>
    <row r="2589" spans="1:9" x14ac:dyDescent="0.3">
      <c r="A2589" t="str">
        <f>""</f>
        <v/>
      </c>
      <c r="F2589" t="str">
        <f>""</f>
        <v/>
      </c>
      <c r="G2589" t="str">
        <f>""</f>
        <v/>
      </c>
      <c r="I2589" t="str">
        <f t="shared" si="38"/>
        <v>BCBS PAYABLE</v>
      </c>
    </row>
    <row r="2590" spans="1:9" x14ac:dyDescent="0.3">
      <c r="A2590" t="str">
        <f>""</f>
        <v/>
      </c>
      <c r="F2590" t="str">
        <f>""</f>
        <v/>
      </c>
      <c r="G2590" t="str">
        <f>""</f>
        <v/>
      </c>
      <c r="I2590" t="str">
        <f t="shared" si="38"/>
        <v>BCBS PAYABLE</v>
      </c>
    </row>
    <row r="2591" spans="1:9" x14ac:dyDescent="0.3">
      <c r="A2591" t="str">
        <f>""</f>
        <v/>
      </c>
      <c r="F2591" t="str">
        <f>""</f>
        <v/>
      </c>
      <c r="G2591" t="str">
        <f>""</f>
        <v/>
      </c>
      <c r="I2591" t="str">
        <f t="shared" si="38"/>
        <v>BCBS PAYABLE</v>
      </c>
    </row>
    <row r="2592" spans="1:9" x14ac:dyDescent="0.3">
      <c r="A2592" t="str">
        <f>""</f>
        <v/>
      </c>
      <c r="F2592" t="str">
        <f>""</f>
        <v/>
      </c>
      <c r="G2592" t="str">
        <f>""</f>
        <v/>
      </c>
      <c r="I2592" t="str">
        <f t="shared" si="38"/>
        <v>BCBS PAYABLE</v>
      </c>
    </row>
    <row r="2593" spans="1:9" x14ac:dyDescent="0.3">
      <c r="A2593" t="str">
        <f>""</f>
        <v/>
      </c>
      <c r="F2593" t="str">
        <f>""</f>
        <v/>
      </c>
      <c r="G2593" t="str">
        <f>""</f>
        <v/>
      </c>
      <c r="I2593" t="str">
        <f t="shared" si="38"/>
        <v>BCBS PAYABLE</v>
      </c>
    </row>
    <row r="2594" spans="1:9" x14ac:dyDescent="0.3">
      <c r="A2594" t="str">
        <f>""</f>
        <v/>
      </c>
      <c r="F2594" t="str">
        <f>""</f>
        <v/>
      </c>
      <c r="G2594" t="str">
        <f>""</f>
        <v/>
      </c>
      <c r="I2594" t="str">
        <f t="shared" si="38"/>
        <v>BCBS PAYABLE</v>
      </c>
    </row>
    <row r="2595" spans="1:9" x14ac:dyDescent="0.3">
      <c r="A2595" t="str">
        <f>""</f>
        <v/>
      </c>
      <c r="F2595" t="str">
        <f>"2ES201806131561"</f>
        <v>2ES201806131561</v>
      </c>
      <c r="G2595" t="str">
        <f>"BCBS PAYABLE"</f>
        <v>BCBS PAYABLE</v>
      </c>
      <c r="H2595">
        <v>519.41999999999996</v>
      </c>
      <c r="I2595" t="str">
        <f t="shared" si="38"/>
        <v>BCBS PAYABLE</v>
      </c>
    </row>
    <row r="2596" spans="1:9" x14ac:dyDescent="0.3">
      <c r="A2596" t="str">
        <f>""</f>
        <v/>
      </c>
      <c r="F2596" t="str">
        <f>""</f>
        <v/>
      </c>
      <c r="G2596" t="str">
        <f>""</f>
        <v/>
      </c>
      <c r="I2596" t="str">
        <f t="shared" si="38"/>
        <v>BCBS PAYABLE</v>
      </c>
    </row>
    <row r="2597" spans="1:9" x14ac:dyDescent="0.3">
      <c r="A2597" t="str">
        <f>"TAGO"</f>
        <v>TAGO</v>
      </c>
      <c r="B2597" t="s">
        <v>449</v>
      </c>
      <c r="C2597">
        <v>0</v>
      </c>
      <c r="D2597" s="2">
        <v>4421.7299999999996</v>
      </c>
      <c r="E2597" s="1">
        <v>43252</v>
      </c>
      <c r="F2597" t="str">
        <f>"C18201805301223"</f>
        <v>C18201805301223</v>
      </c>
      <c r="G2597" t="str">
        <f>"CAUSE# 0011635329"</f>
        <v>CAUSE# 0011635329</v>
      </c>
      <c r="H2597">
        <v>603.23</v>
      </c>
      <c r="I2597" t="str">
        <f>"CAUSE# 0011635329"</f>
        <v>CAUSE# 0011635329</v>
      </c>
    </row>
    <row r="2598" spans="1:9" x14ac:dyDescent="0.3">
      <c r="A2598" t="str">
        <f>""</f>
        <v/>
      </c>
      <c r="F2598" t="str">
        <f>"C2 201805301223"</f>
        <v>C2 201805301223</v>
      </c>
      <c r="G2598" t="str">
        <f>"0012982132CCL7445"</f>
        <v>0012982132CCL7445</v>
      </c>
      <c r="H2598">
        <v>692.31</v>
      </c>
      <c r="I2598" t="str">
        <f>"0012982132CCL7445"</f>
        <v>0012982132CCL7445</v>
      </c>
    </row>
    <row r="2599" spans="1:9" x14ac:dyDescent="0.3">
      <c r="A2599" t="str">
        <f>""</f>
        <v/>
      </c>
      <c r="F2599" t="str">
        <f>"C20201805301204"</f>
        <v>C20201805301204</v>
      </c>
      <c r="G2599" t="str">
        <f>"001003981107-12252"</f>
        <v>001003981107-12252</v>
      </c>
      <c r="H2599">
        <v>115.39</v>
      </c>
      <c r="I2599" t="str">
        <f>"001003981107-12252"</f>
        <v>001003981107-12252</v>
      </c>
    </row>
    <row r="2600" spans="1:9" x14ac:dyDescent="0.3">
      <c r="A2600" t="str">
        <f>""</f>
        <v/>
      </c>
      <c r="F2600" t="str">
        <f>"C39201805301204"</f>
        <v>C39201805301204</v>
      </c>
      <c r="G2600" t="str">
        <f>"0012352184423-1520"</f>
        <v>0012352184423-1520</v>
      </c>
      <c r="H2600">
        <v>273.23</v>
      </c>
      <c r="I2600" t="str">
        <f>"0012352184423-1520"</f>
        <v>0012352184423-1520</v>
      </c>
    </row>
    <row r="2601" spans="1:9" x14ac:dyDescent="0.3">
      <c r="A2601" t="str">
        <f>""</f>
        <v/>
      </c>
      <c r="F2601" t="str">
        <f>"C42201805301204"</f>
        <v>C42201805301204</v>
      </c>
      <c r="G2601" t="str">
        <f>"001236769211-14410"</f>
        <v>001236769211-14410</v>
      </c>
      <c r="H2601">
        <v>230.31</v>
      </c>
      <c r="I2601" t="str">
        <f>"001236769211-14410"</f>
        <v>001236769211-14410</v>
      </c>
    </row>
    <row r="2602" spans="1:9" x14ac:dyDescent="0.3">
      <c r="A2602" t="str">
        <f>""</f>
        <v/>
      </c>
      <c r="F2602" t="str">
        <f>"C46201805301204"</f>
        <v>C46201805301204</v>
      </c>
      <c r="G2602" t="str">
        <f>"CAUSE# 11-14911"</f>
        <v>CAUSE# 11-14911</v>
      </c>
      <c r="H2602">
        <v>238.62</v>
      </c>
      <c r="I2602" t="str">
        <f>"CAUSE# 11-14911"</f>
        <v>CAUSE# 11-14911</v>
      </c>
    </row>
    <row r="2603" spans="1:9" x14ac:dyDescent="0.3">
      <c r="A2603" t="str">
        <f>""</f>
        <v/>
      </c>
      <c r="F2603" t="str">
        <f>"C53201805301204"</f>
        <v>C53201805301204</v>
      </c>
      <c r="G2603" t="str">
        <f>"0012453366"</f>
        <v>0012453366</v>
      </c>
      <c r="H2603">
        <v>207.69</v>
      </c>
      <c r="I2603" t="str">
        <f>"0012453366"</f>
        <v>0012453366</v>
      </c>
    </row>
    <row r="2604" spans="1:9" x14ac:dyDescent="0.3">
      <c r="A2604" t="str">
        <f>""</f>
        <v/>
      </c>
      <c r="F2604" t="str">
        <f>"C59201805301204"</f>
        <v>C59201805301204</v>
      </c>
      <c r="G2604" t="str">
        <f>"0012936495140043"</f>
        <v>0012936495140043</v>
      </c>
      <c r="H2604">
        <v>226.15</v>
      </c>
      <c r="I2604" t="str">
        <f>"0012936495140043"</f>
        <v>0012936495140043</v>
      </c>
    </row>
    <row r="2605" spans="1:9" x14ac:dyDescent="0.3">
      <c r="A2605" t="str">
        <f>""</f>
        <v/>
      </c>
      <c r="F2605" t="str">
        <f>"C60201805301204"</f>
        <v>C60201805301204</v>
      </c>
      <c r="G2605" t="str">
        <f>"00130730762012V300"</f>
        <v>00130730762012V300</v>
      </c>
      <c r="H2605">
        <v>399.32</v>
      </c>
      <c r="I2605" t="str">
        <f>"00130730762012V300"</f>
        <v>00130730762012V300</v>
      </c>
    </row>
    <row r="2606" spans="1:9" x14ac:dyDescent="0.3">
      <c r="A2606" t="str">
        <f>""</f>
        <v/>
      </c>
      <c r="F2606" t="str">
        <f>"C61201805301204"</f>
        <v>C61201805301204</v>
      </c>
      <c r="G2606" t="str">
        <f>"001174398213713"</f>
        <v>001174398213713</v>
      </c>
      <c r="H2606">
        <v>22.39</v>
      </c>
      <c r="I2606" t="str">
        <f>"001174398213713"</f>
        <v>001174398213713</v>
      </c>
    </row>
    <row r="2607" spans="1:9" x14ac:dyDescent="0.3">
      <c r="A2607" t="str">
        <f>""</f>
        <v/>
      </c>
      <c r="F2607" t="str">
        <f>"C62201805301204"</f>
        <v>C62201805301204</v>
      </c>
      <c r="G2607" t="str">
        <f>"# 0012128865"</f>
        <v># 0012128865</v>
      </c>
      <c r="H2607">
        <v>243.23</v>
      </c>
      <c r="I2607" t="str">
        <f>"# 0012128865"</f>
        <v># 0012128865</v>
      </c>
    </row>
    <row r="2608" spans="1:9" x14ac:dyDescent="0.3">
      <c r="A2608" t="str">
        <f>""</f>
        <v/>
      </c>
      <c r="F2608" t="str">
        <f>"C65201805301204"</f>
        <v>C65201805301204</v>
      </c>
      <c r="G2608" t="str">
        <f>"12-14956"</f>
        <v>12-14956</v>
      </c>
      <c r="H2608">
        <v>351.1</v>
      </c>
      <c r="I2608" t="str">
        <f>"12-14956"</f>
        <v>12-14956</v>
      </c>
    </row>
    <row r="2609" spans="1:9" x14ac:dyDescent="0.3">
      <c r="A2609" t="str">
        <f>""</f>
        <v/>
      </c>
      <c r="F2609" t="str">
        <f>"C66201805301204"</f>
        <v>C66201805301204</v>
      </c>
      <c r="G2609" t="str">
        <f>"# 0012871801"</f>
        <v># 0012871801</v>
      </c>
      <c r="H2609">
        <v>90</v>
      </c>
      <c r="I2609" t="str">
        <f>"# 0012871801"</f>
        <v># 0012871801</v>
      </c>
    </row>
    <row r="2610" spans="1:9" x14ac:dyDescent="0.3">
      <c r="A2610" t="str">
        <f>""</f>
        <v/>
      </c>
      <c r="F2610" t="str">
        <f>"C66201805301224"</f>
        <v>C66201805301224</v>
      </c>
      <c r="G2610" t="str">
        <f>"CAUSE#D1FM13007058"</f>
        <v>CAUSE#D1FM13007058</v>
      </c>
      <c r="H2610">
        <v>138.46</v>
      </c>
      <c r="I2610" t="str">
        <f>"CAUSE#D1FM13007058"</f>
        <v>CAUSE#D1FM13007058</v>
      </c>
    </row>
    <row r="2611" spans="1:9" x14ac:dyDescent="0.3">
      <c r="A2611" t="str">
        <f>""</f>
        <v/>
      </c>
      <c r="F2611" t="str">
        <f>"C68201805301204"</f>
        <v>C68201805301204</v>
      </c>
      <c r="G2611" t="str">
        <f>"00125374142011CM2291"</f>
        <v>00125374142011CM2291</v>
      </c>
      <c r="H2611">
        <v>402.92</v>
      </c>
      <c r="I2611" t="str">
        <f>"00125374142011CM2291"</f>
        <v>00125374142011CM2291</v>
      </c>
    </row>
    <row r="2612" spans="1:9" x14ac:dyDescent="0.3">
      <c r="A2612" t="str">
        <f>""</f>
        <v/>
      </c>
      <c r="F2612" t="str">
        <f>"C69201805301204"</f>
        <v>C69201805301204</v>
      </c>
      <c r="G2612" t="str">
        <f>"0012046911423672"</f>
        <v>0012046911423672</v>
      </c>
      <c r="H2612">
        <v>187.38</v>
      </c>
      <c r="I2612" t="str">
        <f>"0012046911423672"</f>
        <v>0012046911423672</v>
      </c>
    </row>
    <row r="2613" spans="1:9" x14ac:dyDescent="0.3">
      <c r="A2613" t="str">
        <f>"TAGO"</f>
        <v>TAGO</v>
      </c>
      <c r="B2613" t="s">
        <v>449</v>
      </c>
      <c r="C2613">
        <v>0</v>
      </c>
      <c r="D2613" s="2">
        <v>4018.81</v>
      </c>
      <c r="E2613" s="1">
        <v>43266</v>
      </c>
      <c r="F2613" t="str">
        <f>"C18201806131561"</f>
        <v>C18201806131561</v>
      </c>
      <c r="G2613" t="str">
        <f>"CAUSE# 0011635329"</f>
        <v>CAUSE# 0011635329</v>
      </c>
      <c r="H2613">
        <v>603.23</v>
      </c>
      <c r="I2613" t="str">
        <f>"CAUSE# 0011635329"</f>
        <v>CAUSE# 0011635329</v>
      </c>
    </row>
    <row r="2614" spans="1:9" x14ac:dyDescent="0.3">
      <c r="A2614" t="str">
        <f>""</f>
        <v/>
      </c>
      <c r="F2614" t="str">
        <f>"C2 201806131561"</f>
        <v>C2 201806131561</v>
      </c>
      <c r="G2614" t="str">
        <f>"0012982132CCL7445"</f>
        <v>0012982132CCL7445</v>
      </c>
      <c r="H2614">
        <v>692.31</v>
      </c>
      <c r="I2614" t="str">
        <f>"0012982132CCL7445"</f>
        <v>0012982132CCL7445</v>
      </c>
    </row>
    <row r="2615" spans="1:9" x14ac:dyDescent="0.3">
      <c r="A2615" t="str">
        <f>""</f>
        <v/>
      </c>
      <c r="F2615" t="str">
        <f>"C20201806131556"</f>
        <v>C20201806131556</v>
      </c>
      <c r="G2615" t="str">
        <f>"001003981107-12252"</f>
        <v>001003981107-12252</v>
      </c>
      <c r="H2615">
        <v>115.39</v>
      </c>
      <c r="I2615" t="str">
        <f>"001003981107-12252"</f>
        <v>001003981107-12252</v>
      </c>
    </row>
    <row r="2616" spans="1:9" x14ac:dyDescent="0.3">
      <c r="A2616" t="str">
        <f>""</f>
        <v/>
      </c>
      <c r="F2616" t="str">
        <f>"C39201806131556"</f>
        <v>C39201806131556</v>
      </c>
      <c r="G2616" t="str">
        <f>"0012352184423-1520"</f>
        <v>0012352184423-1520</v>
      </c>
      <c r="H2616">
        <v>273.23</v>
      </c>
      <c r="I2616" t="str">
        <f>"0012352184423-1520"</f>
        <v>0012352184423-1520</v>
      </c>
    </row>
    <row r="2617" spans="1:9" x14ac:dyDescent="0.3">
      <c r="A2617" t="str">
        <f>""</f>
        <v/>
      </c>
      <c r="F2617" t="str">
        <f>"C42201806131556"</f>
        <v>C42201806131556</v>
      </c>
      <c r="G2617" t="str">
        <f>"001236769211-14410"</f>
        <v>001236769211-14410</v>
      </c>
      <c r="H2617">
        <v>230.31</v>
      </c>
      <c r="I2617" t="str">
        <f>"001236769211-14410"</f>
        <v>001236769211-14410</v>
      </c>
    </row>
    <row r="2618" spans="1:9" x14ac:dyDescent="0.3">
      <c r="A2618" t="str">
        <f>""</f>
        <v/>
      </c>
      <c r="F2618" t="str">
        <f>"C46201806131556"</f>
        <v>C46201806131556</v>
      </c>
      <c r="G2618" t="str">
        <f>"CAUSE# 11-14911"</f>
        <v>CAUSE# 11-14911</v>
      </c>
      <c r="H2618">
        <v>238.62</v>
      </c>
      <c r="I2618" t="str">
        <f>"CAUSE# 11-14911"</f>
        <v>CAUSE# 11-14911</v>
      </c>
    </row>
    <row r="2619" spans="1:9" x14ac:dyDescent="0.3">
      <c r="A2619" t="str">
        <f>""</f>
        <v/>
      </c>
      <c r="F2619" t="str">
        <f>"C53201806131556"</f>
        <v>C53201806131556</v>
      </c>
      <c r="G2619" t="str">
        <f>"0012453366"</f>
        <v>0012453366</v>
      </c>
      <c r="H2619">
        <v>207.69</v>
      </c>
      <c r="I2619" t="str">
        <f>"0012453366"</f>
        <v>0012453366</v>
      </c>
    </row>
    <row r="2620" spans="1:9" x14ac:dyDescent="0.3">
      <c r="A2620" t="str">
        <f>""</f>
        <v/>
      </c>
      <c r="F2620" t="str">
        <f>"C59201806131556"</f>
        <v>C59201806131556</v>
      </c>
      <c r="G2620" t="str">
        <f>"0012936495140043"</f>
        <v>0012936495140043</v>
      </c>
      <c r="H2620">
        <v>226.15</v>
      </c>
      <c r="I2620" t="str">
        <f>"0012936495140043"</f>
        <v>0012936495140043</v>
      </c>
    </row>
    <row r="2621" spans="1:9" x14ac:dyDescent="0.3">
      <c r="A2621" t="str">
        <f>""</f>
        <v/>
      </c>
      <c r="F2621" t="str">
        <f>"C60201806131556"</f>
        <v>C60201806131556</v>
      </c>
      <c r="G2621" t="str">
        <f>"00130730762012V300"</f>
        <v>00130730762012V300</v>
      </c>
      <c r="H2621">
        <v>399.32</v>
      </c>
      <c r="I2621" t="str">
        <f>"00130730762012V300"</f>
        <v>00130730762012V300</v>
      </c>
    </row>
    <row r="2622" spans="1:9" x14ac:dyDescent="0.3">
      <c r="A2622" t="str">
        <f>""</f>
        <v/>
      </c>
      <c r="F2622" t="str">
        <f>"C61201806131556"</f>
        <v>C61201806131556</v>
      </c>
      <c r="G2622" t="str">
        <f>"001174398213713"</f>
        <v>001174398213713</v>
      </c>
      <c r="H2622">
        <v>22.39</v>
      </c>
      <c r="I2622" t="str">
        <f>"001174398213713"</f>
        <v>001174398213713</v>
      </c>
    </row>
    <row r="2623" spans="1:9" x14ac:dyDescent="0.3">
      <c r="A2623" t="str">
        <f>""</f>
        <v/>
      </c>
      <c r="F2623" t="str">
        <f>"C62201806131556"</f>
        <v>C62201806131556</v>
      </c>
      <c r="G2623" t="str">
        <f>"# 0012128865"</f>
        <v># 0012128865</v>
      </c>
      <c r="H2623">
        <v>243.23</v>
      </c>
      <c r="I2623" t="str">
        <f>"# 0012128865"</f>
        <v># 0012128865</v>
      </c>
    </row>
    <row r="2624" spans="1:9" x14ac:dyDescent="0.3">
      <c r="A2624" t="str">
        <f>""</f>
        <v/>
      </c>
      <c r="F2624" t="str">
        <f>"C65201806131556"</f>
        <v>C65201806131556</v>
      </c>
      <c r="G2624" t="str">
        <f>"12-14956"</f>
        <v>12-14956</v>
      </c>
      <c r="H2624">
        <v>351.1</v>
      </c>
      <c r="I2624" t="str">
        <f>"12-14956"</f>
        <v>12-14956</v>
      </c>
    </row>
    <row r="2625" spans="1:9" x14ac:dyDescent="0.3">
      <c r="A2625" t="str">
        <f>""</f>
        <v/>
      </c>
      <c r="F2625" t="str">
        <f>"C66201806131556"</f>
        <v>C66201806131556</v>
      </c>
      <c r="G2625" t="str">
        <f>"# 0012871801"</f>
        <v># 0012871801</v>
      </c>
      <c r="H2625">
        <v>90</v>
      </c>
      <c r="I2625" t="str">
        <f>"# 0012871801"</f>
        <v># 0012871801</v>
      </c>
    </row>
    <row r="2626" spans="1:9" x14ac:dyDescent="0.3">
      <c r="A2626" t="str">
        <f>""</f>
        <v/>
      </c>
      <c r="F2626" t="str">
        <f>"C66201806131563"</f>
        <v>C66201806131563</v>
      </c>
      <c r="G2626" t="str">
        <f>"CAUSE#D1FM13007058"</f>
        <v>CAUSE#D1FM13007058</v>
      </c>
      <c r="H2626">
        <v>138.46</v>
      </c>
      <c r="I2626" t="str">
        <f>"CAUSE#D1FM13007058"</f>
        <v>CAUSE#D1FM13007058</v>
      </c>
    </row>
    <row r="2627" spans="1:9" x14ac:dyDescent="0.3">
      <c r="A2627" t="str">
        <f>""</f>
        <v/>
      </c>
      <c r="F2627" t="str">
        <f>"C69201806131556"</f>
        <v>C69201806131556</v>
      </c>
      <c r="G2627" t="str">
        <f>"0012046911423672"</f>
        <v>0012046911423672</v>
      </c>
      <c r="H2627">
        <v>187.38</v>
      </c>
      <c r="I2627" t="str">
        <f>"0012046911423672"</f>
        <v>0012046911423672</v>
      </c>
    </row>
    <row r="2628" spans="1:9" x14ac:dyDescent="0.3">
      <c r="A2628" t="str">
        <f>"TAGO"</f>
        <v>TAGO</v>
      </c>
      <c r="B2628" t="s">
        <v>449</v>
      </c>
      <c r="C2628">
        <v>0</v>
      </c>
      <c r="D2628" s="2">
        <v>4018.81</v>
      </c>
      <c r="E2628" s="1">
        <v>43280</v>
      </c>
      <c r="F2628" t="str">
        <f>"C18201806271720"</f>
        <v>C18201806271720</v>
      </c>
      <c r="G2628" t="str">
        <f>"CAUSE# 0011635329"</f>
        <v>CAUSE# 0011635329</v>
      </c>
      <c r="H2628">
        <v>603.23</v>
      </c>
      <c r="I2628" t="str">
        <f>"CAUSE# 0011635329"</f>
        <v>CAUSE# 0011635329</v>
      </c>
    </row>
    <row r="2629" spans="1:9" x14ac:dyDescent="0.3">
      <c r="A2629" t="str">
        <f>""</f>
        <v/>
      </c>
      <c r="F2629" t="str">
        <f>"C2 201806271720"</f>
        <v>C2 201806271720</v>
      </c>
      <c r="G2629" t="str">
        <f>"0012982132CCL7445"</f>
        <v>0012982132CCL7445</v>
      </c>
      <c r="H2629">
        <v>692.31</v>
      </c>
      <c r="I2629" t="str">
        <f>"0012982132CCL7445"</f>
        <v>0012982132CCL7445</v>
      </c>
    </row>
    <row r="2630" spans="1:9" x14ac:dyDescent="0.3">
      <c r="A2630" t="str">
        <f>""</f>
        <v/>
      </c>
      <c r="F2630" t="str">
        <f>"C20201806271719"</f>
        <v>C20201806271719</v>
      </c>
      <c r="G2630" t="str">
        <f>"001003981107-12252"</f>
        <v>001003981107-12252</v>
      </c>
      <c r="H2630">
        <v>115.39</v>
      </c>
      <c r="I2630" t="str">
        <f>"001003981107-12252"</f>
        <v>001003981107-12252</v>
      </c>
    </row>
    <row r="2631" spans="1:9" x14ac:dyDescent="0.3">
      <c r="A2631" t="str">
        <f>""</f>
        <v/>
      </c>
      <c r="F2631" t="str">
        <f>"C39201806271719"</f>
        <v>C39201806271719</v>
      </c>
      <c r="G2631" t="str">
        <f>"0012352184423-1520"</f>
        <v>0012352184423-1520</v>
      </c>
      <c r="H2631">
        <v>273.23</v>
      </c>
      <c r="I2631" t="str">
        <f>"0012352184423-1520"</f>
        <v>0012352184423-1520</v>
      </c>
    </row>
    <row r="2632" spans="1:9" x14ac:dyDescent="0.3">
      <c r="A2632" t="str">
        <f>""</f>
        <v/>
      </c>
      <c r="F2632" t="str">
        <f>"C42201806271719"</f>
        <v>C42201806271719</v>
      </c>
      <c r="G2632" t="str">
        <f>"001236769211-14410"</f>
        <v>001236769211-14410</v>
      </c>
      <c r="H2632">
        <v>230.31</v>
      </c>
      <c r="I2632" t="str">
        <f>"001236769211-14410"</f>
        <v>001236769211-14410</v>
      </c>
    </row>
    <row r="2633" spans="1:9" x14ac:dyDescent="0.3">
      <c r="A2633" t="str">
        <f>""</f>
        <v/>
      </c>
      <c r="F2633" t="str">
        <f>"C46201806271719"</f>
        <v>C46201806271719</v>
      </c>
      <c r="G2633" t="str">
        <f>"CAUSE# 11-14911"</f>
        <v>CAUSE# 11-14911</v>
      </c>
      <c r="H2633">
        <v>238.62</v>
      </c>
      <c r="I2633" t="str">
        <f>"CAUSE# 11-14911"</f>
        <v>CAUSE# 11-14911</v>
      </c>
    </row>
    <row r="2634" spans="1:9" x14ac:dyDescent="0.3">
      <c r="A2634" t="str">
        <f>""</f>
        <v/>
      </c>
      <c r="F2634" t="str">
        <f>"C53201806271719"</f>
        <v>C53201806271719</v>
      </c>
      <c r="G2634" t="str">
        <f>"0012453366"</f>
        <v>0012453366</v>
      </c>
      <c r="H2634">
        <v>207.69</v>
      </c>
      <c r="I2634" t="str">
        <f>"0012453366"</f>
        <v>0012453366</v>
      </c>
    </row>
    <row r="2635" spans="1:9" x14ac:dyDescent="0.3">
      <c r="A2635" t="str">
        <f>""</f>
        <v/>
      </c>
      <c r="F2635" t="str">
        <f>"C59201806271719"</f>
        <v>C59201806271719</v>
      </c>
      <c r="G2635" t="str">
        <f>"0012936495140043"</f>
        <v>0012936495140043</v>
      </c>
      <c r="H2635">
        <v>226.15</v>
      </c>
      <c r="I2635" t="str">
        <f>"0012936495140043"</f>
        <v>0012936495140043</v>
      </c>
    </row>
    <row r="2636" spans="1:9" x14ac:dyDescent="0.3">
      <c r="A2636" t="str">
        <f>""</f>
        <v/>
      </c>
      <c r="F2636" t="str">
        <f>"C60201806271719"</f>
        <v>C60201806271719</v>
      </c>
      <c r="G2636" t="str">
        <f>"00130730762012V300"</f>
        <v>00130730762012V300</v>
      </c>
      <c r="H2636">
        <v>399.32</v>
      </c>
      <c r="I2636" t="str">
        <f>"00130730762012V300"</f>
        <v>00130730762012V300</v>
      </c>
    </row>
    <row r="2637" spans="1:9" x14ac:dyDescent="0.3">
      <c r="A2637" t="str">
        <f>""</f>
        <v/>
      </c>
      <c r="F2637" t="str">
        <f>"C61201806271719"</f>
        <v>C61201806271719</v>
      </c>
      <c r="G2637" t="str">
        <f>"001174398213713"</f>
        <v>001174398213713</v>
      </c>
      <c r="H2637">
        <v>22.39</v>
      </c>
      <c r="I2637" t="str">
        <f>"001174398213713"</f>
        <v>001174398213713</v>
      </c>
    </row>
    <row r="2638" spans="1:9" x14ac:dyDescent="0.3">
      <c r="A2638" t="str">
        <f>""</f>
        <v/>
      </c>
      <c r="F2638" t="str">
        <f>"C62201806271719"</f>
        <v>C62201806271719</v>
      </c>
      <c r="G2638" t="str">
        <f>"# 0012128865"</f>
        <v># 0012128865</v>
      </c>
      <c r="H2638">
        <v>243.23</v>
      </c>
      <c r="I2638" t="str">
        <f>"# 0012128865"</f>
        <v># 0012128865</v>
      </c>
    </row>
    <row r="2639" spans="1:9" x14ac:dyDescent="0.3">
      <c r="A2639" t="str">
        <f>""</f>
        <v/>
      </c>
      <c r="F2639" t="str">
        <f>"C65201806271719"</f>
        <v>C65201806271719</v>
      </c>
      <c r="G2639" t="str">
        <f>"12-14956"</f>
        <v>12-14956</v>
      </c>
      <c r="H2639">
        <v>351.1</v>
      </c>
      <c r="I2639" t="str">
        <f>"12-14956"</f>
        <v>12-14956</v>
      </c>
    </row>
    <row r="2640" spans="1:9" x14ac:dyDescent="0.3">
      <c r="A2640" t="str">
        <f>""</f>
        <v/>
      </c>
      <c r="F2640" t="str">
        <f>"C66201806271719"</f>
        <v>C66201806271719</v>
      </c>
      <c r="G2640" t="str">
        <f>"# 0012871801"</f>
        <v># 0012871801</v>
      </c>
      <c r="H2640">
        <v>90</v>
      </c>
      <c r="I2640" t="str">
        <f>"# 0012871801"</f>
        <v># 0012871801</v>
      </c>
    </row>
    <row r="2641" spans="1:9" x14ac:dyDescent="0.3">
      <c r="A2641" t="str">
        <f>""</f>
        <v/>
      </c>
      <c r="F2641" t="str">
        <f>"C66201806271721"</f>
        <v>C66201806271721</v>
      </c>
      <c r="G2641" t="str">
        <f>"CAUSE#D1FM13007058"</f>
        <v>CAUSE#D1FM13007058</v>
      </c>
      <c r="H2641">
        <v>138.46</v>
      </c>
      <c r="I2641" t="str">
        <f>"CAUSE#D1FM13007058"</f>
        <v>CAUSE#D1FM13007058</v>
      </c>
    </row>
    <row r="2642" spans="1:9" x14ac:dyDescent="0.3">
      <c r="A2642" t="str">
        <f>""</f>
        <v/>
      </c>
      <c r="F2642" t="str">
        <f>"C69201806271719"</f>
        <v>C69201806271719</v>
      </c>
      <c r="G2642" t="str">
        <f>"0012046911423672"</f>
        <v>0012046911423672</v>
      </c>
      <c r="H2642">
        <v>187.38</v>
      </c>
      <c r="I2642" t="str">
        <f>"0012046911423672"</f>
        <v>0012046911423672</v>
      </c>
    </row>
    <row r="2643" spans="1:9" x14ac:dyDescent="0.3">
      <c r="A2643" t="str">
        <f>"TCDRS"</f>
        <v>TCDRS</v>
      </c>
      <c r="B2643" t="s">
        <v>450</v>
      </c>
      <c r="C2643">
        <v>0</v>
      </c>
      <c r="D2643" s="2">
        <v>479805.99</v>
      </c>
      <c r="E2643" s="1">
        <v>43280</v>
      </c>
      <c r="F2643" t="str">
        <f>"RET201805301204"</f>
        <v>RET201805301204</v>
      </c>
      <c r="G2643" t="str">
        <f>"TEXAS COUNTY &amp; DISTRICT RET"</f>
        <v>TEXAS COUNTY &amp; DISTRICT RET</v>
      </c>
      <c r="H2643">
        <v>147011.87</v>
      </c>
      <c r="I2643" t="str">
        <f t="shared" ref="I2643:I2674" si="39">"TEXAS COUNTY &amp; DISTRICT RET"</f>
        <v>TEXAS COUNTY &amp; DISTRICT RET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39"/>
        <v>TEXAS COUNTY &amp; DISTRICT RET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39"/>
        <v>TEXAS COUNTY &amp; DISTRICT RET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39"/>
        <v>TEXAS COUNTY &amp; DISTRICT RET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39"/>
        <v>TEXAS COUNTY &amp; DISTRICT RET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si="39"/>
        <v>TEXAS COUNTY &amp; DISTRICT RET</v>
      </c>
    </row>
    <row r="2649" spans="1:9" x14ac:dyDescent="0.3">
      <c r="A2649" t="str">
        <f>""</f>
        <v/>
      </c>
      <c r="F2649" t="str">
        <f>""</f>
        <v/>
      </c>
      <c r="G2649" t="str">
        <f>""</f>
        <v/>
      </c>
      <c r="I2649" t="str">
        <f t="shared" si="39"/>
        <v>TEXAS COUNTY &amp; DISTRICT RET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39"/>
        <v>TEXAS COUNTY &amp; DISTRICT RET</v>
      </c>
    </row>
    <row r="2651" spans="1:9" x14ac:dyDescent="0.3">
      <c r="A2651" t="str">
        <f>""</f>
        <v/>
      </c>
      <c r="F2651" t="str">
        <f>""</f>
        <v/>
      </c>
      <c r="G2651" t="str">
        <f>""</f>
        <v/>
      </c>
      <c r="I2651" t="str">
        <f t="shared" si="39"/>
        <v>TEXAS COUNTY &amp; DISTRICT RET</v>
      </c>
    </row>
    <row r="2652" spans="1:9" x14ac:dyDescent="0.3">
      <c r="A2652" t="str">
        <f>""</f>
        <v/>
      </c>
      <c r="F2652" t="str">
        <f>""</f>
        <v/>
      </c>
      <c r="G2652" t="str">
        <f>""</f>
        <v/>
      </c>
      <c r="I2652" t="str">
        <f t="shared" si="39"/>
        <v>TEXAS COUNTY &amp; DISTRICT RET</v>
      </c>
    </row>
    <row r="2653" spans="1:9" x14ac:dyDescent="0.3">
      <c r="A2653" t="str">
        <f>""</f>
        <v/>
      </c>
      <c r="F2653" t="str">
        <f>""</f>
        <v/>
      </c>
      <c r="G2653" t="str">
        <f>""</f>
        <v/>
      </c>
      <c r="I2653" t="str">
        <f t="shared" si="39"/>
        <v>TEXAS COUNTY &amp; DISTRICT RET</v>
      </c>
    </row>
    <row r="2654" spans="1:9" x14ac:dyDescent="0.3">
      <c r="A2654" t="str">
        <f>""</f>
        <v/>
      </c>
      <c r="F2654" t="str">
        <f>""</f>
        <v/>
      </c>
      <c r="G2654" t="str">
        <f>""</f>
        <v/>
      </c>
      <c r="I2654" t="str">
        <f t="shared" si="39"/>
        <v>TEXAS COUNTY &amp; DISTRICT RET</v>
      </c>
    </row>
    <row r="2655" spans="1:9" x14ac:dyDescent="0.3">
      <c r="A2655" t="str">
        <f>""</f>
        <v/>
      </c>
      <c r="F2655" t="str">
        <f>""</f>
        <v/>
      </c>
      <c r="G2655" t="str">
        <f>""</f>
        <v/>
      </c>
      <c r="I2655" t="str">
        <f t="shared" si="39"/>
        <v>TEXAS COUNTY &amp; DISTRICT RET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39"/>
        <v>TEXAS COUNTY &amp; DISTRICT RET</v>
      </c>
    </row>
    <row r="2657" spans="1:9" x14ac:dyDescent="0.3">
      <c r="A2657" t="str">
        <f>""</f>
        <v/>
      </c>
      <c r="F2657" t="str">
        <f>""</f>
        <v/>
      </c>
      <c r="G2657" t="str">
        <f>""</f>
        <v/>
      </c>
      <c r="I2657" t="str">
        <f t="shared" si="39"/>
        <v>TEXAS COUNTY &amp; DISTRICT RET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39"/>
        <v>TEXAS COUNTY &amp; DISTRICT RET</v>
      </c>
    </row>
    <row r="2659" spans="1:9" x14ac:dyDescent="0.3">
      <c r="A2659" t="str">
        <f>""</f>
        <v/>
      </c>
      <c r="F2659" t="str">
        <f>""</f>
        <v/>
      </c>
      <c r="G2659" t="str">
        <f>""</f>
        <v/>
      </c>
      <c r="I2659" t="str">
        <f t="shared" si="39"/>
        <v>TEXAS COUNTY &amp; DISTRICT RET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39"/>
        <v>TEXAS COUNTY &amp; DISTRICT RET</v>
      </c>
    </row>
    <row r="2661" spans="1:9" x14ac:dyDescent="0.3">
      <c r="A2661" t="str">
        <f>""</f>
        <v/>
      </c>
      <c r="F2661" t="str">
        <f>""</f>
        <v/>
      </c>
      <c r="G2661" t="str">
        <f>""</f>
        <v/>
      </c>
      <c r="I2661" t="str">
        <f t="shared" si="39"/>
        <v>TEXAS COUNTY &amp; DISTRICT RET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 t="shared" si="39"/>
        <v>TEXAS COUNTY &amp; DISTRICT RET</v>
      </c>
    </row>
    <row r="2663" spans="1:9" x14ac:dyDescent="0.3">
      <c r="A2663" t="str">
        <f>""</f>
        <v/>
      </c>
      <c r="F2663" t="str">
        <f>""</f>
        <v/>
      </c>
      <c r="G2663" t="str">
        <f>""</f>
        <v/>
      </c>
      <c r="I2663" t="str">
        <f t="shared" si="39"/>
        <v>TEXAS COUNTY &amp; DISTRICT RET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 t="shared" si="39"/>
        <v>TEXAS COUNTY &amp; DISTRICT RET</v>
      </c>
    </row>
    <row r="2665" spans="1:9" x14ac:dyDescent="0.3">
      <c r="A2665" t="str">
        <f>""</f>
        <v/>
      </c>
      <c r="F2665" t="str">
        <f>""</f>
        <v/>
      </c>
      <c r="G2665" t="str">
        <f>""</f>
        <v/>
      </c>
      <c r="I2665" t="str">
        <f t="shared" si="39"/>
        <v>TEXAS COUNTY &amp; DISTRICT RET</v>
      </c>
    </row>
    <row r="2666" spans="1:9" x14ac:dyDescent="0.3">
      <c r="A2666" t="str">
        <f>""</f>
        <v/>
      </c>
      <c r="F2666" t="str">
        <f>""</f>
        <v/>
      </c>
      <c r="G2666" t="str">
        <f>""</f>
        <v/>
      </c>
      <c r="I2666" t="str">
        <f t="shared" si="39"/>
        <v>TEXAS COUNTY &amp; DISTRICT RET</v>
      </c>
    </row>
    <row r="2667" spans="1:9" x14ac:dyDescent="0.3">
      <c r="A2667" t="str">
        <f>""</f>
        <v/>
      </c>
      <c r="F2667" t="str">
        <f>""</f>
        <v/>
      </c>
      <c r="G2667" t="str">
        <f>""</f>
        <v/>
      </c>
      <c r="I2667" t="str">
        <f t="shared" si="39"/>
        <v>TEXAS COUNTY &amp; DISTRICT RET</v>
      </c>
    </row>
    <row r="2668" spans="1:9" x14ac:dyDescent="0.3">
      <c r="A2668" t="str">
        <f>""</f>
        <v/>
      </c>
      <c r="F2668" t="str">
        <f>""</f>
        <v/>
      </c>
      <c r="G2668" t="str">
        <f>""</f>
        <v/>
      </c>
      <c r="I2668" t="str">
        <f t="shared" si="39"/>
        <v>TEXAS COUNTY &amp; DISTRICT RET</v>
      </c>
    </row>
    <row r="2669" spans="1:9" x14ac:dyDescent="0.3">
      <c r="A2669" t="str">
        <f>""</f>
        <v/>
      </c>
      <c r="F2669" t="str">
        <f>""</f>
        <v/>
      </c>
      <c r="G2669" t="str">
        <f>""</f>
        <v/>
      </c>
      <c r="I2669" t="str">
        <f t="shared" si="39"/>
        <v>TEXAS COUNTY &amp; DISTRICT RET</v>
      </c>
    </row>
    <row r="2670" spans="1:9" x14ac:dyDescent="0.3">
      <c r="A2670" t="str">
        <f>""</f>
        <v/>
      </c>
      <c r="F2670" t="str">
        <f>""</f>
        <v/>
      </c>
      <c r="G2670" t="str">
        <f>""</f>
        <v/>
      </c>
      <c r="I2670" t="str">
        <f t="shared" si="39"/>
        <v>TEXAS COUNTY &amp; DISTRICT RET</v>
      </c>
    </row>
    <row r="2671" spans="1:9" x14ac:dyDescent="0.3">
      <c r="A2671" t="str">
        <f>""</f>
        <v/>
      </c>
      <c r="F2671" t="str">
        <f>""</f>
        <v/>
      </c>
      <c r="G2671" t="str">
        <f>""</f>
        <v/>
      </c>
      <c r="I2671" t="str">
        <f t="shared" si="39"/>
        <v>TEXAS COUNTY &amp; DISTRICT RET</v>
      </c>
    </row>
    <row r="2672" spans="1:9" x14ac:dyDescent="0.3">
      <c r="A2672" t="str">
        <f>""</f>
        <v/>
      </c>
      <c r="F2672" t="str">
        <f>""</f>
        <v/>
      </c>
      <c r="G2672" t="str">
        <f>""</f>
        <v/>
      </c>
      <c r="I2672" t="str">
        <f t="shared" si="39"/>
        <v>TEXAS COUNTY &amp; DISTRICT RET</v>
      </c>
    </row>
    <row r="2673" spans="1:9" x14ac:dyDescent="0.3">
      <c r="A2673" t="str">
        <f>""</f>
        <v/>
      </c>
      <c r="F2673" t="str">
        <f>""</f>
        <v/>
      </c>
      <c r="G2673" t="str">
        <f>""</f>
        <v/>
      </c>
      <c r="I2673" t="str">
        <f t="shared" si="39"/>
        <v>TEXAS COUNTY &amp; DISTRICT RET</v>
      </c>
    </row>
    <row r="2674" spans="1:9" x14ac:dyDescent="0.3">
      <c r="A2674" t="str">
        <f>""</f>
        <v/>
      </c>
      <c r="F2674" t="str">
        <f>""</f>
        <v/>
      </c>
      <c r="G2674" t="str">
        <f>""</f>
        <v/>
      </c>
      <c r="I2674" t="str">
        <f t="shared" si="39"/>
        <v>TEXAS COUNTY &amp; DISTRICT RET</v>
      </c>
    </row>
    <row r="2675" spans="1:9" x14ac:dyDescent="0.3">
      <c r="A2675" t="str">
        <f>""</f>
        <v/>
      </c>
      <c r="F2675" t="str">
        <f>""</f>
        <v/>
      </c>
      <c r="G2675" t="str">
        <f>""</f>
        <v/>
      </c>
      <c r="I2675" t="str">
        <f t="shared" ref="I2675:I2694" si="40">"TEXAS COUNTY &amp; DISTRICT RET"</f>
        <v>TEXAS COUNTY &amp; DISTRICT RET</v>
      </c>
    </row>
    <row r="2676" spans="1:9" x14ac:dyDescent="0.3">
      <c r="A2676" t="str">
        <f>""</f>
        <v/>
      </c>
      <c r="F2676" t="str">
        <f>""</f>
        <v/>
      </c>
      <c r="G2676" t="str">
        <f>""</f>
        <v/>
      </c>
      <c r="I2676" t="str">
        <f t="shared" si="40"/>
        <v>TEXAS COUNTY &amp; DISTRICT RET</v>
      </c>
    </row>
    <row r="2677" spans="1:9" x14ac:dyDescent="0.3">
      <c r="A2677" t="str">
        <f>""</f>
        <v/>
      </c>
      <c r="F2677" t="str">
        <f>""</f>
        <v/>
      </c>
      <c r="G2677" t="str">
        <f>""</f>
        <v/>
      </c>
      <c r="I2677" t="str">
        <f t="shared" si="40"/>
        <v>TEXAS COUNTY &amp; DISTRICT RET</v>
      </c>
    </row>
    <row r="2678" spans="1:9" x14ac:dyDescent="0.3">
      <c r="A2678" t="str">
        <f>""</f>
        <v/>
      </c>
      <c r="F2678" t="str">
        <f>""</f>
        <v/>
      </c>
      <c r="G2678" t="str">
        <f>""</f>
        <v/>
      </c>
      <c r="I2678" t="str">
        <f t="shared" si="40"/>
        <v>TEXAS COUNTY &amp; DISTRICT RET</v>
      </c>
    </row>
    <row r="2679" spans="1:9" x14ac:dyDescent="0.3">
      <c r="A2679" t="str">
        <f>""</f>
        <v/>
      </c>
      <c r="F2679" t="str">
        <f>""</f>
        <v/>
      </c>
      <c r="G2679" t="str">
        <f>""</f>
        <v/>
      </c>
      <c r="I2679" t="str">
        <f t="shared" si="40"/>
        <v>TEXAS COUNTY &amp; DISTRICT RET</v>
      </c>
    </row>
    <row r="2680" spans="1:9" x14ac:dyDescent="0.3">
      <c r="A2680" t="str">
        <f>""</f>
        <v/>
      </c>
      <c r="F2680" t="str">
        <f>""</f>
        <v/>
      </c>
      <c r="G2680" t="str">
        <f>""</f>
        <v/>
      </c>
      <c r="I2680" t="str">
        <f t="shared" si="40"/>
        <v>TEXAS COUNTY &amp; DISTRICT RET</v>
      </c>
    </row>
    <row r="2681" spans="1:9" x14ac:dyDescent="0.3">
      <c r="A2681" t="str">
        <f>""</f>
        <v/>
      </c>
      <c r="F2681" t="str">
        <f>""</f>
        <v/>
      </c>
      <c r="G2681" t="str">
        <f>""</f>
        <v/>
      </c>
      <c r="I2681" t="str">
        <f t="shared" si="40"/>
        <v>TEXAS COUNTY &amp; DISTRICT RET</v>
      </c>
    </row>
    <row r="2682" spans="1:9" x14ac:dyDescent="0.3">
      <c r="A2682" t="str">
        <f>""</f>
        <v/>
      </c>
      <c r="F2682" t="str">
        <f>""</f>
        <v/>
      </c>
      <c r="G2682" t="str">
        <f>""</f>
        <v/>
      </c>
      <c r="I2682" t="str">
        <f t="shared" si="40"/>
        <v>TEXAS COUNTY &amp; DISTRICT RET</v>
      </c>
    </row>
    <row r="2683" spans="1:9" x14ac:dyDescent="0.3">
      <c r="A2683" t="str">
        <f>""</f>
        <v/>
      </c>
      <c r="F2683" t="str">
        <f>""</f>
        <v/>
      </c>
      <c r="G2683" t="str">
        <f>""</f>
        <v/>
      </c>
      <c r="I2683" t="str">
        <f t="shared" si="40"/>
        <v>TEXAS COUNTY &amp; DISTRICT RET</v>
      </c>
    </row>
    <row r="2684" spans="1:9" x14ac:dyDescent="0.3">
      <c r="A2684" t="str">
        <f>""</f>
        <v/>
      </c>
      <c r="F2684" t="str">
        <f>""</f>
        <v/>
      </c>
      <c r="G2684" t="str">
        <f>""</f>
        <v/>
      </c>
      <c r="I2684" t="str">
        <f t="shared" si="40"/>
        <v>TEXAS COUNTY &amp; DISTRICT RET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40"/>
        <v>TEXAS COUNTY &amp; DISTRICT RET</v>
      </c>
    </row>
    <row r="2686" spans="1:9" x14ac:dyDescent="0.3">
      <c r="A2686" t="str">
        <f>""</f>
        <v/>
      </c>
      <c r="F2686" t="str">
        <f>""</f>
        <v/>
      </c>
      <c r="G2686" t="str">
        <f>""</f>
        <v/>
      </c>
      <c r="I2686" t="str">
        <f t="shared" si="40"/>
        <v>TEXAS COUNTY &amp; DISTRICT RET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40"/>
        <v>TEXAS COUNTY &amp; DISTRICT RET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40"/>
        <v>TEXAS COUNTY &amp; DISTRICT RET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40"/>
        <v>TEXAS COUNTY &amp; DISTRICT RET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40"/>
        <v>TEXAS COUNTY &amp; DISTRICT RET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40"/>
        <v>TEXAS COUNTY &amp; DISTRICT RET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40"/>
        <v>TEXAS COUNTY &amp; DISTRICT RET</v>
      </c>
    </row>
    <row r="2693" spans="1:9" x14ac:dyDescent="0.3">
      <c r="A2693" t="str">
        <f>""</f>
        <v/>
      </c>
      <c r="F2693" t="str">
        <f>""</f>
        <v/>
      </c>
      <c r="G2693" t="str">
        <f>""</f>
        <v/>
      </c>
      <c r="I2693" t="str">
        <f t="shared" si="40"/>
        <v>TEXAS COUNTY &amp; DISTRICT RET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40"/>
        <v>TEXAS COUNTY &amp; DISTRICT RET</v>
      </c>
    </row>
    <row r="2695" spans="1:9" x14ac:dyDescent="0.3">
      <c r="A2695" t="str">
        <f>""</f>
        <v/>
      </c>
      <c r="F2695" t="str">
        <f>"RET201805301223"</f>
        <v>RET201805301223</v>
      </c>
      <c r="G2695" t="str">
        <f>"TEXAS COUNTY  DISTRICT RET"</f>
        <v>TEXAS COUNTY  DISTRICT RET</v>
      </c>
      <c r="H2695">
        <v>5835.04</v>
      </c>
      <c r="I2695" t="str">
        <f>"TEXAS COUNTY  DISTRICT RET"</f>
        <v>TEXAS COUNTY  DISTRICT RET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>"TEXAS COUNTY  DISTRICT RET"</f>
        <v>TEXAS COUNTY  DISTRICT RET</v>
      </c>
    </row>
    <row r="2697" spans="1:9" x14ac:dyDescent="0.3">
      <c r="A2697" t="str">
        <f>""</f>
        <v/>
      </c>
      <c r="F2697" t="str">
        <f>"RET201805301224"</f>
        <v>RET201805301224</v>
      </c>
      <c r="G2697" t="str">
        <f>"TEXAS COUNTY &amp; DISTRICT RET"</f>
        <v>TEXAS COUNTY &amp; DISTRICT RET</v>
      </c>
      <c r="H2697">
        <v>8177.43</v>
      </c>
      <c r="I2697" t="str">
        <f t="shared" ref="I2697:I2728" si="41">"TEXAS COUNTY &amp; DISTRICT RET"</f>
        <v>TEXAS COUNTY &amp; DISTRICT RET</v>
      </c>
    </row>
    <row r="2698" spans="1:9" x14ac:dyDescent="0.3">
      <c r="A2698" t="str">
        <f>""</f>
        <v/>
      </c>
      <c r="F2698" t="str">
        <f>""</f>
        <v/>
      </c>
      <c r="G2698" t="str">
        <f>""</f>
        <v/>
      </c>
      <c r="I2698" t="str">
        <f t="shared" si="41"/>
        <v>TEXAS COUNTY &amp; DISTRICT RET</v>
      </c>
    </row>
    <row r="2699" spans="1:9" x14ac:dyDescent="0.3">
      <c r="A2699" t="str">
        <f>""</f>
        <v/>
      </c>
      <c r="F2699" t="str">
        <f>"RET201806131556"</f>
        <v>RET201806131556</v>
      </c>
      <c r="G2699" t="str">
        <f>"TEXAS COUNTY &amp; DISTRICT RET"</f>
        <v>TEXAS COUNTY &amp; DISTRICT RET</v>
      </c>
      <c r="H2699">
        <v>147840.78</v>
      </c>
      <c r="I2699" t="str">
        <f t="shared" si="41"/>
        <v>TEXAS COUNTY &amp; DISTRICT RET</v>
      </c>
    </row>
    <row r="2700" spans="1:9" x14ac:dyDescent="0.3">
      <c r="A2700" t="str">
        <f>""</f>
        <v/>
      </c>
      <c r="F2700" t="str">
        <f>""</f>
        <v/>
      </c>
      <c r="G2700" t="str">
        <f>""</f>
        <v/>
      </c>
      <c r="I2700" t="str">
        <f t="shared" si="41"/>
        <v>TEXAS COUNTY &amp; DISTRICT RET</v>
      </c>
    </row>
    <row r="2701" spans="1:9" x14ac:dyDescent="0.3">
      <c r="A2701" t="str">
        <f>""</f>
        <v/>
      </c>
      <c r="F2701" t="str">
        <f>""</f>
        <v/>
      </c>
      <c r="G2701" t="str">
        <f>""</f>
        <v/>
      </c>
      <c r="I2701" t="str">
        <f t="shared" si="41"/>
        <v>TEXAS COUNTY &amp; DISTRICT RET</v>
      </c>
    </row>
    <row r="2702" spans="1:9" x14ac:dyDescent="0.3">
      <c r="A2702" t="str">
        <f>""</f>
        <v/>
      </c>
      <c r="F2702" t="str">
        <f>""</f>
        <v/>
      </c>
      <c r="G2702" t="str">
        <f>""</f>
        <v/>
      </c>
      <c r="I2702" t="str">
        <f t="shared" si="41"/>
        <v>TEXAS COUNTY &amp; DISTRICT RET</v>
      </c>
    </row>
    <row r="2703" spans="1:9" x14ac:dyDescent="0.3">
      <c r="A2703" t="str">
        <f>""</f>
        <v/>
      </c>
      <c r="F2703" t="str">
        <f>""</f>
        <v/>
      </c>
      <c r="G2703" t="str">
        <f>""</f>
        <v/>
      </c>
      <c r="I2703" t="str">
        <f t="shared" si="41"/>
        <v>TEXAS COUNTY &amp; DISTRICT RET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41"/>
        <v>TEXAS COUNTY &amp; DISTRICT RET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si="41"/>
        <v>TEXAS COUNTY &amp; DISTRICT RET</v>
      </c>
    </row>
    <row r="2706" spans="1:9" x14ac:dyDescent="0.3">
      <c r="A2706" t="str">
        <f>""</f>
        <v/>
      </c>
      <c r="F2706" t="str">
        <f>""</f>
        <v/>
      </c>
      <c r="G2706" t="str">
        <f>""</f>
        <v/>
      </c>
      <c r="I2706" t="str">
        <f t="shared" si="41"/>
        <v>TEXAS COUNTY &amp; DISTRICT RET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 t="shared" si="41"/>
        <v>TEXAS COUNTY &amp; DISTRICT RET</v>
      </c>
    </row>
    <row r="2708" spans="1:9" x14ac:dyDescent="0.3">
      <c r="A2708" t="str">
        <f>""</f>
        <v/>
      </c>
      <c r="F2708" t="str">
        <f>""</f>
        <v/>
      </c>
      <c r="G2708" t="str">
        <f>""</f>
        <v/>
      </c>
      <c r="I2708" t="str">
        <f t="shared" si="41"/>
        <v>TEXAS COUNTY &amp; DISTRICT RET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41"/>
        <v>TEXAS COUNTY &amp; DISTRICT RET</v>
      </c>
    </row>
    <row r="2710" spans="1:9" x14ac:dyDescent="0.3">
      <c r="A2710" t="str">
        <f>""</f>
        <v/>
      </c>
      <c r="F2710" t="str">
        <f>""</f>
        <v/>
      </c>
      <c r="G2710" t="str">
        <f>""</f>
        <v/>
      </c>
      <c r="I2710" t="str">
        <f t="shared" si="41"/>
        <v>TEXAS COUNTY &amp; DISTRICT RET</v>
      </c>
    </row>
    <row r="2711" spans="1:9" x14ac:dyDescent="0.3">
      <c r="A2711" t="str">
        <f>""</f>
        <v/>
      </c>
      <c r="F2711" t="str">
        <f>""</f>
        <v/>
      </c>
      <c r="G2711" t="str">
        <f>""</f>
        <v/>
      </c>
      <c r="I2711" t="str">
        <f t="shared" si="41"/>
        <v>TEXAS COUNTY &amp; DISTRICT RET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41"/>
        <v>TEXAS COUNTY &amp; DISTRICT RET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41"/>
        <v>TEXAS COUNTY &amp; DISTRICT RET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41"/>
        <v>TEXAS COUNTY &amp; DISTRICT RET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41"/>
        <v>TEXAS COUNTY &amp; DISTRICT RET</v>
      </c>
    </row>
    <row r="2716" spans="1:9" x14ac:dyDescent="0.3">
      <c r="A2716" t="str">
        <f>""</f>
        <v/>
      </c>
      <c r="F2716" t="str">
        <f>""</f>
        <v/>
      </c>
      <c r="G2716" t="str">
        <f>""</f>
        <v/>
      </c>
      <c r="I2716" t="str">
        <f t="shared" si="41"/>
        <v>TEXAS COUNTY &amp; DISTRICT RET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 t="shared" si="41"/>
        <v>TEXAS COUNTY &amp; DISTRICT RET</v>
      </c>
    </row>
    <row r="2718" spans="1:9" x14ac:dyDescent="0.3">
      <c r="A2718" t="str">
        <f>""</f>
        <v/>
      </c>
      <c r="F2718" t="str">
        <f>""</f>
        <v/>
      </c>
      <c r="G2718" t="str">
        <f>""</f>
        <v/>
      </c>
      <c r="I2718" t="str">
        <f t="shared" si="41"/>
        <v>TEXAS COUNTY &amp; DISTRICT RET</v>
      </c>
    </row>
    <row r="2719" spans="1:9" x14ac:dyDescent="0.3">
      <c r="A2719" t="str">
        <f>""</f>
        <v/>
      </c>
      <c r="F2719" t="str">
        <f>""</f>
        <v/>
      </c>
      <c r="G2719" t="str">
        <f>""</f>
        <v/>
      </c>
      <c r="I2719" t="str">
        <f t="shared" si="41"/>
        <v>TEXAS COUNTY &amp; DISTRICT RET</v>
      </c>
    </row>
    <row r="2720" spans="1:9" x14ac:dyDescent="0.3">
      <c r="A2720" t="str">
        <f>""</f>
        <v/>
      </c>
      <c r="F2720" t="str">
        <f>""</f>
        <v/>
      </c>
      <c r="G2720" t="str">
        <f>""</f>
        <v/>
      </c>
      <c r="I2720" t="str">
        <f t="shared" si="41"/>
        <v>TEXAS COUNTY &amp; DISTRICT RET</v>
      </c>
    </row>
    <row r="2721" spans="1:9" x14ac:dyDescent="0.3">
      <c r="A2721" t="str">
        <f>""</f>
        <v/>
      </c>
      <c r="F2721" t="str">
        <f>""</f>
        <v/>
      </c>
      <c r="G2721" t="str">
        <f>""</f>
        <v/>
      </c>
      <c r="I2721" t="str">
        <f t="shared" si="41"/>
        <v>TEXAS COUNTY &amp; DISTRICT RET</v>
      </c>
    </row>
    <row r="2722" spans="1:9" x14ac:dyDescent="0.3">
      <c r="A2722" t="str">
        <f>""</f>
        <v/>
      </c>
      <c r="F2722" t="str">
        <f>""</f>
        <v/>
      </c>
      <c r="G2722" t="str">
        <f>""</f>
        <v/>
      </c>
      <c r="I2722" t="str">
        <f t="shared" si="41"/>
        <v>TEXAS COUNTY &amp; DISTRICT RET</v>
      </c>
    </row>
    <row r="2723" spans="1:9" x14ac:dyDescent="0.3">
      <c r="A2723" t="str">
        <f>""</f>
        <v/>
      </c>
      <c r="F2723" t="str">
        <f>""</f>
        <v/>
      </c>
      <c r="G2723" t="str">
        <f>""</f>
        <v/>
      </c>
      <c r="I2723" t="str">
        <f t="shared" si="41"/>
        <v>TEXAS COUNTY &amp; DISTRICT RET</v>
      </c>
    </row>
    <row r="2724" spans="1:9" x14ac:dyDescent="0.3">
      <c r="A2724" t="str">
        <f>""</f>
        <v/>
      </c>
      <c r="F2724" t="str">
        <f>""</f>
        <v/>
      </c>
      <c r="G2724" t="str">
        <f>""</f>
        <v/>
      </c>
      <c r="I2724" t="str">
        <f t="shared" si="41"/>
        <v>TEXAS COUNTY &amp; DISTRICT RET</v>
      </c>
    </row>
    <row r="2725" spans="1:9" x14ac:dyDescent="0.3">
      <c r="A2725" t="str">
        <f>""</f>
        <v/>
      </c>
      <c r="F2725" t="str">
        <f>""</f>
        <v/>
      </c>
      <c r="G2725" t="str">
        <f>""</f>
        <v/>
      </c>
      <c r="I2725" t="str">
        <f t="shared" si="41"/>
        <v>TEXAS COUNTY &amp; DISTRICT RET</v>
      </c>
    </row>
    <row r="2726" spans="1:9" x14ac:dyDescent="0.3">
      <c r="A2726" t="str">
        <f>""</f>
        <v/>
      </c>
      <c r="F2726" t="str">
        <f>""</f>
        <v/>
      </c>
      <c r="G2726" t="str">
        <f>""</f>
        <v/>
      </c>
      <c r="I2726" t="str">
        <f t="shared" si="41"/>
        <v>TEXAS COUNTY &amp; DISTRICT RET</v>
      </c>
    </row>
    <row r="2727" spans="1:9" x14ac:dyDescent="0.3">
      <c r="A2727" t="str">
        <f>""</f>
        <v/>
      </c>
      <c r="F2727" t="str">
        <f>""</f>
        <v/>
      </c>
      <c r="G2727" t="str">
        <f>""</f>
        <v/>
      </c>
      <c r="I2727" t="str">
        <f t="shared" si="41"/>
        <v>TEXAS COUNTY &amp; DISTRICT RET</v>
      </c>
    </row>
    <row r="2728" spans="1:9" x14ac:dyDescent="0.3">
      <c r="A2728" t="str">
        <f>""</f>
        <v/>
      </c>
      <c r="F2728" t="str">
        <f>""</f>
        <v/>
      </c>
      <c r="G2728" t="str">
        <f>""</f>
        <v/>
      </c>
      <c r="I2728" t="str">
        <f t="shared" si="41"/>
        <v>TEXAS COUNTY &amp; DISTRICT RET</v>
      </c>
    </row>
    <row r="2729" spans="1:9" x14ac:dyDescent="0.3">
      <c r="A2729" t="str">
        <f>""</f>
        <v/>
      </c>
      <c r="F2729" t="str">
        <f>""</f>
        <v/>
      </c>
      <c r="G2729" t="str">
        <f>""</f>
        <v/>
      </c>
      <c r="I2729" t="str">
        <f t="shared" ref="I2729:I2750" si="42">"TEXAS COUNTY &amp; DISTRICT RET"</f>
        <v>TEXAS COUNTY &amp; DISTRICT RET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42"/>
        <v>TEXAS COUNTY &amp; DISTRICT RET</v>
      </c>
    </row>
    <row r="2731" spans="1:9" x14ac:dyDescent="0.3">
      <c r="A2731" t="str">
        <f>""</f>
        <v/>
      </c>
      <c r="F2731" t="str">
        <f>""</f>
        <v/>
      </c>
      <c r="G2731" t="str">
        <f>""</f>
        <v/>
      </c>
      <c r="I2731" t="str">
        <f t="shared" si="42"/>
        <v>TEXAS COUNTY &amp; DISTRICT RET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si="42"/>
        <v>TEXAS COUNTY &amp; DISTRICT RET</v>
      </c>
    </row>
    <row r="2733" spans="1:9" x14ac:dyDescent="0.3">
      <c r="A2733" t="str">
        <f>""</f>
        <v/>
      </c>
      <c r="F2733" t="str">
        <f>""</f>
        <v/>
      </c>
      <c r="G2733" t="str">
        <f>""</f>
        <v/>
      </c>
      <c r="I2733" t="str">
        <f t="shared" si="42"/>
        <v>TEXAS COUNTY &amp; DISTRICT RET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 t="shared" si="42"/>
        <v>TEXAS COUNTY &amp; DISTRICT RET</v>
      </c>
    </row>
    <row r="2735" spans="1:9" x14ac:dyDescent="0.3">
      <c r="A2735" t="str">
        <f>""</f>
        <v/>
      </c>
      <c r="F2735" t="str">
        <f>""</f>
        <v/>
      </c>
      <c r="G2735" t="str">
        <f>""</f>
        <v/>
      </c>
      <c r="I2735" t="str">
        <f t="shared" si="42"/>
        <v>TEXAS COUNTY &amp; DISTRICT RET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42"/>
        <v>TEXAS COUNTY &amp; DISTRICT RET</v>
      </c>
    </row>
    <row r="2737" spans="1:9" x14ac:dyDescent="0.3">
      <c r="A2737" t="str">
        <f>""</f>
        <v/>
      </c>
      <c r="F2737" t="str">
        <f>""</f>
        <v/>
      </c>
      <c r="G2737" t="str">
        <f>""</f>
        <v/>
      </c>
      <c r="I2737" t="str">
        <f t="shared" si="42"/>
        <v>TEXAS COUNTY &amp; DISTRICT RET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 t="shared" si="42"/>
        <v>TEXAS COUNTY &amp; DISTRICT RET</v>
      </c>
    </row>
    <row r="2739" spans="1:9" x14ac:dyDescent="0.3">
      <c r="A2739" t="str">
        <f>""</f>
        <v/>
      </c>
      <c r="F2739" t="str">
        <f>""</f>
        <v/>
      </c>
      <c r="G2739" t="str">
        <f>""</f>
        <v/>
      </c>
      <c r="I2739" t="str">
        <f t="shared" si="42"/>
        <v>TEXAS COUNTY &amp; DISTRICT RET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 t="shared" si="42"/>
        <v>TEXAS COUNTY &amp; DISTRICT RET</v>
      </c>
    </row>
    <row r="2741" spans="1:9" x14ac:dyDescent="0.3">
      <c r="A2741" t="str">
        <f>""</f>
        <v/>
      </c>
      <c r="F2741" t="str">
        <f>""</f>
        <v/>
      </c>
      <c r="G2741" t="str">
        <f>""</f>
        <v/>
      </c>
      <c r="I2741" t="str">
        <f t="shared" si="42"/>
        <v>TEXAS COUNTY &amp; DISTRICT RET</v>
      </c>
    </row>
    <row r="2742" spans="1:9" x14ac:dyDescent="0.3">
      <c r="A2742" t="str">
        <f>""</f>
        <v/>
      </c>
      <c r="F2742" t="str">
        <f>""</f>
        <v/>
      </c>
      <c r="G2742" t="str">
        <f>""</f>
        <v/>
      </c>
      <c r="I2742" t="str">
        <f t="shared" si="42"/>
        <v>TEXAS COUNTY &amp; DISTRICT RET</v>
      </c>
    </row>
    <row r="2743" spans="1:9" x14ac:dyDescent="0.3">
      <c r="A2743" t="str">
        <f>""</f>
        <v/>
      </c>
      <c r="F2743" t="str">
        <f>""</f>
        <v/>
      </c>
      <c r="G2743" t="str">
        <f>""</f>
        <v/>
      </c>
      <c r="I2743" t="str">
        <f t="shared" si="42"/>
        <v>TEXAS COUNTY &amp; DISTRICT RET</v>
      </c>
    </row>
    <row r="2744" spans="1:9" x14ac:dyDescent="0.3">
      <c r="A2744" t="str">
        <f>""</f>
        <v/>
      </c>
      <c r="F2744" t="str">
        <f>""</f>
        <v/>
      </c>
      <c r="G2744" t="str">
        <f>""</f>
        <v/>
      </c>
      <c r="I2744" t="str">
        <f t="shared" si="42"/>
        <v>TEXAS COUNTY &amp; DISTRICT RET</v>
      </c>
    </row>
    <row r="2745" spans="1:9" x14ac:dyDescent="0.3">
      <c r="A2745" t="str">
        <f>""</f>
        <v/>
      </c>
      <c r="F2745" t="str">
        <f>""</f>
        <v/>
      </c>
      <c r="G2745" t="str">
        <f>""</f>
        <v/>
      </c>
      <c r="I2745" t="str">
        <f t="shared" si="42"/>
        <v>TEXAS COUNTY &amp; DISTRICT RET</v>
      </c>
    </row>
    <row r="2746" spans="1:9" x14ac:dyDescent="0.3">
      <c r="A2746" t="str">
        <f>""</f>
        <v/>
      </c>
      <c r="F2746" t="str">
        <f>""</f>
        <v/>
      </c>
      <c r="G2746" t="str">
        <f>""</f>
        <v/>
      </c>
      <c r="I2746" t="str">
        <f t="shared" si="42"/>
        <v>TEXAS COUNTY &amp; DISTRICT RET</v>
      </c>
    </row>
    <row r="2747" spans="1:9" x14ac:dyDescent="0.3">
      <c r="A2747" t="str">
        <f>""</f>
        <v/>
      </c>
      <c r="F2747" t="str">
        <f>""</f>
        <v/>
      </c>
      <c r="G2747" t="str">
        <f>""</f>
        <v/>
      </c>
      <c r="I2747" t="str">
        <f t="shared" si="42"/>
        <v>TEXAS COUNTY &amp; DISTRICT RET</v>
      </c>
    </row>
    <row r="2748" spans="1:9" x14ac:dyDescent="0.3">
      <c r="A2748" t="str">
        <f>""</f>
        <v/>
      </c>
      <c r="F2748" t="str">
        <f>""</f>
        <v/>
      </c>
      <c r="G2748" t="str">
        <f>""</f>
        <v/>
      </c>
      <c r="I2748" t="str">
        <f t="shared" si="42"/>
        <v>TEXAS COUNTY &amp; DISTRICT RET</v>
      </c>
    </row>
    <row r="2749" spans="1:9" x14ac:dyDescent="0.3">
      <c r="A2749" t="str">
        <f>""</f>
        <v/>
      </c>
      <c r="F2749" t="str">
        <f>""</f>
        <v/>
      </c>
      <c r="G2749" t="str">
        <f>""</f>
        <v/>
      </c>
      <c r="I2749" t="str">
        <f t="shared" si="42"/>
        <v>TEXAS COUNTY &amp; DISTRICT RET</v>
      </c>
    </row>
    <row r="2750" spans="1:9" x14ac:dyDescent="0.3">
      <c r="A2750" t="str">
        <f>""</f>
        <v/>
      </c>
      <c r="F2750" t="str">
        <f>""</f>
        <v/>
      </c>
      <c r="G2750" t="str">
        <f>""</f>
        <v/>
      </c>
      <c r="I2750" t="str">
        <f t="shared" si="42"/>
        <v>TEXAS COUNTY &amp; DISTRICT RET</v>
      </c>
    </row>
    <row r="2751" spans="1:9" x14ac:dyDescent="0.3">
      <c r="A2751" t="str">
        <f>""</f>
        <v/>
      </c>
      <c r="F2751" t="str">
        <f>"RET201806131561"</f>
        <v>RET201806131561</v>
      </c>
      <c r="G2751" t="str">
        <f>"TEXAS COUNTY  DISTRICT RET"</f>
        <v>TEXAS COUNTY  DISTRICT RET</v>
      </c>
      <c r="H2751">
        <v>5815.57</v>
      </c>
      <c r="I2751" t="str">
        <f>"TEXAS COUNTY  DISTRICT RET"</f>
        <v>TEXAS COUNTY  DISTRICT RET</v>
      </c>
    </row>
    <row r="2752" spans="1:9" x14ac:dyDescent="0.3">
      <c r="A2752" t="str">
        <f>""</f>
        <v/>
      </c>
      <c r="F2752" t="str">
        <f>""</f>
        <v/>
      </c>
      <c r="G2752" t="str">
        <f>""</f>
        <v/>
      </c>
      <c r="I2752" t="str">
        <f>"TEXAS COUNTY  DISTRICT RET"</f>
        <v>TEXAS COUNTY  DISTRICT RET</v>
      </c>
    </row>
    <row r="2753" spans="1:9" x14ac:dyDescent="0.3">
      <c r="A2753" t="str">
        <f>""</f>
        <v/>
      </c>
      <c r="F2753" t="str">
        <f>"RET201806131563"</f>
        <v>RET201806131563</v>
      </c>
      <c r="G2753" t="str">
        <f>"TEXAS COUNTY &amp; DISTRICT RET"</f>
        <v>TEXAS COUNTY &amp; DISTRICT RET</v>
      </c>
      <c r="H2753">
        <v>9269.2000000000007</v>
      </c>
      <c r="I2753" t="str">
        <f t="shared" ref="I2753:I2784" si="43">"TEXAS COUNTY &amp; DISTRICT RET"</f>
        <v>TEXAS COUNTY &amp; DISTRICT RET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43"/>
        <v>TEXAS COUNTY &amp; DISTRICT RET</v>
      </c>
    </row>
    <row r="2755" spans="1:9" x14ac:dyDescent="0.3">
      <c r="A2755" t="str">
        <f>""</f>
        <v/>
      </c>
      <c r="F2755" t="str">
        <f>"RET201806271719"</f>
        <v>RET201806271719</v>
      </c>
      <c r="G2755" t="str">
        <f>"TEXAS COUNTY &amp; DISTRICT RET"</f>
        <v>TEXAS COUNTY &amp; DISTRICT RET</v>
      </c>
      <c r="H2755">
        <v>141968.47</v>
      </c>
      <c r="I2755" t="str">
        <f t="shared" si="43"/>
        <v>TEXAS COUNTY &amp; DISTRICT RET</v>
      </c>
    </row>
    <row r="2756" spans="1:9" x14ac:dyDescent="0.3">
      <c r="A2756" t="str">
        <f>""</f>
        <v/>
      </c>
      <c r="F2756" t="str">
        <f>""</f>
        <v/>
      </c>
      <c r="G2756" t="str">
        <f>""</f>
        <v/>
      </c>
      <c r="I2756" t="str">
        <f t="shared" si="43"/>
        <v>TEXAS COUNTY &amp; DISTRICT RET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si="43"/>
        <v>TEXAS COUNTY &amp; DISTRICT RET</v>
      </c>
    </row>
    <row r="2758" spans="1:9" x14ac:dyDescent="0.3">
      <c r="A2758" t="str">
        <f>""</f>
        <v/>
      </c>
      <c r="F2758" t="str">
        <f>""</f>
        <v/>
      </c>
      <c r="G2758" t="str">
        <f>""</f>
        <v/>
      </c>
      <c r="I2758" t="str">
        <f t="shared" si="43"/>
        <v>TEXAS COUNTY &amp; DISTRICT RET</v>
      </c>
    </row>
    <row r="2759" spans="1:9" x14ac:dyDescent="0.3">
      <c r="A2759" t="str">
        <f>""</f>
        <v/>
      </c>
      <c r="F2759" t="str">
        <f>""</f>
        <v/>
      </c>
      <c r="G2759" t="str">
        <f>""</f>
        <v/>
      </c>
      <c r="I2759" t="str">
        <f t="shared" si="43"/>
        <v>TEXAS COUNTY &amp; DISTRICT RET</v>
      </c>
    </row>
    <row r="2760" spans="1:9" x14ac:dyDescent="0.3">
      <c r="A2760" t="str">
        <f>""</f>
        <v/>
      </c>
      <c r="F2760" t="str">
        <f>""</f>
        <v/>
      </c>
      <c r="G2760" t="str">
        <f>""</f>
        <v/>
      </c>
      <c r="I2760" t="str">
        <f t="shared" si="43"/>
        <v>TEXAS COUNTY &amp; DISTRICT RET</v>
      </c>
    </row>
    <row r="2761" spans="1:9" x14ac:dyDescent="0.3">
      <c r="A2761" t="str">
        <f>""</f>
        <v/>
      </c>
      <c r="F2761" t="str">
        <f>""</f>
        <v/>
      </c>
      <c r="G2761" t="str">
        <f>""</f>
        <v/>
      </c>
      <c r="I2761" t="str">
        <f t="shared" si="43"/>
        <v>TEXAS COUNTY &amp; DISTRICT RET</v>
      </c>
    </row>
    <row r="2762" spans="1:9" x14ac:dyDescent="0.3">
      <c r="A2762" t="str">
        <f>""</f>
        <v/>
      </c>
      <c r="F2762" t="str">
        <f>""</f>
        <v/>
      </c>
      <c r="G2762" t="str">
        <f>""</f>
        <v/>
      </c>
      <c r="I2762" t="str">
        <f t="shared" si="43"/>
        <v>TEXAS COUNTY &amp; DISTRICT RET</v>
      </c>
    </row>
    <row r="2763" spans="1:9" x14ac:dyDescent="0.3">
      <c r="A2763" t="str">
        <f>""</f>
        <v/>
      </c>
      <c r="F2763" t="str">
        <f>""</f>
        <v/>
      </c>
      <c r="G2763" t="str">
        <f>""</f>
        <v/>
      </c>
      <c r="I2763" t="str">
        <f t="shared" si="43"/>
        <v>TEXAS COUNTY &amp; DISTRICT RET</v>
      </c>
    </row>
    <row r="2764" spans="1:9" x14ac:dyDescent="0.3">
      <c r="A2764" t="str">
        <f>""</f>
        <v/>
      </c>
      <c r="F2764" t="str">
        <f>""</f>
        <v/>
      </c>
      <c r="G2764" t="str">
        <f>""</f>
        <v/>
      </c>
      <c r="I2764" t="str">
        <f t="shared" si="43"/>
        <v>TEXAS COUNTY &amp; DISTRICT RET</v>
      </c>
    </row>
    <row r="2765" spans="1:9" x14ac:dyDescent="0.3">
      <c r="A2765" t="str">
        <f>""</f>
        <v/>
      </c>
      <c r="F2765" t="str">
        <f>""</f>
        <v/>
      </c>
      <c r="G2765" t="str">
        <f>""</f>
        <v/>
      </c>
      <c r="I2765" t="str">
        <f t="shared" si="43"/>
        <v>TEXAS COUNTY &amp; DISTRICT RET</v>
      </c>
    </row>
    <row r="2766" spans="1:9" x14ac:dyDescent="0.3">
      <c r="A2766" t="str">
        <f>""</f>
        <v/>
      </c>
      <c r="F2766" t="str">
        <f>""</f>
        <v/>
      </c>
      <c r="G2766" t="str">
        <f>""</f>
        <v/>
      </c>
      <c r="I2766" t="str">
        <f t="shared" si="43"/>
        <v>TEXAS COUNTY &amp; DISTRICT RET</v>
      </c>
    </row>
    <row r="2767" spans="1:9" x14ac:dyDescent="0.3">
      <c r="A2767" t="str">
        <f>""</f>
        <v/>
      </c>
      <c r="F2767" t="str">
        <f>""</f>
        <v/>
      </c>
      <c r="G2767" t="str">
        <f>""</f>
        <v/>
      </c>
      <c r="I2767" t="str">
        <f t="shared" si="43"/>
        <v>TEXAS COUNTY &amp; DISTRICT RET</v>
      </c>
    </row>
    <row r="2768" spans="1:9" x14ac:dyDescent="0.3">
      <c r="A2768" t="str">
        <f>""</f>
        <v/>
      </c>
      <c r="F2768" t="str">
        <f>""</f>
        <v/>
      </c>
      <c r="G2768" t="str">
        <f>""</f>
        <v/>
      </c>
      <c r="I2768" t="str">
        <f t="shared" si="43"/>
        <v>TEXAS COUNTY &amp; DISTRICT RET</v>
      </c>
    </row>
    <row r="2769" spans="1:9" x14ac:dyDescent="0.3">
      <c r="A2769" t="str">
        <f>""</f>
        <v/>
      </c>
      <c r="F2769" t="str">
        <f>""</f>
        <v/>
      </c>
      <c r="G2769" t="str">
        <f>""</f>
        <v/>
      </c>
      <c r="I2769" t="str">
        <f t="shared" si="43"/>
        <v>TEXAS COUNTY &amp; DISTRICT RET</v>
      </c>
    </row>
    <row r="2770" spans="1:9" x14ac:dyDescent="0.3">
      <c r="A2770" t="str">
        <f>""</f>
        <v/>
      </c>
      <c r="F2770" t="str">
        <f>""</f>
        <v/>
      </c>
      <c r="G2770" t="str">
        <f>""</f>
        <v/>
      </c>
      <c r="I2770" t="str">
        <f t="shared" si="43"/>
        <v>TEXAS COUNTY &amp; DISTRICT RET</v>
      </c>
    </row>
    <row r="2771" spans="1:9" x14ac:dyDescent="0.3">
      <c r="A2771" t="str">
        <f>""</f>
        <v/>
      </c>
      <c r="F2771" t="str">
        <f>""</f>
        <v/>
      </c>
      <c r="G2771" t="str">
        <f>""</f>
        <v/>
      </c>
      <c r="I2771" t="str">
        <f t="shared" si="43"/>
        <v>TEXAS COUNTY &amp; DISTRICT RET</v>
      </c>
    </row>
    <row r="2772" spans="1:9" x14ac:dyDescent="0.3">
      <c r="A2772" t="str">
        <f>""</f>
        <v/>
      </c>
      <c r="F2772" t="str">
        <f>""</f>
        <v/>
      </c>
      <c r="G2772" t="str">
        <f>""</f>
        <v/>
      </c>
      <c r="I2772" t="str">
        <f t="shared" si="43"/>
        <v>TEXAS COUNTY &amp; DISTRICT RET</v>
      </c>
    </row>
    <row r="2773" spans="1:9" x14ac:dyDescent="0.3">
      <c r="A2773" t="str">
        <f>""</f>
        <v/>
      </c>
      <c r="F2773" t="str">
        <f>""</f>
        <v/>
      </c>
      <c r="G2773" t="str">
        <f>""</f>
        <v/>
      </c>
      <c r="I2773" t="str">
        <f t="shared" si="43"/>
        <v>TEXAS COUNTY &amp; DISTRICT RET</v>
      </c>
    </row>
    <row r="2774" spans="1:9" x14ac:dyDescent="0.3">
      <c r="A2774" t="str">
        <f>""</f>
        <v/>
      </c>
      <c r="F2774" t="str">
        <f>""</f>
        <v/>
      </c>
      <c r="G2774" t="str">
        <f>""</f>
        <v/>
      </c>
      <c r="I2774" t="str">
        <f t="shared" si="43"/>
        <v>TEXAS COUNTY &amp; DISTRICT RET</v>
      </c>
    </row>
    <row r="2775" spans="1:9" x14ac:dyDescent="0.3">
      <c r="A2775" t="str">
        <f>""</f>
        <v/>
      </c>
      <c r="F2775" t="str">
        <f>""</f>
        <v/>
      </c>
      <c r="G2775" t="str">
        <f>""</f>
        <v/>
      </c>
      <c r="I2775" t="str">
        <f t="shared" si="43"/>
        <v>TEXAS COUNTY &amp; DISTRICT RET</v>
      </c>
    </row>
    <row r="2776" spans="1:9" x14ac:dyDescent="0.3">
      <c r="A2776" t="str">
        <f>""</f>
        <v/>
      </c>
      <c r="F2776" t="str">
        <f>""</f>
        <v/>
      </c>
      <c r="G2776" t="str">
        <f>""</f>
        <v/>
      </c>
      <c r="I2776" t="str">
        <f t="shared" si="43"/>
        <v>TEXAS COUNTY &amp; DISTRICT RET</v>
      </c>
    </row>
    <row r="2777" spans="1:9" x14ac:dyDescent="0.3">
      <c r="A2777" t="str">
        <f>""</f>
        <v/>
      </c>
      <c r="F2777" t="str">
        <f>""</f>
        <v/>
      </c>
      <c r="G2777" t="str">
        <f>""</f>
        <v/>
      </c>
      <c r="I2777" t="str">
        <f t="shared" si="43"/>
        <v>TEXAS COUNTY &amp; DISTRICT RET</v>
      </c>
    </row>
    <row r="2778" spans="1:9" x14ac:dyDescent="0.3">
      <c r="A2778" t="str">
        <f>""</f>
        <v/>
      </c>
      <c r="F2778" t="str">
        <f>""</f>
        <v/>
      </c>
      <c r="G2778" t="str">
        <f>""</f>
        <v/>
      </c>
      <c r="I2778" t="str">
        <f t="shared" si="43"/>
        <v>TEXAS COUNTY &amp; DISTRICT RET</v>
      </c>
    </row>
    <row r="2779" spans="1:9" x14ac:dyDescent="0.3">
      <c r="A2779" t="str">
        <f>""</f>
        <v/>
      </c>
      <c r="F2779" t="str">
        <f>""</f>
        <v/>
      </c>
      <c r="G2779" t="str">
        <f>""</f>
        <v/>
      </c>
      <c r="I2779" t="str">
        <f t="shared" si="43"/>
        <v>TEXAS COUNTY &amp; DISTRICT RET</v>
      </c>
    </row>
    <row r="2780" spans="1:9" x14ac:dyDescent="0.3">
      <c r="A2780" t="str">
        <f>""</f>
        <v/>
      </c>
      <c r="F2780" t="str">
        <f>""</f>
        <v/>
      </c>
      <c r="G2780" t="str">
        <f>""</f>
        <v/>
      </c>
      <c r="I2780" t="str">
        <f t="shared" si="43"/>
        <v>TEXAS COUNTY &amp; DISTRICT RET</v>
      </c>
    </row>
    <row r="2781" spans="1:9" x14ac:dyDescent="0.3">
      <c r="A2781" t="str">
        <f>""</f>
        <v/>
      </c>
      <c r="F2781" t="str">
        <f>""</f>
        <v/>
      </c>
      <c r="G2781" t="str">
        <f>""</f>
        <v/>
      </c>
      <c r="I2781" t="str">
        <f t="shared" si="43"/>
        <v>TEXAS COUNTY &amp; DISTRICT RET</v>
      </c>
    </row>
    <row r="2782" spans="1:9" x14ac:dyDescent="0.3">
      <c r="A2782" t="str">
        <f>""</f>
        <v/>
      </c>
      <c r="F2782" t="str">
        <f>""</f>
        <v/>
      </c>
      <c r="G2782" t="str">
        <f>""</f>
        <v/>
      </c>
      <c r="I2782" t="str">
        <f t="shared" si="43"/>
        <v>TEXAS COUNTY &amp; DISTRICT RET</v>
      </c>
    </row>
    <row r="2783" spans="1:9" x14ac:dyDescent="0.3">
      <c r="A2783" t="str">
        <f>""</f>
        <v/>
      </c>
      <c r="F2783" t="str">
        <f>""</f>
        <v/>
      </c>
      <c r="G2783" t="str">
        <f>""</f>
        <v/>
      </c>
      <c r="I2783" t="str">
        <f t="shared" si="43"/>
        <v>TEXAS COUNTY &amp; DISTRICT RET</v>
      </c>
    </row>
    <row r="2784" spans="1:9" x14ac:dyDescent="0.3">
      <c r="A2784" t="str">
        <f>""</f>
        <v/>
      </c>
      <c r="F2784" t="str">
        <f>""</f>
        <v/>
      </c>
      <c r="G2784" t="str">
        <f>""</f>
        <v/>
      </c>
      <c r="I2784" t="str">
        <f t="shared" si="43"/>
        <v>TEXAS COUNTY &amp; DISTRICT RET</v>
      </c>
    </row>
    <row r="2785" spans="1:9" x14ac:dyDescent="0.3">
      <c r="A2785" t="str">
        <f>""</f>
        <v/>
      </c>
      <c r="F2785" t="str">
        <f>""</f>
        <v/>
      </c>
      <c r="G2785" t="str">
        <f>""</f>
        <v/>
      </c>
      <c r="I2785" t="str">
        <f t="shared" ref="I2785:I2806" si="44">"TEXAS COUNTY &amp; DISTRICT RET"</f>
        <v>TEXAS COUNTY &amp; DISTRICT RET</v>
      </c>
    </row>
    <row r="2786" spans="1:9" x14ac:dyDescent="0.3">
      <c r="A2786" t="str">
        <f>""</f>
        <v/>
      </c>
      <c r="F2786" t="str">
        <f>""</f>
        <v/>
      </c>
      <c r="G2786" t="str">
        <f>""</f>
        <v/>
      </c>
      <c r="I2786" t="str">
        <f t="shared" si="44"/>
        <v>TEXAS COUNTY &amp; DISTRICT RET</v>
      </c>
    </row>
    <row r="2787" spans="1:9" x14ac:dyDescent="0.3">
      <c r="A2787" t="str">
        <f>""</f>
        <v/>
      </c>
      <c r="F2787" t="str">
        <f>""</f>
        <v/>
      </c>
      <c r="G2787" t="str">
        <f>""</f>
        <v/>
      </c>
      <c r="I2787" t="str">
        <f t="shared" si="44"/>
        <v>TEXAS COUNTY &amp; DISTRICT RET</v>
      </c>
    </row>
    <row r="2788" spans="1:9" x14ac:dyDescent="0.3">
      <c r="A2788" t="str">
        <f>""</f>
        <v/>
      </c>
      <c r="F2788" t="str">
        <f>""</f>
        <v/>
      </c>
      <c r="G2788" t="str">
        <f>""</f>
        <v/>
      </c>
      <c r="I2788" t="str">
        <f t="shared" si="44"/>
        <v>TEXAS COUNTY &amp; DISTRICT RET</v>
      </c>
    </row>
    <row r="2789" spans="1:9" x14ac:dyDescent="0.3">
      <c r="A2789" t="str">
        <f>""</f>
        <v/>
      </c>
      <c r="F2789" t="str">
        <f>""</f>
        <v/>
      </c>
      <c r="G2789" t="str">
        <f>""</f>
        <v/>
      </c>
      <c r="I2789" t="str">
        <f t="shared" si="44"/>
        <v>TEXAS COUNTY &amp; DISTRICT RET</v>
      </c>
    </row>
    <row r="2790" spans="1:9" x14ac:dyDescent="0.3">
      <c r="A2790" t="str">
        <f>""</f>
        <v/>
      </c>
      <c r="F2790" t="str">
        <f>""</f>
        <v/>
      </c>
      <c r="G2790" t="str">
        <f>""</f>
        <v/>
      </c>
      <c r="I2790" t="str">
        <f t="shared" si="44"/>
        <v>TEXAS COUNTY &amp; DISTRICT RET</v>
      </c>
    </row>
    <row r="2791" spans="1:9" x14ac:dyDescent="0.3">
      <c r="A2791" t="str">
        <f>""</f>
        <v/>
      </c>
      <c r="F2791" t="str">
        <f>""</f>
        <v/>
      </c>
      <c r="G2791" t="str">
        <f>""</f>
        <v/>
      </c>
      <c r="I2791" t="str">
        <f t="shared" si="44"/>
        <v>TEXAS COUNTY &amp; DISTRICT RET</v>
      </c>
    </row>
    <row r="2792" spans="1:9" x14ac:dyDescent="0.3">
      <c r="A2792" t="str">
        <f>""</f>
        <v/>
      </c>
      <c r="F2792" t="str">
        <f>""</f>
        <v/>
      </c>
      <c r="G2792" t="str">
        <f>""</f>
        <v/>
      </c>
      <c r="I2792" t="str">
        <f t="shared" si="44"/>
        <v>TEXAS COUNTY &amp; DISTRICT RET</v>
      </c>
    </row>
    <row r="2793" spans="1:9" x14ac:dyDescent="0.3">
      <c r="A2793" t="str">
        <f>""</f>
        <v/>
      </c>
      <c r="F2793" t="str">
        <f>""</f>
        <v/>
      </c>
      <c r="G2793" t="str">
        <f>""</f>
        <v/>
      </c>
      <c r="I2793" t="str">
        <f t="shared" si="44"/>
        <v>TEXAS COUNTY &amp; DISTRICT RET</v>
      </c>
    </row>
    <row r="2794" spans="1:9" x14ac:dyDescent="0.3">
      <c r="A2794" t="str">
        <f>""</f>
        <v/>
      </c>
      <c r="F2794" t="str">
        <f>""</f>
        <v/>
      </c>
      <c r="G2794" t="str">
        <f>""</f>
        <v/>
      </c>
      <c r="I2794" t="str">
        <f t="shared" si="44"/>
        <v>TEXAS COUNTY &amp; DISTRICT RET</v>
      </c>
    </row>
    <row r="2795" spans="1:9" x14ac:dyDescent="0.3">
      <c r="A2795" t="str">
        <f>""</f>
        <v/>
      </c>
      <c r="F2795" t="str">
        <f>""</f>
        <v/>
      </c>
      <c r="G2795" t="str">
        <f>""</f>
        <v/>
      </c>
      <c r="I2795" t="str">
        <f t="shared" si="44"/>
        <v>TEXAS COUNTY &amp; DISTRICT RET</v>
      </c>
    </row>
    <row r="2796" spans="1:9" x14ac:dyDescent="0.3">
      <c r="A2796" t="str">
        <f>""</f>
        <v/>
      </c>
      <c r="F2796" t="str">
        <f>""</f>
        <v/>
      </c>
      <c r="G2796" t="str">
        <f>""</f>
        <v/>
      </c>
      <c r="I2796" t="str">
        <f t="shared" si="44"/>
        <v>TEXAS COUNTY &amp; DISTRICT RET</v>
      </c>
    </row>
    <row r="2797" spans="1:9" x14ac:dyDescent="0.3">
      <c r="A2797" t="str">
        <f>""</f>
        <v/>
      </c>
      <c r="F2797" t="str">
        <f>""</f>
        <v/>
      </c>
      <c r="G2797" t="str">
        <f>""</f>
        <v/>
      </c>
      <c r="I2797" t="str">
        <f t="shared" si="44"/>
        <v>TEXAS COUNTY &amp; DISTRICT RET</v>
      </c>
    </row>
    <row r="2798" spans="1:9" x14ac:dyDescent="0.3">
      <c r="A2798" t="str">
        <f>""</f>
        <v/>
      </c>
      <c r="F2798" t="str">
        <f>""</f>
        <v/>
      </c>
      <c r="G2798" t="str">
        <f>""</f>
        <v/>
      </c>
      <c r="I2798" t="str">
        <f t="shared" si="44"/>
        <v>TEXAS COUNTY &amp; DISTRICT RET</v>
      </c>
    </row>
    <row r="2799" spans="1:9" x14ac:dyDescent="0.3">
      <c r="A2799" t="str">
        <f>""</f>
        <v/>
      </c>
      <c r="F2799" t="str">
        <f>""</f>
        <v/>
      </c>
      <c r="G2799" t="str">
        <f>""</f>
        <v/>
      </c>
      <c r="I2799" t="str">
        <f t="shared" si="44"/>
        <v>TEXAS COUNTY &amp; DISTRICT RET</v>
      </c>
    </row>
    <row r="2800" spans="1:9" x14ac:dyDescent="0.3">
      <c r="A2800" t="str">
        <f>""</f>
        <v/>
      </c>
      <c r="F2800" t="str">
        <f>""</f>
        <v/>
      </c>
      <c r="G2800" t="str">
        <f>""</f>
        <v/>
      </c>
      <c r="I2800" t="str">
        <f t="shared" si="44"/>
        <v>TEXAS COUNTY &amp; DISTRICT RET</v>
      </c>
    </row>
    <row r="2801" spans="1:9" x14ac:dyDescent="0.3">
      <c r="A2801" t="str">
        <f>""</f>
        <v/>
      </c>
      <c r="F2801" t="str">
        <f>""</f>
        <v/>
      </c>
      <c r="G2801" t="str">
        <f>""</f>
        <v/>
      </c>
      <c r="I2801" t="str">
        <f t="shared" si="44"/>
        <v>TEXAS COUNTY &amp; DISTRICT RET</v>
      </c>
    </row>
    <row r="2802" spans="1:9" x14ac:dyDescent="0.3">
      <c r="A2802" t="str">
        <f>""</f>
        <v/>
      </c>
      <c r="F2802" t="str">
        <f>""</f>
        <v/>
      </c>
      <c r="G2802" t="str">
        <f>""</f>
        <v/>
      </c>
      <c r="I2802" t="str">
        <f t="shared" si="44"/>
        <v>TEXAS COUNTY &amp; DISTRICT RET</v>
      </c>
    </row>
    <row r="2803" spans="1:9" x14ac:dyDescent="0.3">
      <c r="A2803" t="str">
        <f>""</f>
        <v/>
      </c>
      <c r="F2803" t="str">
        <f>""</f>
        <v/>
      </c>
      <c r="G2803" t="str">
        <f>""</f>
        <v/>
      </c>
      <c r="I2803" t="str">
        <f t="shared" si="44"/>
        <v>TEXAS COUNTY &amp; DISTRICT RET</v>
      </c>
    </row>
    <row r="2804" spans="1:9" x14ac:dyDescent="0.3">
      <c r="A2804" t="str">
        <f>""</f>
        <v/>
      </c>
      <c r="F2804" t="str">
        <f>""</f>
        <v/>
      </c>
      <c r="G2804" t="str">
        <f>""</f>
        <v/>
      </c>
      <c r="I2804" t="str">
        <f t="shared" si="44"/>
        <v>TEXAS COUNTY &amp; DISTRICT RET</v>
      </c>
    </row>
    <row r="2805" spans="1:9" x14ac:dyDescent="0.3">
      <c r="A2805" t="str">
        <f>""</f>
        <v/>
      </c>
      <c r="F2805" t="str">
        <f>""</f>
        <v/>
      </c>
      <c r="G2805" t="str">
        <f>""</f>
        <v/>
      </c>
      <c r="I2805" t="str">
        <f t="shared" si="44"/>
        <v>TEXAS COUNTY &amp; DISTRICT RET</v>
      </c>
    </row>
    <row r="2806" spans="1:9" x14ac:dyDescent="0.3">
      <c r="A2806" t="str">
        <f>""</f>
        <v/>
      </c>
      <c r="F2806" t="str">
        <f>""</f>
        <v/>
      </c>
      <c r="G2806" t="str">
        <f>""</f>
        <v/>
      </c>
      <c r="I2806" t="str">
        <f t="shared" si="44"/>
        <v>TEXAS COUNTY &amp; DISTRICT RET</v>
      </c>
    </row>
    <row r="2807" spans="1:9" x14ac:dyDescent="0.3">
      <c r="A2807" t="str">
        <f>""</f>
        <v/>
      </c>
      <c r="F2807" t="str">
        <f>"RET201806271720"</f>
        <v>RET201806271720</v>
      </c>
      <c r="G2807" t="str">
        <f>"TEXAS COUNTY  DISTRICT RET"</f>
        <v>TEXAS COUNTY  DISTRICT RET</v>
      </c>
      <c r="H2807">
        <v>5811.62</v>
      </c>
      <c r="I2807" t="str">
        <f>"TEXAS COUNTY  DISTRICT RET"</f>
        <v>TEXAS COUNTY  DISTRICT RET</v>
      </c>
    </row>
    <row r="2808" spans="1:9" x14ac:dyDescent="0.3">
      <c r="A2808" t="str">
        <f>""</f>
        <v/>
      </c>
      <c r="F2808" t="str">
        <f>""</f>
        <v/>
      </c>
      <c r="G2808" t="str">
        <f>""</f>
        <v/>
      </c>
      <c r="I2808" t="str">
        <f>"TEXAS COUNTY  DISTRICT RET"</f>
        <v>TEXAS COUNTY  DISTRICT RET</v>
      </c>
    </row>
    <row r="2809" spans="1:9" x14ac:dyDescent="0.3">
      <c r="A2809" t="str">
        <f>""</f>
        <v/>
      </c>
      <c r="F2809" t="str">
        <f>"RET201806271721"</f>
        <v>RET201806271721</v>
      </c>
      <c r="G2809" t="str">
        <f>"TEXAS COUNTY &amp; DISTRICT RET"</f>
        <v>TEXAS COUNTY &amp; DISTRICT RET</v>
      </c>
      <c r="H2809">
        <v>8076.01</v>
      </c>
      <c r="I2809" t="str">
        <f>"TEXAS COUNTY &amp; DISTRICT RET"</f>
        <v>TEXAS COUNTY &amp; DISTRICT RET</v>
      </c>
    </row>
    <row r="2810" spans="1:9" x14ac:dyDescent="0.3">
      <c r="A2810" t="str">
        <f>""</f>
        <v/>
      </c>
      <c r="F2810" t="str">
        <f>""</f>
        <v/>
      </c>
      <c r="G2810" t="str">
        <f>""</f>
        <v/>
      </c>
      <c r="I2810" t="str">
        <f>"TEXAS COUNTY &amp; DISTRICT RET"</f>
        <v>TEXAS COUNTY &amp; DISTRICT RET</v>
      </c>
    </row>
    <row r="2811" spans="1:9" x14ac:dyDescent="0.3">
      <c r="A2811" t="str">
        <f>"002457"</f>
        <v>002457</v>
      </c>
      <c r="B2811" t="s">
        <v>451</v>
      </c>
      <c r="C2811">
        <v>46448</v>
      </c>
      <c r="D2811" s="2">
        <v>1100</v>
      </c>
      <c r="E2811" s="1">
        <v>43278</v>
      </c>
      <c r="F2811" t="str">
        <f>"LEG201805301204"</f>
        <v>LEG201805301204</v>
      </c>
      <c r="G2811" t="str">
        <f>"TEXAS LEGAL PROTECTION PLAN"</f>
        <v>TEXAS LEGAL PROTECTION PLAN</v>
      </c>
      <c r="H2811">
        <v>550</v>
      </c>
      <c r="I2811" t="str">
        <f>"TEXAS LEGAL PROTECTION PLAN"</f>
        <v>TEXAS LEGAL PROTECTION PLAN</v>
      </c>
    </row>
    <row r="2812" spans="1:9" x14ac:dyDescent="0.3">
      <c r="A2812" t="str">
        <f>""</f>
        <v/>
      </c>
      <c r="F2812" t="str">
        <f>"LEG201806131556"</f>
        <v>LEG201806131556</v>
      </c>
      <c r="G2812" t="str">
        <f>"TEXAS LEGAL PROTECTION PLAN"</f>
        <v>TEXAS LEGAL PROTECTION PLAN</v>
      </c>
      <c r="H2812">
        <v>550</v>
      </c>
      <c r="I2812" t="str">
        <f>"TEXAS LEGAL PROTECTION PLAN"</f>
        <v>TEXAS LEGAL PROTECTION PLAN</v>
      </c>
    </row>
    <row r="2813" spans="1:9" x14ac:dyDescent="0.3">
      <c r="A2813" t="str">
        <f>"T14362"</f>
        <v>T14362</v>
      </c>
      <c r="B2813" t="s">
        <v>452</v>
      </c>
      <c r="C2813">
        <v>46393</v>
      </c>
      <c r="D2813" s="2">
        <v>218.61</v>
      </c>
      <c r="E2813" s="1">
        <v>43252</v>
      </c>
      <c r="F2813" t="str">
        <f>"SL6201805301204"</f>
        <v>SL6201805301204</v>
      </c>
      <c r="G2813" t="str">
        <f>"TG STUDENT LOAN - P CROUCH"</f>
        <v>TG STUDENT LOAN - P CROUCH</v>
      </c>
      <c r="H2813">
        <v>218.61</v>
      </c>
      <c r="I2813" t="str">
        <f>"TG STUDENT LOAN - P CROUCH"</f>
        <v>TG STUDENT LOAN - P CROUCH</v>
      </c>
    </row>
    <row r="2814" spans="1:9" x14ac:dyDescent="0.3">
      <c r="A2814" t="str">
        <f>"T14362"</f>
        <v>T14362</v>
      </c>
      <c r="B2814" t="s">
        <v>452</v>
      </c>
      <c r="C2814">
        <v>46422</v>
      </c>
      <c r="D2814" s="2">
        <v>218.61</v>
      </c>
      <c r="E2814" s="1">
        <v>43266</v>
      </c>
      <c r="F2814" t="str">
        <f>"SL6201806131556"</f>
        <v>SL6201806131556</v>
      </c>
      <c r="G2814" t="str">
        <f>"TG STUDENT LOAN - P CROUCH"</f>
        <v>TG STUDENT LOAN - P CROUCH</v>
      </c>
      <c r="H2814">
        <v>218.61</v>
      </c>
      <c r="I2814" t="str">
        <f>"TG STUDENT LOAN - P CROUCH"</f>
        <v>TG STUDENT LOAN - P CROUCH</v>
      </c>
    </row>
    <row r="2815" spans="1:9" x14ac:dyDescent="0.3">
      <c r="A2815" t="str">
        <f>"T14362"</f>
        <v>T14362</v>
      </c>
      <c r="B2815" t="s">
        <v>452</v>
      </c>
      <c r="C2815">
        <v>46447</v>
      </c>
      <c r="D2815" s="2">
        <v>218.61</v>
      </c>
      <c r="E2815" s="1">
        <v>43280</v>
      </c>
      <c r="F2815" t="str">
        <f>"SL6201806271719"</f>
        <v>SL6201806271719</v>
      </c>
      <c r="G2815" t="str">
        <f>"TG STUDENT LOAN - P CROUCH"</f>
        <v>TG STUDENT LOAN - P CROUCH</v>
      </c>
      <c r="H2815">
        <v>218.61</v>
      </c>
      <c r="I2815" t="str">
        <f>"TG STUDENT LOAN - P CROUCH"</f>
        <v>TG STUDENT LOAN - P CROUCH</v>
      </c>
    </row>
    <row r="2816" spans="1:9" x14ac:dyDescent="0.3">
      <c r="A2816" t="str">
        <f>"T10887"</f>
        <v>T10887</v>
      </c>
      <c r="B2816" t="s">
        <v>453</v>
      </c>
      <c r="C2816">
        <v>46392</v>
      </c>
      <c r="D2816" s="2">
        <v>378.02</v>
      </c>
      <c r="E2816" s="1">
        <v>43252</v>
      </c>
      <c r="F2816" t="str">
        <f>"S10201805301204"</f>
        <v>S10201805301204</v>
      </c>
      <c r="G2816" t="str">
        <f t="shared" ref="G2816:G2821" si="45">"STUDENT LOAN"</f>
        <v>STUDENT LOAN</v>
      </c>
      <c r="H2816">
        <v>165.37</v>
      </c>
      <c r="I2816" t="str">
        <f t="shared" ref="I2816:I2821" si="46">"STUDENT LOAN"</f>
        <v>STUDENT LOAN</v>
      </c>
    </row>
    <row r="2817" spans="1:9" x14ac:dyDescent="0.3">
      <c r="A2817" t="str">
        <f>""</f>
        <v/>
      </c>
      <c r="F2817" t="str">
        <f>"SL9201805301204"</f>
        <v>SL9201805301204</v>
      </c>
      <c r="G2817" t="str">
        <f t="shared" si="45"/>
        <v>STUDENT LOAN</v>
      </c>
      <c r="H2817">
        <v>212.65</v>
      </c>
      <c r="I2817" t="str">
        <f t="shared" si="46"/>
        <v>STUDENT LOAN</v>
      </c>
    </row>
    <row r="2818" spans="1:9" x14ac:dyDescent="0.3">
      <c r="A2818" t="str">
        <f>"T10887"</f>
        <v>T10887</v>
      </c>
      <c r="B2818" t="s">
        <v>453</v>
      </c>
      <c r="C2818">
        <v>46421</v>
      </c>
      <c r="D2818" s="2">
        <v>378.02</v>
      </c>
      <c r="E2818" s="1">
        <v>43266</v>
      </c>
      <c r="F2818" t="str">
        <f>"S10201806131556"</f>
        <v>S10201806131556</v>
      </c>
      <c r="G2818" t="str">
        <f t="shared" si="45"/>
        <v>STUDENT LOAN</v>
      </c>
      <c r="H2818">
        <v>165.37</v>
      </c>
      <c r="I2818" t="str">
        <f t="shared" si="46"/>
        <v>STUDENT LOAN</v>
      </c>
    </row>
    <row r="2819" spans="1:9" x14ac:dyDescent="0.3">
      <c r="A2819" t="str">
        <f>""</f>
        <v/>
      </c>
      <c r="F2819" t="str">
        <f>"SL9201806131556"</f>
        <v>SL9201806131556</v>
      </c>
      <c r="G2819" t="str">
        <f t="shared" si="45"/>
        <v>STUDENT LOAN</v>
      </c>
      <c r="H2819">
        <v>212.65</v>
      </c>
      <c r="I2819" t="str">
        <f t="shared" si="46"/>
        <v>STUDENT LOAN</v>
      </c>
    </row>
    <row r="2820" spans="1:9" x14ac:dyDescent="0.3">
      <c r="A2820" t="str">
        <f>"T10887"</f>
        <v>T10887</v>
      </c>
      <c r="B2820" t="s">
        <v>453</v>
      </c>
      <c r="C2820">
        <v>46446</v>
      </c>
      <c r="D2820" s="2">
        <v>378.02</v>
      </c>
      <c r="E2820" s="1">
        <v>43280</v>
      </c>
      <c r="F2820" t="str">
        <f>"S10201806271719"</f>
        <v>S10201806271719</v>
      </c>
      <c r="G2820" t="str">
        <f t="shared" si="45"/>
        <v>STUDENT LOAN</v>
      </c>
      <c r="H2820">
        <v>165.37</v>
      </c>
      <c r="I2820" t="str">
        <f t="shared" si="46"/>
        <v>STUDENT LOAN</v>
      </c>
    </row>
    <row r="2821" spans="1:9" x14ac:dyDescent="0.3">
      <c r="A2821" t="str">
        <f>""</f>
        <v/>
      </c>
      <c r="F2821" t="str">
        <f>"SL9201806271719"</f>
        <v>SL9201806271719</v>
      </c>
      <c r="G2821" t="str">
        <f t="shared" si="45"/>
        <v>STUDENT LOAN</v>
      </c>
      <c r="H2821">
        <v>212.65</v>
      </c>
      <c r="I2821" t="str">
        <f t="shared" si="46"/>
        <v>STUDENT LOAN</v>
      </c>
    </row>
    <row r="2822" spans="1:9" x14ac:dyDescent="0.3">
      <c r="A2822" t="str">
        <f>"004767"</f>
        <v>004767</v>
      </c>
      <c r="B2822" t="s">
        <v>406</v>
      </c>
      <c r="C2822">
        <v>0</v>
      </c>
      <c r="D2822" s="2">
        <v>11683.4</v>
      </c>
      <c r="E2822" s="1">
        <v>43252</v>
      </c>
      <c r="F2822" t="str">
        <f>"FSA201805301204"</f>
        <v>FSA201805301204</v>
      </c>
      <c r="G2822" t="str">
        <f>"WAGE WORKS"</f>
        <v>WAGE WORKS</v>
      </c>
      <c r="H2822">
        <v>8438.48</v>
      </c>
      <c r="I2822" t="str">
        <f>"WAGE WORKS"</f>
        <v>WAGE WORKS</v>
      </c>
    </row>
    <row r="2823" spans="1:9" x14ac:dyDescent="0.3">
      <c r="A2823" t="str">
        <f>""</f>
        <v/>
      </c>
      <c r="F2823" t="str">
        <f>"FSA201805301223"</f>
        <v>FSA201805301223</v>
      </c>
      <c r="G2823" t="str">
        <f>"WAGE WORKS"</f>
        <v>WAGE WORKS</v>
      </c>
      <c r="H2823">
        <v>574</v>
      </c>
      <c r="I2823" t="str">
        <f>"WAGE WORKS"</f>
        <v>WAGE WORKS</v>
      </c>
    </row>
    <row r="2824" spans="1:9" x14ac:dyDescent="0.3">
      <c r="A2824" t="str">
        <f>""</f>
        <v/>
      </c>
      <c r="F2824" t="str">
        <f>"FSC201805301204"</f>
        <v>FSC201805301204</v>
      </c>
      <c r="G2824" t="str">
        <f>"WAGE WORKS"</f>
        <v>WAGE WORKS</v>
      </c>
      <c r="H2824">
        <v>913.95</v>
      </c>
      <c r="I2824" t="str">
        <f>"WAGE WORKS"</f>
        <v>WAGE WORKS</v>
      </c>
    </row>
    <row r="2825" spans="1:9" x14ac:dyDescent="0.3">
      <c r="A2825" t="str">
        <f>""</f>
        <v/>
      </c>
      <c r="F2825" t="str">
        <f>"FSF201805301204"</f>
        <v>FSF201805301204</v>
      </c>
      <c r="G2825" t="str">
        <f>"WAGE WORKS - FSA &amp; HRA FEES"</f>
        <v>WAGE WORKS - FSA &amp; HRA FEES</v>
      </c>
      <c r="H2825">
        <v>530.53</v>
      </c>
      <c r="I2825" t="str">
        <f t="shared" ref="I2825:I2865" si="47">"WAGE WORKS - FSA &amp; HRA FEES"</f>
        <v>WAGE WORKS - FSA &amp; HRA FEES</v>
      </c>
    </row>
    <row r="2826" spans="1:9" x14ac:dyDescent="0.3">
      <c r="A2826" t="str">
        <f>""</f>
        <v/>
      </c>
      <c r="F2826" t="str">
        <f>""</f>
        <v/>
      </c>
      <c r="G2826" t="str">
        <f>""</f>
        <v/>
      </c>
      <c r="I2826" t="str">
        <f t="shared" si="47"/>
        <v>WAGE WORKS - FSA &amp; HRA FEES</v>
      </c>
    </row>
    <row r="2827" spans="1:9" x14ac:dyDescent="0.3">
      <c r="A2827" t="str">
        <f>""</f>
        <v/>
      </c>
      <c r="F2827" t="str">
        <f>""</f>
        <v/>
      </c>
      <c r="G2827" t="str">
        <f>""</f>
        <v/>
      </c>
      <c r="I2827" t="str">
        <f t="shared" si="47"/>
        <v>WAGE WORKS - FSA &amp; HRA FEES</v>
      </c>
    </row>
    <row r="2828" spans="1:9" x14ac:dyDescent="0.3">
      <c r="A2828" t="str">
        <f>""</f>
        <v/>
      </c>
      <c r="F2828" t="str">
        <f>""</f>
        <v/>
      </c>
      <c r="G2828" t="str">
        <f>""</f>
        <v/>
      </c>
      <c r="I2828" t="str">
        <f t="shared" si="47"/>
        <v>WAGE WORKS - FSA &amp; HRA FEES</v>
      </c>
    </row>
    <row r="2829" spans="1:9" x14ac:dyDescent="0.3">
      <c r="A2829" t="str">
        <f>""</f>
        <v/>
      </c>
      <c r="F2829" t="str">
        <f>""</f>
        <v/>
      </c>
      <c r="G2829" t="str">
        <f>""</f>
        <v/>
      </c>
      <c r="I2829" t="str">
        <f t="shared" si="47"/>
        <v>WAGE WORKS - FSA &amp; HRA FEES</v>
      </c>
    </row>
    <row r="2830" spans="1:9" x14ac:dyDescent="0.3">
      <c r="A2830" t="str">
        <f>""</f>
        <v/>
      </c>
      <c r="F2830" t="str">
        <f>""</f>
        <v/>
      </c>
      <c r="G2830" t="str">
        <f>""</f>
        <v/>
      </c>
      <c r="I2830" t="str">
        <f t="shared" si="47"/>
        <v>WAGE WORKS - FSA &amp; HRA FEES</v>
      </c>
    </row>
    <row r="2831" spans="1:9" x14ac:dyDescent="0.3">
      <c r="A2831" t="str">
        <f>""</f>
        <v/>
      </c>
      <c r="F2831" t="str">
        <f>""</f>
        <v/>
      </c>
      <c r="G2831" t="str">
        <f>""</f>
        <v/>
      </c>
      <c r="I2831" t="str">
        <f t="shared" si="47"/>
        <v>WAGE WORKS - FSA &amp; HRA FEES</v>
      </c>
    </row>
    <row r="2832" spans="1:9" x14ac:dyDescent="0.3">
      <c r="A2832" t="str">
        <f>""</f>
        <v/>
      </c>
      <c r="F2832" t="str">
        <f>""</f>
        <v/>
      </c>
      <c r="G2832" t="str">
        <f>""</f>
        <v/>
      </c>
      <c r="I2832" t="str">
        <f t="shared" si="47"/>
        <v>WAGE WORKS - FSA &amp; HRA FEES</v>
      </c>
    </row>
    <row r="2833" spans="1:9" x14ac:dyDescent="0.3">
      <c r="A2833" t="str">
        <f>""</f>
        <v/>
      </c>
      <c r="F2833" t="str">
        <f>""</f>
        <v/>
      </c>
      <c r="G2833" t="str">
        <f>""</f>
        <v/>
      </c>
      <c r="I2833" t="str">
        <f t="shared" si="47"/>
        <v>WAGE WORKS - FSA &amp; HRA FEES</v>
      </c>
    </row>
    <row r="2834" spans="1:9" x14ac:dyDescent="0.3">
      <c r="A2834" t="str">
        <f>""</f>
        <v/>
      </c>
      <c r="F2834" t="str">
        <f>""</f>
        <v/>
      </c>
      <c r="G2834" t="str">
        <f>""</f>
        <v/>
      </c>
      <c r="I2834" t="str">
        <f t="shared" si="47"/>
        <v>WAGE WORKS - FSA &amp; HRA FEES</v>
      </c>
    </row>
    <row r="2835" spans="1:9" x14ac:dyDescent="0.3">
      <c r="A2835" t="str">
        <f>""</f>
        <v/>
      </c>
      <c r="F2835" t="str">
        <f>""</f>
        <v/>
      </c>
      <c r="G2835" t="str">
        <f>""</f>
        <v/>
      </c>
      <c r="I2835" t="str">
        <f t="shared" si="47"/>
        <v>WAGE WORKS - FSA &amp; HRA FEES</v>
      </c>
    </row>
    <row r="2836" spans="1:9" x14ac:dyDescent="0.3">
      <c r="A2836" t="str">
        <f>""</f>
        <v/>
      </c>
      <c r="F2836" t="str">
        <f>""</f>
        <v/>
      </c>
      <c r="G2836" t="str">
        <f>""</f>
        <v/>
      </c>
      <c r="I2836" t="str">
        <f t="shared" si="47"/>
        <v>WAGE WORKS - FSA &amp; HRA FEES</v>
      </c>
    </row>
    <row r="2837" spans="1:9" x14ac:dyDescent="0.3">
      <c r="A2837" t="str">
        <f>""</f>
        <v/>
      </c>
      <c r="F2837" t="str">
        <f>""</f>
        <v/>
      </c>
      <c r="G2837" t="str">
        <f>""</f>
        <v/>
      </c>
      <c r="I2837" t="str">
        <f t="shared" si="47"/>
        <v>WAGE WORKS - FSA &amp; HRA FEES</v>
      </c>
    </row>
    <row r="2838" spans="1:9" x14ac:dyDescent="0.3">
      <c r="A2838" t="str">
        <f>""</f>
        <v/>
      </c>
      <c r="F2838" t="str">
        <f>""</f>
        <v/>
      </c>
      <c r="G2838" t="str">
        <f>""</f>
        <v/>
      </c>
      <c r="I2838" t="str">
        <f t="shared" si="47"/>
        <v>WAGE WORKS - FSA &amp; HRA FEES</v>
      </c>
    </row>
    <row r="2839" spans="1:9" x14ac:dyDescent="0.3">
      <c r="A2839" t="str">
        <f>""</f>
        <v/>
      </c>
      <c r="F2839" t="str">
        <f>""</f>
        <v/>
      </c>
      <c r="G2839" t="str">
        <f>""</f>
        <v/>
      </c>
      <c r="I2839" t="str">
        <f t="shared" si="47"/>
        <v>WAGE WORKS - FSA &amp; HRA FEES</v>
      </c>
    </row>
    <row r="2840" spans="1:9" x14ac:dyDescent="0.3">
      <c r="A2840" t="str">
        <f>""</f>
        <v/>
      </c>
      <c r="F2840" t="str">
        <f>""</f>
        <v/>
      </c>
      <c r="G2840" t="str">
        <f>""</f>
        <v/>
      </c>
      <c r="I2840" t="str">
        <f t="shared" si="47"/>
        <v>WAGE WORKS - FSA &amp; HRA FEES</v>
      </c>
    </row>
    <row r="2841" spans="1:9" x14ac:dyDescent="0.3">
      <c r="A2841" t="str">
        <f>""</f>
        <v/>
      </c>
      <c r="F2841" t="str">
        <f>""</f>
        <v/>
      </c>
      <c r="G2841" t="str">
        <f>""</f>
        <v/>
      </c>
      <c r="I2841" t="str">
        <f t="shared" si="47"/>
        <v>WAGE WORKS - FSA &amp; HRA FEES</v>
      </c>
    </row>
    <row r="2842" spans="1:9" x14ac:dyDescent="0.3">
      <c r="A2842" t="str">
        <f>""</f>
        <v/>
      </c>
      <c r="F2842" t="str">
        <f>""</f>
        <v/>
      </c>
      <c r="G2842" t="str">
        <f>""</f>
        <v/>
      </c>
      <c r="I2842" t="str">
        <f t="shared" si="47"/>
        <v>WAGE WORKS - FSA &amp; HRA FEES</v>
      </c>
    </row>
    <row r="2843" spans="1:9" x14ac:dyDescent="0.3">
      <c r="A2843" t="str">
        <f>""</f>
        <v/>
      </c>
      <c r="F2843" t="str">
        <f>""</f>
        <v/>
      </c>
      <c r="G2843" t="str">
        <f>""</f>
        <v/>
      </c>
      <c r="I2843" t="str">
        <f t="shared" si="47"/>
        <v>WAGE WORKS - FSA &amp; HRA FEES</v>
      </c>
    </row>
    <row r="2844" spans="1:9" x14ac:dyDescent="0.3">
      <c r="A2844" t="str">
        <f>""</f>
        <v/>
      </c>
      <c r="F2844" t="str">
        <f>""</f>
        <v/>
      </c>
      <c r="G2844" t="str">
        <f>""</f>
        <v/>
      </c>
      <c r="I2844" t="str">
        <f t="shared" si="47"/>
        <v>WAGE WORKS - FSA &amp; HRA FEES</v>
      </c>
    </row>
    <row r="2845" spans="1:9" x14ac:dyDescent="0.3">
      <c r="A2845" t="str">
        <f>""</f>
        <v/>
      </c>
      <c r="F2845" t="str">
        <f>""</f>
        <v/>
      </c>
      <c r="G2845" t="str">
        <f>""</f>
        <v/>
      </c>
      <c r="I2845" t="str">
        <f t="shared" si="47"/>
        <v>WAGE WORKS - FSA &amp; HRA FEES</v>
      </c>
    </row>
    <row r="2846" spans="1:9" x14ac:dyDescent="0.3">
      <c r="A2846" t="str">
        <f>""</f>
        <v/>
      </c>
      <c r="F2846" t="str">
        <f>""</f>
        <v/>
      </c>
      <c r="G2846" t="str">
        <f>""</f>
        <v/>
      </c>
      <c r="I2846" t="str">
        <f t="shared" si="47"/>
        <v>WAGE WORKS - FSA &amp; HRA FEES</v>
      </c>
    </row>
    <row r="2847" spans="1:9" x14ac:dyDescent="0.3">
      <c r="A2847" t="str">
        <f>""</f>
        <v/>
      </c>
      <c r="F2847" t="str">
        <f>""</f>
        <v/>
      </c>
      <c r="G2847" t="str">
        <f>""</f>
        <v/>
      </c>
      <c r="I2847" t="str">
        <f t="shared" si="47"/>
        <v>WAGE WORKS - FSA &amp; HRA FEES</v>
      </c>
    </row>
    <row r="2848" spans="1:9" x14ac:dyDescent="0.3">
      <c r="A2848" t="str">
        <f>""</f>
        <v/>
      </c>
      <c r="F2848" t="str">
        <f>""</f>
        <v/>
      </c>
      <c r="G2848" t="str">
        <f>""</f>
        <v/>
      </c>
      <c r="I2848" t="str">
        <f t="shared" si="47"/>
        <v>WAGE WORKS - FSA &amp; HRA FEES</v>
      </c>
    </row>
    <row r="2849" spans="1:9" x14ac:dyDescent="0.3">
      <c r="A2849" t="str">
        <f>""</f>
        <v/>
      </c>
      <c r="F2849" t="str">
        <f>""</f>
        <v/>
      </c>
      <c r="G2849" t="str">
        <f>""</f>
        <v/>
      </c>
      <c r="I2849" t="str">
        <f t="shared" si="47"/>
        <v>WAGE WORKS - FSA &amp; HRA FEES</v>
      </c>
    </row>
    <row r="2850" spans="1:9" x14ac:dyDescent="0.3">
      <c r="A2850" t="str">
        <f>""</f>
        <v/>
      </c>
      <c r="F2850" t="str">
        <f>""</f>
        <v/>
      </c>
      <c r="G2850" t="str">
        <f>""</f>
        <v/>
      </c>
      <c r="I2850" t="str">
        <f t="shared" si="47"/>
        <v>WAGE WORKS - FSA &amp; HRA FEES</v>
      </c>
    </row>
    <row r="2851" spans="1:9" x14ac:dyDescent="0.3">
      <c r="A2851" t="str">
        <f>""</f>
        <v/>
      </c>
      <c r="F2851" t="str">
        <f>""</f>
        <v/>
      </c>
      <c r="G2851" t="str">
        <f>""</f>
        <v/>
      </c>
      <c r="I2851" t="str">
        <f t="shared" si="47"/>
        <v>WAGE WORKS - FSA &amp; HRA FEES</v>
      </c>
    </row>
    <row r="2852" spans="1:9" x14ac:dyDescent="0.3">
      <c r="A2852" t="str">
        <f>""</f>
        <v/>
      </c>
      <c r="F2852" t="str">
        <f>""</f>
        <v/>
      </c>
      <c r="G2852" t="str">
        <f>""</f>
        <v/>
      </c>
      <c r="I2852" t="str">
        <f t="shared" si="47"/>
        <v>WAGE WORKS - FSA &amp; HRA FEES</v>
      </c>
    </row>
    <row r="2853" spans="1:9" x14ac:dyDescent="0.3">
      <c r="A2853" t="str">
        <f>""</f>
        <v/>
      </c>
      <c r="F2853" t="str">
        <f>""</f>
        <v/>
      </c>
      <c r="G2853" t="str">
        <f>""</f>
        <v/>
      </c>
      <c r="I2853" t="str">
        <f t="shared" si="47"/>
        <v>WAGE WORKS - FSA &amp; HRA FEES</v>
      </c>
    </row>
    <row r="2854" spans="1:9" x14ac:dyDescent="0.3">
      <c r="A2854" t="str">
        <f>""</f>
        <v/>
      </c>
      <c r="F2854" t="str">
        <f>""</f>
        <v/>
      </c>
      <c r="G2854" t="str">
        <f>""</f>
        <v/>
      </c>
      <c r="I2854" t="str">
        <f t="shared" si="47"/>
        <v>WAGE WORKS - FSA &amp; HRA FEES</v>
      </c>
    </row>
    <row r="2855" spans="1:9" x14ac:dyDescent="0.3">
      <c r="A2855" t="str">
        <f>""</f>
        <v/>
      </c>
      <c r="F2855" t="str">
        <f>""</f>
        <v/>
      </c>
      <c r="G2855" t="str">
        <f>""</f>
        <v/>
      </c>
      <c r="I2855" t="str">
        <f t="shared" si="47"/>
        <v>WAGE WORKS - FSA &amp; HRA FEES</v>
      </c>
    </row>
    <row r="2856" spans="1:9" x14ac:dyDescent="0.3">
      <c r="A2856" t="str">
        <f>""</f>
        <v/>
      </c>
      <c r="F2856" t="str">
        <f>""</f>
        <v/>
      </c>
      <c r="G2856" t="str">
        <f>""</f>
        <v/>
      </c>
      <c r="I2856" t="str">
        <f t="shared" si="47"/>
        <v>WAGE WORKS - FSA &amp; HRA FEES</v>
      </c>
    </row>
    <row r="2857" spans="1:9" x14ac:dyDescent="0.3">
      <c r="A2857" t="str">
        <f>""</f>
        <v/>
      </c>
      <c r="F2857" t="str">
        <f>""</f>
        <v/>
      </c>
      <c r="G2857" t="str">
        <f>""</f>
        <v/>
      </c>
      <c r="I2857" t="str">
        <f t="shared" si="47"/>
        <v>WAGE WORKS - FSA &amp; HRA FEES</v>
      </c>
    </row>
    <row r="2858" spans="1:9" x14ac:dyDescent="0.3">
      <c r="A2858" t="str">
        <f>""</f>
        <v/>
      </c>
      <c r="F2858" t="str">
        <f>""</f>
        <v/>
      </c>
      <c r="G2858" t="str">
        <f>""</f>
        <v/>
      </c>
      <c r="I2858" t="str">
        <f t="shared" si="47"/>
        <v>WAGE WORKS - FSA &amp; HRA FEES</v>
      </c>
    </row>
    <row r="2859" spans="1:9" x14ac:dyDescent="0.3">
      <c r="A2859" t="str">
        <f>""</f>
        <v/>
      </c>
      <c r="F2859" t="str">
        <f>""</f>
        <v/>
      </c>
      <c r="G2859" t="str">
        <f>""</f>
        <v/>
      </c>
      <c r="I2859" t="str">
        <f t="shared" si="47"/>
        <v>WAGE WORKS - FSA &amp; HRA FEES</v>
      </c>
    </row>
    <row r="2860" spans="1:9" x14ac:dyDescent="0.3">
      <c r="A2860" t="str">
        <f>""</f>
        <v/>
      </c>
      <c r="F2860" t="str">
        <f>""</f>
        <v/>
      </c>
      <c r="G2860" t="str">
        <f>""</f>
        <v/>
      </c>
      <c r="I2860" t="str">
        <f t="shared" si="47"/>
        <v>WAGE WORKS - FSA &amp; HRA FEES</v>
      </c>
    </row>
    <row r="2861" spans="1:9" x14ac:dyDescent="0.3">
      <c r="A2861" t="str">
        <f>""</f>
        <v/>
      </c>
      <c r="F2861" t="str">
        <f>""</f>
        <v/>
      </c>
      <c r="G2861" t="str">
        <f>""</f>
        <v/>
      </c>
      <c r="I2861" t="str">
        <f t="shared" si="47"/>
        <v>WAGE WORKS - FSA &amp; HRA FEES</v>
      </c>
    </row>
    <row r="2862" spans="1:9" x14ac:dyDescent="0.3">
      <c r="A2862" t="str">
        <f>""</f>
        <v/>
      </c>
      <c r="F2862" t="str">
        <f>""</f>
        <v/>
      </c>
      <c r="G2862" t="str">
        <f>""</f>
        <v/>
      </c>
      <c r="I2862" t="str">
        <f t="shared" si="47"/>
        <v>WAGE WORKS - FSA &amp; HRA FEES</v>
      </c>
    </row>
    <row r="2863" spans="1:9" x14ac:dyDescent="0.3">
      <c r="A2863" t="str">
        <f>""</f>
        <v/>
      </c>
      <c r="F2863" t="str">
        <f>""</f>
        <v/>
      </c>
      <c r="G2863" t="str">
        <f>""</f>
        <v/>
      </c>
      <c r="I2863" t="str">
        <f t="shared" si="47"/>
        <v>WAGE WORKS - FSA &amp; HRA FEES</v>
      </c>
    </row>
    <row r="2864" spans="1:9" x14ac:dyDescent="0.3">
      <c r="A2864" t="str">
        <f>""</f>
        <v/>
      </c>
      <c r="F2864" t="str">
        <f>""</f>
        <v/>
      </c>
      <c r="G2864" t="str">
        <f>""</f>
        <v/>
      </c>
      <c r="I2864" t="str">
        <f t="shared" si="47"/>
        <v>WAGE WORKS - FSA &amp; HRA FEES</v>
      </c>
    </row>
    <row r="2865" spans="1:9" x14ac:dyDescent="0.3">
      <c r="A2865" t="str">
        <f>""</f>
        <v/>
      </c>
      <c r="F2865" t="str">
        <f>"FSF201805301223"</f>
        <v>FSF201805301223</v>
      </c>
      <c r="G2865" t="str">
        <f>"WAGE WORKS - FSA &amp; HRA FEES"</f>
        <v>WAGE WORKS - FSA &amp; HRA FEES</v>
      </c>
      <c r="H2865">
        <v>25.97</v>
      </c>
      <c r="I2865" t="str">
        <f t="shared" si="47"/>
        <v>WAGE WORKS - FSA &amp; HRA FEES</v>
      </c>
    </row>
    <row r="2866" spans="1:9" x14ac:dyDescent="0.3">
      <c r="A2866" t="str">
        <f>""</f>
        <v/>
      </c>
      <c r="F2866" t="str">
        <f>"FSO201805301204"</f>
        <v>FSO201805301204</v>
      </c>
      <c r="G2866" t="str">
        <f>"WAGE WORKS - FSA FEES"</f>
        <v>WAGE WORKS - FSA FEES</v>
      </c>
      <c r="H2866">
        <v>11.16</v>
      </c>
      <c r="I2866" t="str">
        <f t="shared" ref="I2866:I2873" si="48">"WAGE WORKS - FSA FEES"</f>
        <v>WAGE WORKS - FSA FEES</v>
      </c>
    </row>
    <row r="2867" spans="1:9" x14ac:dyDescent="0.3">
      <c r="A2867" t="str">
        <f>""</f>
        <v/>
      </c>
      <c r="F2867" t="str">
        <f>""</f>
        <v/>
      </c>
      <c r="G2867" t="str">
        <f>""</f>
        <v/>
      </c>
      <c r="I2867" t="str">
        <f t="shared" si="48"/>
        <v>WAGE WORKS - FSA FEES</v>
      </c>
    </row>
    <row r="2868" spans="1:9" x14ac:dyDescent="0.3">
      <c r="A2868" t="str">
        <f>""</f>
        <v/>
      </c>
      <c r="F2868" t="str">
        <f>""</f>
        <v/>
      </c>
      <c r="G2868" t="str">
        <f>""</f>
        <v/>
      </c>
      <c r="I2868" t="str">
        <f t="shared" si="48"/>
        <v>WAGE WORKS - FSA FEES</v>
      </c>
    </row>
    <row r="2869" spans="1:9" x14ac:dyDescent="0.3">
      <c r="A2869" t="str">
        <f>""</f>
        <v/>
      </c>
      <c r="F2869" t="str">
        <f>""</f>
        <v/>
      </c>
      <c r="G2869" t="str">
        <f>""</f>
        <v/>
      </c>
      <c r="I2869" t="str">
        <f t="shared" si="48"/>
        <v>WAGE WORKS - FSA FEES</v>
      </c>
    </row>
    <row r="2870" spans="1:9" x14ac:dyDescent="0.3">
      <c r="A2870" t="str">
        <f>""</f>
        <v/>
      </c>
      <c r="F2870" t="str">
        <f>""</f>
        <v/>
      </c>
      <c r="G2870" t="str">
        <f>""</f>
        <v/>
      </c>
      <c r="I2870" t="str">
        <f t="shared" si="48"/>
        <v>WAGE WORKS - FSA FEES</v>
      </c>
    </row>
    <row r="2871" spans="1:9" x14ac:dyDescent="0.3">
      <c r="A2871" t="str">
        <f>""</f>
        <v/>
      </c>
      <c r="F2871" t="str">
        <f>""</f>
        <v/>
      </c>
      <c r="G2871" t="str">
        <f>""</f>
        <v/>
      </c>
      <c r="I2871" t="str">
        <f t="shared" si="48"/>
        <v>WAGE WORKS - FSA FEES</v>
      </c>
    </row>
    <row r="2872" spans="1:9" x14ac:dyDescent="0.3">
      <c r="A2872" t="str">
        <f>""</f>
        <v/>
      </c>
      <c r="F2872" t="str">
        <f>""</f>
        <v/>
      </c>
      <c r="G2872" t="str">
        <f>""</f>
        <v/>
      </c>
      <c r="I2872" t="str">
        <f t="shared" si="48"/>
        <v>WAGE WORKS - FSA FEES</v>
      </c>
    </row>
    <row r="2873" spans="1:9" x14ac:dyDescent="0.3">
      <c r="A2873" t="str">
        <f>""</f>
        <v/>
      </c>
      <c r="F2873" t="str">
        <f>"FSO201805301223"</f>
        <v>FSO201805301223</v>
      </c>
      <c r="G2873" t="str">
        <f>"WAGE WORKS - FSA FEES"</f>
        <v>WAGE WORKS - FSA FEES</v>
      </c>
      <c r="H2873">
        <v>1.86</v>
      </c>
      <c r="I2873" t="str">
        <f t="shared" si="48"/>
        <v>WAGE WORKS - FSA FEES</v>
      </c>
    </row>
    <row r="2874" spans="1:9" x14ac:dyDescent="0.3">
      <c r="A2874" t="str">
        <f>""</f>
        <v/>
      </c>
      <c r="F2874" t="str">
        <f>"HRA201805301204"</f>
        <v>HRA201805301204</v>
      </c>
      <c r="G2874" t="str">
        <f>"WAGE WORKS"</f>
        <v>WAGE WORKS</v>
      </c>
      <c r="H2874">
        <v>666.65</v>
      </c>
      <c r="I2874" t="str">
        <f>"WAGE WORKS"</f>
        <v>WAGE WORKS</v>
      </c>
    </row>
    <row r="2875" spans="1:9" x14ac:dyDescent="0.3">
      <c r="A2875" t="str">
        <f>""</f>
        <v/>
      </c>
      <c r="F2875" t="str">
        <f>""</f>
        <v/>
      </c>
      <c r="G2875" t="str">
        <f>""</f>
        <v/>
      </c>
      <c r="I2875" t="str">
        <f>"WAGE WORKS"</f>
        <v>WAGE WORKS</v>
      </c>
    </row>
    <row r="2876" spans="1:9" x14ac:dyDescent="0.3">
      <c r="A2876" t="str">
        <f>""</f>
        <v/>
      </c>
      <c r="F2876" t="str">
        <f>""</f>
        <v/>
      </c>
      <c r="G2876" t="str">
        <f>""</f>
        <v/>
      </c>
      <c r="I2876" t="str">
        <f>"WAGE WORKS"</f>
        <v>WAGE WORKS</v>
      </c>
    </row>
    <row r="2877" spans="1:9" x14ac:dyDescent="0.3">
      <c r="A2877" t="str">
        <f>""</f>
        <v/>
      </c>
      <c r="F2877" t="str">
        <f>""</f>
        <v/>
      </c>
      <c r="G2877" t="str">
        <f>""</f>
        <v/>
      </c>
      <c r="I2877" t="str">
        <f>"WAGE WORKS"</f>
        <v>WAGE WORKS</v>
      </c>
    </row>
    <row r="2878" spans="1:9" x14ac:dyDescent="0.3">
      <c r="A2878" t="str">
        <f>""</f>
        <v/>
      </c>
      <c r="F2878" t="str">
        <f>""</f>
        <v/>
      </c>
      <c r="G2878" t="str">
        <f>""</f>
        <v/>
      </c>
      <c r="I2878" t="str">
        <f>"WAGE WORKS"</f>
        <v>WAGE WORKS</v>
      </c>
    </row>
    <row r="2879" spans="1:9" x14ac:dyDescent="0.3">
      <c r="A2879" t="str">
        <f>""</f>
        <v/>
      </c>
      <c r="F2879" t="str">
        <f>"HRF201805301204"</f>
        <v>HRF201805301204</v>
      </c>
      <c r="G2879" t="str">
        <f>"WAGE WORKS - HRA FEES"</f>
        <v>WAGE WORKS - HRA FEES</v>
      </c>
      <c r="H2879">
        <v>504.06</v>
      </c>
      <c r="I2879" t="str">
        <f t="shared" ref="I2879:I2919" si="49">"WAGE WORKS - HRA FEES"</f>
        <v>WAGE WORKS - HRA FEES</v>
      </c>
    </row>
    <row r="2880" spans="1:9" x14ac:dyDescent="0.3">
      <c r="A2880" t="str">
        <f>""</f>
        <v/>
      </c>
      <c r="F2880" t="str">
        <f>""</f>
        <v/>
      </c>
      <c r="G2880" t="str">
        <f>""</f>
        <v/>
      </c>
      <c r="I2880" t="str">
        <f t="shared" si="49"/>
        <v>WAGE WORKS - HRA FEES</v>
      </c>
    </row>
    <row r="2881" spans="1:9" x14ac:dyDescent="0.3">
      <c r="A2881" t="str">
        <f>""</f>
        <v/>
      </c>
      <c r="F2881" t="str">
        <f>""</f>
        <v/>
      </c>
      <c r="G2881" t="str">
        <f>""</f>
        <v/>
      </c>
      <c r="I2881" t="str">
        <f t="shared" si="49"/>
        <v>WAGE WORKS - HRA FEES</v>
      </c>
    </row>
    <row r="2882" spans="1:9" x14ac:dyDescent="0.3">
      <c r="A2882" t="str">
        <f>""</f>
        <v/>
      </c>
      <c r="F2882" t="str">
        <f>""</f>
        <v/>
      </c>
      <c r="G2882" t="str">
        <f>""</f>
        <v/>
      </c>
      <c r="I2882" t="str">
        <f t="shared" si="49"/>
        <v>WAGE WORKS - HRA FEES</v>
      </c>
    </row>
    <row r="2883" spans="1:9" x14ac:dyDescent="0.3">
      <c r="A2883" t="str">
        <f>""</f>
        <v/>
      </c>
      <c r="F2883" t="str">
        <f>""</f>
        <v/>
      </c>
      <c r="G2883" t="str">
        <f>""</f>
        <v/>
      </c>
      <c r="I2883" t="str">
        <f t="shared" si="49"/>
        <v>WAGE WORKS - HRA FEES</v>
      </c>
    </row>
    <row r="2884" spans="1:9" x14ac:dyDescent="0.3">
      <c r="A2884" t="str">
        <f>""</f>
        <v/>
      </c>
      <c r="F2884" t="str">
        <f>""</f>
        <v/>
      </c>
      <c r="G2884" t="str">
        <f>""</f>
        <v/>
      </c>
      <c r="I2884" t="str">
        <f t="shared" si="49"/>
        <v>WAGE WORKS - HRA FEES</v>
      </c>
    </row>
    <row r="2885" spans="1:9" x14ac:dyDescent="0.3">
      <c r="A2885" t="str">
        <f>""</f>
        <v/>
      </c>
      <c r="F2885" t="str">
        <f>""</f>
        <v/>
      </c>
      <c r="G2885" t="str">
        <f>""</f>
        <v/>
      </c>
      <c r="I2885" t="str">
        <f t="shared" si="49"/>
        <v>WAGE WORKS - HRA FEES</v>
      </c>
    </row>
    <row r="2886" spans="1:9" x14ac:dyDescent="0.3">
      <c r="A2886" t="str">
        <f>""</f>
        <v/>
      </c>
      <c r="F2886" t="str">
        <f>""</f>
        <v/>
      </c>
      <c r="G2886" t="str">
        <f>""</f>
        <v/>
      </c>
      <c r="I2886" t="str">
        <f t="shared" si="49"/>
        <v>WAGE WORKS - HRA FEES</v>
      </c>
    </row>
    <row r="2887" spans="1:9" x14ac:dyDescent="0.3">
      <c r="A2887" t="str">
        <f>""</f>
        <v/>
      </c>
      <c r="F2887" t="str">
        <f>""</f>
        <v/>
      </c>
      <c r="G2887" t="str">
        <f>""</f>
        <v/>
      </c>
      <c r="I2887" t="str">
        <f t="shared" si="49"/>
        <v>WAGE WORKS - HRA FEES</v>
      </c>
    </row>
    <row r="2888" spans="1:9" x14ac:dyDescent="0.3">
      <c r="A2888" t="str">
        <f>""</f>
        <v/>
      </c>
      <c r="F2888" t="str">
        <f>""</f>
        <v/>
      </c>
      <c r="G2888" t="str">
        <f>""</f>
        <v/>
      </c>
      <c r="I2888" t="str">
        <f t="shared" si="49"/>
        <v>WAGE WORKS - HRA FEES</v>
      </c>
    </row>
    <row r="2889" spans="1:9" x14ac:dyDescent="0.3">
      <c r="A2889" t="str">
        <f>""</f>
        <v/>
      </c>
      <c r="F2889" t="str">
        <f>""</f>
        <v/>
      </c>
      <c r="G2889" t="str">
        <f>""</f>
        <v/>
      </c>
      <c r="I2889" t="str">
        <f t="shared" si="49"/>
        <v>WAGE WORKS - HRA FEES</v>
      </c>
    </row>
    <row r="2890" spans="1:9" x14ac:dyDescent="0.3">
      <c r="A2890" t="str">
        <f>""</f>
        <v/>
      </c>
      <c r="F2890" t="str">
        <f>""</f>
        <v/>
      </c>
      <c r="G2890" t="str">
        <f>""</f>
        <v/>
      </c>
      <c r="I2890" t="str">
        <f t="shared" si="49"/>
        <v>WAGE WORKS - HRA FEES</v>
      </c>
    </row>
    <row r="2891" spans="1:9" x14ac:dyDescent="0.3">
      <c r="A2891" t="str">
        <f>""</f>
        <v/>
      </c>
      <c r="F2891" t="str">
        <f>""</f>
        <v/>
      </c>
      <c r="G2891" t="str">
        <f>""</f>
        <v/>
      </c>
      <c r="I2891" t="str">
        <f t="shared" si="49"/>
        <v>WAGE WORKS - HRA FEES</v>
      </c>
    </row>
    <row r="2892" spans="1:9" x14ac:dyDescent="0.3">
      <c r="A2892" t="str">
        <f>""</f>
        <v/>
      </c>
      <c r="F2892" t="str">
        <f>""</f>
        <v/>
      </c>
      <c r="G2892" t="str">
        <f>""</f>
        <v/>
      </c>
      <c r="I2892" t="str">
        <f t="shared" si="49"/>
        <v>WAGE WORKS - HRA FEES</v>
      </c>
    </row>
    <row r="2893" spans="1:9" x14ac:dyDescent="0.3">
      <c r="A2893" t="str">
        <f>""</f>
        <v/>
      </c>
      <c r="F2893" t="str">
        <f>""</f>
        <v/>
      </c>
      <c r="G2893" t="str">
        <f>""</f>
        <v/>
      </c>
      <c r="I2893" t="str">
        <f t="shared" si="49"/>
        <v>WAGE WORKS - HRA FEES</v>
      </c>
    </row>
    <row r="2894" spans="1:9" x14ac:dyDescent="0.3">
      <c r="A2894" t="str">
        <f>""</f>
        <v/>
      </c>
      <c r="F2894" t="str">
        <f>""</f>
        <v/>
      </c>
      <c r="G2894" t="str">
        <f>""</f>
        <v/>
      </c>
      <c r="I2894" t="str">
        <f t="shared" si="49"/>
        <v>WAGE WORKS - HRA FEES</v>
      </c>
    </row>
    <row r="2895" spans="1:9" x14ac:dyDescent="0.3">
      <c r="A2895" t="str">
        <f>""</f>
        <v/>
      </c>
      <c r="F2895" t="str">
        <f>""</f>
        <v/>
      </c>
      <c r="G2895" t="str">
        <f>""</f>
        <v/>
      </c>
      <c r="I2895" t="str">
        <f t="shared" si="49"/>
        <v>WAGE WORKS - HRA FEES</v>
      </c>
    </row>
    <row r="2896" spans="1:9" x14ac:dyDescent="0.3">
      <c r="A2896" t="str">
        <f>""</f>
        <v/>
      </c>
      <c r="F2896" t="str">
        <f>""</f>
        <v/>
      </c>
      <c r="G2896" t="str">
        <f>""</f>
        <v/>
      </c>
      <c r="I2896" t="str">
        <f t="shared" si="49"/>
        <v>WAGE WORKS - HRA FEES</v>
      </c>
    </row>
    <row r="2897" spans="1:9" x14ac:dyDescent="0.3">
      <c r="A2897" t="str">
        <f>""</f>
        <v/>
      </c>
      <c r="F2897" t="str">
        <f>""</f>
        <v/>
      </c>
      <c r="G2897" t="str">
        <f>""</f>
        <v/>
      </c>
      <c r="I2897" t="str">
        <f t="shared" si="49"/>
        <v>WAGE WORKS - HRA FEES</v>
      </c>
    </row>
    <row r="2898" spans="1:9" x14ac:dyDescent="0.3">
      <c r="A2898" t="str">
        <f>""</f>
        <v/>
      </c>
      <c r="F2898" t="str">
        <f>""</f>
        <v/>
      </c>
      <c r="G2898" t="str">
        <f>""</f>
        <v/>
      </c>
      <c r="I2898" t="str">
        <f t="shared" si="49"/>
        <v>WAGE WORKS - HRA FEES</v>
      </c>
    </row>
    <row r="2899" spans="1:9" x14ac:dyDescent="0.3">
      <c r="A2899" t="str">
        <f>""</f>
        <v/>
      </c>
      <c r="F2899" t="str">
        <f>""</f>
        <v/>
      </c>
      <c r="G2899" t="str">
        <f>""</f>
        <v/>
      </c>
      <c r="I2899" t="str">
        <f t="shared" si="49"/>
        <v>WAGE WORKS - HRA FEES</v>
      </c>
    </row>
    <row r="2900" spans="1:9" x14ac:dyDescent="0.3">
      <c r="A2900" t="str">
        <f>""</f>
        <v/>
      </c>
      <c r="F2900" t="str">
        <f>""</f>
        <v/>
      </c>
      <c r="G2900" t="str">
        <f>""</f>
        <v/>
      </c>
      <c r="I2900" t="str">
        <f t="shared" si="49"/>
        <v>WAGE WORKS - HRA FEES</v>
      </c>
    </row>
    <row r="2901" spans="1:9" x14ac:dyDescent="0.3">
      <c r="A2901" t="str">
        <f>""</f>
        <v/>
      </c>
      <c r="F2901" t="str">
        <f>""</f>
        <v/>
      </c>
      <c r="G2901" t="str">
        <f>""</f>
        <v/>
      </c>
      <c r="I2901" t="str">
        <f t="shared" si="49"/>
        <v>WAGE WORKS - HRA FEES</v>
      </c>
    </row>
    <row r="2902" spans="1:9" x14ac:dyDescent="0.3">
      <c r="A2902" t="str">
        <f>""</f>
        <v/>
      </c>
      <c r="F2902" t="str">
        <f>""</f>
        <v/>
      </c>
      <c r="G2902" t="str">
        <f>""</f>
        <v/>
      </c>
      <c r="I2902" t="str">
        <f t="shared" si="49"/>
        <v>WAGE WORKS - HRA FEES</v>
      </c>
    </row>
    <row r="2903" spans="1:9" x14ac:dyDescent="0.3">
      <c r="A2903" t="str">
        <f>""</f>
        <v/>
      </c>
      <c r="F2903" t="str">
        <f>""</f>
        <v/>
      </c>
      <c r="G2903" t="str">
        <f>""</f>
        <v/>
      </c>
      <c r="I2903" t="str">
        <f t="shared" si="49"/>
        <v>WAGE WORKS - HRA FEES</v>
      </c>
    </row>
    <row r="2904" spans="1:9" x14ac:dyDescent="0.3">
      <c r="A2904" t="str">
        <f>""</f>
        <v/>
      </c>
      <c r="F2904" t="str">
        <f>""</f>
        <v/>
      </c>
      <c r="G2904" t="str">
        <f>""</f>
        <v/>
      </c>
      <c r="I2904" t="str">
        <f t="shared" si="49"/>
        <v>WAGE WORKS - HRA FEES</v>
      </c>
    </row>
    <row r="2905" spans="1:9" x14ac:dyDescent="0.3">
      <c r="A2905" t="str">
        <f>""</f>
        <v/>
      </c>
      <c r="F2905" t="str">
        <f>""</f>
        <v/>
      </c>
      <c r="G2905" t="str">
        <f>""</f>
        <v/>
      </c>
      <c r="I2905" t="str">
        <f t="shared" si="49"/>
        <v>WAGE WORKS - HRA FEES</v>
      </c>
    </row>
    <row r="2906" spans="1:9" x14ac:dyDescent="0.3">
      <c r="A2906" t="str">
        <f>""</f>
        <v/>
      </c>
      <c r="F2906" t="str">
        <f>""</f>
        <v/>
      </c>
      <c r="G2906" t="str">
        <f>""</f>
        <v/>
      </c>
      <c r="I2906" t="str">
        <f t="shared" si="49"/>
        <v>WAGE WORKS - HRA FEES</v>
      </c>
    </row>
    <row r="2907" spans="1:9" x14ac:dyDescent="0.3">
      <c r="A2907" t="str">
        <f>""</f>
        <v/>
      </c>
      <c r="F2907" t="str">
        <f>""</f>
        <v/>
      </c>
      <c r="G2907" t="str">
        <f>""</f>
        <v/>
      </c>
      <c r="I2907" t="str">
        <f t="shared" si="49"/>
        <v>WAGE WORKS - HRA FEES</v>
      </c>
    </row>
    <row r="2908" spans="1:9" x14ac:dyDescent="0.3">
      <c r="A2908" t="str">
        <f>""</f>
        <v/>
      </c>
      <c r="F2908" t="str">
        <f>""</f>
        <v/>
      </c>
      <c r="G2908" t="str">
        <f>""</f>
        <v/>
      </c>
      <c r="I2908" t="str">
        <f t="shared" si="49"/>
        <v>WAGE WORKS - HRA FEES</v>
      </c>
    </row>
    <row r="2909" spans="1:9" x14ac:dyDescent="0.3">
      <c r="A2909" t="str">
        <f>""</f>
        <v/>
      </c>
      <c r="F2909" t="str">
        <f>""</f>
        <v/>
      </c>
      <c r="G2909" t="str">
        <f>""</f>
        <v/>
      </c>
      <c r="I2909" t="str">
        <f t="shared" si="49"/>
        <v>WAGE WORKS - HRA FEES</v>
      </c>
    </row>
    <row r="2910" spans="1:9" x14ac:dyDescent="0.3">
      <c r="A2910" t="str">
        <f>""</f>
        <v/>
      </c>
      <c r="F2910" t="str">
        <f>""</f>
        <v/>
      </c>
      <c r="G2910" t="str">
        <f>""</f>
        <v/>
      </c>
      <c r="I2910" t="str">
        <f t="shared" si="49"/>
        <v>WAGE WORKS - HRA FEES</v>
      </c>
    </row>
    <row r="2911" spans="1:9" x14ac:dyDescent="0.3">
      <c r="A2911" t="str">
        <f>""</f>
        <v/>
      </c>
      <c r="F2911" t="str">
        <f>""</f>
        <v/>
      </c>
      <c r="G2911" t="str">
        <f>""</f>
        <v/>
      </c>
      <c r="I2911" t="str">
        <f t="shared" si="49"/>
        <v>WAGE WORKS - HRA FEES</v>
      </c>
    </row>
    <row r="2912" spans="1:9" x14ac:dyDescent="0.3">
      <c r="A2912" t="str">
        <f>""</f>
        <v/>
      </c>
      <c r="F2912" t="str">
        <f>""</f>
        <v/>
      </c>
      <c r="G2912" t="str">
        <f>""</f>
        <v/>
      </c>
      <c r="I2912" t="str">
        <f t="shared" si="49"/>
        <v>WAGE WORKS - HRA FEES</v>
      </c>
    </row>
    <row r="2913" spans="1:9" x14ac:dyDescent="0.3">
      <c r="A2913" t="str">
        <f>""</f>
        <v/>
      </c>
      <c r="F2913" t="str">
        <f>""</f>
        <v/>
      </c>
      <c r="G2913" t="str">
        <f>""</f>
        <v/>
      </c>
      <c r="I2913" t="str">
        <f t="shared" si="49"/>
        <v>WAGE WORKS - HRA FEES</v>
      </c>
    </row>
    <row r="2914" spans="1:9" x14ac:dyDescent="0.3">
      <c r="A2914" t="str">
        <f>""</f>
        <v/>
      </c>
      <c r="F2914" t="str">
        <f>""</f>
        <v/>
      </c>
      <c r="G2914" t="str">
        <f>""</f>
        <v/>
      </c>
      <c r="I2914" t="str">
        <f t="shared" si="49"/>
        <v>WAGE WORKS - HRA FEES</v>
      </c>
    </row>
    <row r="2915" spans="1:9" x14ac:dyDescent="0.3">
      <c r="A2915" t="str">
        <f>""</f>
        <v/>
      </c>
      <c r="F2915" t="str">
        <f>""</f>
        <v/>
      </c>
      <c r="G2915" t="str">
        <f>""</f>
        <v/>
      </c>
      <c r="I2915" t="str">
        <f t="shared" si="49"/>
        <v>WAGE WORKS - HRA FEES</v>
      </c>
    </row>
    <row r="2916" spans="1:9" x14ac:dyDescent="0.3">
      <c r="A2916" t="str">
        <f>""</f>
        <v/>
      </c>
      <c r="F2916" t="str">
        <f>""</f>
        <v/>
      </c>
      <c r="G2916" t="str">
        <f>""</f>
        <v/>
      </c>
      <c r="I2916" t="str">
        <f t="shared" si="49"/>
        <v>WAGE WORKS - HRA FEES</v>
      </c>
    </row>
    <row r="2917" spans="1:9" x14ac:dyDescent="0.3">
      <c r="A2917" t="str">
        <f>""</f>
        <v/>
      </c>
      <c r="F2917" t="str">
        <f>""</f>
        <v/>
      </c>
      <c r="G2917" t="str">
        <f>""</f>
        <v/>
      </c>
      <c r="I2917" t="str">
        <f t="shared" si="49"/>
        <v>WAGE WORKS - HRA FEES</v>
      </c>
    </row>
    <row r="2918" spans="1:9" x14ac:dyDescent="0.3">
      <c r="A2918" t="str">
        <f>""</f>
        <v/>
      </c>
      <c r="F2918" t="str">
        <f>""</f>
        <v/>
      </c>
      <c r="G2918" t="str">
        <f>""</f>
        <v/>
      </c>
      <c r="I2918" t="str">
        <f t="shared" si="49"/>
        <v>WAGE WORKS - HRA FEES</v>
      </c>
    </row>
    <row r="2919" spans="1:9" x14ac:dyDescent="0.3">
      <c r="A2919" t="str">
        <f>""</f>
        <v/>
      </c>
      <c r="F2919" t="str">
        <f>"HRF201805301223"</f>
        <v>HRF201805301223</v>
      </c>
      <c r="G2919" t="str">
        <f>"WAGE WORKS - HRA FEES"</f>
        <v>WAGE WORKS - HRA FEES</v>
      </c>
      <c r="H2919">
        <v>16.739999999999998</v>
      </c>
      <c r="I2919" t="str">
        <f t="shared" si="49"/>
        <v>WAGE WORKS - HRA FEES</v>
      </c>
    </row>
    <row r="2920" spans="1:9" x14ac:dyDescent="0.3">
      <c r="A2920" t="str">
        <f>"004767"</f>
        <v>004767</v>
      </c>
      <c r="B2920" t="s">
        <v>406</v>
      </c>
      <c r="C2920">
        <v>0</v>
      </c>
      <c r="D2920" s="2">
        <v>11016.75</v>
      </c>
      <c r="E2920" s="1">
        <v>43266</v>
      </c>
      <c r="F2920" t="str">
        <f>"FSA201806131556"</f>
        <v>FSA201806131556</v>
      </c>
      <c r="G2920" t="str">
        <f>"WAGE WORKS"</f>
        <v>WAGE WORKS</v>
      </c>
      <c r="H2920">
        <v>8438.48</v>
      </c>
      <c r="I2920" t="str">
        <f>"WAGE WORKS"</f>
        <v>WAGE WORKS</v>
      </c>
    </row>
    <row r="2921" spans="1:9" x14ac:dyDescent="0.3">
      <c r="A2921" t="str">
        <f>""</f>
        <v/>
      </c>
      <c r="F2921" t="str">
        <f>"FSA201806131561"</f>
        <v>FSA201806131561</v>
      </c>
      <c r="G2921" t="str">
        <f>"WAGE WORKS"</f>
        <v>WAGE WORKS</v>
      </c>
      <c r="H2921">
        <v>574</v>
      </c>
      <c r="I2921" t="str">
        <f>"WAGE WORKS"</f>
        <v>WAGE WORKS</v>
      </c>
    </row>
    <row r="2922" spans="1:9" x14ac:dyDescent="0.3">
      <c r="A2922" t="str">
        <f>""</f>
        <v/>
      </c>
      <c r="F2922" t="str">
        <f>"FSC201806131556"</f>
        <v>FSC201806131556</v>
      </c>
      <c r="G2922" t="str">
        <f>"WAGE WORKS"</f>
        <v>WAGE WORKS</v>
      </c>
      <c r="H2922">
        <v>913.95</v>
      </c>
      <c r="I2922" t="str">
        <f>"WAGE WORKS"</f>
        <v>WAGE WORKS</v>
      </c>
    </row>
    <row r="2923" spans="1:9" x14ac:dyDescent="0.3">
      <c r="A2923" t="str">
        <f>""</f>
        <v/>
      </c>
      <c r="F2923" t="str">
        <f>"FSF201806131556"</f>
        <v>FSF201806131556</v>
      </c>
      <c r="G2923" t="str">
        <f>"WAGE WORKS - FSA &amp; HRA FEES"</f>
        <v>WAGE WORKS - FSA &amp; HRA FEES</v>
      </c>
      <c r="H2923">
        <v>530.53</v>
      </c>
      <c r="I2923" t="str">
        <f t="shared" ref="I2923:I2963" si="50">"WAGE WORKS - FSA &amp; HRA FEES"</f>
        <v>WAGE WORKS - FSA &amp; HRA FEES</v>
      </c>
    </row>
    <row r="2924" spans="1:9" x14ac:dyDescent="0.3">
      <c r="A2924" t="str">
        <f>""</f>
        <v/>
      </c>
      <c r="F2924" t="str">
        <f>""</f>
        <v/>
      </c>
      <c r="G2924" t="str">
        <f>""</f>
        <v/>
      </c>
      <c r="I2924" t="str">
        <f t="shared" si="50"/>
        <v>WAGE WORKS - FSA &amp; HRA FEES</v>
      </c>
    </row>
    <row r="2925" spans="1:9" x14ac:dyDescent="0.3">
      <c r="A2925" t="str">
        <f>""</f>
        <v/>
      </c>
      <c r="F2925" t="str">
        <f>""</f>
        <v/>
      </c>
      <c r="G2925" t="str">
        <f>""</f>
        <v/>
      </c>
      <c r="I2925" t="str">
        <f t="shared" si="50"/>
        <v>WAGE WORKS - FSA &amp; HRA FEES</v>
      </c>
    </row>
    <row r="2926" spans="1:9" x14ac:dyDescent="0.3">
      <c r="A2926" t="str">
        <f>""</f>
        <v/>
      </c>
      <c r="F2926" t="str">
        <f>""</f>
        <v/>
      </c>
      <c r="G2926" t="str">
        <f>""</f>
        <v/>
      </c>
      <c r="I2926" t="str">
        <f t="shared" si="50"/>
        <v>WAGE WORKS - FSA &amp; HRA FEES</v>
      </c>
    </row>
    <row r="2927" spans="1:9" x14ac:dyDescent="0.3">
      <c r="A2927" t="str">
        <f>""</f>
        <v/>
      </c>
      <c r="F2927" t="str">
        <f>""</f>
        <v/>
      </c>
      <c r="G2927" t="str">
        <f>""</f>
        <v/>
      </c>
      <c r="I2927" t="str">
        <f t="shared" si="50"/>
        <v>WAGE WORKS - FSA &amp; HRA FEES</v>
      </c>
    </row>
    <row r="2928" spans="1:9" x14ac:dyDescent="0.3">
      <c r="A2928" t="str">
        <f>""</f>
        <v/>
      </c>
      <c r="F2928" t="str">
        <f>""</f>
        <v/>
      </c>
      <c r="G2928" t="str">
        <f>""</f>
        <v/>
      </c>
      <c r="I2928" t="str">
        <f t="shared" si="50"/>
        <v>WAGE WORKS - FSA &amp; HRA FEES</v>
      </c>
    </row>
    <row r="2929" spans="1:9" x14ac:dyDescent="0.3">
      <c r="A2929" t="str">
        <f>""</f>
        <v/>
      </c>
      <c r="F2929" t="str">
        <f>""</f>
        <v/>
      </c>
      <c r="G2929" t="str">
        <f>""</f>
        <v/>
      </c>
      <c r="I2929" t="str">
        <f t="shared" si="50"/>
        <v>WAGE WORKS - FSA &amp; HRA FEES</v>
      </c>
    </row>
    <row r="2930" spans="1:9" x14ac:dyDescent="0.3">
      <c r="A2930" t="str">
        <f>""</f>
        <v/>
      </c>
      <c r="F2930" t="str">
        <f>""</f>
        <v/>
      </c>
      <c r="G2930" t="str">
        <f>""</f>
        <v/>
      </c>
      <c r="I2930" t="str">
        <f t="shared" si="50"/>
        <v>WAGE WORKS - FSA &amp; HRA FEES</v>
      </c>
    </row>
    <row r="2931" spans="1:9" x14ac:dyDescent="0.3">
      <c r="A2931" t="str">
        <f>""</f>
        <v/>
      </c>
      <c r="F2931" t="str">
        <f>""</f>
        <v/>
      </c>
      <c r="G2931" t="str">
        <f>""</f>
        <v/>
      </c>
      <c r="I2931" t="str">
        <f t="shared" si="50"/>
        <v>WAGE WORKS - FSA &amp; HRA FEES</v>
      </c>
    </row>
    <row r="2932" spans="1:9" x14ac:dyDescent="0.3">
      <c r="A2932" t="str">
        <f>""</f>
        <v/>
      </c>
      <c r="F2932" t="str">
        <f>""</f>
        <v/>
      </c>
      <c r="G2932" t="str">
        <f>""</f>
        <v/>
      </c>
      <c r="I2932" t="str">
        <f t="shared" si="50"/>
        <v>WAGE WORKS - FSA &amp; HRA FEES</v>
      </c>
    </row>
    <row r="2933" spans="1:9" x14ac:dyDescent="0.3">
      <c r="A2933" t="str">
        <f>""</f>
        <v/>
      </c>
      <c r="F2933" t="str">
        <f>""</f>
        <v/>
      </c>
      <c r="G2933" t="str">
        <f>""</f>
        <v/>
      </c>
      <c r="I2933" t="str">
        <f t="shared" si="50"/>
        <v>WAGE WORKS - FSA &amp; HRA FEES</v>
      </c>
    </row>
    <row r="2934" spans="1:9" x14ac:dyDescent="0.3">
      <c r="A2934" t="str">
        <f>""</f>
        <v/>
      </c>
      <c r="F2934" t="str">
        <f>""</f>
        <v/>
      </c>
      <c r="G2934" t="str">
        <f>""</f>
        <v/>
      </c>
      <c r="I2934" t="str">
        <f t="shared" si="50"/>
        <v>WAGE WORKS - FSA &amp; HRA FEES</v>
      </c>
    </row>
    <row r="2935" spans="1:9" x14ac:dyDescent="0.3">
      <c r="A2935" t="str">
        <f>""</f>
        <v/>
      </c>
      <c r="F2935" t="str">
        <f>""</f>
        <v/>
      </c>
      <c r="G2935" t="str">
        <f>""</f>
        <v/>
      </c>
      <c r="I2935" t="str">
        <f t="shared" si="50"/>
        <v>WAGE WORKS - FSA &amp; HRA FEES</v>
      </c>
    </row>
    <row r="2936" spans="1:9" x14ac:dyDescent="0.3">
      <c r="A2936" t="str">
        <f>""</f>
        <v/>
      </c>
      <c r="F2936" t="str">
        <f>""</f>
        <v/>
      </c>
      <c r="G2936" t="str">
        <f>""</f>
        <v/>
      </c>
      <c r="I2936" t="str">
        <f t="shared" si="50"/>
        <v>WAGE WORKS - FSA &amp; HRA FEES</v>
      </c>
    </row>
    <row r="2937" spans="1:9" x14ac:dyDescent="0.3">
      <c r="A2937" t="str">
        <f>""</f>
        <v/>
      </c>
      <c r="F2937" t="str">
        <f>""</f>
        <v/>
      </c>
      <c r="G2937" t="str">
        <f>""</f>
        <v/>
      </c>
      <c r="I2937" t="str">
        <f t="shared" si="50"/>
        <v>WAGE WORKS - FSA &amp; HRA FEES</v>
      </c>
    </row>
    <row r="2938" spans="1:9" x14ac:dyDescent="0.3">
      <c r="A2938" t="str">
        <f>""</f>
        <v/>
      </c>
      <c r="F2938" t="str">
        <f>""</f>
        <v/>
      </c>
      <c r="G2938" t="str">
        <f>""</f>
        <v/>
      </c>
      <c r="I2938" t="str">
        <f t="shared" si="50"/>
        <v>WAGE WORKS - FSA &amp; HRA FEES</v>
      </c>
    </row>
    <row r="2939" spans="1:9" x14ac:dyDescent="0.3">
      <c r="A2939" t="str">
        <f>""</f>
        <v/>
      </c>
      <c r="F2939" t="str">
        <f>""</f>
        <v/>
      </c>
      <c r="G2939" t="str">
        <f>""</f>
        <v/>
      </c>
      <c r="I2939" t="str">
        <f t="shared" si="50"/>
        <v>WAGE WORKS - FSA &amp; HRA FEES</v>
      </c>
    </row>
    <row r="2940" spans="1:9" x14ac:dyDescent="0.3">
      <c r="A2940" t="str">
        <f>""</f>
        <v/>
      </c>
      <c r="F2940" t="str">
        <f>""</f>
        <v/>
      </c>
      <c r="G2940" t="str">
        <f>""</f>
        <v/>
      </c>
      <c r="I2940" t="str">
        <f t="shared" si="50"/>
        <v>WAGE WORKS - FSA &amp; HRA FEES</v>
      </c>
    </row>
    <row r="2941" spans="1:9" x14ac:dyDescent="0.3">
      <c r="A2941" t="str">
        <f>""</f>
        <v/>
      </c>
      <c r="F2941" t="str">
        <f>""</f>
        <v/>
      </c>
      <c r="G2941" t="str">
        <f>""</f>
        <v/>
      </c>
      <c r="I2941" t="str">
        <f t="shared" si="50"/>
        <v>WAGE WORKS - FSA &amp; HRA FEES</v>
      </c>
    </row>
    <row r="2942" spans="1:9" x14ac:dyDescent="0.3">
      <c r="A2942" t="str">
        <f>""</f>
        <v/>
      </c>
      <c r="F2942" t="str">
        <f>""</f>
        <v/>
      </c>
      <c r="G2942" t="str">
        <f>""</f>
        <v/>
      </c>
      <c r="I2942" t="str">
        <f t="shared" si="50"/>
        <v>WAGE WORKS - FSA &amp; HRA FEES</v>
      </c>
    </row>
    <row r="2943" spans="1:9" x14ac:dyDescent="0.3">
      <c r="A2943" t="str">
        <f>""</f>
        <v/>
      </c>
      <c r="F2943" t="str">
        <f>""</f>
        <v/>
      </c>
      <c r="G2943" t="str">
        <f>""</f>
        <v/>
      </c>
      <c r="I2943" t="str">
        <f t="shared" si="50"/>
        <v>WAGE WORKS - FSA &amp; HRA FEES</v>
      </c>
    </row>
    <row r="2944" spans="1:9" x14ac:dyDescent="0.3">
      <c r="A2944" t="str">
        <f>""</f>
        <v/>
      </c>
      <c r="F2944" t="str">
        <f>""</f>
        <v/>
      </c>
      <c r="G2944" t="str">
        <f>""</f>
        <v/>
      </c>
      <c r="I2944" t="str">
        <f t="shared" si="50"/>
        <v>WAGE WORKS - FSA &amp; HRA FEES</v>
      </c>
    </row>
    <row r="2945" spans="1:9" x14ac:dyDescent="0.3">
      <c r="A2945" t="str">
        <f>""</f>
        <v/>
      </c>
      <c r="F2945" t="str">
        <f>""</f>
        <v/>
      </c>
      <c r="G2945" t="str">
        <f>""</f>
        <v/>
      </c>
      <c r="I2945" t="str">
        <f t="shared" si="50"/>
        <v>WAGE WORKS - FSA &amp; HRA FEES</v>
      </c>
    </row>
    <row r="2946" spans="1:9" x14ac:dyDescent="0.3">
      <c r="A2946" t="str">
        <f>""</f>
        <v/>
      </c>
      <c r="F2946" t="str">
        <f>""</f>
        <v/>
      </c>
      <c r="G2946" t="str">
        <f>""</f>
        <v/>
      </c>
      <c r="I2946" t="str">
        <f t="shared" si="50"/>
        <v>WAGE WORKS - FSA &amp; HRA FEES</v>
      </c>
    </row>
    <row r="2947" spans="1:9" x14ac:dyDescent="0.3">
      <c r="A2947" t="str">
        <f>""</f>
        <v/>
      </c>
      <c r="F2947" t="str">
        <f>""</f>
        <v/>
      </c>
      <c r="G2947" t="str">
        <f>""</f>
        <v/>
      </c>
      <c r="I2947" t="str">
        <f t="shared" si="50"/>
        <v>WAGE WORKS - FSA &amp; HRA FEES</v>
      </c>
    </row>
    <row r="2948" spans="1:9" x14ac:dyDescent="0.3">
      <c r="A2948" t="str">
        <f>""</f>
        <v/>
      </c>
      <c r="F2948" t="str">
        <f>""</f>
        <v/>
      </c>
      <c r="G2948" t="str">
        <f>""</f>
        <v/>
      </c>
      <c r="I2948" t="str">
        <f t="shared" si="50"/>
        <v>WAGE WORKS - FSA &amp; HRA FEES</v>
      </c>
    </row>
    <row r="2949" spans="1:9" x14ac:dyDescent="0.3">
      <c r="A2949" t="str">
        <f>""</f>
        <v/>
      </c>
      <c r="F2949" t="str">
        <f>""</f>
        <v/>
      </c>
      <c r="G2949" t="str">
        <f>""</f>
        <v/>
      </c>
      <c r="I2949" t="str">
        <f t="shared" si="50"/>
        <v>WAGE WORKS - FSA &amp; HRA FEES</v>
      </c>
    </row>
    <row r="2950" spans="1:9" x14ac:dyDescent="0.3">
      <c r="A2950" t="str">
        <f>""</f>
        <v/>
      </c>
      <c r="F2950" t="str">
        <f>""</f>
        <v/>
      </c>
      <c r="G2950" t="str">
        <f>""</f>
        <v/>
      </c>
      <c r="I2950" t="str">
        <f t="shared" si="50"/>
        <v>WAGE WORKS - FSA &amp; HRA FEES</v>
      </c>
    </row>
    <row r="2951" spans="1:9" x14ac:dyDescent="0.3">
      <c r="A2951" t="str">
        <f>""</f>
        <v/>
      </c>
      <c r="F2951" t="str">
        <f>""</f>
        <v/>
      </c>
      <c r="G2951" t="str">
        <f>""</f>
        <v/>
      </c>
      <c r="I2951" t="str">
        <f t="shared" si="50"/>
        <v>WAGE WORKS - FSA &amp; HRA FEES</v>
      </c>
    </row>
    <row r="2952" spans="1:9" x14ac:dyDescent="0.3">
      <c r="A2952" t="str">
        <f>""</f>
        <v/>
      </c>
      <c r="F2952" t="str">
        <f>""</f>
        <v/>
      </c>
      <c r="G2952" t="str">
        <f>""</f>
        <v/>
      </c>
      <c r="I2952" t="str">
        <f t="shared" si="50"/>
        <v>WAGE WORKS - FSA &amp; HRA FEES</v>
      </c>
    </row>
    <row r="2953" spans="1:9" x14ac:dyDescent="0.3">
      <c r="A2953" t="str">
        <f>""</f>
        <v/>
      </c>
      <c r="F2953" t="str">
        <f>""</f>
        <v/>
      </c>
      <c r="G2953" t="str">
        <f>""</f>
        <v/>
      </c>
      <c r="I2953" t="str">
        <f t="shared" si="50"/>
        <v>WAGE WORKS - FSA &amp; HRA FEES</v>
      </c>
    </row>
    <row r="2954" spans="1:9" x14ac:dyDescent="0.3">
      <c r="A2954" t="str">
        <f>""</f>
        <v/>
      </c>
      <c r="F2954" t="str">
        <f>""</f>
        <v/>
      </c>
      <c r="G2954" t="str">
        <f>""</f>
        <v/>
      </c>
      <c r="I2954" t="str">
        <f t="shared" si="50"/>
        <v>WAGE WORKS - FSA &amp; HRA FEES</v>
      </c>
    </row>
    <row r="2955" spans="1:9" x14ac:dyDescent="0.3">
      <c r="A2955" t="str">
        <f>""</f>
        <v/>
      </c>
      <c r="F2955" t="str">
        <f>""</f>
        <v/>
      </c>
      <c r="G2955" t="str">
        <f>""</f>
        <v/>
      </c>
      <c r="I2955" t="str">
        <f t="shared" si="50"/>
        <v>WAGE WORKS - FSA &amp; HRA FEES</v>
      </c>
    </row>
    <row r="2956" spans="1:9" x14ac:dyDescent="0.3">
      <c r="A2956" t="str">
        <f>""</f>
        <v/>
      </c>
      <c r="F2956" t="str">
        <f>""</f>
        <v/>
      </c>
      <c r="G2956" t="str">
        <f>""</f>
        <v/>
      </c>
      <c r="I2956" t="str">
        <f t="shared" si="50"/>
        <v>WAGE WORKS - FSA &amp; HRA FEES</v>
      </c>
    </row>
    <row r="2957" spans="1:9" x14ac:dyDescent="0.3">
      <c r="A2957" t="str">
        <f>""</f>
        <v/>
      </c>
      <c r="F2957" t="str">
        <f>""</f>
        <v/>
      </c>
      <c r="G2957" t="str">
        <f>""</f>
        <v/>
      </c>
      <c r="I2957" t="str">
        <f t="shared" si="50"/>
        <v>WAGE WORKS - FSA &amp; HRA FEES</v>
      </c>
    </row>
    <row r="2958" spans="1:9" x14ac:dyDescent="0.3">
      <c r="A2958" t="str">
        <f>""</f>
        <v/>
      </c>
      <c r="F2958" t="str">
        <f>""</f>
        <v/>
      </c>
      <c r="G2958" t="str">
        <f>""</f>
        <v/>
      </c>
      <c r="I2958" t="str">
        <f t="shared" si="50"/>
        <v>WAGE WORKS - FSA &amp; HRA FEES</v>
      </c>
    </row>
    <row r="2959" spans="1:9" x14ac:dyDescent="0.3">
      <c r="A2959" t="str">
        <f>""</f>
        <v/>
      </c>
      <c r="F2959" t="str">
        <f>""</f>
        <v/>
      </c>
      <c r="G2959" t="str">
        <f>""</f>
        <v/>
      </c>
      <c r="I2959" t="str">
        <f t="shared" si="50"/>
        <v>WAGE WORKS - FSA &amp; HRA FEES</v>
      </c>
    </row>
    <row r="2960" spans="1:9" x14ac:dyDescent="0.3">
      <c r="A2960" t="str">
        <f>""</f>
        <v/>
      </c>
      <c r="F2960" t="str">
        <f>""</f>
        <v/>
      </c>
      <c r="G2960" t="str">
        <f>""</f>
        <v/>
      </c>
      <c r="I2960" t="str">
        <f t="shared" si="50"/>
        <v>WAGE WORKS - FSA &amp; HRA FEES</v>
      </c>
    </row>
    <row r="2961" spans="1:9" x14ac:dyDescent="0.3">
      <c r="A2961" t="str">
        <f>""</f>
        <v/>
      </c>
      <c r="F2961" t="str">
        <f>""</f>
        <v/>
      </c>
      <c r="G2961" t="str">
        <f>""</f>
        <v/>
      </c>
      <c r="I2961" t="str">
        <f t="shared" si="50"/>
        <v>WAGE WORKS - FSA &amp; HRA FEES</v>
      </c>
    </row>
    <row r="2962" spans="1:9" x14ac:dyDescent="0.3">
      <c r="A2962" t="str">
        <f>""</f>
        <v/>
      </c>
      <c r="F2962" t="str">
        <f>""</f>
        <v/>
      </c>
      <c r="G2962" t="str">
        <f>""</f>
        <v/>
      </c>
      <c r="I2962" t="str">
        <f t="shared" si="50"/>
        <v>WAGE WORKS - FSA &amp; HRA FEES</v>
      </c>
    </row>
    <row r="2963" spans="1:9" x14ac:dyDescent="0.3">
      <c r="A2963" t="str">
        <f>""</f>
        <v/>
      </c>
      <c r="F2963" t="str">
        <f>"FSF201806131561"</f>
        <v>FSF201806131561</v>
      </c>
      <c r="G2963" t="str">
        <f>"WAGE WORKS - FSA &amp; HRA FEES"</f>
        <v>WAGE WORKS - FSA &amp; HRA FEES</v>
      </c>
      <c r="H2963">
        <v>25.97</v>
      </c>
      <c r="I2963" t="str">
        <f t="shared" si="50"/>
        <v>WAGE WORKS - FSA &amp; HRA FEES</v>
      </c>
    </row>
    <row r="2964" spans="1:9" x14ac:dyDescent="0.3">
      <c r="A2964" t="str">
        <f>""</f>
        <v/>
      </c>
      <c r="F2964" t="str">
        <f>"FSO201806131556"</f>
        <v>FSO201806131556</v>
      </c>
      <c r="G2964" t="str">
        <f>"WAGE WORKS - FSA FEES"</f>
        <v>WAGE WORKS - FSA FEES</v>
      </c>
      <c r="H2964">
        <v>11.16</v>
      </c>
      <c r="I2964" t="str">
        <f t="shared" ref="I2964:I2971" si="51">"WAGE WORKS - FSA FEES"</f>
        <v>WAGE WORKS - FSA FEES</v>
      </c>
    </row>
    <row r="2965" spans="1:9" x14ac:dyDescent="0.3">
      <c r="A2965" t="str">
        <f>""</f>
        <v/>
      </c>
      <c r="F2965" t="str">
        <f>""</f>
        <v/>
      </c>
      <c r="G2965" t="str">
        <f>""</f>
        <v/>
      </c>
      <c r="I2965" t="str">
        <f t="shared" si="51"/>
        <v>WAGE WORKS - FSA FEES</v>
      </c>
    </row>
    <row r="2966" spans="1:9" x14ac:dyDescent="0.3">
      <c r="A2966" t="str">
        <f>""</f>
        <v/>
      </c>
      <c r="F2966" t="str">
        <f>""</f>
        <v/>
      </c>
      <c r="G2966" t="str">
        <f>""</f>
        <v/>
      </c>
      <c r="I2966" t="str">
        <f t="shared" si="51"/>
        <v>WAGE WORKS - FSA FEES</v>
      </c>
    </row>
    <row r="2967" spans="1:9" x14ac:dyDescent="0.3">
      <c r="A2967" t="str">
        <f>""</f>
        <v/>
      </c>
      <c r="F2967" t="str">
        <f>""</f>
        <v/>
      </c>
      <c r="G2967" t="str">
        <f>""</f>
        <v/>
      </c>
      <c r="I2967" t="str">
        <f t="shared" si="51"/>
        <v>WAGE WORKS - FSA FEES</v>
      </c>
    </row>
    <row r="2968" spans="1:9" x14ac:dyDescent="0.3">
      <c r="A2968" t="str">
        <f>""</f>
        <v/>
      </c>
      <c r="F2968" t="str">
        <f>""</f>
        <v/>
      </c>
      <c r="G2968" t="str">
        <f>""</f>
        <v/>
      </c>
      <c r="I2968" t="str">
        <f t="shared" si="51"/>
        <v>WAGE WORKS - FSA FEES</v>
      </c>
    </row>
    <row r="2969" spans="1:9" x14ac:dyDescent="0.3">
      <c r="A2969" t="str">
        <f>""</f>
        <v/>
      </c>
      <c r="F2969" t="str">
        <f>""</f>
        <v/>
      </c>
      <c r="G2969" t="str">
        <f>""</f>
        <v/>
      </c>
      <c r="I2969" t="str">
        <f t="shared" si="51"/>
        <v>WAGE WORKS - FSA FEES</v>
      </c>
    </row>
    <row r="2970" spans="1:9" x14ac:dyDescent="0.3">
      <c r="A2970" t="str">
        <f>""</f>
        <v/>
      </c>
      <c r="F2970" t="str">
        <f>""</f>
        <v/>
      </c>
      <c r="G2970" t="str">
        <f>""</f>
        <v/>
      </c>
      <c r="I2970" t="str">
        <f t="shared" si="51"/>
        <v>WAGE WORKS - FSA FEES</v>
      </c>
    </row>
    <row r="2971" spans="1:9" x14ac:dyDescent="0.3">
      <c r="A2971" t="str">
        <f>""</f>
        <v/>
      </c>
      <c r="F2971" t="str">
        <f>"FSO201806131561"</f>
        <v>FSO201806131561</v>
      </c>
      <c r="G2971" t="str">
        <f>"WAGE WORKS - FSA FEES"</f>
        <v>WAGE WORKS - FSA FEES</v>
      </c>
      <c r="H2971">
        <v>1.86</v>
      </c>
      <c r="I2971" t="str">
        <f t="shared" si="51"/>
        <v>WAGE WORKS - FSA FEES</v>
      </c>
    </row>
    <row r="2972" spans="1:9" x14ac:dyDescent="0.3">
      <c r="A2972" t="str">
        <f>""</f>
        <v/>
      </c>
      <c r="F2972" t="str">
        <f>"HRF201806131556"</f>
        <v>HRF201806131556</v>
      </c>
      <c r="G2972" t="str">
        <f>"WAGE WORKS - HRA FEES"</f>
        <v>WAGE WORKS - HRA FEES</v>
      </c>
      <c r="H2972">
        <v>504.06</v>
      </c>
      <c r="I2972" t="str">
        <f t="shared" ref="I2972:I3012" si="52">"WAGE WORKS - HRA FEES"</f>
        <v>WAGE WORKS - HRA FEES</v>
      </c>
    </row>
    <row r="2973" spans="1:9" x14ac:dyDescent="0.3">
      <c r="A2973" t="str">
        <f>""</f>
        <v/>
      </c>
      <c r="F2973" t="str">
        <f>""</f>
        <v/>
      </c>
      <c r="G2973" t="str">
        <f>""</f>
        <v/>
      </c>
      <c r="I2973" t="str">
        <f t="shared" si="52"/>
        <v>WAGE WORKS - HRA FEES</v>
      </c>
    </row>
    <row r="2974" spans="1:9" x14ac:dyDescent="0.3">
      <c r="A2974" t="str">
        <f>""</f>
        <v/>
      </c>
      <c r="F2974" t="str">
        <f>""</f>
        <v/>
      </c>
      <c r="G2974" t="str">
        <f>""</f>
        <v/>
      </c>
      <c r="I2974" t="str">
        <f t="shared" si="52"/>
        <v>WAGE WORKS - HRA FEES</v>
      </c>
    </row>
    <row r="2975" spans="1:9" x14ac:dyDescent="0.3">
      <c r="A2975" t="str">
        <f>""</f>
        <v/>
      </c>
      <c r="F2975" t="str">
        <f>""</f>
        <v/>
      </c>
      <c r="G2975" t="str">
        <f>""</f>
        <v/>
      </c>
      <c r="I2975" t="str">
        <f t="shared" si="52"/>
        <v>WAGE WORKS - HRA FEES</v>
      </c>
    </row>
    <row r="2976" spans="1:9" x14ac:dyDescent="0.3">
      <c r="A2976" t="str">
        <f>""</f>
        <v/>
      </c>
      <c r="F2976" t="str">
        <f>""</f>
        <v/>
      </c>
      <c r="G2976" t="str">
        <f>""</f>
        <v/>
      </c>
      <c r="I2976" t="str">
        <f t="shared" si="52"/>
        <v>WAGE WORKS - HRA FEES</v>
      </c>
    </row>
    <row r="2977" spans="1:9" x14ac:dyDescent="0.3">
      <c r="A2977" t="str">
        <f>""</f>
        <v/>
      </c>
      <c r="F2977" t="str">
        <f>""</f>
        <v/>
      </c>
      <c r="G2977" t="str">
        <f>""</f>
        <v/>
      </c>
      <c r="I2977" t="str">
        <f t="shared" si="52"/>
        <v>WAGE WORKS - HRA FEES</v>
      </c>
    </row>
    <row r="2978" spans="1:9" x14ac:dyDescent="0.3">
      <c r="A2978" t="str">
        <f>""</f>
        <v/>
      </c>
      <c r="F2978" t="str">
        <f>""</f>
        <v/>
      </c>
      <c r="G2978" t="str">
        <f>""</f>
        <v/>
      </c>
      <c r="I2978" t="str">
        <f t="shared" si="52"/>
        <v>WAGE WORKS - HRA FEES</v>
      </c>
    </row>
    <row r="2979" spans="1:9" x14ac:dyDescent="0.3">
      <c r="A2979" t="str">
        <f>""</f>
        <v/>
      </c>
      <c r="F2979" t="str">
        <f>""</f>
        <v/>
      </c>
      <c r="G2979" t="str">
        <f>""</f>
        <v/>
      </c>
      <c r="I2979" t="str">
        <f t="shared" si="52"/>
        <v>WAGE WORKS - HRA FEES</v>
      </c>
    </row>
    <row r="2980" spans="1:9" x14ac:dyDescent="0.3">
      <c r="A2980" t="str">
        <f>""</f>
        <v/>
      </c>
      <c r="F2980" t="str">
        <f>""</f>
        <v/>
      </c>
      <c r="G2980" t="str">
        <f>""</f>
        <v/>
      </c>
      <c r="I2980" t="str">
        <f t="shared" si="52"/>
        <v>WAGE WORKS - HRA FEES</v>
      </c>
    </row>
    <row r="2981" spans="1:9" x14ac:dyDescent="0.3">
      <c r="A2981" t="str">
        <f>""</f>
        <v/>
      </c>
      <c r="F2981" t="str">
        <f>""</f>
        <v/>
      </c>
      <c r="G2981" t="str">
        <f>""</f>
        <v/>
      </c>
      <c r="I2981" t="str">
        <f t="shared" si="52"/>
        <v>WAGE WORKS - HRA FEES</v>
      </c>
    </row>
    <row r="2982" spans="1:9" x14ac:dyDescent="0.3">
      <c r="A2982" t="str">
        <f>""</f>
        <v/>
      </c>
      <c r="F2982" t="str">
        <f>""</f>
        <v/>
      </c>
      <c r="G2982" t="str">
        <f>""</f>
        <v/>
      </c>
      <c r="I2982" t="str">
        <f t="shared" si="52"/>
        <v>WAGE WORKS - HRA FEES</v>
      </c>
    </row>
    <row r="2983" spans="1:9" x14ac:dyDescent="0.3">
      <c r="A2983" t="str">
        <f>""</f>
        <v/>
      </c>
      <c r="F2983" t="str">
        <f>""</f>
        <v/>
      </c>
      <c r="G2983" t="str">
        <f>""</f>
        <v/>
      </c>
      <c r="I2983" t="str">
        <f t="shared" si="52"/>
        <v>WAGE WORKS - HRA FEES</v>
      </c>
    </row>
    <row r="2984" spans="1:9" x14ac:dyDescent="0.3">
      <c r="A2984" t="str">
        <f>""</f>
        <v/>
      </c>
      <c r="F2984" t="str">
        <f>""</f>
        <v/>
      </c>
      <c r="G2984" t="str">
        <f>""</f>
        <v/>
      </c>
      <c r="I2984" t="str">
        <f t="shared" si="52"/>
        <v>WAGE WORKS - HRA FEES</v>
      </c>
    </row>
    <row r="2985" spans="1:9" x14ac:dyDescent="0.3">
      <c r="A2985" t="str">
        <f>""</f>
        <v/>
      </c>
      <c r="F2985" t="str">
        <f>""</f>
        <v/>
      </c>
      <c r="G2985" t="str">
        <f>""</f>
        <v/>
      </c>
      <c r="I2985" t="str">
        <f t="shared" si="52"/>
        <v>WAGE WORKS - HRA FEES</v>
      </c>
    </row>
    <row r="2986" spans="1:9" x14ac:dyDescent="0.3">
      <c r="A2986" t="str">
        <f>""</f>
        <v/>
      </c>
      <c r="F2986" t="str">
        <f>""</f>
        <v/>
      </c>
      <c r="G2986" t="str">
        <f>""</f>
        <v/>
      </c>
      <c r="I2986" t="str">
        <f t="shared" si="52"/>
        <v>WAGE WORKS - HRA FEES</v>
      </c>
    </row>
    <row r="2987" spans="1:9" x14ac:dyDescent="0.3">
      <c r="A2987" t="str">
        <f>""</f>
        <v/>
      </c>
      <c r="F2987" t="str">
        <f>""</f>
        <v/>
      </c>
      <c r="G2987" t="str">
        <f>""</f>
        <v/>
      </c>
      <c r="I2987" t="str">
        <f t="shared" si="52"/>
        <v>WAGE WORKS - HRA FEES</v>
      </c>
    </row>
    <row r="2988" spans="1:9" x14ac:dyDescent="0.3">
      <c r="A2988" t="str">
        <f>""</f>
        <v/>
      </c>
      <c r="F2988" t="str">
        <f>""</f>
        <v/>
      </c>
      <c r="G2988" t="str">
        <f>""</f>
        <v/>
      </c>
      <c r="I2988" t="str">
        <f t="shared" si="52"/>
        <v>WAGE WORKS - HRA FEES</v>
      </c>
    </row>
    <row r="2989" spans="1:9" x14ac:dyDescent="0.3">
      <c r="A2989" t="str">
        <f>""</f>
        <v/>
      </c>
      <c r="F2989" t="str">
        <f>""</f>
        <v/>
      </c>
      <c r="G2989" t="str">
        <f>""</f>
        <v/>
      </c>
      <c r="I2989" t="str">
        <f t="shared" si="52"/>
        <v>WAGE WORKS - HRA FEES</v>
      </c>
    </row>
    <row r="2990" spans="1:9" x14ac:dyDescent="0.3">
      <c r="A2990" t="str">
        <f>""</f>
        <v/>
      </c>
      <c r="F2990" t="str">
        <f>""</f>
        <v/>
      </c>
      <c r="G2990" t="str">
        <f>""</f>
        <v/>
      </c>
      <c r="I2990" t="str">
        <f t="shared" si="52"/>
        <v>WAGE WORKS - HRA FEES</v>
      </c>
    </row>
    <row r="2991" spans="1:9" x14ac:dyDescent="0.3">
      <c r="A2991" t="str">
        <f>""</f>
        <v/>
      </c>
      <c r="F2991" t="str">
        <f>""</f>
        <v/>
      </c>
      <c r="G2991" t="str">
        <f>""</f>
        <v/>
      </c>
      <c r="I2991" t="str">
        <f t="shared" si="52"/>
        <v>WAGE WORKS - HRA FEES</v>
      </c>
    </row>
    <row r="2992" spans="1:9" x14ac:dyDescent="0.3">
      <c r="A2992" t="str">
        <f>""</f>
        <v/>
      </c>
      <c r="F2992" t="str">
        <f>""</f>
        <v/>
      </c>
      <c r="G2992" t="str">
        <f>""</f>
        <v/>
      </c>
      <c r="I2992" t="str">
        <f t="shared" si="52"/>
        <v>WAGE WORKS - HRA FEES</v>
      </c>
    </row>
    <row r="2993" spans="1:9" x14ac:dyDescent="0.3">
      <c r="A2993" t="str">
        <f>""</f>
        <v/>
      </c>
      <c r="F2993" t="str">
        <f>""</f>
        <v/>
      </c>
      <c r="G2993" t="str">
        <f>""</f>
        <v/>
      </c>
      <c r="I2993" t="str">
        <f t="shared" si="52"/>
        <v>WAGE WORKS - HRA FEES</v>
      </c>
    </row>
    <row r="2994" spans="1:9" x14ac:dyDescent="0.3">
      <c r="A2994" t="str">
        <f>""</f>
        <v/>
      </c>
      <c r="F2994" t="str">
        <f>""</f>
        <v/>
      </c>
      <c r="G2994" t="str">
        <f>""</f>
        <v/>
      </c>
      <c r="I2994" t="str">
        <f t="shared" si="52"/>
        <v>WAGE WORKS - HRA FEES</v>
      </c>
    </row>
    <row r="2995" spans="1:9" x14ac:dyDescent="0.3">
      <c r="A2995" t="str">
        <f>""</f>
        <v/>
      </c>
      <c r="F2995" t="str">
        <f>""</f>
        <v/>
      </c>
      <c r="G2995" t="str">
        <f>""</f>
        <v/>
      </c>
      <c r="I2995" t="str">
        <f t="shared" si="52"/>
        <v>WAGE WORKS - HRA FEES</v>
      </c>
    </row>
    <row r="2996" spans="1:9" x14ac:dyDescent="0.3">
      <c r="A2996" t="str">
        <f>""</f>
        <v/>
      </c>
      <c r="F2996" t="str">
        <f>""</f>
        <v/>
      </c>
      <c r="G2996" t="str">
        <f>""</f>
        <v/>
      </c>
      <c r="I2996" t="str">
        <f t="shared" si="52"/>
        <v>WAGE WORKS - HRA FEES</v>
      </c>
    </row>
    <row r="2997" spans="1:9" x14ac:dyDescent="0.3">
      <c r="A2997" t="str">
        <f>""</f>
        <v/>
      </c>
      <c r="F2997" t="str">
        <f>""</f>
        <v/>
      </c>
      <c r="G2997" t="str">
        <f>""</f>
        <v/>
      </c>
      <c r="I2997" t="str">
        <f t="shared" si="52"/>
        <v>WAGE WORKS - HRA FEES</v>
      </c>
    </row>
    <row r="2998" spans="1:9" x14ac:dyDescent="0.3">
      <c r="A2998" t="str">
        <f>""</f>
        <v/>
      </c>
      <c r="F2998" t="str">
        <f>""</f>
        <v/>
      </c>
      <c r="G2998" t="str">
        <f>""</f>
        <v/>
      </c>
      <c r="I2998" t="str">
        <f t="shared" si="52"/>
        <v>WAGE WORKS - HRA FEES</v>
      </c>
    </row>
    <row r="2999" spans="1:9" x14ac:dyDescent="0.3">
      <c r="A2999" t="str">
        <f>""</f>
        <v/>
      </c>
      <c r="F2999" t="str">
        <f>""</f>
        <v/>
      </c>
      <c r="G2999" t="str">
        <f>""</f>
        <v/>
      </c>
      <c r="I2999" t="str">
        <f t="shared" si="52"/>
        <v>WAGE WORKS - HRA FEES</v>
      </c>
    </row>
    <row r="3000" spans="1:9" x14ac:dyDescent="0.3">
      <c r="A3000" t="str">
        <f>""</f>
        <v/>
      </c>
      <c r="F3000" t="str">
        <f>""</f>
        <v/>
      </c>
      <c r="G3000" t="str">
        <f>""</f>
        <v/>
      </c>
      <c r="I3000" t="str">
        <f t="shared" si="52"/>
        <v>WAGE WORKS - HRA FEES</v>
      </c>
    </row>
    <row r="3001" spans="1:9" x14ac:dyDescent="0.3">
      <c r="A3001" t="str">
        <f>""</f>
        <v/>
      </c>
      <c r="F3001" t="str">
        <f>""</f>
        <v/>
      </c>
      <c r="G3001" t="str">
        <f>""</f>
        <v/>
      </c>
      <c r="I3001" t="str">
        <f t="shared" si="52"/>
        <v>WAGE WORKS - HRA FEES</v>
      </c>
    </row>
    <row r="3002" spans="1:9" x14ac:dyDescent="0.3">
      <c r="A3002" t="str">
        <f>""</f>
        <v/>
      </c>
      <c r="F3002" t="str">
        <f>""</f>
        <v/>
      </c>
      <c r="G3002" t="str">
        <f>""</f>
        <v/>
      </c>
      <c r="I3002" t="str">
        <f t="shared" si="52"/>
        <v>WAGE WORKS - HRA FEES</v>
      </c>
    </row>
    <row r="3003" spans="1:9" x14ac:dyDescent="0.3">
      <c r="A3003" t="str">
        <f>""</f>
        <v/>
      </c>
      <c r="F3003" t="str">
        <f>""</f>
        <v/>
      </c>
      <c r="G3003" t="str">
        <f>""</f>
        <v/>
      </c>
      <c r="I3003" t="str">
        <f t="shared" si="52"/>
        <v>WAGE WORKS - HRA FEES</v>
      </c>
    </row>
    <row r="3004" spans="1:9" x14ac:dyDescent="0.3">
      <c r="A3004" t="str">
        <f>""</f>
        <v/>
      </c>
      <c r="F3004" t="str">
        <f>""</f>
        <v/>
      </c>
      <c r="G3004" t="str">
        <f>""</f>
        <v/>
      </c>
      <c r="I3004" t="str">
        <f t="shared" si="52"/>
        <v>WAGE WORKS - HRA FEES</v>
      </c>
    </row>
    <row r="3005" spans="1:9" x14ac:dyDescent="0.3">
      <c r="A3005" t="str">
        <f>""</f>
        <v/>
      </c>
      <c r="F3005" t="str">
        <f>""</f>
        <v/>
      </c>
      <c r="G3005" t="str">
        <f>""</f>
        <v/>
      </c>
      <c r="I3005" t="str">
        <f t="shared" si="52"/>
        <v>WAGE WORKS - HRA FEES</v>
      </c>
    </row>
    <row r="3006" spans="1:9" x14ac:dyDescent="0.3">
      <c r="A3006" t="str">
        <f>""</f>
        <v/>
      </c>
      <c r="F3006" t="str">
        <f>""</f>
        <v/>
      </c>
      <c r="G3006" t="str">
        <f>""</f>
        <v/>
      </c>
      <c r="I3006" t="str">
        <f t="shared" si="52"/>
        <v>WAGE WORKS - HRA FEES</v>
      </c>
    </row>
    <row r="3007" spans="1:9" x14ac:dyDescent="0.3">
      <c r="A3007" t="str">
        <f>""</f>
        <v/>
      </c>
      <c r="F3007" t="str">
        <f>""</f>
        <v/>
      </c>
      <c r="G3007" t="str">
        <f>""</f>
        <v/>
      </c>
      <c r="I3007" t="str">
        <f t="shared" si="52"/>
        <v>WAGE WORKS - HRA FEES</v>
      </c>
    </row>
    <row r="3008" spans="1:9" x14ac:dyDescent="0.3">
      <c r="A3008" t="str">
        <f>""</f>
        <v/>
      </c>
      <c r="F3008" t="str">
        <f>""</f>
        <v/>
      </c>
      <c r="G3008" t="str">
        <f>""</f>
        <v/>
      </c>
      <c r="I3008" t="str">
        <f t="shared" si="52"/>
        <v>WAGE WORKS - HRA FEES</v>
      </c>
    </row>
    <row r="3009" spans="1:9" x14ac:dyDescent="0.3">
      <c r="A3009" t="str">
        <f>""</f>
        <v/>
      </c>
      <c r="F3009" t="str">
        <f>""</f>
        <v/>
      </c>
      <c r="G3009" t="str">
        <f>""</f>
        <v/>
      </c>
      <c r="I3009" t="str">
        <f t="shared" si="52"/>
        <v>WAGE WORKS - HRA FEES</v>
      </c>
    </row>
    <row r="3010" spans="1:9" x14ac:dyDescent="0.3">
      <c r="A3010" t="str">
        <f>""</f>
        <v/>
      </c>
      <c r="F3010" t="str">
        <f>""</f>
        <v/>
      </c>
      <c r="G3010" t="str">
        <f>""</f>
        <v/>
      </c>
      <c r="I3010" t="str">
        <f t="shared" si="52"/>
        <v>WAGE WORKS - HRA FEES</v>
      </c>
    </row>
    <row r="3011" spans="1:9" x14ac:dyDescent="0.3">
      <c r="A3011" t="str">
        <f>""</f>
        <v/>
      </c>
      <c r="F3011" t="str">
        <f>""</f>
        <v/>
      </c>
      <c r="G3011" t="str">
        <f>""</f>
        <v/>
      </c>
      <c r="I3011" t="str">
        <f t="shared" si="52"/>
        <v>WAGE WORKS - HRA FEES</v>
      </c>
    </row>
    <row r="3012" spans="1:9" x14ac:dyDescent="0.3">
      <c r="A3012" t="str">
        <f>""</f>
        <v/>
      </c>
      <c r="C3012" s="3" t="s">
        <v>454</v>
      </c>
      <c r="D3012" s="2">
        <f>SUM(D2:D3011)</f>
        <v>3387679.3699999996</v>
      </c>
      <c r="F3012" t="str">
        <f>"HRF201806131561"</f>
        <v>HRF201806131561</v>
      </c>
      <c r="G3012" t="str">
        <f>"WAGE WORKS - HRA FEES"</f>
        <v>WAGE WORKS - HRA FEES</v>
      </c>
      <c r="H3012">
        <v>16.739999999999998</v>
      </c>
      <c r="I3012" t="str">
        <f t="shared" si="52"/>
        <v>WAGE WORKS - HRA FEES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AP-CHK-RPT-20180629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2018-06-29T15:18:48Z</dcterms:created>
  <dcterms:modified xsi:type="dcterms:W3CDTF">2018-06-29T15:19:45Z</dcterms:modified>
</cp:coreProperties>
</file>