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24" windowWidth="22692" windowHeight="10584"/>
  </bookViews>
  <sheets>
    <sheet name="AP-CHK-RPT-20180629" sheetId="1" r:id="rId1"/>
  </sheets>
  <calcPr calcId="0"/>
</workbook>
</file>

<file path=xl/calcChain.xml><?xml version="1.0" encoding="utf-8"?>
<calcChain xmlns="http://schemas.openxmlformats.org/spreadsheetml/2006/main">
  <c r="D3341" i="1" l="1"/>
  <c r="A2" i="1"/>
  <c r="F2" i="1"/>
  <c r="G2" i="1"/>
  <c r="I2" i="1"/>
  <c r="A3" i="1"/>
  <c r="F3" i="1"/>
  <c r="G3" i="1"/>
  <c r="I3" i="1"/>
  <c r="A4" i="1"/>
  <c r="F4" i="1"/>
  <c r="G4" i="1"/>
  <c r="I4" i="1"/>
  <c r="A5" i="1"/>
  <c r="F5" i="1"/>
  <c r="G5" i="1"/>
  <c r="I5" i="1"/>
  <c r="A6" i="1"/>
  <c r="F6" i="1"/>
  <c r="G6" i="1"/>
  <c r="I6" i="1"/>
  <c r="A7" i="1"/>
  <c r="F7" i="1"/>
  <c r="G7" i="1"/>
  <c r="I7" i="1"/>
  <c r="A8" i="1"/>
  <c r="F8" i="1"/>
  <c r="G8" i="1"/>
  <c r="I8" i="1"/>
  <c r="A9" i="1"/>
  <c r="F9" i="1"/>
  <c r="G9" i="1"/>
  <c r="I9" i="1"/>
  <c r="A10" i="1"/>
  <c r="F10" i="1"/>
  <c r="G10" i="1"/>
  <c r="I10" i="1"/>
  <c r="A11" i="1"/>
  <c r="F11" i="1"/>
  <c r="G11" i="1"/>
  <c r="I11" i="1"/>
  <c r="A12" i="1"/>
  <c r="F12" i="1"/>
  <c r="G12" i="1"/>
  <c r="I12" i="1"/>
  <c r="A13" i="1"/>
  <c r="F13" i="1"/>
  <c r="G13" i="1"/>
  <c r="I13" i="1"/>
  <c r="A14" i="1"/>
  <c r="F14" i="1"/>
  <c r="G14" i="1"/>
  <c r="I14" i="1"/>
  <c r="A15" i="1"/>
  <c r="F15" i="1"/>
  <c r="G15" i="1"/>
  <c r="I15" i="1"/>
  <c r="A16" i="1"/>
  <c r="F16" i="1"/>
  <c r="G16" i="1"/>
  <c r="I16" i="1"/>
  <c r="A17" i="1"/>
  <c r="F17" i="1"/>
  <c r="G17" i="1"/>
  <c r="I17" i="1"/>
  <c r="A18" i="1"/>
  <c r="F18" i="1"/>
  <c r="G18" i="1"/>
  <c r="I18" i="1"/>
  <c r="A19" i="1"/>
  <c r="F19" i="1"/>
  <c r="G19" i="1"/>
  <c r="I19" i="1"/>
  <c r="A20" i="1"/>
  <c r="F20" i="1"/>
  <c r="G20" i="1"/>
  <c r="I20" i="1"/>
  <c r="A21" i="1"/>
  <c r="F21" i="1"/>
  <c r="G21" i="1"/>
  <c r="I21" i="1"/>
  <c r="A22" i="1"/>
  <c r="F22" i="1"/>
  <c r="G22" i="1"/>
  <c r="I22" i="1"/>
  <c r="A23" i="1"/>
  <c r="F23" i="1"/>
  <c r="G23" i="1"/>
  <c r="I23" i="1"/>
  <c r="A24" i="1"/>
  <c r="F24" i="1"/>
  <c r="G24" i="1"/>
  <c r="I24" i="1"/>
  <c r="A25" i="1"/>
  <c r="F25" i="1"/>
  <c r="G25" i="1"/>
  <c r="I25" i="1"/>
  <c r="A26" i="1"/>
  <c r="F26" i="1"/>
  <c r="G26" i="1"/>
  <c r="I26" i="1"/>
  <c r="A27" i="1"/>
  <c r="F27" i="1"/>
  <c r="G27" i="1"/>
  <c r="I27" i="1"/>
  <c r="A28" i="1"/>
  <c r="F28" i="1"/>
  <c r="G28" i="1"/>
  <c r="I28" i="1"/>
  <c r="A29" i="1"/>
  <c r="F29" i="1"/>
  <c r="G29" i="1"/>
  <c r="I29" i="1"/>
  <c r="A30" i="1"/>
  <c r="F30" i="1"/>
  <c r="G30" i="1"/>
  <c r="I30" i="1"/>
  <c r="A31" i="1"/>
  <c r="F31" i="1"/>
  <c r="G31" i="1"/>
  <c r="I31" i="1"/>
  <c r="A32" i="1"/>
  <c r="F32" i="1"/>
  <c r="G32" i="1"/>
  <c r="I32" i="1"/>
  <c r="A33" i="1"/>
  <c r="F33" i="1"/>
  <c r="G33" i="1"/>
  <c r="I33" i="1"/>
  <c r="A34" i="1"/>
  <c r="F34" i="1"/>
  <c r="G34" i="1"/>
  <c r="I34" i="1"/>
  <c r="A35" i="1"/>
  <c r="F35" i="1"/>
  <c r="G35" i="1"/>
  <c r="I35" i="1"/>
  <c r="A36" i="1"/>
  <c r="F36" i="1"/>
  <c r="G36" i="1"/>
  <c r="I36" i="1"/>
  <c r="A37" i="1"/>
  <c r="F37" i="1"/>
  <c r="G37" i="1"/>
  <c r="I37" i="1"/>
  <c r="A38" i="1"/>
  <c r="F38" i="1"/>
  <c r="G38" i="1"/>
  <c r="I38" i="1"/>
  <c r="A39" i="1"/>
  <c r="F39" i="1"/>
  <c r="G39" i="1"/>
  <c r="I39" i="1"/>
  <c r="A40" i="1"/>
  <c r="F40" i="1"/>
  <c r="G40" i="1"/>
  <c r="I40" i="1"/>
  <c r="A41" i="1"/>
  <c r="F41" i="1"/>
  <c r="G41" i="1"/>
  <c r="I41" i="1"/>
  <c r="A42" i="1"/>
  <c r="F42" i="1"/>
  <c r="G42" i="1"/>
  <c r="I42" i="1"/>
  <c r="A43" i="1"/>
  <c r="F43" i="1"/>
  <c r="G43" i="1"/>
  <c r="I43" i="1"/>
  <c r="A44" i="1"/>
  <c r="F44" i="1"/>
  <c r="G44" i="1"/>
  <c r="I44" i="1"/>
  <c r="A45" i="1"/>
  <c r="F45" i="1"/>
  <c r="G45" i="1"/>
  <c r="I45" i="1"/>
  <c r="A46" i="1"/>
  <c r="F46" i="1"/>
  <c r="G46" i="1"/>
  <c r="I46" i="1"/>
  <c r="A47" i="1"/>
  <c r="F47" i="1"/>
  <c r="G47" i="1"/>
  <c r="I47" i="1"/>
  <c r="A48" i="1"/>
  <c r="F48" i="1"/>
  <c r="G48" i="1"/>
  <c r="I48" i="1"/>
  <c r="A49" i="1"/>
  <c r="F49" i="1"/>
  <c r="G49" i="1"/>
  <c r="I49" i="1"/>
  <c r="A50" i="1"/>
  <c r="F50" i="1"/>
  <c r="G50" i="1"/>
  <c r="I50" i="1"/>
  <c r="A51" i="1"/>
  <c r="F51" i="1"/>
  <c r="G51" i="1"/>
  <c r="I51" i="1"/>
  <c r="A52" i="1"/>
  <c r="F52" i="1"/>
  <c r="G52" i="1"/>
  <c r="I52" i="1"/>
  <c r="A53" i="1"/>
  <c r="F53" i="1"/>
  <c r="G53" i="1"/>
  <c r="I53" i="1"/>
  <c r="A54" i="1"/>
  <c r="F54" i="1"/>
  <c r="G54" i="1"/>
  <c r="I54" i="1"/>
  <c r="A55" i="1"/>
  <c r="F55" i="1"/>
  <c r="G55" i="1"/>
  <c r="I55" i="1"/>
  <c r="A56" i="1"/>
  <c r="F56" i="1"/>
  <c r="G56" i="1"/>
  <c r="I56" i="1"/>
  <c r="A57" i="1"/>
  <c r="F57" i="1"/>
  <c r="G57" i="1"/>
  <c r="I57" i="1"/>
  <c r="A58" i="1"/>
  <c r="F58" i="1"/>
  <c r="G58" i="1"/>
  <c r="I58" i="1"/>
  <c r="A59" i="1"/>
  <c r="F59" i="1"/>
  <c r="G59" i="1"/>
  <c r="I59" i="1"/>
  <c r="A60" i="1"/>
  <c r="F60" i="1"/>
  <c r="G60" i="1"/>
  <c r="I60" i="1"/>
  <c r="A61" i="1"/>
  <c r="F61" i="1"/>
  <c r="G61" i="1"/>
  <c r="I61" i="1"/>
  <c r="A62" i="1"/>
  <c r="F62" i="1"/>
  <c r="G62" i="1"/>
  <c r="I62" i="1"/>
  <c r="A63" i="1"/>
  <c r="F63" i="1"/>
  <c r="G63" i="1"/>
  <c r="I63" i="1"/>
  <c r="A64" i="1"/>
  <c r="F64" i="1"/>
  <c r="G64" i="1"/>
  <c r="I64" i="1"/>
  <c r="A65" i="1"/>
  <c r="F65" i="1"/>
  <c r="G65" i="1"/>
  <c r="I65" i="1"/>
  <c r="A66" i="1"/>
  <c r="F66" i="1"/>
  <c r="G66" i="1"/>
  <c r="I66" i="1"/>
  <c r="A67" i="1"/>
  <c r="F67" i="1"/>
  <c r="G67" i="1"/>
  <c r="I67" i="1"/>
  <c r="A68" i="1"/>
  <c r="F68" i="1"/>
  <c r="G68" i="1"/>
  <c r="I68" i="1"/>
  <c r="A69" i="1"/>
  <c r="F69" i="1"/>
  <c r="G69" i="1"/>
  <c r="I69" i="1"/>
  <c r="A70" i="1"/>
  <c r="F70" i="1"/>
  <c r="G70" i="1"/>
  <c r="I70" i="1"/>
  <c r="A71" i="1"/>
  <c r="F71" i="1"/>
  <c r="G71" i="1"/>
  <c r="I71" i="1"/>
  <c r="A72" i="1"/>
  <c r="F72" i="1"/>
  <c r="G72" i="1"/>
  <c r="I72" i="1"/>
  <c r="A73" i="1"/>
  <c r="F73" i="1"/>
  <c r="G73" i="1"/>
  <c r="I73" i="1"/>
  <c r="A74" i="1"/>
  <c r="F74" i="1"/>
  <c r="G74" i="1"/>
  <c r="I74" i="1"/>
  <c r="A75" i="1"/>
  <c r="F75" i="1"/>
  <c r="G75" i="1"/>
  <c r="I75" i="1"/>
  <c r="A76" i="1"/>
  <c r="F76" i="1"/>
  <c r="G76" i="1"/>
  <c r="I76" i="1"/>
  <c r="A77" i="1"/>
  <c r="F77" i="1"/>
  <c r="G77" i="1"/>
  <c r="I77" i="1"/>
  <c r="A78" i="1"/>
  <c r="F78" i="1"/>
  <c r="G78" i="1"/>
  <c r="I78" i="1"/>
  <c r="A79" i="1"/>
  <c r="F79" i="1"/>
  <c r="G79" i="1"/>
  <c r="I79" i="1"/>
  <c r="A80" i="1"/>
  <c r="F80" i="1"/>
  <c r="G80" i="1"/>
  <c r="I80" i="1"/>
  <c r="A81" i="1"/>
  <c r="F81" i="1"/>
  <c r="G81" i="1"/>
  <c r="I81" i="1"/>
  <c r="A82" i="1"/>
  <c r="F82" i="1"/>
  <c r="G82" i="1"/>
  <c r="I82" i="1"/>
  <c r="A83" i="1"/>
  <c r="F83" i="1"/>
  <c r="G83" i="1"/>
  <c r="I83" i="1"/>
  <c r="A84" i="1"/>
  <c r="F84" i="1"/>
  <c r="G84" i="1"/>
  <c r="I84" i="1"/>
  <c r="A85" i="1"/>
  <c r="F85" i="1"/>
  <c r="G85" i="1"/>
  <c r="I85" i="1"/>
  <c r="A86" i="1"/>
  <c r="F86" i="1"/>
  <c r="G86" i="1"/>
  <c r="I86" i="1"/>
  <c r="A87" i="1"/>
  <c r="H87" i="1"/>
  <c r="I87" i="1"/>
  <c r="J87" i="1"/>
  <c r="A88" i="1"/>
  <c r="F88" i="1"/>
  <c r="G88" i="1"/>
  <c r="I88" i="1"/>
  <c r="A89" i="1"/>
  <c r="F89" i="1"/>
  <c r="G89" i="1"/>
  <c r="I89" i="1"/>
  <c r="A90" i="1"/>
  <c r="F90" i="1"/>
  <c r="G90" i="1"/>
  <c r="I90" i="1"/>
  <c r="A91" i="1"/>
  <c r="F91" i="1"/>
  <c r="G91" i="1"/>
  <c r="I91" i="1"/>
  <c r="A92" i="1"/>
  <c r="F92" i="1"/>
  <c r="G92" i="1"/>
  <c r="I92" i="1"/>
  <c r="A93" i="1"/>
  <c r="F93" i="1"/>
  <c r="G93" i="1"/>
  <c r="I93" i="1"/>
  <c r="A94" i="1"/>
  <c r="F94" i="1"/>
  <c r="G94" i="1"/>
  <c r="I94" i="1"/>
  <c r="A95" i="1"/>
  <c r="F95" i="1"/>
  <c r="G95" i="1"/>
  <c r="I95" i="1"/>
  <c r="A96" i="1"/>
  <c r="F96" i="1"/>
  <c r="G96" i="1"/>
  <c r="I96" i="1"/>
  <c r="A97" i="1"/>
  <c r="F97" i="1"/>
  <c r="G97" i="1"/>
  <c r="I97" i="1"/>
  <c r="A98" i="1"/>
  <c r="F98" i="1"/>
  <c r="G98" i="1"/>
  <c r="I98" i="1"/>
  <c r="A99" i="1"/>
  <c r="F99" i="1"/>
  <c r="G99" i="1"/>
  <c r="I99" i="1"/>
  <c r="A100" i="1"/>
  <c r="F100" i="1"/>
  <c r="G100" i="1"/>
  <c r="I100" i="1"/>
  <c r="A101" i="1"/>
  <c r="F101" i="1"/>
  <c r="G101" i="1"/>
  <c r="I101" i="1"/>
  <c r="A102" i="1"/>
  <c r="F102" i="1"/>
  <c r="G102" i="1"/>
  <c r="I102" i="1"/>
  <c r="A103" i="1"/>
  <c r="F103" i="1"/>
  <c r="G103" i="1"/>
  <c r="I103" i="1"/>
  <c r="A104" i="1"/>
  <c r="F104" i="1"/>
  <c r="G104" i="1"/>
  <c r="I104" i="1"/>
  <c r="A105" i="1"/>
  <c r="F105" i="1"/>
  <c r="G105" i="1"/>
  <c r="I105" i="1"/>
  <c r="A106" i="1"/>
  <c r="F106" i="1"/>
  <c r="G106" i="1"/>
  <c r="I106" i="1"/>
  <c r="A107" i="1"/>
  <c r="F107" i="1"/>
  <c r="G107" i="1"/>
  <c r="I107" i="1"/>
  <c r="A108" i="1"/>
  <c r="F108" i="1"/>
  <c r="G108" i="1"/>
  <c r="I108" i="1"/>
  <c r="A109" i="1"/>
  <c r="F109" i="1"/>
  <c r="G109" i="1"/>
  <c r="I109" i="1"/>
  <c r="A110" i="1"/>
  <c r="F110" i="1"/>
  <c r="G110" i="1"/>
  <c r="I110" i="1"/>
  <c r="A111" i="1"/>
  <c r="F111" i="1"/>
  <c r="G111" i="1"/>
  <c r="I111" i="1"/>
  <c r="A112" i="1"/>
  <c r="F112" i="1"/>
  <c r="G112" i="1"/>
  <c r="I112" i="1"/>
  <c r="A113" i="1"/>
  <c r="F113" i="1"/>
  <c r="G113" i="1"/>
  <c r="I113" i="1"/>
  <c r="A114" i="1"/>
  <c r="F114" i="1"/>
  <c r="G114" i="1"/>
  <c r="I114" i="1"/>
  <c r="A115" i="1"/>
  <c r="F115" i="1"/>
  <c r="G115" i="1"/>
  <c r="I115" i="1"/>
  <c r="A116" i="1"/>
  <c r="F116" i="1"/>
  <c r="G116" i="1"/>
  <c r="I116" i="1"/>
  <c r="A117" i="1"/>
  <c r="F117" i="1"/>
  <c r="G117" i="1"/>
  <c r="I117" i="1"/>
  <c r="A118" i="1"/>
  <c r="F118" i="1"/>
  <c r="G118" i="1"/>
  <c r="I118" i="1"/>
  <c r="A119" i="1"/>
  <c r="F119" i="1"/>
  <c r="G119" i="1"/>
  <c r="I119" i="1"/>
  <c r="A120" i="1"/>
  <c r="F120" i="1"/>
  <c r="G120" i="1"/>
  <c r="I120" i="1"/>
  <c r="A121" i="1"/>
  <c r="F121" i="1"/>
  <c r="G121" i="1"/>
  <c r="I121" i="1"/>
  <c r="A122" i="1"/>
  <c r="F122" i="1"/>
  <c r="G122" i="1"/>
  <c r="I122" i="1"/>
  <c r="A123" i="1"/>
  <c r="F123" i="1"/>
  <c r="G123" i="1"/>
  <c r="I123" i="1"/>
  <c r="A124" i="1"/>
  <c r="F124" i="1"/>
  <c r="G124" i="1"/>
  <c r="I124" i="1"/>
  <c r="A125" i="1"/>
  <c r="F125" i="1"/>
  <c r="G125" i="1"/>
  <c r="I125" i="1"/>
  <c r="A126" i="1"/>
  <c r="F126" i="1"/>
  <c r="G126" i="1"/>
  <c r="I126" i="1"/>
  <c r="A127" i="1"/>
  <c r="F127" i="1"/>
  <c r="G127" i="1"/>
  <c r="I127" i="1"/>
  <c r="A128" i="1"/>
  <c r="F128" i="1"/>
  <c r="G128" i="1"/>
  <c r="I128" i="1"/>
  <c r="A129" i="1"/>
  <c r="F129" i="1"/>
  <c r="G129" i="1"/>
  <c r="I129" i="1"/>
  <c r="A130" i="1"/>
  <c r="F130" i="1"/>
  <c r="G130" i="1"/>
  <c r="I130" i="1"/>
  <c r="A131" i="1"/>
  <c r="F131" i="1"/>
  <c r="G131" i="1"/>
  <c r="I131" i="1"/>
  <c r="A132" i="1"/>
  <c r="F132" i="1"/>
  <c r="G132" i="1"/>
  <c r="I132" i="1"/>
  <c r="A133" i="1"/>
  <c r="F133" i="1"/>
  <c r="G133" i="1"/>
  <c r="I133" i="1"/>
  <c r="A134" i="1"/>
  <c r="F134" i="1"/>
  <c r="G134" i="1"/>
  <c r="I134" i="1"/>
  <c r="A135" i="1"/>
  <c r="F135" i="1"/>
  <c r="G135" i="1"/>
  <c r="I135" i="1"/>
  <c r="A136" i="1"/>
  <c r="F136" i="1"/>
  <c r="G136" i="1"/>
  <c r="I136" i="1"/>
  <c r="A137" i="1"/>
  <c r="F137" i="1"/>
  <c r="G137" i="1"/>
  <c r="I137" i="1"/>
  <c r="A138" i="1"/>
  <c r="F138" i="1"/>
  <c r="G138" i="1"/>
  <c r="I138" i="1"/>
  <c r="A139" i="1"/>
  <c r="F139" i="1"/>
  <c r="G139" i="1"/>
  <c r="I139" i="1"/>
  <c r="A140" i="1"/>
  <c r="F140" i="1"/>
  <c r="G140" i="1"/>
  <c r="I140" i="1"/>
  <c r="A141" i="1"/>
  <c r="F141" i="1"/>
  <c r="G141" i="1"/>
  <c r="I141" i="1"/>
  <c r="A142" i="1"/>
  <c r="F142" i="1"/>
  <c r="G142" i="1"/>
  <c r="I142" i="1"/>
  <c r="A143" i="1"/>
  <c r="F143" i="1"/>
  <c r="G143" i="1"/>
  <c r="I143" i="1"/>
  <c r="A144" i="1"/>
  <c r="F144" i="1"/>
  <c r="G144" i="1"/>
  <c r="I144" i="1"/>
  <c r="A145" i="1"/>
  <c r="F145" i="1"/>
  <c r="G145" i="1"/>
  <c r="I145" i="1"/>
  <c r="A146" i="1"/>
  <c r="F146" i="1"/>
  <c r="G146" i="1"/>
  <c r="I146" i="1"/>
  <c r="A147" i="1"/>
  <c r="F147" i="1"/>
  <c r="G147" i="1"/>
  <c r="I147" i="1"/>
  <c r="A148" i="1"/>
  <c r="F148" i="1"/>
  <c r="G148" i="1"/>
  <c r="I148" i="1"/>
  <c r="A149" i="1"/>
  <c r="F149" i="1"/>
  <c r="G149" i="1"/>
  <c r="I149" i="1"/>
  <c r="A150" i="1"/>
  <c r="F150" i="1"/>
  <c r="G150" i="1"/>
  <c r="I150" i="1"/>
  <c r="A151" i="1"/>
  <c r="F151" i="1"/>
  <c r="G151" i="1"/>
  <c r="I151" i="1"/>
  <c r="A152" i="1"/>
  <c r="F152" i="1"/>
  <c r="G152" i="1"/>
  <c r="I152" i="1"/>
  <c r="A153" i="1"/>
  <c r="F153" i="1"/>
  <c r="G153" i="1"/>
  <c r="I153" i="1"/>
  <c r="A154" i="1"/>
  <c r="F154" i="1"/>
  <c r="G154" i="1"/>
  <c r="I154" i="1"/>
  <c r="A155" i="1"/>
  <c r="F155" i="1"/>
  <c r="G155" i="1"/>
  <c r="I155" i="1"/>
  <c r="A156" i="1"/>
  <c r="F156" i="1"/>
  <c r="G156" i="1"/>
  <c r="I156" i="1"/>
  <c r="A157" i="1"/>
  <c r="F157" i="1"/>
  <c r="G157" i="1"/>
  <c r="I157" i="1"/>
  <c r="A158" i="1"/>
  <c r="F158" i="1"/>
  <c r="G158" i="1"/>
  <c r="I158" i="1"/>
  <c r="A159" i="1"/>
  <c r="F159" i="1"/>
  <c r="G159" i="1"/>
  <c r="I159" i="1"/>
  <c r="A160" i="1"/>
  <c r="F160" i="1"/>
  <c r="G160" i="1"/>
  <c r="I160" i="1"/>
  <c r="A161" i="1"/>
  <c r="F161" i="1"/>
  <c r="G161" i="1"/>
  <c r="I161" i="1"/>
  <c r="A162" i="1"/>
  <c r="F162" i="1"/>
  <c r="G162" i="1"/>
  <c r="I162" i="1"/>
  <c r="A163" i="1"/>
  <c r="F163" i="1"/>
  <c r="G163" i="1"/>
  <c r="I163" i="1"/>
  <c r="A164" i="1"/>
  <c r="F164" i="1"/>
  <c r="G164" i="1"/>
  <c r="I164" i="1"/>
  <c r="A165" i="1"/>
  <c r="F165" i="1"/>
  <c r="G165" i="1"/>
  <c r="I165" i="1"/>
  <c r="A166" i="1"/>
  <c r="F166" i="1"/>
  <c r="G166" i="1"/>
  <c r="I166" i="1"/>
  <c r="A167" i="1"/>
  <c r="F167" i="1"/>
  <c r="G167" i="1"/>
  <c r="I167" i="1"/>
  <c r="A168" i="1"/>
  <c r="F168" i="1"/>
  <c r="G168" i="1"/>
  <c r="I168" i="1"/>
  <c r="A169" i="1"/>
  <c r="F169" i="1"/>
  <c r="G169" i="1"/>
  <c r="I169" i="1"/>
  <c r="A170" i="1"/>
  <c r="F170" i="1"/>
  <c r="G170" i="1"/>
  <c r="I170" i="1"/>
  <c r="A171" i="1"/>
  <c r="F171" i="1"/>
  <c r="G171" i="1"/>
  <c r="I171" i="1"/>
  <c r="A172" i="1"/>
  <c r="F172" i="1"/>
  <c r="G172" i="1"/>
  <c r="I172" i="1"/>
  <c r="A173" i="1"/>
  <c r="F173" i="1"/>
  <c r="G173" i="1"/>
  <c r="I173" i="1"/>
  <c r="A174" i="1"/>
  <c r="F174" i="1"/>
  <c r="G174" i="1"/>
  <c r="I174" i="1"/>
  <c r="A175" i="1"/>
  <c r="F175" i="1"/>
  <c r="G175" i="1"/>
  <c r="I175" i="1"/>
  <c r="A176" i="1"/>
  <c r="F176" i="1"/>
  <c r="G176" i="1"/>
  <c r="I176" i="1"/>
  <c r="A177" i="1"/>
  <c r="F177" i="1"/>
  <c r="G177" i="1"/>
  <c r="I177" i="1"/>
  <c r="A178" i="1"/>
  <c r="F178" i="1"/>
  <c r="G178" i="1"/>
  <c r="I178" i="1"/>
  <c r="A179" i="1"/>
  <c r="F179" i="1"/>
  <c r="G179" i="1"/>
  <c r="I179" i="1"/>
  <c r="A180" i="1"/>
  <c r="F180" i="1"/>
  <c r="G180" i="1"/>
  <c r="I180" i="1"/>
  <c r="A181" i="1"/>
  <c r="F181" i="1"/>
  <c r="G181" i="1"/>
  <c r="I181" i="1"/>
  <c r="A182" i="1"/>
  <c r="F182" i="1"/>
  <c r="G182" i="1"/>
  <c r="I182" i="1"/>
  <c r="A183" i="1"/>
  <c r="F183" i="1"/>
  <c r="G183" i="1"/>
  <c r="I183" i="1"/>
  <c r="A184" i="1"/>
  <c r="F184" i="1"/>
  <c r="G184" i="1"/>
  <c r="I184" i="1"/>
  <c r="A185" i="1"/>
  <c r="F185" i="1"/>
  <c r="G185" i="1"/>
  <c r="I185" i="1"/>
  <c r="A186" i="1"/>
  <c r="F186" i="1"/>
  <c r="G186" i="1"/>
  <c r="I186" i="1"/>
  <c r="A187" i="1"/>
  <c r="F187" i="1"/>
  <c r="G187" i="1"/>
  <c r="I187" i="1"/>
  <c r="A188" i="1"/>
  <c r="F188" i="1"/>
  <c r="G188" i="1"/>
  <c r="I188" i="1"/>
  <c r="A189" i="1"/>
  <c r="F189" i="1"/>
  <c r="G189" i="1"/>
  <c r="I189" i="1"/>
  <c r="A190" i="1"/>
  <c r="F190" i="1"/>
  <c r="G190" i="1"/>
  <c r="I190" i="1"/>
  <c r="A191" i="1"/>
  <c r="F191" i="1"/>
  <c r="G191" i="1"/>
  <c r="I191" i="1"/>
  <c r="A192" i="1"/>
  <c r="F192" i="1"/>
  <c r="G192" i="1"/>
  <c r="I192" i="1"/>
  <c r="A193" i="1"/>
  <c r="F193" i="1"/>
  <c r="G193" i="1"/>
  <c r="I193" i="1"/>
  <c r="A194" i="1"/>
  <c r="F194" i="1"/>
  <c r="G194" i="1"/>
  <c r="I194" i="1"/>
  <c r="A195" i="1"/>
  <c r="F195" i="1"/>
  <c r="G195" i="1"/>
  <c r="I195" i="1"/>
  <c r="A196" i="1"/>
  <c r="F196" i="1"/>
  <c r="G196" i="1"/>
  <c r="I196" i="1"/>
  <c r="A197" i="1"/>
  <c r="F197" i="1"/>
  <c r="G197" i="1"/>
  <c r="I197" i="1"/>
  <c r="A198" i="1"/>
  <c r="F198" i="1"/>
  <c r="G198" i="1"/>
  <c r="I198" i="1"/>
  <c r="A199" i="1"/>
  <c r="F199" i="1"/>
  <c r="G199" i="1"/>
  <c r="I199" i="1"/>
  <c r="A200" i="1"/>
  <c r="F200" i="1"/>
  <c r="G200" i="1"/>
  <c r="I200" i="1"/>
  <c r="A201" i="1"/>
  <c r="F201" i="1"/>
  <c r="G201" i="1"/>
  <c r="I201" i="1"/>
  <c r="A202" i="1"/>
  <c r="F202" i="1"/>
  <c r="G202" i="1"/>
  <c r="I202" i="1"/>
  <c r="A203" i="1"/>
  <c r="F203" i="1"/>
  <c r="G203" i="1"/>
  <c r="I203" i="1"/>
  <c r="A204" i="1"/>
  <c r="F204" i="1"/>
  <c r="G204" i="1"/>
  <c r="I204" i="1"/>
  <c r="A205" i="1"/>
  <c r="F205" i="1"/>
  <c r="G205" i="1"/>
  <c r="I205" i="1"/>
  <c r="A206" i="1"/>
  <c r="F206" i="1"/>
  <c r="G206" i="1"/>
  <c r="I206" i="1"/>
  <c r="A207" i="1"/>
  <c r="F207" i="1"/>
  <c r="G207" i="1"/>
  <c r="I207" i="1"/>
  <c r="A208" i="1"/>
  <c r="F208" i="1"/>
  <c r="G208" i="1"/>
  <c r="I208" i="1"/>
  <c r="A209" i="1"/>
  <c r="F209" i="1"/>
  <c r="G209" i="1"/>
  <c r="I209" i="1"/>
  <c r="A210" i="1"/>
  <c r="F210" i="1"/>
  <c r="G210" i="1"/>
  <c r="I210" i="1"/>
  <c r="A211" i="1"/>
  <c r="F211" i="1"/>
  <c r="G211" i="1"/>
  <c r="I211" i="1"/>
  <c r="A212" i="1"/>
  <c r="F212" i="1"/>
  <c r="G212" i="1"/>
  <c r="I212" i="1"/>
  <c r="A213" i="1"/>
  <c r="F213" i="1"/>
  <c r="G213" i="1"/>
  <c r="I213" i="1"/>
  <c r="A214" i="1"/>
  <c r="F214" i="1"/>
  <c r="G214" i="1"/>
  <c r="I214" i="1"/>
  <c r="A215" i="1"/>
  <c r="F215" i="1"/>
  <c r="G215" i="1"/>
  <c r="I215" i="1"/>
  <c r="A216" i="1"/>
  <c r="F216" i="1"/>
  <c r="G216" i="1"/>
  <c r="I216" i="1"/>
  <c r="A217" i="1"/>
  <c r="F217" i="1"/>
  <c r="G217" i="1"/>
  <c r="I217" i="1"/>
  <c r="A218" i="1"/>
  <c r="F218" i="1"/>
  <c r="G218" i="1"/>
  <c r="I218" i="1"/>
  <c r="A219" i="1"/>
  <c r="F219" i="1"/>
  <c r="G219" i="1"/>
  <c r="I219" i="1"/>
  <c r="A220" i="1"/>
  <c r="F220" i="1"/>
  <c r="G220" i="1"/>
  <c r="I220" i="1"/>
  <c r="A221" i="1"/>
  <c r="F221" i="1"/>
  <c r="G221" i="1"/>
  <c r="I221" i="1"/>
  <c r="A222" i="1"/>
  <c r="F222" i="1"/>
  <c r="G222" i="1"/>
  <c r="I222" i="1"/>
  <c r="A223" i="1"/>
  <c r="F223" i="1"/>
  <c r="G223" i="1"/>
  <c r="I223" i="1"/>
  <c r="A224" i="1"/>
  <c r="F224" i="1"/>
  <c r="G224" i="1"/>
  <c r="I224" i="1"/>
  <c r="A225" i="1"/>
  <c r="F225" i="1"/>
  <c r="G225" i="1"/>
  <c r="I225" i="1"/>
  <c r="A226" i="1"/>
  <c r="F226" i="1"/>
  <c r="G226" i="1"/>
  <c r="I226" i="1"/>
  <c r="A227" i="1"/>
  <c r="F227" i="1"/>
  <c r="G227" i="1"/>
  <c r="I227" i="1"/>
  <c r="A228" i="1"/>
  <c r="F228" i="1"/>
  <c r="G228" i="1"/>
  <c r="I228" i="1"/>
  <c r="A229" i="1"/>
  <c r="F229" i="1"/>
  <c r="G229" i="1"/>
  <c r="I229" i="1"/>
  <c r="A230" i="1"/>
  <c r="F230" i="1"/>
  <c r="G230" i="1"/>
  <c r="I230" i="1"/>
  <c r="A231" i="1"/>
  <c r="F231" i="1"/>
  <c r="G231" i="1"/>
  <c r="I231" i="1"/>
  <c r="A232" i="1"/>
  <c r="F232" i="1"/>
  <c r="G232" i="1"/>
  <c r="I232" i="1"/>
  <c r="A233" i="1"/>
  <c r="F233" i="1"/>
  <c r="G233" i="1"/>
  <c r="I233" i="1"/>
  <c r="A234" i="1"/>
  <c r="F234" i="1"/>
  <c r="G234" i="1"/>
  <c r="I234" i="1"/>
  <c r="A235" i="1"/>
  <c r="F235" i="1"/>
  <c r="G235" i="1"/>
  <c r="I235" i="1"/>
  <c r="A236" i="1"/>
  <c r="F236" i="1"/>
  <c r="G236" i="1"/>
  <c r="I236" i="1"/>
  <c r="A237" i="1"/>
  <c r="F237" i="1"/>
  <c r="G237" i="1"/>
  <c r="I237" i="1"/>
  <c r="A238" i="1"/>
  <c r="F238" i="1"/>
  <c r="G238" i="1"/>
  <c r="I238" i="1"/>
  <c r="A239" i="1"/>
  <c r="F239" i="1"/>
  <c r="G239" i="1"/>
  <c r="I239" i="1"/>
  <c r="A240" i="1"/>
  <c r="F240" i="1"/>
  <c r="G240" i="1"/>
  <c r="I240" i="1"/>
  <c r="A241" i="1"/>
  <c r="F241" i="1"/>
  <c r="G241" i="1"/>
  <c r="I241" i="1"/>
  <c r="A242" i="1"/>
  <c r="F242" i="1"/>
  <c r="G242" i="1"/>
  <c r="I242" i="1"/>
  <c r="A243" i="1"/>
  <c r="F243" i="1"/>
  <c r="G243" i="1"/>
  <c r="I243" i="1"/>
  <c r="A244" i="1"/>
  <c r="F244" i="1"/>
  <c r="G244" i="1"/>
  <c r="I244" i="1"/>
  <c r="A245" i="1"/>
  <c r="F245" i="1"/>
  <c r="G245" i="1"/>
  <c r="I245" i="1"/>
  <c r="A246" i="1"/>
  <c r="F246" i="1"/>
  <c r="G246" i="1"/>
  <c r="I246" i="1"/>
  <c r="A247" i="1"/>
  <c r="F247" i="1"/>
  <c r="G247" i="1"/>
  <c r="I247" i="1"/>
  <c r="A248" i="1"/>
  <c r="F248" i="1"/>
  <c r="G248" i="1"/>
  <c r="I248" i="1"/>
  <c r="A249" i="1"/>
  <c r="F249" i="1"/>
  <c r="G249" i="1"/>
  <c r="I249" i="1"/>
  <c r="A250" i="1"/>
  <c r="F250" i="1"/>
  <c r="G250" i="1"/>
  <c r="I250" i="1"/>
  <c r="A251" i="1"/>
  <c r="F251" i="1"/>
  <c r="G251" i="1"/>
  <c r="I251" i="1"/>
  <c r="A252" i="1"/>
  <c r="F252" i="1"/>
  <c r="G252" i="1"/>
  <c r="I252" i="1"/>
  <c r="A253" i="1"/>
  <c r="F253" i="1"/>
  <c r="G253" i="1"/>
  <c r="I253" i="1"/>
  <c r="A254" i="1"/>
  <c r="F254" i="1"/>
  <c r="G254" i="1"/>
  <c r="I254" i="1"/>
  <c r="A255" i="1"/>
  <c r="F255" i="1"/>
  <c r="G255" i="1"/>
  <c r="I255" i="1"/>
  <c r="A256" i="1"/>
  <c r="F256" i="1"/>
  <c r="G256" i="1"/>
  <c r="I256" i="1"/>
  <c r="A257" i="1"/>
  <c r="F257" i="1"/>
  <c r="G257" i="1"/>
  <c r="I257" i="1"/>
  <c r="A258" i="1"/>
  <c r="F258" i="1"/>
  <c r="G258" i="1"/>
  <c r="I258" i="1"/>
  <c r="A259" i="1"/>
  <c r="F259" i="1"/>
  <c r="G259" i="1"/>
  <c r="I259" i="1"/>
  <c r="A260" i="1"/>
  <c r="F260" i="1"/>
  <c r="G260" i="1"/>
  <c r="I260" i="1"/>
  <c r="A261" i="1"/>
  <c r="F261" i="1"/>
  <c r="G261" i="1"/>
  <c r="I261" i="1"/>
  <c r="A262" i="1"/>
  <c r="F262" i="1"/>
  <c r="G262" i="1"/>
  <c r="I262" i="1"/>
  <c r="A263" i="1"/>
  <c r="F263" i="1"/>
  <c r="G263" i="1"/>
  <c r="I263" i="1"/>
  <c r="A264" i="1"/>
  <c r="F264" i="1"/>
  <c r="G264" i="1"/>
  <c r="I264" i="1"/>
  <c r="A265" i="1"/>
  <c r="F265" i="1"/>
  <c r="G265" i="1"/>
  <c r="I265" i="1"/>
  <c r="A266" i="1"/>
  <c r="F266" i="1"/>
  <c r="G266" i="1"/>
  <c r="I266" i="1"/>
  <c r="A267" i="1"/>
  <c r="F267" i="1"/>
  <c r="G267" i="1"/>
  <c r="I267" i="1"/>
  <c r="A268" i="1"/>
  <c r="F268" i="1"/>
  <c r="G268" i="1"/>
  <c r="I268" i="1"/>
  <c r="A269" i="1"/>
  <c r="F269" i="1"/>
  <c r="G269" i="1"/>
  <c r="I269" i="1"/>
  <c r="A270" i="1"/>
  <c r="F270" i="1"/>
  <c r="G270" i="1"/>
  <c r="I270" i="1"/>
  <c r="A271" i="1"/>
  <c r="F271" i="1"/>
  <c r="G271" i="1"/>
  <c r="I271" i="1"/>
  <c r="A272" i="1"/>
  <c r="F272" i="1"/>
  <c r="G272" i="1"/>
  <c r="I272" i="1"/>
  <c r="A273" i="1"/>
  <c r="F273" i="1"/>
  <c r="G273" i="1"/>
  <c r="I273" i="1"/>
  <c r="A274" i="1"/>
  <c r="F274" i="1"/>
  <c r="G274" i="1"/>
  <c r="I274" i="1"/>
  <c r="A275" i="1"/>
  <c r="F275" i="1"/>
  <c r="G275" i="1"/>
  <c r="I275" i="1"/>
  <c r="A276" i="1"/>
  <c r="F276" i="1"/>
  <c r="G276" i="1"/>
  <c r="I276" i="1"/>
  <c r="A277" i="1"/>
  <c r="F277" i="1"/>
  <c r="G277" i="1"/>
  <c r="I277" i="1"/>
  <c r="A278" i="1"/>
  <c r="F278" i="1"/>
  <c r="G278" i="1"/>
  <c r="I278" i="1"/>
  <c r="A279" i="1"/>
  <c r="F279" i="1"/>
  <c r="G279" i="1"/>
  <c r="I279" i="1"/>
  <c r="A280" i="1"/>
  <c r="F280" i="1"/>
  <c r="G280" i="1"/>
  <c r="I280" i="1"/>
  <c r="A281" i="1"/>
  <c r="F281" i="1"/>
  <c r="G281" i="1"/>
  <c r="I281" i="1"/>
  <c r="A282" i="1"/>
  <c r="F282" i="1"/>
  <c r="G282" i="1"/>
  <c r="I282" i="1"/>
  <c r="A283" i="1"/>
  <c r="F283" i="1"/>
  <c r="G283" i="1"/>
  <c r="I283" i="1"/>
  <c r="A284" i="1"/>
  <c r="F284" i="1"/>
  <c r="G284" i="1"/>
  <c r="I284" i="1"/>
  <c r="A285" i="1"/>
  <c r="F285" i="1"/>
  <c r="G285" i="1"/>
  <c r="I285" i="1"/>
  <c r="A286" i="1"/>
  <c r="F286" i="1"/>
  <c r="G286" i="1"/>
  <c r="I286" i="1"/>
  <c r="A287" i="1"/>
  <c r="F287" i="1"/>
  <c r="G287" i="1"/>
  <c r="I287" i="1"/>
  <c r="A288" i="1"/>
  <c r="F288" i="1"/>
  <c r="G288" i="1"/>
  <c r="I288" i="1"/>
  <c r="A289" i="1"/>
  <c r="F289" i="1"/>
  <c r="G289" i="1"/>
  <c r="I289" i="1"/>
  <c r="A290" i="1"/>
  <c r="F290" i="1"/>
  <c r="G290" i="1"/>
  <c r="I290" i="1"/>
  <c r="A291" i="1"/>
  <c r="F291" i="1"/>
  <c r="G291" i="1"/>
  <c r="I291" i="1"/>
  <c r="A292" i="1"/>
  <c r="F292" i="1"/>
  <c r="G292" i="1"/>
  <c r="I292" i="1"/>
  <c r="A293" i="1"/>
  <c r="F293" i="1"/>
  <c r="G293" i="1"/>
  <c r="I293" i="1"/>
  <c r="A294" i="1"/>
  <c r="F294" i="1"/>
  <c r="G294" i="1"/>
  <c r="I294" i="1"/>
  <c r="A295" i="1"/>
  <c r="F295" i="1"/>
  <c r="G295" i="1"/>
  <c r="I295" i="1"/>
  <c r="A296" i="1"/>
  <c r="F296" i="1"/>
  <c r="G296" i="1"/>
  <c r="I296" i="1"/>
  <c r="A297" i="1"/>
  <c r="F297" i="1"/>
  <c r="G297" i="1"/>
  <c r="I297" i="1"/>
  <c r="A298" i="1"/>
  <c r="F298" i="1"/>
  <c r="G298" i="1"/>
  <c r="I298" i="1"/>
  <c r="A299" i="1"/>
  <c r="F299" i="1"/>
  <c r="G299" i="1"/>
  <c r="I299" i="1"/>
  <c r="A300" i="1"/>
  <c r="F300" i="1"/>
  <c r="G300" i="1"/>
  <c r="I300" i="1"/>
  <c r="A301" i="1"/>
  <c r="F301" i="1"/>
  <c r="G301" i="1"/>
  <c r="I301" i="1"/>
  <c r="A302" i="1"/>
  <c r="H302" i="1"/>
  <c r="I302" i="1"/>
  <c r="J302" i="1"/>
  <c r="A303" i="1"/>
  <c r="F303" i="1"/>
  <c r="G303" i="1"/>
  <c r="I303" i="1"/>
  <c r="A304" i="1"/>
  <c r="F304" i="1"/>
  <c r="G304" i="1"/>
  <c r="I304" i="1"/>
  <c r="A305" i="1"/>
  <c r="F305" i="1"/>
  <c r="G305" i="1"/>
  <c r="I305" i="1"/>
  <c r="A306" i="1"/>
  <c r="F306" i="1"/>
  <c r="G306" i="1"/>
  <c r="I306" i="1"/>
  <c r="A307" i="1"/>
  <c r="F307" i="1"/>
  <c r="G307" i="1"/>
  <c r="I307" i="1"/>
  <c r="A308" i="1"/>
  <c r="F308" i="1"/>
  <c r="G308" i="1"/>
  <c r="I308" i="1"/>
  <c r="A309" i="1"/>
  <c r="F309" i="1"/>
  <c r="G309" i="1"/>
  <c r="I309" i="1"/>
  <c r="A310" i="1"/>
  <c r="F310" i="1"/>
  <c r="G310" i="1"/>
  <c r="I310" i="1"/>
  <c r="A311" i="1"/>
  <c r="F311" i="1"/>
  <c r="G311" i="1"/>
  <c r="I311" i="1"/>
  <c r="A312" i="1"/>
  <c r="F312" i="1"/>
  <c r="G312" i="1"/>
  <c r="I312" i="1"/>
  <c r="A313" i="1"/>
  <c r="F313" i="1"/>
  <c r="G313" i="1"/>
  <c r="I313" i="1"/>
  <c r="A314" i="1"/>
  <c r="F314" i="1"/>
  <c r="G314" i="1"/>
  <c r="I314" i="1"/>
  <c r="A315" i="1"/>
  <c r="F315" i="1"/>
  <c r="G315" i="1"/>
  <c r="I315" i="1"/>
  <c r="A316" i="1"/>
  <c r="F316" i="1"/>
  <c r="G316" i="1"/>
  <c r="I316" i="1"/>
  <c r="A317" i="1"/>
  <c r="F317" i="1"/>
  <c r="G317" i="1"/>
  <c r="I317" i="1"/>
  <c r="A318" i="1"/>
  <c r="F318" i="1"/>
  <c r="G318" i="1"/>
  <c r="I318" i="1"/>
  <c r="A319" i="1"/>
  <c r="F319" i="1"/>
  <c r="G319" i="1"/>
  <c r="I319" i="1"/>
  <c r="A320" i="1"/>
  <c r="F320" i="1"/>
  <c r="G320" i="1"/>
  <c r="I320" i="1"/>
  <c r="A321" i="1"/>
  <c r="F321" i="1"/>
  <c r="G321" i="1"/>
  <c r="I321" i="1"/>
  <c r="A322" i="1"/>
  <c r="F322" i="1"/>
  <c r="G322" i="1"/>
  <c r="I322" i="1"/>
  <c r="A323" i="1"/>
  <c r="F323" i="1"/>
  <c r="G323" i="1"/>
  <c r="I323" i="1"/>
  <c r="A324" i="1"/>
  <c r="F324" i="1"/>
  <c r="G324" i="1"/>
  <c r="I324" i="1"/>
  <c r="A325" i="1"/>
  <c r="F325" i="1"/>
  <c r="G325" i="1"/>
  <c r="I325" i="1"/>
  <c r="A326" i="1"/>
  <c r="F326" i="1"/>
  <c r="G326" i="1"/>
  <c r="I326" i="1"/>
  <c r="A327" i="1"/>
  <c r="F327" i="1"/>
  <c r="G327" i="1"/>
  <c r="I327" i="1"/>
  <c r="A328" i="1"/>
  <c r="F328" i="1"/>
  <c r="G328" i="1"/>
  <c r="I328" i="1"/>
  <c r="A329" i="1"/>
  <c r="F329" i="1"/>
  <c r="G329" i="1"/>
  <c r="I329" i="1"/>
  <c r="A330" i="1"/>
  <c r="F330" i="1"/>
  <c r="G330" i="1"/>
  <c r="I330" i="1"/>
  <c r="A331" i="1"/>
  <c r="F331" i="1"/>
  <c r="G331" i="1"/>
  <c r="I331" i="1"/>
  <c r="A332" i="1"/>
  <c r="F332" i="1"/>
  <c r="G332" i="1"/>
  <c r="I332" i="1"/>
  <c r="A333" i="1"/>
  <c r="F333" i="1"/>
  <c r="G333" i="1"/>
  <c r="I333" i="1"/>
  <c r="A334" i="1"/>
  <c r="F334" i="1"/>
  <c r="G334" i="1"/>
  <c r="I334" i="1"/>
  <c r="A335" i="1"/>
  <c r="F335" i="1"/>
  <c r="G335" i="1"/>
  <c r="I335" i="1"/>
  <c r="A336" i="1"/>
  <c r="F336" i="1"/>
  <c r="G336" i="1"/>
  <c r="I336" i="1"/>
  <c r="A337" i="1"/>
  <c r="F337" i="1"/>
  <c r="G337" i="1"/>
  <c r="I337" i="1"/>
  <c r="A338" i="1"/>
  <c r="F338" i="1"/>
  <c r="G338" i="1"/>
  <c r="I338" i="1"/>
  <c r="A339" i="1"/>
  <c r="F339" i="1"/>
  <c r="G339" i="1"/>
  <c r="I339" i="1"/>
  <c r="A340" i="1"/>
  <c r="F340" i="1"/>
  <c r="G340" i="1"/>
  <c r="I340" i="1"/>
  <c r="A341" i="1"/>
  <c r="F341" i="1"/>
  <c r="G341" i="1"/>
  <c r="I341" i="1"/>
  <c r="A342" i="1"/>
  <c r="F342" i="1"/>
  <c r="G342" i="1"/>
  <c r="I342" i="1"/>
  <c r="A343" i="1"/>
  <c r="F343" i="1"/>
  <c r="G343" i="1"/>
  <c r="I343" i="1"/>
  <c r="A344" i="1"/>
  <c r="F344" i="1"/>
  <c r="G344" i="1"/>
  <c r="I344" i="1"/>
  <c r="A345" i="1"/>
  <c r="F345" i="1"/>
  <c r="G345" i="1"/>
  <c r="I345" i="1"/>
  <c r="A346" i="1"/>
  <c r="F346" i="1"/>
  <c r="G346" i="1"/>
  <c r="I346" i="1"/>
  <c r="A347" i="1"/>
  <c r="F347" i="1"/>
  <c r="G347" i="1"/>
  <c r="I347" i="1"/>
  <c r="A348" i="1"/>
  <c r="F348" i="1"/>
  <c r="G348" i="1"/>
  <c r="I348" i="1"/>
  <c r="A349" i="1"/>
  <c r="F349" i="1"/>
  <c r="G349" i="1"/>
  <c r="I349" i="1"/>
  <c r="A350" i="1"/>
  <c r="F350" i="1"/>
  <c r="G350" i="1"/>
  <c r="I350" i="1"/>
  <c r="A351" i="1"/>
  <c r="F351" i="1"/>
  <c r="G351" i="1"/>
  <c r="I351" i="1"/>
  <c r="A352" i="1"/>
  <c r="F352" i="1"/>
  <c r="G352" i="1"/>
  <c r="I352" i="1"/>
  <c r="A353" i="1"/>
  <c r="F353" i="1"/>
  <c r="G353" i="1"/>
  <c r="I353" i="1"/>
  <c r="A354" i="1"/>
  <c r="F354" i="1"/>
  <c r="G354" i="1"/>
  <c r="I354" i="1"/>
  <c r="A355" i="1"/>
  <c r="F355" i="1"/>
  <c r="G355" i="1"/>
  <c r="I355" i="1"/>
  <c r="A356" i="1"/>
  <c r="F356" i="1"/>
  <c r="G356" i="1"/>
  <c r="I356" i="1"/>
  <c r="A357" i="1"/>
  <c r="F357" i="1"/>
  <c r="G357" i="1"/>
  <c r="I357" i="1"/>
  <c r="A358" i="1"/>
  <c r="F358" i="1"/>
  <c r="G358" i="1"/>
  <c r="I358" i="1"/>
  <c r="A359" i="1"/>
  <c r="F359" i="1"/>
  <c r="G359" i="1"/>
  <c r="I359" i="1"/>
  <c r="A360" i="1"/>
  <c r="F360" i="1"/>
  <c r="G360" i="1"/>
  <c r="I360" i="1"/>
  <c r="A361" i="1"/>
  <c r="F361" i="1"/>
  <c r="G361" i="1"/>
  <c r="I361" i="1"/>
  <c r="A362" i="1"/>
  <c r="F362" i="1"/>
  <c r="G362" i="1"/>
  <c r="I362" i="1"/>
  <c r="A363" i="1"/>
  <c r="F363" i="1"/>
  <c r="G363" i="1"/>
  <c r="I363" i="1"/>
  <c r="A364" i="1"/>
  <c r="F364" i="1"/>
  <c r="G364" i="1"/>
  <c r="I364" i="1"/>
  <c r="A365" i="1"/>
  <c r="F365" i="1"/>
  <c r="G365" i="1"/>
  <c r="I365" i="1"/>
  <c r="A366" i="1"/>
  <c r="F366" i="1"/>
  <c r="G366" i="1"/>
  <c r="I366" i="1"/>
  <c r="A367" i="1"/>
  <c r="F367" i="1"/>
  <c r="G367" i="1"/>
  <c r="I367" i="1"/>
  <c r="A368" i="1"/>
  <c r="F368" i="1"/>
  <c r="G368" i="1"/>
  <c r="I368" i="1"/>
  <c r="A369" i="1"/>
  <c r="F369" i="1"/>
  <c r="G369" i="1"/>
  <c r="I369" i="1"/>
  <c r="A370" i="1"/>
  <c r="F370" i="1"/>
  <c r="G370" i="1"/>
  <c r="I370" i="1"/>
  <c r="A371" i="1"/>
  <c r="F371" i="1"/>
  <c r="G371" i="1"/>
  <c r="I371" i="1"/>
  <c r="A372" i="1"/>
  <c r="F372" i="1"/>
  <c r="G372" i="1"/>
  <c r="I372" i="1"/>
  <c r="A373" i="1"/>
  <c r="F373" i="1"/>
  <c r="G373" i="1"/>
  <c r="I373" i="1"/>
  <c r="A374" i="1"/>
  <c r="F374" i="1"/>
  <c r="G374" i="1"/>
  <c r="I374" i="1"/>
  <c r="A375" i="1"/>
  <c r="F375" i="1"/>
  <c r="G375" i="1"/>
  <c r="I375" i="1"/>
  <c r="A376" i="1"/>
  <c r="F376" i="1"/>
  <c r="G376" i="1"/>
  <c r="I376" i="1"/>
  <c r="A377" i="1"/>
  <c r="F377" i="1"/>
  <c r="G377" i="1"/>
  <c r="I377" i="1"/>
  <c r="A378" i="1"/>
  <c r="F378" i="1"/>
  <c r="G378" i="1"/>
  <c r="I378" i="1"/>
  <c r="A379" i="1"/>
  <c r="F379" i="1"/>
  <c r="G379" i="1"/>
  <c r="I379" i="1"/>
  <c r="A380" i="1"/>
  <c r="F380" i="1"/>
  <c r="G380" i="1"/>
  <c r="I380" i="1"/>
  <c r="A381" i="1"/>
  <c r="F381" i="1"/>
  <c r="G381" i="1"/>
  <c r="I381" i="1"/>
  <c r="A382" i="1"/>
  <c r="F382" i="1"/>
  <c r="G382" i="1"/>
  <c r="I382" i="1"/>
  <c r="A383" i="1"/>
  <c r="F383" i="1"/>
  <c r="G383" i="1"/>
  <c r="I383" i="1"/>
  <c r="A384" i="1"/>
  <c r="H384" i="1"/>
  <c r="I384" i="1"/>
  <c r="J384" i="1"/>
  <c r="A385" i="1"/>
  <c r="F385" i="1"/>
  <c r="G385" i="1"/>
  <c r="I385" i="1"/>
  <c r="A386" i="1"/>
  <c r="F386" i="1"/>
  <c r="G386" i="1"/>
  <c r="I386" i="1"/>
  <c r="A387" i="1"/>
  <c r="F387" i="1"/>
  <c r="G387" i="1"/>
  <c r="I387" i="1"/>
  <c r="A388" i="1"/>
  <c r="F388" i="1"/>
  <c r="G388" i="1"/>
  <c r="I388" i="1"/>
  <c r="A389" i="1"/>
  <c r="F389" i="1"/>
  <c r="G389" i="1"/>
  <c r="I389" i="1"/>
  <c r="A390" i="1"/>
  <c r="F390" i="1"/>
  <c r="G390" i="1"/>
  <c r="I390" i="1"/>
  <c r="A391" i="1"/>
  <c r="F391" i="1"/>
  <c r="G391" i="1"/>
  <c r="I391" i="1"/>
  <c r="A392" i="1"/>
  <c r="F392" i="1"/>
  <c r="G392" i="1"/>
  <c r="I392" i="1"/>
  <c r="A393" i="1"/>
  <c r="F393" i="1"/>
  <c r="G393" i="1"/>
  <c r="I393" i="1"/>
  <c r="A394" i="1"/>
  <c r="F394" i="1"/>
  <c r="G394" i="1"/>
  <c r="I394" i="1"/>
  <c r="A395" i="1"/>
  <c r="F395" i="1"/>
  <c r="G395" i="1"/>
  <c r="I395" i="1"/>
  <c r="A396" i="1"/>
  <c r="F396" i="1"/>
  <c r="G396" i="1"/>
  <c r="I396" i="1"/>
  <c r="A397" i="1"/>
  <c r="F397" i="1"/>
  <c r="G397" i="1"/>
  <c r="I397" i="1"/>
  <c r="A398" i="1"/>
  <c r="F398" i="1"/>
  <c r="G398" i="1"/>
  <c r="I398" i="1"/>
  <c r="A399" i="1"/>
  <c r="F399" i="1"/>
  <c r="G399" i="1"/>
  <c r="I399" i="1"/>
  <c r="A400" i="1"/>
  <c r="F400" i="1"/>
  <c r="G400" i="1"/>
  <c r="I400" i="1"/>
  <c r="A401" i="1"/>
  <c r="F401" i="1"/>
  <c r="G401" i="1"/>
  <c r="I401" i="1"/>
  <c r="A402" i="1"/>
  <c r="F402" i="1"/>
  <c r="G402" i="1"/>
  <c r="I402" i="1"/>
  <c r="A403" i="1"/>
  <c r="F403" i="1"/>
  <c r="G403" i="1"/>
  <c r="I403" i="1"/>
  <c r="A404" i="1"/>
  <c r="F404" i="1"/>
  <c r="G404" i="1"/>
  <c r="I404" i="1"/>
  <c r="A405" i="1"/>
  <c r="F405" i="1"/>
  <c r="G405" i="1"/>
  <c r="I405" i="1"/>
  <c r="A406" i="1"/>
  <c r="F406" i="1"/>
  <c r="G406" i="1"/>
  <c r="I406" i="1"/>
  <c r="A407" i="1"/>
  <c r="F407" i="1"/>
  <c r="G407" i="1"/>
  <c r="I407" i="1"/>
  <c r="A408" i="1"/>
  <c r="F408" i="1"/>
  <c r="G408" i="1"/>
  <c r="I408" i="1"/>
  <c r="A409" i="1"/>
  <c r="F409" i="1"/>
  <c r="G409" i="1"/>
  <c r="I409" i="1"/>
  <c r="A410" i="1"/>
  <c r="F410" i="1"/>
  <c r="G410" i="1"/>
  <c r="I410" i="1"/>
  <c r="A411" i="1"/>
  <c r="F411" i="1"/>
  <c r="G411" i="1"/>
  <c r="I411" i="1"/>
  <c r="A412" i="1"/>
  <c r="F412" i="1"/>
  <c r="G412" i="1"/>
  <c r="I412" i="1"/>
  <c r="A413" i="1"/>
  <c r="F413" i="1"/>
  <c r="G413" i="1"/>
  <c r="I413" i="1"/>
  <c r="A414" i="1"/>
  <c r="F414" i="1"/>
  <c r="G414" i="1"/>
  <c r="I414" i="1"/>
  <c r="A415" i="1"/>
  <c r="F415" i="1"/>
  <c r="G415" i="1"/>
  <c r="I415" i="1"/>
  <c r="A416" i="1"/>
  <c r="F416" i="1"/>
  <c r="G416" i="1"/>
  <c r="I416" i="1"/>
  <c r="A417" i="1"/>
  <c r="F417" i="1"/>
  <c r="G417" i="1"/>
  <c r="I417" i="1"/>
  <c r="A418" i="1"/>
  <c r="F418" i="1"/>
  <c r="G418" i="1"/>
  <c r="I418" i="1"/>
  <c r="A419" i="1"/>
  <c r="F419" i="1"/>
  <c r="G419" i="1"/>
  <c r="I419" i="1"/>
  <c r="A420" i="1"/>
  <c r="F420" i="1"/>
  <c r="G420" i="1"/>
  <c r="I420" i="1"/>
  <c r="A421" i="1"/>
  <c r="F421" i="1"/>
  <c r="G421" i="1"/>
  <c r="I421" i="1"/>
  <c r="A422" i="1"/>
  <c r="F422" i="1"/>
  <c r="G422" i="1"/>
  <c r="I422" i="1"/>
  <c r="A423" i="1"/>
  <c r="F423" i="1"/>
  <c r="G423" i="1"/>
  <c r="I423" i="1"/>
  <c r="A424" i="1"/>
  <c r="F424" i="1"/>
  <c r="G424" i="1"/>
  <c r="I424" i="1"/>
  <c r="A425" i="1"/>
  <c r="F425" i="1"/>
  <c r="G425" i="1"/>
  <c r="I425" i="1"/>
  <c r="A426" i="1"/>
  <c r="F426" i="1"/>
  <c r="G426" i="1"/>
  <c r="I426" i="1"/>
  <c r="A427" i="1"/>
  <c r="F427" i="1"/>
  <c r="G427" i="1"/>
  <c r="I427" i="1"/>
  <c r="A428" i="1"/>
  <c r="F428" i="1"/>
  <c r="G428" i="1"/>
  <c r="I428" i="1"/>
  <c r="A429" i="1"/>
  <c r="F429" i="1"/>
  <c r="G429" i="1"/>
  <c r="I429" i="1"/>
  <c r="A430" i="1"/>
  <c r="F430" i="1"/>
  <c r="G430" i="1"/>
  <c r="I430" i="1"/>
  <c r="A431" i="1"/>
  <c r="F431" i="1"/>
  <c r="G431" i="1"/>
  <c r="I431" i="1"/>
  <c r="A432" i="1"/>
  <c r="F432" i="1"/>
  <c r="G432" i="1"/>
  <c r="I432" i="1"/>
  <c r="A433" i="1"/>
  <c r="F433" i="1"/>
  <c r="G433" i="1"/>
  <c r="I433" i="1"/>
  <c r="A434" i="1"/>
  <c r="F434" i="1"/>
  <c r="G434" i="1"/>
  <c r="I434" i="1"/>
  <c r="A435" i="1"/>
  <c r="F435" i="1"/>
  <c r="G435" i="1"/>
  <c r="I435" i="1"/>
  <c r="A436" i="1"/>
  <c r="F436" i="1"/>
  <c r="G436" i="1"/>
  <c r="I436" i="1"/>
  <c r="A437" i="1"/>
  <c r="F437" i="1"/>
  <c r="G437" i="1"/>
  <c r="I437" i="1"/>
  <c r="A438" i="1"/>
  <c r="F438" i="1"/>
  <c r="G438" i="1"/>
  <c r="I438" i="1"/>
  <c r="A439" i="1"/>
  <c r="F439" i="1"/>
  <c r="G439" i="1"/>
  <c r="I439" i="1"/>
  <c r="A440" i="1"/>
  <c r="F440" i="1"/>
  <c r="G440" i="1"/>
  <c r="I440" i="1"/>
  <c r="A441" i="1"/>
  <c r="F441" i="1"/>
  <c r="G441" i="1"/>
  <c r="I441" i="1"/>
  <c r="A442" i="1"/>
  <c r="F442" i="1"/>
  <c r="G442" i="1"/>
  <c r="I442" i="1"/>
  <c r="A443" i="1"/>
  <c r="F443" i="1"/>
  <c r="G443" i="1"/>
  <c r="I443" i="1"/>
  <c r="A444" i="1"/>
  <c r="F444" i="1"/>
  <c r="G444" i="1"/>
  <c r="I444" i="1"/>
  <c r="A445" i="1"/>
  <c r="F445" i="1"/>
  <c r="G445" i="1"/>
  <c r="I445" i="1"/>
  <c r="A446" i="1"/>
  <c r="F446" i="1"/>
  <c r="G446" i="1"/>
  <c r="I446" i="1"/>
  <c r="A447" i="1"/>
  <c r="F447" i="1"/>
  <c r="G447" i="1"/>
  <c r="I447" i="1"/>
  <c r="A448" i="1"/>
  <c r="F448" i="1"/>
  <c r="G448" i="1"/>
  <c r="I448" i="1"/>
  <c r="A449" i="1"/>
  <c r="F449" i="1"/>
  <c r="G449" i="1"/>
  <c r="I449" i="1"/>
  <c r="A450" i="1"/>
  <c r="F450" i="1"/>
  <c r="G450" i="1"/>
  <c r="I450" i="1"/>
  <c r="A451" i="1"/>
  <c r="F451" i="1"/>
  <c r="G451" i="1"/>
  <c r="I451" i="1"/>
  <c r="A452" i="1"/>
  <c r="F452" i="1"/>
  <c r="G452" i="1"/>
  <c r="I452" i="1"/>
  <c r="A453" i="1"/>
  <c r="F453" i="1"/>
  <c r="G453" i="1"/>
  <c r="I453" i="1"/>
  <c r="A454" i="1"/>
  <c r="F454" i="1"/>
  <c r="G454" i="1"/>
  <c r="I454" i="1"/>
  <c r="A455" i="1"/>
  <c r="F455" i="1"/>
  <c r="G455" i="1"/>
  <c r="I455" i="1"/>
  <c r="A456" i="1"/>
  <c r="F456" i="1"/>
  <c r="G456" i="1"/>
  <c r="I456" i="1"/>
  <c r="A457" i="1"/>
  <c r="F457" i="1"/>
  <c r="G457" i="1"/>
  <c r="I457" i="1"/>
  <c r="A458" i="1"/>
  <c r="F458" i="1"/>
  <c r="G458" i="1"/>
  <c r="I458" i="1"/>
  <c r="A459" i="1"/>
  <c r="F459" i="1"/>
  <c r="G459" i="1"/>
  <c r="I459" i="1"/>
  <c r="A460" i="1"/>
  <c r="F460" i="1"/>
  <c r="G460" i="1"/>
  <c r="I460" i="1"/>
  <c r="A461" i="1"/>
  <c r="F461" i="1"/>
  <c r="G461" i="1"/>
  <c r="I461" i="1"/>
  <c r="A462" i="1"/>
  <c r="F462" i="1"/>
  <c r="G462" i="1"/>
  <c r="I462" i="1"/>
  <c r="A463" i="1"/>
  <c r="F463" i="1"/>
  <c r="G463" i="1"/>
  <c r="I463" i="1"/>
  <c r="A464" i="1"/>
  <c r="F464" i="1"/>
  <c r="G464" i="1"/>
  <c r="I464" i="1"/>
  <c r="A465" i="1"/>
  <c r="F465" i="1"/>
  <c r="G465" i="1"/>
  <c r="I465" i="1"/>
  <c r="A466" i="1"/>
  <c r="F466" i="1"/>
  <c r="G466" i="1"/>
  <c r="I466" i="1"/>
  <c r="A467" i="1"/>
  <c r="F467" i="1"/>
  <c r="G467" i="1"/>
  <c r="I467" i="1"/>
  <c r="A468" i="1"/>
  <c r="F468" i="1"/>
  <c r="G468" i="1"/>
  <c r="I468" i="1"/>
  <c r="A469" i="1"/>
  <c r="F469" i="1"/>
  <c r="G469" i="1"/>
  <c r="I469" i="1"/>
  <c r="A470" i="1"/>
  <c r="F470" i="1"/>
  <c r="G470" i="1"/>
  <c r="I470" i="1"/>
  <c r="A471" i="1"/>
  <c r="F471" i="1"/>
  <c r="G471" i="1"/>
  <c r="I471" i="1"/>
  <c r="A472" i="1"/>
  <c r="F472" i="1"/>
  <c r="G472" i="1"/>
  <c r="I472" i="1"/>
  <c r="A473" i="1"/>
  <c r="F473" i="1"/>
  <c r="G473" i="1"/>
  <c r="I473" i="1"/>
  <c r="A474" i="1"/>
  <c r="F474" i="1"/>
  <c r="G474" i="1"/>
  <c r="I474" i="1"/>
  <c r="A475" i="1"/>
  <c r="F475" i="1"/>
  <c r="G475" i="1"/>
  <c r="I475" i="1"/>
  <c r="A476" i="1"/>
  <c r="F476" i="1"/>
  <c r="G476" i="1"/>
  <c r="I476" i="1"/>
  <c r="A477" i="1"/>
  <c r="F477" i="1"/>
  <c r="G477" i="1"/>
  <c r="I477" i="1"/>
  <c r="A478" i="1"/>
  <c r="F478" i="1"/>
  <c r="G478" i="1"/>
  <c r="I478" i="1"/>
  <c r="A479" i="1"/>
  <c r="F479" i="1"/>
  <c r="G479" i="1"/>
  <c r="I479" i="1"/>
  <c r="A480" i="1"/>
  <c r="F480" i="1"/>
  <c r="G480" i="1"/>
  <c r="I480" i="1"/>
  <c r="A481" i="1"/>
  <c r="F481" i="1"/>
  <c r="G481" i="1"/>
  <c r="I481" i="1"/>
  <c r="A482" i="1"/>
  <c r="F482" i="1"/>
  <c r="G482" i="1"/>
  <c r="I482" i="1"/>
  <c r="A483" i="1"/>
  <c r="F483" i="1"/>
  <c r="G483" i="1"/>
  <c r="I483" i="1"/>
  <c r="A484" i="1"/>
  <c r="F484" i="1"/>
  <c r="G484" i="1"/>
  <c r="I484" i="1"/>
  <c r="A485" i="1"/>
  <c r="F485" i="1"/>
  <c r="G485" i="1"/>
  <c r="I485" i="1"/>
  <c r="A486" i="1"/>
  <c r="F486" i="1"/>
  <c r="G486" i="1"/>
  <c r="I486" i="1"/>
  <c r="A487" i="1"/>
  <c r="F487" i="1"/>
  <c r="G487" i="1"/>
  <c r="I487" i="1"/>
  <c r="A488" i="1"/>
  <c r="F488" i="1"/>
  <c r="G488" i="1"/>
  <c r="I488" i="1"/>
  <c r="A489" i="1"/>
  <c r="F489" i="1"/>
  <c r="G489" i="1"/>
  <c r="I489" i="1"/>
  <c r="A490" i="1"/>
  <c r="F490" i="1"/>
  <c r="G490" i="1"/>
  <c r="I490" i="1"/>
  <c r="A491" i="1"/>
  <c r="F491" i="1"/>
  <c r="G491" i="1"/>
  <c r="I491" i="1"/>
  <c r="A492" i="1"/>
  <c r="F492" i="1"/>
  <c r="G492" i="1"/>
  <c r="I492" i="1"/>
  <c r="A493" i="1"/>
  <c r="F493" i="1"/>
  <c r="G493" i="1"/>
  <c r="I493" i="1"/>
  <c r="A494" i="1"/>
  <c r="F494" i="1"/>
  <c r="G494" i="1"/>
  <c r="I494" i="1"/>
  <c r="A495" i="1"/>
  <c r="F495" i="1"/>
  <c r="G495" i="1"/>
  <c r="I495" i="1"/>
  <c r="A496" i="1"/>
  <c r="F496" i="1"/>
  <c r="G496" i="1"/>
  <c r="I496" i="1"/>
  <c r="A497" i="1"/>
  <c r="F497" i="1"/>
  <c r="G497" i="1"/>
  <c r="I497" i="1"/>
  <c r="A498" i="1"/>
  <c r="F498" i="1"/>
  <c r="G498" i="1"/>
  <c r="I498" i="1"/>
  <c r="A499" i="1"/>
  <c r="F499" i="1"/>
  <c r="G499" i="1"/>
  <c r="I499" i="1"/>
  <c r="A500" i="1"/>
  <c r="F500" i="1"/>
  <c r="G500" i="1"/>
  <c r="I500" i="1"/>
  <c r="A501" i="1"/>
  <c r="F501" i="1"/>
  <c r="G501" i="1"/>
  <c r="I501" i="1"/>
  <c r="A502" i="1"/>
  <c r="F502" i="1"/>
  <c r="G502" i="1"/>
  <c r="I502" i="1"/>
  <c r="A503" i="1"/>
  <c r="F503" i="1"/>
  <c r="G503" i="1"/>
  <c r="I503" i="1"/>
  <c r="A504" i="1"/>
  <c r="F504" i="1"/>
  <c r="G504" i="1"/>
  <c r="I504" i="1"/>
  <c r="A505" i="1"/>
  <c r="F505" i="1"/>
  <c r="G505" i="1"/>
  <c r="I505" i="1"/>
  <c r="A506" i="1"/>
  <c r="F506" i="1"/>
  <c r="G506" i="1"/>
  <c r="I506" i="1"/>
  <c r="A507" i="1"/>
  <c r="F507" i="1"/>
  <c r="G507" i="1"/>
  <c r="I507" i="1"/>
  <c r="A508" i="1"/>
  <c r="F508" i="1"/>
  <c r="G508" i="1"/>
  <c r="I508" i="1"/>
  <c r="A509" i="1"/>
  <c r="F509" i="1"/>
  <c r="G509" i="1"/>
  <c r="I509" i="1"/>
  <c r="A510" i="1"/>
  <c r="F510" i="1"/>
  <c r="G510" i="1"/>
  <c r="I510" i="1"/>
  <c r="A511" i="1"/>
  <c r="F511" i="1"/>
  <c r="G511" i="1"/>
  <c r="I511" i="1"/>
  <c r="A512" i="1"/>
  <c r="F512" i="1"/>
  <c r="G512" i="1"/>
  <c r="I512" i="1"/>
  <c r="A513" i="1"/>
  <c r="F513" i="1"/>
  <c r="G513" i="1"/>
  <c r="I513" i="1"/>
  <c r="A514" i="1"/>
  <c r="F514" i="1"/>
  <c r="G514" i="1"/>
  <c r="I514" i="1"/>
  <c r="A515" i="1"/>
  <c r="F515" i="1"/>
  <c r="G515" i="1"/>
  <c r="I515" i="1"/>
  <c r="A516" i="1"/>
  <c r="F516" i="1"/>
  <c r="G516" i="1"/>
  <c r="I516" i="1"/>
  <c r="A517" i="1"/>
  <c r="F517" i="1"/>
  <c r="G517" i="1"/>
  <c r="I517" i="1"/>
  <c r="A518" i="1"/>
  <c r="F518" i="1"/>
  <c r="G518" i="1"/>
  <c r="I518" i="1"/>
  <c r="A519" i="1"/>
  <c r="F519" i="1"/>
  <c r="G519" i="1"/>
  <c r="I519" i="1"/>
  <c r="A520" i="1"/>
  <c r="F520" i="1"/>
  <c r="G520" i="1"/>
  <c r="I520" i="1"/>
  <c r="A521" i="1"/>
  <c r="F521" i="1"/>
  <c r="G521" i="1"/>
  <c r="I521" i="1"/>
  <c r="A522" i="1"/>
  <c r="F522" i="1"/>
  <c r="G522" i="1"/>
  <c r="I522" i="1"/>
  <c r="A523" i="1"/>
  <c r="F523" i="1"/>
  <c r="G523" i="1"/>
  <c r="I523" i="1"/>
  <c r="A524" i="1"/>
  <c r="F524" i="1"/>
  <c r="G524" i="1"/>
  <c r="I524" i="1"/>
  <c r="A525" i="1"/>
  <c r="F525" i="1"/>
  <c r="G525" i="1"/>
  <c r="I525" i="1"/>
  <c r="A526" i="1"/>
  <c r="F526" i="1"/>
  <c r="G526" i="1"/>
  <c r="I526" i="1"/>
  <c r="A527" i="1"/>
  <c r="F527" i="1"/>
  <c r="G527" i="1"/>
  <c r="I527" i="1"/>
  <c r="A528" i="1"/>
  <c r="F528" i="1"/>
  <c r="G528" i="1"/>
  <c r="I528" i="1"/>
  <c r="A529" i="1"/>
  <c r="F529" i="1"/>
  <c r="G529" i="1"/>
  <c r="I529" i="1"/>
  <c r="A530" i="1"/>
  <c r="F530" i="1"/>
  <c r="G530" i="1"/>
  <c r="I530" i="1"/>
  <c r="A531" i="1"/>
  <c r="F531" i="1"/>
  <c r="G531" i="1"/>
  <c r="I531" i="1"/>
  <c r="A532" i="1"/>
  <c r="F532" i="1"/>
  <c r="G532" i="1"/>
  <c r="I532" i="1"/>
  <c r="A533" i="1"/>
  <c r="F533" i="1"/>
  <c r="G533" i="1"/>
  <c r="I533" i="1"/>
  <c r="A534" i="1"/>
  <c r="F534" i="1"/>
  <c r="G534" i="1"/>
  <c r="I534" i="1"/>
  <c r="A535" i="1"/>
  <c r="F535" i="1"/>
  <c r="G535" i="1"/>
  <c r="I535" i="1"/>
  <c r="A536" i="1"/>
  <c r="F536" i="1"/>
  <c r="G536" i="1"/>
  <c r="I536" i="1"/>
  <c r="A537" i="1"/>
  <c r="F537" i="1"/>
  <c r="G537" i="1"/>
  <c r="I537" i="1"/>
  <c r="A538" i="1"/>
  <c r="F538" i="1"/>
  <c r="G538" i="1"/>
  <c r="I538" i="1"/>
  <c r="A539" i="1"/>
  <c r="F539" i="1"/>
  <c r="G539" i="1"/>
  <c r="I539" i="1"/>
  <c r="A540" i="1"/>
  <c r="F540" i="1"/>
  <c r="G540" i="1"/>
  <c r="I540" i="1"/>
  <c r="A541" i="1"/>
  <c r="F541" i="1"/>
  <c r="G541" i="1"/>
  <c r="I541" i="1"/>
  <c r="A542" i="1"/>
  <c r="F542" i="1"/>
  <c r="G542" i="1"/>
  <c r="I542" i="1"/>
  <c r="A543" i="1"/>
  <c r="F543" i="1"/>
  <c r="G543" i="1"/>
  <c r="I543" i="1"/>
  <c r="A544" i="1"/>
  <c r="F544" i="1"/>
  <c r="G544" i="1"/>
  <c r="I544" i="1"/>
  <c r="A545" i="1"/>
  <c r="F545" i="1"/>
  <c r="G545" i="1"/>
  <c r="I545" i="1"/>
  <c r="A546" i="1"/>
  <c r="F546" i="1"/>
  <c r="G546" i="1"/>
  <c r="I546" i="1"/>
  <c r="A547" i="1"/>
  <c r="F547" i="1"/>
  <c r="G547" i="1"/>
  <c r="I547" i="1"/>
  <c r="A548" i="1"/>
  <c r="F548" i="1"/>
  <c r="G548" i="1"/>
  <c r="I548" i="1"/>
  <c r="A549" i="1"/>
  <c r="F549" i="1"/>
  <c r="G549" i="1"/>
  <c r="I549" i="1"/>
  <c r="A550" i="1"/>
  <c r="F550" i="1"/>
  <c r="G550" i="1"/>
  <c r="I550" i="1"/>
  <c r="A551" i="1"/>
  <c r="F551" i="1"/>
  <c r="G551" i="1"/>
  <c r="I551" i="1"/>
  <c r="A552" i="1"/>
  <c r="F552" i="1"/>
  <c r="G552" i="1"/>
  <c r="I552" i="1"/>
  <c r="A553" i="1"/>
  <c r="F553" i="1"/>
  <c r="G553" i="1"/>
  <c r="I553" i="1"/>
  <c r="A554" i="1"/>
  <c r="F554" i="1"/>
  <c r="G554" i="1"/>
  <c r="I554" i="1"/>
  <c r="A555" i="1"/>
  <c r="F555" i="1"/>
  <c r="G555" i="1"/>
  <c r="I555" i="1"/>
  <c r="A556" i="1"/>
  <c r="F556" i="1"/>
  <c r="G556" i="1"/>
  <c r="I556" i="1"/>
  <c r="A557" i="1"/>
  <c r="F557" i="1"/>
  <c r="G557" i="1"/>
  <c r="I557" i="1"/>
  <c r="A558" i="1"/>
  <c r="F558" i="1"/>
  <c r="G558" i="1"/>
  <c r="I558" i="1"/>
  <c r="A559" i="1"/>
  <c r="F559" i="1"/>
  <c r="G559" i="1"/>
  <c r="I559" i="1"/>
  <c r="A560" i="1"/>
  <c r="F560" i="1"/>
  <c r="G560" i="1"/>
  <c r="I560" i="1"/>
  <c r="A561" i="1"/>
  <c r="F561" i="1"/>
  <c r="G561" i="1"/>
  <c r="I561" i="1"/>
  <c r="A562" i="1"/>
  <c r="F562" i="1"/>
  <c r="G562" i="1"/>
  <c r="I562" i="1"/>
  <c r="A563" i="1"/>
  <c r="F563" i="1"/>
  <c r="G563" i="1"/>
  <c r="I563" i="1"/>
  <c r="A564" i="1"/>
  <c r="F564" i="1"/>
  <c r="G564" i="1"/>
  <c r="I564" i="1"/>
  <c r="A565" i="1"/>
  <c r="F565" i="1"/>
  <c r="G565" i="1"/>
  <c r="I565" i="1"/>
  <c r="A566" i="1"/>
  <c r="F566" i="1"/>
  <c r="G566" i="1"/>
  <c r="I566" i="1"/>
  <c r="A567" i="1"/>
  <c r="F567" i="1"/>
  <c r="G567" i="1"/>
  <c r="I567" i="1"/>
  <c r="A568" i="1"/>
  <c r="F568" i="1"/>
  <c r="G568" i="1"/>
  <c r="I568" i="1"/>
  <c r="A569" i="1"/>
  <c r="F569" i="1"/>
  <c r="G569" i="1"/>
  <c r="I569" i="1"/>
  <c r="A570" i="1"/>
  <c r="F570" i="1"/>
  <c r="G570" i="1"/>
  <c r="I570" i="1"/>
  <c r="A571" i="1"/>
  <c r="F571" i="1"/>
  <c r="G571" i="1"/>
  <c r="I571" i="1"/>
  <c r="A572" i="1"/>
  <c r="F572" i="1"/>
  <c r="G572" i="1"/>
  <c r="I572" i="1"/>
  <c r="A573" i="1"/>
  <c r="F573" i="1"/>
  <c r="G573" i="1"/>
  <c r="I573" i="1"/>
  <c r="A574" i="1"/>
  <c r="F574" i="1"/>
  <c r="G574" i="1"/>
  <c r="I574" i="1"/>
  <c r="A575" i="1"/>
  <c r="F575" i="1"/>
  <c r="G575" i="1"/>
  <c r="I575" i="1"/>
  <c r="A576" i="1"/>
  <c r="F576" i="1"/>
  <c r="G576" i="1"/>
  <c r="I576" i="1"/>
  <c r="A577" i="1"/>
  <c r="F577" i="1"/>
  <c r="G577" i="1"/>
  <c r="I577" i="1"/>
  <c r="A578" i="1"/>
  <c r="F578" i="1"/>
  <c r="G578" i="1"/>
  <c r="I578" i="1"/>
  <c r="A579" i="1"/>
  <c r="F579" i="1"/>
  <c r="G579" i="1"/>
  <c r="I579" i="1"/>
  <c r="A580" i="1"/>
  <c r="F580" i="1"/>
  <c r="G580" i="1"/>
  <c r="I580" i="1"/>
  <c r="A581" i="1"/>
  <c r="F581" i="1"/>
  <c r="G581" i="1"/>
  <c r="I581" i="1"/>
  <c r="A582" i="1"/>
  <c r="F582" i="1"/>
  <c r="G582" i="1"/>
  <c r="I582" i="1"/>
  <c r="A583" i="1"/>
  <c r="F583" i="1"/>
  <c r="G583" i="1"/>
  <c r="I583" i="1"/>
  <c r="A584" i="1"/>
  <c r="F584" i="1"/>
  <c r="G584" i="1"/>
  <c r="I584" i="1"/>
  <c r="A585" i="1"/>
  <c r="F585" i="1"/>
  <c r="G585" i="1"/>
  <c r="I585" i="1"/>
  <c r="A586" i="1"/>
  <c r="F586" i="1"/>
  <c r="G586" i="1"/>
  <c r="I586" i="1"/>
  <c r="A587" i="1"/>
  <c r="F587" i="1"/>
  <c r="G587" i="1"/>
  <c r="I587" i="1"/>
  <c r="A588" i="1"/>
  <c r="F588" i="1"/>
  <c r="G588" i="1"/>
  <c r="I588" i="1"/>
  <c r="A589" i="1"/>
  <c r="F589" i="1"/>
  <c r="G589" i="1"/>
  <c r="I589" i="1"/>
  <c r="A590" i="1"/>
  <c r="F590" i="1"/>
  <c r="G590" i="1"/>
  <c r="I590" i="1"/>
  <c r="A591" i="1"/>
  <c r="F591" i="1"/>
  <c r="G591" i="1"/>
  <c r="I591" i="1"/>
  <c r="A592" i="1"/>
  <c r="F592" i="1"/>
  <c r="G592" i="1"/>
  <c r="I592" i="1"/>
  <c r="A593" i="1"/>
  <c r="F593" i="1"/>
  <c r="G593" i="1"/>
  <c r="I593" i="1"/>
  <c r="A594" i="1"/>
  <c r="F594" i="1"/>
  <c r="G594" i="1"/>
  <c r="I594" i="1"/>
  <c r="A595" i="1"/>
  <c r="F595" i="1"/>
  <c r="G595" i="1"/>
  <c r="I595" i="1"/>
  <c r="A596" i="1"/>
  <c r="F596" i="1"/>
  <c r="G596" i="1"/>
  <c r="I596" i="1"/>
  <c r="A597" i="1"/>
  <c r="F597" i="1"/>
  <c r="G597" i="1"/>
  <c r="I597" i="1"/>
  <c r="A598" i="1"/>
  <c r="F598" i="1"/>
  <c r="G598" i="1"/>
  <c r="I598" i="1"/>
  <c r="A599" i="1"/>
  <c r="F599" i="1"/>
  <c r="G599" i="1"/>
  <c r="I599" i="1"/>
  <c r="A600" i="1"/>
  <c r="F600" i="1"/>
  <c r="G600" i="1"/>
  <c r="I600" i="1"/>
  <c r="A601" i="1"/>
  <c r="H601" i="1"/>
  <c r="I601" i="1"/>
  <c r="J601" i="1"/>
  <c r="A602" i="1"/>
  <c r="F602" i="1"/>
  <c r="G602" i="1"/>
  <c r="I602" i="1"/>
  <c r="A603" i="1"/>
  <c r="F603" i="1"/>
  <c r="G603" i="1"/>
  <c r="I603" i="1"/>
  <c r="A604" i="1"/>
  <c r="F604" i="1"/>
  <c r="G604" i="1"/>
  <c r="I604" i="1"/>
  <c r="A605" i="1"/>
  <c r="F605" i="1"/>
  <c r="G605" i="1"/>
  <c r="I605" i="1"/>
  <c r="A606" i="1"/>
  <c r="F606" i="1"/>
  <c r="G606" i="1"/>
  <c r="I606" i="1"/>
  <c r="A607" i="1"/>
  <c r="F607" i="1"/>
  <c r="G607" i="1"/>
  <c r="I607" i="1"/>
  <c r="A608" i="1"/>
  <c r="F608" i="1"/>
  <c r="G608" i="1"/>
  <c r="I608" i="1"/>
  <c r="A609" i="1"/>
  <c r="F609" i="1"/>
  <c r="G609" i="1"/>
  <c r="I609" i="1"/>
  <c r="A610" i="1"/>
  <c r="F610" i="1"/>
  <c r="G610" i="1"/>
  <c r="I610" i="1"/>
  <c r="A611" i="1"/>
  <c r="F611" i="1"/>
  <c r="G611" i="1"/>
  <c r="I611" i="1"/>
  <c r="A612" i="1"/>
  <c r="F612" i="1"/>
  <c r="G612" i="1"/>
  <c r="I612" i="1"/>
  <c r="A613" i="1"/>
  <c r="F613" i="1"/>
  <c r="G613" i="1"/>
  <c r="I613" i="1"/>
  <c r="A614" i="1"/>
  <c r="F614" i="1"/>
  <c r="G614" i="1"/>
  <c r="I614" i="1"/>
  <c r="A615" i="1"/>
  <c r="F615" i="1"/>
  <c r="G615" i="1"/>
  <c r="I615" i="1"/>
  <c r="A616" i="1"/>
  <c r="F616" i="1"/>
  <c r="G616" i="1"/>
  <c r="I616" i="1"/>
  <c r="A617" i="1"/>
  <c r="F617" i="1"/>
  <c r="G617" i="1"/>
  <c r="I617" i="1"/>
  <c r="A618" i="1"/>
  <c r="F618" i="1"/>
  <c r="G618" i="1"/>
  <c r="I618" i="1"/>
  <c r="A619" i="1"/>
  <c r="F619" i="1"/>
  <c r="G619" i="1"/>
  <c r="I619" i="1"/>
  <c r="A620" i="1"/>
  <c r="F620" i="1"/>
  <c r="G620" i="1"/>
  <c r="I620" i="1"/>
  <c r="A621" i="1"/>
  <c r="F621" i="1"/>
  <c r="G621" i="1"/>
  <c r="I621" i="1"/>
  <c r="A622" i="1"/>
  <c r="F622" i="1"/>
  <c r="G622" i="1"/>
  <c r="I622" i="1"/>
  <c r="A623" i="1"/>
  <c r="F623" i="1"/>
  <c r="G623" i="1"/>
  <c r="I623" i="1"/>
  <c r="A624" i="1"/>
  <c r="F624" i="1"/>
  <c r="G624" i="1"/>
  <c r="I624" i="1"/>
  <c r="A625" i="1"/>
  <c r="F625" i="1"/>
  <c r="G625" i="1"/>
  <c r="I625" i="1"/>
  <c r="A626" i="1"/>
  <c r="F626" i="1"/>
  <c r="G626" i="1"/>
  <c r="I626" i="1"/>
  <c r="A627" i="1"/>
  <c r="F627" i="1"/>
  <c r="G627" i="1"/>
  <c r="I627" i="1"/>
  <c r="A628" i="1"/>
  <c r="F628" i="1"/>
  <c r="G628" i="1"/>
  <c r="I628" i="1"/>
  <c r="A629" i="1"/>
  <c r="F629" i="1"/>
  <c r="G629" i="1"/>
  <c r="I629" i="1"/>
  <c r="A630" i="1"/>
  <c r="F630" i="1"/>
  <c r="G630" i="1"/>
  <c r="I630" i="1"/>
  <c r="A631" i="1"/>
  <c r="F631" i="1"/>
  <c r="G631" i="1"/>
  <c r="I631" i="1"/>
  <c r="A632" i="1"/>
  <c r="F632" i="1"/>
  <c r="G632" i="1"/>
  <c r="I632" i="1"/>
  <c r="A633" i="1"/>
  <c r="F633" i="1"/>
  <c r="G633" i="1"/>
  <c r="I633" i="1"/>
  <c r="A634" i="1"/>
  <c r="F634" i="1"/>
  <c r="G634" i="1"/>
  <c r="I634" i="1"/>
  <c r="A635" i="1"/>
  <c r="F635" i="1"/>
  <c r="G635" i="1"/>
  <c r="I635" i="1"/>
  <c r="A636" i="1"/>
  <c r="F636" i="1"/>
  <c r="G636" i="1"/>
  <c r="I636" i="1"/>
  <c r="A637" i="1"/>
  <c r="F637" i="1"/>
  <c r="G637" i="1"/>
  <c r="I637" i="1"/>
  <c r="A638" i="1"/>
  <c r="F638" i="1"/>
  <c r="G638" i="1"/>
  <c r="I638" i="1"/>
  <c r="A639" i="1"/>
  <c r="F639" i="1"/>
  <c r="G639" i="1"/>
  <c r="I639" i="1"/>
  <c r="A640" i="1"/>
  <c r="F640" i="1"/>
  <c r="G640" i="1"/>
  <c r="I640" i="1"/>
  <c r="A641" i="1"/>
  <c r="F641" i="1"/>
  <c r="G641" i="1"/>
  <c r="I641" i="1"/>
  <c r="A642" i="1"/>
  <c r="F642" i="1"/>
  <c r="G642" i="1"/>
  <c r="I642" i="1"/>
  <c r="A643" i="1"/>
  <c r="F643" i="1"/>
  <c r="G643" i="1"/>
  <c r="I643" i="1"/>
  <c r="A644" i="1"/>
  <c r="F644" i="1"/>
  <c r="G644" i="1"/>
  <c r="I644" i="1"/>
  <c r="A645" i="1"/>
  <c r="F645" i="1"/>
  <c r="G645" i="1"/>
  <c r="I645" i="1"/>
  <c r="A646" i="1"/>
  <c r="F646" i="1"/>
  <c r="G646" i="1"/>
  <c r="I646" i="1"/>
  <c r="A647" i="1"/>
  <c r="F647" i="1"/>
  <c r="G647" i="1"/>
  <c r="I647" i="1"/>
  <c r="A648" i="1"/>
  <c r="F648" i="1"/>
  <c r="G648" i="1"/>
  <c r="I648" i="1"/>
  <c r="A649" i="1"/>
  <c r="F649" i="1"/>
  <c r="G649" i="1"/>
  <c r="I649" i="1"/>
  <c r="A650" i="1"/>
  <c r="F650" i="1"/>
  <c r="G650" i="1"/>
  <c r="I650" i="1"/>
  <c r="A651" i="1"/>
  <c r="F651" i="1"/>
  <c r="G651" i="1"/>
  <c r="I651" i="1"/>
  <c r="A652" i="1"/>
  <c r="F652" i="1"/>
  <c r="G652" i="1"/>
  <c r="I652" i="1"/>
  <c r="A653" i="1"/>
  <c r="F653" i="1"/>
  <c r="G653" i="1"/>
  <c r="I653" i="1"/>
  <c r="A654" i="1"/>
  <c r="F654" i="1"/>
  <c r="G654" i="1"/>
  <c r="I654" i="1"/>
  <c r="A655" i="1"/>
  <c r="F655" i="1"/>
  <c r="G655" i="1"/>
  <c r="I655" i="1"/>
  <c r="A656" i="1"/>
  <c r="F656" i="1"/>
  <c r="G656" i="1"/>
  <c r="I656" i="1"/>
  <c r="A657" i="1"/>
  <c r="F657" i="1"/>
  <c r="G657" i="1"/>
  <c r="I657" i="1"/>
  <c r="A658" i="1"/>
  <c r="F658" i="1"/>
  <c r="G658" i="1"/>
  <c r="I658" i="1"/>
  <c r="A659" i="1"/>
  <c r="F659" i="1"/>
  <c r="G659" i="1"/>
  <c r="I659" i="1"/>
  <c r="A660" i="1"/>
  <c r="F660" i="1"/>
  <c r="G660" i="1"/>
  <c r="I660" i="1"/>
  <c r="A661" i="1"/>
  <c r="F661" i="1"/>
  <c r="G661" i="1"/>
  <c r="I661" i="1"/>
  <c r="A662" i="1"/>
  <c r="F662" i="1"/>
  <c r="G662" i="1"/>
  <c r="I662" i="1"/>
  <c r="A663" i="1"/>
  <c r="F663" i="1"/>
  <c r="G663" i="1"/>
  <c r="I663" i="1"/>
  <c r="A664" i="1"/>
  <c r="F664" i="1"/>
  <c r="G664" i="1"/>
  <c r="I664" i="1"/>
  <c r="A665" i="1"/>
  <c r="F665" i="1"/>
  <c r="G665" i="1"/>
  <c r="I665" i="1"/>
  <c r="A666" i="1"/>
  <c r="F666" i="1"/>
  <c r="G666" i="1"/>
  <c r="I666" i="1"/>
  <c r="A667" i="1"/>
  <c r="H667" i="1"/>
  <c r="I667" i="1"/>
  <c r="J667" i="1"/>
  <c r="A668" i="1"/>
  <c r="F668" i="1"/>
  <c r="G668" i="1"/>
  <c r="I668" i="1"/>
  <c r="A669" i="1"/>
  <c r="F669" i="1"/>
  <c r="G669" i="1"/>
  <c r="I669" i="1"/>
  <c r="A670" i="1"/>
  <c r="F670" i="1"/>
  <c r="G670" i="1"/>
  <c r="I670" i="1"/>
  <c r="A671" i="1"/>
  <c r="F671" i="1"/>
  <c r="G671" i="1"/>
  <c r="I671" i="1"/>
  <c r="A672" i="1"/>
  <c r="F672" i="1"/>
  <c r="G672" i="1"/>
  <c r="I672" i="1"/>
  <c r="A673" i="1"/>
  <c r="F673" i="1"/>
  <c r="G673" i="1"/>
  <c r="I673" i="1"/>
  <c r="A674" i="1"/>
  <c r="F674" i="1"/>
  <c r="G674" i="1"/>
  <c r="I674" i="1"/>
  <c r="A675" i="1"/>
  <c r="F675" i="1"/>
  <c r="G675" i="1"/>
  <c r="I675" i="1"/>
  <c r="A676" i="1"/>
  <c r="F676" i="1"/>
  <c r="G676" i="1"/>
  <c r="I676" i="1"/>
  <c r="A677" i="1"/>
  <c r="F677" i="1"/>
  <c r="G677" i="1"/>
  <c r="I677" i="1"/>
  <c r="A678" i="1"/>
  <c r="F678" i="1"/>
  <c r="G678" i="1"/>
  <c r="I678" i="1"/>
  <c r="A679" i="1"/>
  <c r="F679" i="1"/>
  <c r="G679" i="1"/>
  <c r="I679" i="1"/>
  <c r="A680" i="1"/>
  <c r="F680" i="1"/>
  <c r="G680" i="1"/>
  <c r="I680" i="1"/>
  <c r="A681" i="1"/>
  <c r="F681" i="1"/>
  <c r="G681" i="1"/>
  <c r="I681" i="1"/>
  <c r="A682" i="1"/>
  <c r="F682" i="1"/>
  <c r="G682" i="1"/>
  <c r="I682" i="1"/>
  <c r="A683" i="1"/>
  <c r="F683" i="1"/>
  <c r="G683" i="1"/>
  <c r="I683" i="1"/>
  <c r="A684" i="1"/>
  <c r="F684" i="1"/>
  <c r="G684" i="1"/>
  <c r="I684" i="1"/>
  <c r="A685" i="1"/>
  <c r="F685" i="1"/>
  <c r="G685" i="1"/>
  <c r="I685" i="1"/>
  <c r="A686" i="1"/>
  <c r="F686" i="1"/>
  <c r="G686" i="1"/>
  <c r="I686" i="1"/>
  <c r="A687" i="1"/>
  <c r="F687" i="1"/>
  <c r="G687" i="1"/>
  <c r="I687" i="1"/>
  <c r="A688" i="1"/>
  <c r="F688" i="1"/>
  <c r="G688" i="1"/>
  <c r="I688" i="1"/>
  <c r="A689" i="1"/>
  <c r="F689" i="1"/>
  <c r="G689" i="1"/>
  <c r="I689" i="1"/>
  <c r="A690" i="1"/>
  <c r="F690" i="1"/>
  <c r="G690" i="1"/>
  <c r="I690" i="1"/>
  <c r="A691" i="1"/>
  <c r="F691" i="1"/>
  <c r="G691" i="1"/>
  <c r="I691" i="1"/>
  <c r="A692" i="1"/>
  <c r="F692" i="1"/>
  <c r="G692" i="1"/>
  <c r="I692" i="1"/>
  <c r="A693" i="1"/>
  <c r="F693" i="1"/>
  <c r="G693" i="1"/>
  <c r="I693" i="1"/>
  <c r="A694" i="1"/>
  <c r="F694" i="1"/>
  <c r="G694" i="1"/>
  <c r="I694" i="1"/>
  <c r="A695" i="1"/>
  <c r="F695" i="1"/>
  <c r="G695" i="1"/>
  <c r="I695" i="1"/>
  <c r="A696" i="1"/>
  <c r="F696" i="1"/>
  <c r="G696" i="1"/>
  <c r="I696" i="1"/>
  <c r="A697" i="1"/>
  <c r="F697" i="1"/>
  <c r="G697" i="1"/>
  <c r="I697" i="1"/>
  <c r="A698" i="1"/>
  <c r="F698" i="1"/>
  <c r="G698" i="1"/>
  <c r="I698" i="1"/>
  <c r="A699" i="1"/>
  <c r="F699" i="1"/>
  <c r="G699" i="1"/>
  <c r="I699" i="1"/>
  <c r="A700" i="1"/>
  <c r="F700" i="1"/>
  <c r="G700" i="1"/>
  <c r="I700" i="1"/>
  <c r="A701" i="1"/>
  <c r="F701" i="1"/>
  <c r="G701" i="1"/>
  <c r="I701" i="1"/>
  <c r="A702" i="1"/>
  <c r="F702" i="1"/>
  <c r="G702" i="1"/>
  <c r="I702" i="1"/>
  <c r="A703" i="1"/>
  <c r="F703" i="1"/>
  <c r="G703" i="1"/>
  <c r="I703" i="1"/>
  <c r="A704" i="1"/>
  <c r="F704" i="1"/>
  <c r="G704" i="1"/>
  <c r="I704" i="1"/>
  <c r="A705" i="1"/>
  <c r="F705" i="1"/>
  <c r="G705" i="1"/>
  <c r="I705" i="1"/>
  <c r="A706" i="1"/>
  <c r="F706" i="1"/>
  <c r="G706" i="1"/>
  <c r="I706" i="1"/>
  <c r="A707" i="1"/>
  <c r="F707" i="1"/>
  <c r="G707" i="1"/>
  <c r="I707" i="1"/>
  <c r="A708" i="1"/>
  <c r="F708" i="1"/>
  <c r="G708" i="1"/>
  <c r="I708" i="1"/>
  <c r="A709" i="1"/>
  <c r="F709" i="1"/>
  <c r="G709" i="1"/>
  <c r="I709" i="1"/>
  <c r="A710" i="1"/>
  <c r="F710" i="1"/>
  <c r="G710" i="1"/>
  <c r="I710" i="1"/>
  <c r="A711" i="1"/>
  <c r="F711" i="1"/>
  <c r="G711" i="1"/>
  <c r="I711" i="1"/>
  <c r="A712" i="1"/>
  <c r="F712" i="1"/>
  <c r="G712" i="1"/>
  <c r="I712" i="1"/>
  <c r="A713" i="1"/>
  <c r="F713" i="1"/>
  <c r="G713" i="1"/>
  <c r="I713" i="1"/>
  <c r="A714" i="1"/>
  <c r="F714" i="1"/>
  <c r="G714" i="1"/>
  <c r="I714" i="1"/>
  <c r="A715" i="1"/>
  <c r="F715" i="1"/>
  <c r="G715" i="1"/>
  <c r="I715" i="1"/>
  <c r="A716" i="1"/>
  <c r="F716" i="1"/>
  <c r="G716" i="1"/>
  <c r="I716" i="1"/>
  <c r="A717" i="1"/>
  <c r="F717" i="1"/>
  <c r="G717" i="1"/>
  <c r="I717" i="1"/>
  <c r="A718" i="1"/>
  <c r="F718" i="1"/>
  <c r="G718" i="1"/>
  <c r="I718" i="1"/>
  <c r="A719" i="1"/>
  <c r="F719" i="1"/>
  <c r="G719" i="1"/>
  <c r="I719" i="1"/>
  <c r="A720" i="1"/>
  <c r="F720" i="1"/>
  <c r="G720" i="1"/>
  <c r="I720" i="1"/>
  <c r="A721" i="1"/>
  <c r="F721" i="1"/>
  <c r="G721" i="1"/>
  <c r="I721" i="1"/>
  <c r="A722" i="1"/>
  <c r="F722" i="1"/>
  <c r="G722" i="1"/>
  <c r="I722" i="1"/>
  <c r="A723" i="1"/>
  <c r="F723" i="1"/>
  <c r="G723" i="1"/>
  <c r="I723" i="1"/>
  <c r="A724" i="1"/>
  <c r="F724" i="1"/>
  <c r="G724" i="1"/>
  <c r="I724" i="1"/>
  <c r="A725" i="1"/>
  <c r="F725" i="1"/>
  <c r="G725" i="1"/>
  <c r="I725" i="1"/>
  <c r="A726" i="1"/>
  <c r="F726" i="1"/>
  <c r="G726" i="1"/>
  <c r="I726" i="1"/>
  <c r="A727" i="1"/>
  <c r="F727" i="1"/>
  <c r="G727" i="1"/>
  <c r="I727" i="1"/>
  <c r="A728" i="1"/>
  <c r="F728" i="1"/>
  <c r="G728" i="1"/>
  <c r="I728" i="1"/>
  <c r="A729" i="1"/>
  <c r="F729" i="1"/>
  <c r="G729" i="1"/>
  <c r="I729" i="1"/>
  <c r="A730" i="1"/>
  <c r="F730" i="1"/>
  <c r="G730" i="1"/>
  <c r="I730" i="1"/>
  <c r="A731" i="1"/>
  <c r="F731" i="1"/>
  <c r="G731" i="1"/>
  <c r="I731" i="1"/>
  <c r="A732" i="1"/>
  <c r="F732" i="1"/>
  <c r="G732" i="1"/>
  <c r="I732" i="1"/>
  <c r="A733" i="1"/>
  <c r="F733" i="1"/>
  <c r="G733" i="1"/>
  <c r="I733" i="1"/>
  <c r="A734" i="1"/>
  <c r="F734" i="1"/>
  <c r="G734" i="1"/>
  <c r="I734" i="1"/>
  <c r="A735" i="1"/>
  <c r="F735" i="1"/>
  <c r="G735" i="1"/>
  <c r="I735" i="1"/>
  <c r="A736" i="1"/>
  <c r="F736" i="1"/>
  <c r="G736" i="1"/>
  <c r="I736" i="1"/>
  <c r="A737" i="1"/>
  <c r="F737" i="1"/>
  <c r="G737" i="1"/>
  <c r="I737" i="1"/>
  <c r="A738" i="1"/>
  <c r="F738" i="1"/>
  <c r="G738" i="1"/>
  <c r="I738" i="1"/>
  <c r="A739" i="1"/>
  <c r="F739" i="1"/>
  <c r="G739" i="1"/>
  <c r="I739" i="1"/>
  <c r="A740" i="1"/>
  <c r="F740" i="1"/>
  <c r="G740" i="1"/>
  <c r="I740" i="1"/>
  <c r="A741" i="1"/>
  <c r="F741" i="1"/>
  <c r="G741" i="1"/>
  <c r="I741" i="1"/>
  <c r="A742" i="1"/>
  <c r="F742" i="1"/>
  <c r="G742" i="1"/>
  <c r="I742" i="1"/>
  <c r="A743" i="1"/>
  <c r="F743" i="1"/>
  <c r="G743" i="1"/>
  <c r="I743" i="1"/>
  <c r="A744" i="1"/>
  <c r="F744" i="1"/>
  <c r="G744" i="1"/>
  <c r="I744" i="1"/>
  <c r="A745" i="1"/>
  <c r="F745" i="1"/>
  <c r="G745" i="1"/>
  <c r="I745" i="1"/>
  <c r="A746" i="1"/>
  <c r="F746" i="1"/>
  <c r="G746" i="1"/>
  <c r="I746" i="1"/>
  <c r="A747" i="1"/>
  <c r="F747" i="1"/>
  <c r="G747" i="1"/>
  <c r="I747" i="1"/>
  <c r="A748" i="1"/>
  <c r="F748" i="1"/>
  <c r="G748" i="1"/>
  <c r="I748" i="1"/>
  <c r="A749" i="1"/>
  <c r="F749" i="1"/>
  <c r="G749" i="1"/>
  <c r="I749" i="1"/>
  <c r="A750" i="1"/>
  <c r="F750" i="1"/>
  <c r="G750" i="1"/>
  <c r="I750" i="1"/>
  <c r="A751" i="1"/>
  <c r="F751" i="1"/>
  <c r="G751" i="1"/>
  <c r="I751" i="1"/>
  <c r="A752" i="1"/>
  <c r="F752" i="1"/>
  <c r="G752" i="1"/>
  <c r="I752" i="1"/>
  <c r="A753" i="1"/>
  <c r="F753" i="1"/>
  <c r="G753" i="1"/>
  <c r="I753" i="1"/>
  <c r="A754" i="1"/>
  <c r="F754" i="1"/>
  <c r="G754" i="1"/>
  <c r="I754" i="1"/>
  <c r="A755" i="1"/>
  <c r="F755" i="1"/>
  <c r="G755" i="1"/>
  <c r="I755" i="1"/>
  <c r="A756" i="1"/>
  <c r="F756" i="1"/>
  <c r="G756" i="1"/>
  <c r="I756" i="1"/>
  <c r="A757" i="1"/>
  <c r="F757" i="1"/>
  <c r="G757" i="1"/>
  <c r="I757" i="1"/>
  <c r="A758" i="1"/>
  <c r="F758" i="1"/>
  <c r="G758" i="1"/>
  <c r="I758" i="1"/>
  <c r="A759" i="1"/>
  <c r="F759" i="1"/>
  <c r="G759" i="1"/>
  <c r="I759" i="1"/>
  <c r="A760" i="1"/>
  <c r="F760" i="1"/>
  <c r="G760" i="1"/>
  <c r="I760" i="1"/>
  <c r="A761" i="1"/>
  <c r="F761" i="1"/>
  <c r="G761" i="1"/>
  <c r="I761" i="1"/>
  <c r="A762" i="1"/>
  <c r="F762" i="1"/>
  <c r="G762" i="1"/>
  <c r="I762" i="1"/>
  <c r="A763" i="1"/>
  <c r="F763" i="1"/>
  <c r="G763" i="1"/>
  <c r="I763" i="1"/>
  <c r="A764" i="1"/>
  <c r="F764" i="1"/>
  <c r="G764" i="1"/>
  <c r="A765" i="1"/>
  <c r="F765" i="1"/>
  <c r="G765" i="1"/>
  <c r="I765" i="1"/>
  <c r="A766" i="1"/>
  <c r="F766" i="1"/>
  <c r="G766" i="1"/>
  <c r="I766" i="1"/>
  <c r="A767" i="1"/>
  <c r="F767" i="1"/>
  <c r="G767" i="1"/>
  <c r="I767" i="1"/>
  <c r="A768" i="1"/>
  <c r="F768" i="1"/>
  <c r="G768" i="1"/>
  <c r="I768" i="1"/>
  <c r="A769" i="1"/>
  <c r="F769" i="1"/>
  <c r="G769" i="1"/>
  <c r="I769" i="1"/>
  <c r="A770" i="1"/>
  <c r="F770" i="1"/>
  <c r="G770" i="1"/>
  <c r="I770" i="1"/>
  <c r="A771" i="1"/>
  <c r="F771" i="1"/>
  <c r="G771" i="1"/>
  <c r="I771" i="1"/>
  <c r="A772" i="1"/>
  <c r="F772" i="1"/>
  <c r="G772" i="1"/>
  <c r="I772" i="1"/>
  <c r="A773" i="1"/>
  <c r="F773" i="1"/>
  <c r="G773" i="1"/>
  <c r="I773" i="1"/>
  <c r="A774" i="1"/>
  <c r="F774" i="1"/>
  <c r="G774" i="1"/>
  <c r="I774" i="1"/>
  <c r="A775" i="1"/>
  <c r="H775" i="1"/>
  <c r="I775" i="1"/>
  <c r="J775" i="1"/>
  <c r="A776" i="1"/>
  <c r="H776" i="1"/>
  <c r="I776" i="1"/>
  <c r="J776" i="1"/>
  <c r="A777" i="1"/>
  <c r="F777" i="1"/>
  <c r="G777" i="1"/>
  <c r="I777" i="1"/>
  <c r="A778" i="1"/>
  <c r="F778" i="1"/>
  <c r="G778" i="1"/>
  <c r="I778" i="1"/>
  <c r="A779" i="1"/>
  <c r="F779" i="1"/>
  <c r="G779" i="1"/>
  <c r="I779" i="1"/>
  <c r="A780" i="1"/>
  <c r="F780" i="1"/>
  <c r="G780" i="1"/>
  <c r="I780" i="1"/>
  <c r="A781" i="1"/>
  <c r="F781" i="1"/>
  <c r="G781" i="1"/>
  <c r="I781" i="1"/>
  <c r="A782" i="1"/>
  <c r="F782" i="1"/>
  <c r="G782" i="1"/>
  <c r="I782" i="1"/>
  <c r="A783" i="1"/>
  <c r="F783" i="1"/>
  <c r="G783" i="1"/>
  <c r="I783" i="1"/>
  <c r="A784" i="1"/>
  <c r="F784" i="1"/>
  <c r="G784" i="1"/>
  <c r="I784" i="1"/>
  <c r="A785" i="1"/>
  <c r="F785" i="1"/>
  <c r="G785" i="1"/>
  <c r="I785" i="1"/>
  <c r="A786" i="1"/>
  <c r="F786" i="1"/>
  <c r="G786" i="1"/>
  <c r="I786" i="1"/>
  <c r="A787" i="1"/>
  <c r="F787" i="1"/>
  <c r="G787" i="1"/>
  <c r="I787" i="1"/>
  <c r="A788" i="1"/>
  <c r="F788" i="1"/>
  <c r="G788" i="1"/>
  <c r="I788" i="1"/>
  <c r="A789" i="1"/>
  <c r="F789" i="1"/>
  <c r="G789" i="1"/>
  <c r="I789" i="1"/>
  <c r="A790" i="1"/>
  <c r="F790" i="1"/>
  <c r="G790" i="1"/>
  <c r="I790" i="1"/>
  <c r="A791" i="1"/>
  <c r="F791" i="1"/>
  <c r="G791" i="1"/>
  <c r="I791" i="1"/>
  <c r="A792" i="1"/>
  <c r="F792" i="1"/>
  <c r="G792" i="1"/>
  <c r="I792" i="1"/>
  <c r="A793" i="1"/>
  <c r="F793" i="1"/>
  <c r="G793" i="1"/>
  <c r="I793" i="1"/>
  <c r="A794" i="1"/>
  <c r="F794" i="1"/>
  <c r="G794" i="1"/>
  <c r="I794" i="1"/>
  <c r="A795" i="1"/>
  <c r="F795" i="1"/>
  <c r="G795" i="1"/>
  <c r="I795" i="1"/>
  <c r="A796" i="1"/>
  <c r="F796" i="1"/>
  <c r="G796" i="1"/>
  <c r="I796" i="1"/>
  <c r="A797" i="1"/>
  <c r="F797" i="1"/>
  <c r="G797" i="1"/>
  <c r="I797" i="1"/>
  <c r="A798" i="1"/>
  <c r="F798" i="1"/>
  <c r="G798" i="1"/>
  <c r="I798" i="1"/>
  <c r="A799" i="1"/>
  <c r="F799" i="1"/>
  <c r="G799" i="1"/>
  <c r="I799" i="1"/>
  <c r="A800" i="1"/>
  <c r="F800" i="1"/>
  <c r="G800" i="1"/>
  <c r="I800" i="1"/>
  <c r="A801" i="1"/>
  <c r="F801" i="1"/>
  <c r="G801" i="1"/>
  <c r="I801" i="1"/>
  <c r="A802" i="1"/>
  <c r="F802" i="1"/>
  <c r="G802" i="1"/>
  <c r="I802" i="1"/>
  <c r="A803" i="1"/>
  <c r="F803" i="1"/>
  <c r="G803" i="1"/>
  <c r="I803" i="1"/>
  <c r="A804" i="1"/>
  <c r="F804" i="1"/>
  <c r="G804" i="1"/>
  <c r="I804" i="1"/>
  <c r="A805" i="1"/>
  <c r="F805" i="1"/>
  <c r="G805" i="1"/>
  <c r="I805" i="1"/>
  <c r="A806" i="1"/>
  <c r="F806" i="1"/>
  <c r="G806" i="1"/>
  <c r="I806" i="1"/>
  <c r="A807" i="1"/>
  <c r="H807" i="1"/>
  <c r="I807" i="1"/>
  <c r="J807" i="1"/>
  <c r="A808" i="1"/>
  <c r="F808" i="1"/>
  <c r="G808" i="1"/>
  <c r="I808" i="1"/>
  <c r="A809" i="1"/>
  <c r="F809" i="1"/>
  <c r="G809" i="1"/>
  <c r="I809" i="1"/>
  <c r="A810" i="1"/>
  <c r="F810" i="1"/>
  <c r="G810" i="1"/>
  <c r="I810" i="1"/>
  <c r="A811" i="1"/>
  <c r="F811" i="1"/>
  <c r="G811" i="1"/>
  <c r="I811" i="1"/>
  <c r="A812" i="1"/>
  <c r="F812" i="1"/>
  <c r="G812" i="1"/>
  <c r="I812" i="1"/>
  <c r="A813" i="1"/>
  <c r="F813" i="1"/>
  <c r="G813" i="1"/>
  <c r="I813" i="1"/>
  <c r="A814" i="1"/>
  <c r="F814" i="1"/>
  <c r="G814" i="1"/>
  <c r="I814" i="1"/>
  <c r="A815" i="1"/>
  <c r="F815" i="1"/>
  <c r="G815" i="1"/>
  <c r="I815" i="1"/>
  <c r="A816" i="1"/>
  <c r="F816" i="1"/>
  <c r="G816" i="1"/>
  <c r="I816" i="1"/>
  <c r="A817" i="1"/>
  <c r="F817" i="1"/>
  <c r="G817" i="1"/>
  <c r="I817" i="1"/>
  <c r="A818" i="1"/>
  <c r="F818" i="1"/>
  <c r="G818" i="1"/>
  <c r="I818" i="1"/>
  <c r="A819" i="1"/>
  <c r="F819" i="1"/>
  <c r="G819" i="1"/>
  <c r="I819" i="1"/>
  <c r="A820" i="1"/>
  <c r="F820" i="1"/>
  <c r="G820" i="1"/>
  <c r="I820" i="1"/>
  <c r="A821" i="1"/>
  <c r="F821" i="1"/>
  <c r="G821" i="1"/>
  <c r="I821" i="1"/>
  <c r="A822" i="1"/>
  <c r="F822" i="1"/>
  <c r="G822" i="1"/>
  <c r="I822" i="1"/>
  <c r="A823" i="1"/>
  <c r="F823" i="1"/>
  <c r="G823" i="1"/>
  <c r="I823" i="1"/>
  <c r="A824" i="1"/>
  <c r="F824" i="1"/>
  <c r="G824" i="1"/>
  <c r="I824" i="1"/>
  <c r="A825" i="1"/>
  <c r="F825" i="1"/>
  <c r="G825" i="1"/>
  <c r="I825" i="1"/>
  <c r="A826" i="1"/>
  <c r="F826" i="1"/>
  <c r="G826" i="1"/>
  <c r="I826" i="1"/>
  <c r="A827" i="1"/>
  <c r="F827" i="1"/>
  <c r="G827" i="1"/>
  <c r="I827" i="1"/>
  <c r="A828" i="1"/>
  <c r="F828" i="1"/>
  <c r="G828" i="1"/>
  <c r="I828" i="1"/>
  <c r="A829" i="1"/>
  <c r="F829" i="1"/>
  <c r="G829" i="1"/>
  <c r="I829" i="1"/>
  <c r="A830" i="1"/>
  <c r="F830" i="1"/>
  <c r="G830" i="1"/>
  <c r="I830" i="1"/>
  <c r="A831" i="1"/>
  <c r="F831" i="1"/>
  <c r="G831" i="1"/>
  <c r="I831" i="1"/>
  <c r="A832" i="1"/>
  <c r="F832" i="1"/>
  <c r="G832" i="1"/>
  <c r="I832" i="1"/>
  <c r="A833" i="1"/>
  <c r="F833" i="1"/>
  <c r="G833" i="1"/>
  <c r="I833" i="1"/>
  <c r="A834" i="1"/>
  <c r="F834" i="1"/>
  <c r="G834" i="1"/>
  <c r="I834" i="1"/>
  <c r="A835" i="1"/>
  <c r="F835" i="1"/>
  <c r="G835" i="1"/>
  <c r="I835" i="1"/>
  <c r="A836" i="1"/>
  <c r="F836" i="1"/>
  <c r="G836" i="1"/>
  <c r="I836" i="1"/>
  <c r="A837" i="1"/>
  <c r="F837" i="1"/>
  <c r="G837" i="1"/>
  <c r="I837" i="1"/>
  <c r="A838" i="1"/>
  <c r="F838" i="1"/>
  <c r="G838" i="1"/>
  <c r="I838" i="1"/>
  <c r="A839" i="1"/>
  <c r="F839" i="1"/>
  <c r="G839" i="1"/>
  <c r="I839" i="1"/>
  <c r="A840" i="1"/>
  <c r="F840" i="1"/>
  <c r="G840" i="1"/>
  <c r="I840" i="1"/>
  <c r="A841" i="1"/>
  <c r="F841" i="1"/>
  <c r="G841" i="1"/>
  <c r="I841" i="1"/>
  <c r="A842" i="1"/>
  <c r="F842" i="1"/>
  <c r="G842" i="1"/>
  <c r="I842" i="1"/>
  <c r="A843" i="1"/>
  <c r="F843" i="1"/>
  <c r="G843" i="1"/>
  <c r="I843" i="1"/>
  <c r="A844" i="1"/>
  <c r="F844" i="1"/>
  <c r="G844" i="1"/>
  <c r="I844" i="1"/>
  <c r="A845" i="1"/>
  <c r="F845" i="1"/>
  <c r="G845" i="1"/>
  <c r="I845" i="1"/>
  <c r="A846" i="1"/>
  <c r="F846" i="1"/>
  <c r="G846" i="1"/>
  <c r="I846" i="1"/>
  <c r="A847" i="1"/>
  <c r="F847" i="1"/>
  <c r="G847" i="1"/>
  <c r="I847" i="1"/>
  <c r="A848" i="1"/>
  <c r="F848" i="1"/>
  <c r="G848" i="1"/>
  <c r="I848" i="1"/>
  <c r="A849" i="1"/>
  <c r="F849" i="1"/>
  <c r="G849" i="1"/>
  <c r="I849" i="1"/>
  <c r="A850" i="1"/>
  <c r="F850" i="1"/>
  <c r="G850" i="1"/>
  <c r="I850" i="1"/>
  <c r="A851" i="1"/>
  <c r="F851" i="1"/>
  <c r="G851" i="1"/>
  <c r="I851" i="1"/>
  <c r="A852" i="1"/>
  <c r="F852" i="1"/>
  <c r="G852" i="1"/>
  <c r="I852" i="1"/>
  <c r="A853" i="1"/>
  <c r="F853" i="1"/>
  <c r="G853" i="1"/>
  <c r="I853" i="1"/>
  <c r="A854" i="1"/>
  <c r="F854" i="1"/>
  <c r="G854" i="1"/>
  <c r="I854" i="1"/>
  <c r="A855" i="1"/>
  <c r="F855" i="1"/>
  <c r="G855" i="1"/>
  <c r="I855" i="1"/>
  <c r="A856" i="1"/>
  <c r="F856" i="1"/>
  <c r="G856" i="1"/>
  <c r="I856" i="1"/>
  <c r="A857" i="1"/>
  <c r="F857" i="1"/>
  <c r="G857" i="1"/>
  <c r="I857" i="1"/>
  <c r="A858" i="1"/>
  <c r="F858" i="1"/>
  <c r="G858" i="1"/>
  <c r="I858" i="1"/>
  <c r="A859" i="1"/>
  <c r="F859" i="1"/>
  <c r="G859" i="1"/>
  <c r="I859" i="1"/>
  <c r="A860" i="1"/>
  <c r="F860" i="1"/>
  <c r="G860" i="1"/>
  <c r="I860" i="1"/>
  <c r="A861" i="1"/>
  <c r="F861" i="1"/>
  <c r="G861" i="1"/>
  <c r="I861" i="1"/>
  <c r="A862" i="1"/>
  <c r="F862" i="1"/>
  <c r="G862" i="1"/>
  <c r="I862" i="1"/>
  <c r="A863" i="1"/>
  <c r="F863" i="1"/>
  <c r="G863" i="1"/>
  <c r="I863" i="1"/>
  <c r="A864" i="1"/>
  <c r="F864" i="1"/>
  <c r="G864" i="1"/>
  <c r="I864" i="1"/>
  <c r="A865" i="1"/>
  <c r="F865" i="1"/>
  <c r="G865" i="1"/>
  <c r="I865" i="1"/>
  <c r="A866" i="1"/>
  <c r="F866" i="1"/>
  <c r="G866" i="1"/>
  <c r="I866" i="1"/>
  <c r="A867" i="1"/>
  <c r="F867" i="1"/>
  <c r="G867" i="1"/>
  <c r="I867" i="1"/>
  <c r="A868" i="1"/>
  <c r="F868" i="1"/>
  <c r="G868" i="1"/>
  <c r="I868" i="1"/>
  <c r="A869" i="1"/>
  <c r="F869" i="1"/>
  <c r="G869" i="1"/>
  <c r="I869" i="1"/>
  <c r="A870" i="1"/>
  <c r="F870" i="1"/>
  <c r="G870" i="1"/>
  <c r="I870" i="1"/>
  <c r="A871" i="1"/>
  <c r="F871" i="1"/>
  <c r="G871" i="1"/>
  <c r="I871" i="1"/>
  <c r="A872" i="1"/>
  <c r="F872" i="1"/>
  <c r="G872" i="1"/>
  <c r="I872" i="1"/>
  <c r="A873" i="1"/>
  <c r="F873" i="1"/>
  <c r="G873" i="1"/>
  <c r="I873" i="1"/>
  <c r="A874" i="1"/>
  <c r="F874" i="1"/>
  <c r="G874" i="1"/>
  <c r="I874" i="1"/>
  <c r="A875" i="1"/>
  <c r="F875" i="1"/>
  <c r="G875" i="1"/>
  <c r="I875" i="1"/>
  <c r="A876" i="1"/>
  <c r="F876" i="1"/>
  <c r="G876" i="1"/>
  <c r="I876" i="1"/>
  <c r="A877" i="1"/>
  <c r="F877" i="1"/>
  <c r="G877" i="1"/>
  <c r="I877" i="1"/>
  <c r="A878" i="1"/>
  <c r="F878" i="1"/>
  <c r="G878" i="1"/>
  <c r="I878" i="1"/>
  <c r="A879" i="1"/>
  <c r="F879" i="1"/>
  <c r="G879" i="1"/>
  <c r="I879" i="1"/>
  <c r="A880" i="1"/>
  <c r="F880" i="1"/>
  <c r="G880" i="1"/>
  <c r="I880" i="1"/>
  <c r="A881" i="1"/>
  <c r="F881" i="1"/>
  <c r="G881" i="1"/>
  <c r="I881" i="1"/>
  <c r="A882" i="1"/>
  <c r="F882" i="1"/>
  <c r="G882" i="1"/>
  <c r="I882" i="1"/>
  <c r="A883" i="1"/>
  <c r="F883" i="1"/>
  <c r="G883" i="1"/>
  <c r="I883" i="1"/>
  <c r="A884" i="1"/>
  <c r="F884" i="1"/>
  <c r="G884" i="1"/>
  <c r="I884" i="1"/>
  <c r="A885" i="1"/>
  <c r="F885" i="1"/>
  <c r="G885" i="1"/>
  <c r="I885" i="1"/>
  <c r="A886" i="1"/>
  <c r="F886" i="1"/>
  <c r="G886" i="1"/>
  <c r="I886" i="1"/>
  <c r="A887" i="1"/>
  <c r="F887" i="1"/>
  <c r="G887" i="1"/>
  <c r="I887" i="1"/>
  <c r="A888" i="1"/>
  <c r="F888" i="1"/>
  <c r="G888" i="1"/>
  <c r="I888" i="1"/>
  <c r="A889" i="1"/>
  <c r="F889" i="1"/>
  <c r="G889" i="1"/>
  <c r="I889" i="1"/>
  <c r="A890" i="1"/>
  <c r="F890" i="1"/>
  <c r="G890" i="1"/>
  <c r="I890" i="1"/>
  <c r="A891" i="1"/>
  <c r="F891" i="1"/>
  <c r="G891" i="1"/>
  <c r="I891" i="1"/>
  <c r="A892" i="1"/>
  <c r="H892" i="1"/>
  <c r="I892" i="1"/>
  <c r="J892" i="1"/>
  <c r="A893" i="1"/>
  <c r="F893" i="1"/>
  <c r="G893" i="1"/>
  <c r="I893" i="1"/>
  <c r="A894" i="1"/>
  <c r="F894" i="1"/>
  <c r="G894" i="1"/>
  <c r="I894" i="1"/>
  <c r="A895" i="1"/>
  <c r="F895" i="1"/>
  <c r="G895" i="1"/>
  <c r="I895" i="1"/>
  <c r="A896" i="1"/>
  <c r="F896" i="1"/>
  <c r="G896" i="1"/>
  <c r="I896" i="1"/>
  <c r="A897" i="1"/>
  <c r="F897" i="1"/>
  <c r="G897" i="1"/>
  <c r="I897" i="1"/>
  <c r="A898" i="1"/>
  <c r="F898" i="1"/>
  <c r="G898" i="1"/>
  <c r="I898" i="1"/>
  <c r="A899" i="1"/>
  <c r="F899" i="1"/>
  <c r="G899" i="1"/>
  <c r="I899" i="1"/>
  <c r="A900" i="1"/>
  <c r="F900" i="1"/>
  <c r="G900" i="1"/>
  <c r="I900" i="1"/>
  <c r="A901" i="1"/>
  <c r="F901" i="1"/>
  <c r="G901" i="1"/>
  <c r="I901" i="1"/>
  <c r="A902" i="1"/>
  <c r="H902" i="1"/>
  <c r="I902" i="1"/>
  <c r="J902" i="1"/>
  <c r="A903" i="1"/>
  <c r="F903" i="1"/>
  <c r="G903" i="1"/>
  <c r="I903" i="1"/>
  <c r="A904" i="1"/>
  <c r="F904" i="1"/>
  <c r="G904" i="1"/>
  <c r="I904" i="1"/>
  <c r="A905" i="1"/>
  <c r="F905" i="1"/>
  <c r="G905" i="1"/>
  <c r="I905" i="1"/>
  <c r="A906" i="1"/>
  <c r="F906" i="1"/>
  <c r="G906" i="1"/>
  <c r="I906" i="1"/>
  <c r="A907" i="1"/>
  <c r="F907" i="1"/>
  <c r="G907" i="1"/>
  <c r="I907" i="1"/>
  <c r="A908" i="1"/>
  <c r="F908" i="1"/>
  <c r="G908" i="1"/>
  <c r="I908" i="1"/>
  <c r="A909" i="1"/>
  <c r="F909" i="1"/>
  <c r="G909" i="1"/>
  <c r="I909" i="1"/>
  <c r="A910" i="1"/>
  <c r="F910" i="1"/>
  <c r="G910" i="1"/>
  <c r="I910" i="1"/>
  <c r="A911" i="1"/>
  <c r="F911" i="1"/>
  <c r="G911" i="1"/>
  <c r="I911" i="1"/>
  <c r="A912" i="1"/>
  <c r="F912" i="1"/>
  <c r="G912" i="1"/>
  <c r="I912" i="1"/>
  <c r="A913" i="1"/>
  <c r="F913" i="1"/>
  <c r="G913" i="1"/>
  <c r="I913" i="1"/>
  <c r="A914" i="1"/>
  <c r="F914" i="1"/>
  <c r="G914" i="1"/>
  <c r="I914" i="1"/>
  <c r="A915" i="1"/>
  <c r="F915" i="1"/>
  <c r="G915" i="1"/>
  <c r="I915" i="1"/>
  <c r="A916" i="1"/>
  <c r="F916" i="1"/>
  <c r="G916" i="1"/>
  <c r="I916" i="1"/>
  <c r="A917" i="1"/>
  <c r="F917" i="1"/>
  <c r="G917" i="1"/>
  <c r="I917" i="1"/>
  <c r="A918" i="1"/>
  <c r="F918" i="1"/>
  <c r="G918" i="1"/>
  <c r="I918" i="1"/>
  <c r="A919" i="1"/>
  <c r="F919" i="1"/>
  <c r="G919" i="1"/>
  <c r="I919" i="1"/>
  <c r="A920" i="1"/>
  <c r="F920" i="1"/>
  <c r="G920" i="1"/>
  <c r="I920" i="1"/>
  <c r="A921" i="1"/>
  <c r="F921" i="1"/>
  <c r="G921" i="1"/>
  <c r="I921" i="1"/>
  <c r="A922" i="1"/>
  <c r="F922" i="1"/>
  <c r="G922" i="1"/>
  <c r="I922" i="1"/>
  <c r="A923" i="1"/>
  <c r="F923" i="1"/>
  <c r="G923" i="1"/>
  <c r="I923" i="1"/>
  <c r="A924" i="1"/>
  <c r="F924" i="1"/>
  <c r="G924" i="1"/>
  <c r="I924" i="1"/>
  <c r="A925" i="1"/>
  <c r="F925" i="1"/>
  <c r="G925" i="1"/>
  <c r="I925" i="1"/>
  <c r="A926" i="1"/>
  <c r="F926" i="1"/>
  <c r="G926" i="1"/>
  <c r="I926" i="1"/>
  <c r="A927" i="1"/>
  <c r="F927" i="1"/>
  <c r="G927" i="1"/>
  <c r="I927" i="1"/>
  <c r="A928" i="1"/>
  <c r="F928" i="1"/>
  <c r="G928" i="1"/>
  <c r="I928" i="1"/>
  <c r="A929" i="1"/>
  <c r="F929" i="1"/>
  <c r="G929" i="1"/>
  <c r="I929" i="1"/>
  <c r="A930" i="1"/>
  <c r="F930" i="1"/>
  <c r="G930" i="1"/>
  <c r="I930" i="1"/>
  <c r="A931" i="1"/>
  <c r="F931" i="1"/>
  <c r="G931" i="1"/>
  <c r="I931" i="1"/>
  <c r="A932" i="1"/>
  <c r="F932" i="1"/>
  <c r="G932" i="1"/>
  <c r="I932" i="1"/>
  <c r="A933" i="1"/>
  <c r="F933" i="1"/>
  <c r="G933" i="1"/>
  <c r="I933" i="1"/>
  <c r="A934" i="1"/>
  <c r="F934" i="1"/>
  <c r="G934" i="1"/>
  <c r="I934" i="1"/>
  <c r="A935" i="1"/>
  <c r="F935" i="1"/>
  <c r="G935" i="1"/>
  <c r="I935" i="1"/>
  <c r="A936" i="1"/>
  <c r="F936" i="1"/>
  <c r="G936" i="1"/>
  <c r="I936" i="1"/>
  <c r="A937" i="1"/>
  <c r="F937" i="1"/>
  <c r="G937" i="1"/>
  <c r="I937" i="1"/>
  <c r="A938" i="1"/>
  <c r="F938" i="1"/>
  <c r="G938" i="1"/>
  <c r="I938" i="1"/>
  <c r="A939" i="1"/>
  <c r="F939" i="1"/>
  <c r="G939" i="1"/>
  <c r="I939" i="1"/>
  <c r="A940" i="1"/>
  <c r="F940" i="1"/>
  <c r="G940" i="1"/>
  <c r="I940" i="1"/>
  <c r="A941" i="1"/>
  <c r="F941" i="1"/>
  <c r="G941" i="1"/>
  <c r="I941" i="1"/>
  <c r="A942" i="1"/>
  <c r="F942" i="1"/>
  <c r="G942" i="1"/>
  <c r="I942" i="1"/>
  <c r="A943" i="1"/>
  <c r="F943" i="1"/>
  <c r="G943" i="1"/>
  <c r="I943" i="1"/>
  <c r="A944" i="1"/>
  <c r="F944" i="1"/>
  <c r="G944" i="1"/>
  <c r="I944" i="1"/>
  <c r="A945" i="1"/>
  <c r="F945" i="1"/>
  <c r="G945" i="1"/>
  <c r="I945" i="1"/>
  <c r="A946" i="1"/>
  <c r="F946" i="1"/>
  <c r="G946" i="1"/>
  <c r="I946" i="1"/>
  <c r="A947" i="1"/>
  <c r="F947" i="1"/>
  <c r="G947" i="1"/>
  <c r="I947" i="1"/>
  <c r="A948" i="1"/>
  <c r="F948" i="1"/>
  <c r="G948" i="1"/>
  <c r="I948" i="1"/>
  <c r="A949" i="1"/>
  <c r="F949" i="1"/>
  <c r="G949" i="1"/>
  <c r="I949" i="1"/>
  <c r="A950" i="1"/>
  <c r="F950" i="1"/>
  <c r="G950" i="1"/>
  <c r="I950" i="1"/>
  <c r="A951" i="1"/>
  <c r="F951" i="1"/>
  <c r="G951" i="1"/>
  <c r="I951" i="1"/>
  <c r="A952" i="1"/>
  <c r="F952" i="1"/>
  <c r="G952" i="1"/>
  <c r="I952" i="1"/>
  <c r="A953" i="1"/>
  <c r="F953" i="1"/>
  <c r="G953" i="1"/>
  <c r="I953" i="1"/>
  <c r="A954" i="1"/>
  <c r="F954" i="1"/>
  <c r="G954" i="1"/>
  <c r="I954" i="1"/>
  <c r="A955" i="1"/>
  <c r="F955" i="1"/>
  <c r="G955" i="1"/>
  <c r="I955" i="1"/>
  <c r="A956" i="1"/>
  <c r="F956" i="1"/>
  <c r="G956" i="1"/>
  <c r="I956" i="1"/>
  <c r="A957" i="1"/>
  <c r="F957" i="1"/>
  <c r="G957" i="1"/>
  <c r="I957" i="1"/>
  <c r="A958" i="1"/>
  <c r="F958" i="1"/>
  <c r="G958" i="1"/>
  <c r="I958" i="1"/>
  <c r="A959" i="1"/>
  <c r="F959" i="1"/>
  <c r="G959" i="1"/>
  <c r="I959" i="1"/>
  <c r="A960" i="1"/>
  <c r="F960" i="1"/>
  <c r="G960" i="1"/>
  <c r="I960" i="1"/>
  <c r="A961" i="1"/>
  <c r="F961" i="1"/>
  <c r="G961" i="1"/>
  <c r="I961" i="1"/>
  <c r="A962" i="1"/>
  <c r="F962" i="1"/>
  <c r="G962" i="1"/>
  <c r="I962" i="1"/>
  <c r="A963" i="1"/>
  <c r="F963" i="1"/>
  <c r="G963" i="1"/>
  <c r="I963" i="1"/>
  <c r="A964" i="1"/>
  <c r="F964" i="1"/>
  <c r="G964" i="1"/>
  <c r="I964" i="1"/>
  <c r="A965" i="1"/>
  <c r="F965" i="1"/>
  <c r="G965" i="1"/>
  <c r="I965" i="1"/>
  <c r="A966" i="1"/>
  <c r="F966" i="1"/>
  <c r="G966" i="1"/>
  <c r="I966" i="1"/>
  <c r="A967" i="1"/>
  <c r="F967" i="1"/>
  <c r="G967" i="1"/>
  <c r="I967" i="1"/>
  <c r="A968" i="1"/>
  <c r="F968" i="1"/>
  <c r="G968" i="1"/>
  <c r="I968" i="1"/>
  <c r="A969" i="1"/>
  <c r="F969" i="1"/>
  <c r="G969" i="1"/>
  <c r="I969" i="1"/>
  <c r="A970" i="1"/>
  <c r="F970" i="1"/>
  <c r="G970" i="1"/>
  <c r="I970" i="1"/>
  <c r="A971" i="1"/>
  <c r="F971" i="1"/>
  <c r="G971" i="1"/>
  <c r="I971" i="1"/>
  <c r="A972" i="1"/>
  <c r="F972" i="1"/>
  <c r="G972" i="1"/>
  <c r="I972" i="1"/>
  <c r="A973" i="1"/>
  <c r="F973" i="1"/>
  <c r="G973" i="1"/>
  <c r="I973" i="1"/>
  <c r="A974" i="1"/>
  <c r="F974" i="1"/>
  <c r="G974" i="1"/>
  <c r="I974" i="1"/>
  <c r="A975" i="1"/>
  <c r="F975" i="1"/>
  <c r="G975" i="1"/>
  <c r="I975" i="1"/>
  <c r="A976" i="1"/>
  <c r="F976" i="1"/>
  <c r="G976" i="1"/>
  <c r="I976" i="1"/>
  <c r="A977" i="1"/>
  <c r="F977" i="1"/>
  <c r="G977" i="1"/>
  <c r="I977" i="1"/>
  <c r="A978" i="1"/>
  <c r="F978" i="1"/>
  <c r="G978" i="1"/>
  <c r="I978" i="1"/>
  <c r="A979" i="1"/>
  <c r="F979" i="1"/>
  <c r="G979" i="1"/>
  <c r="I979" i="1"/>
  <c r="A980" i="1"/>
  <c r="F980" i="1"/>
  <c r="G980" i="1"/>
  <c r="I980" i="1"/>
  <c r="A981" i="1"/>
  <c r="F981" i="1"/>
  <c r="G981" i="1"/>
  <c r="I981" i="1"/>
  <c r="A982" i="1"/>
  <c r="F982" i="1"/>
  <c r="G982" i="1"/>
  <c r="I982" i="1"/>
  <c r="A983" i="1"/>
  <c r="F983" i="1"/>
  <c r="G983" i="1"/>
  <c r="I983" i="1"/>
  <c r="A984" i="1"/>
  <c r="F984" i="1"/>
  <c r="G984" i="1"/>
  <c r="I984" i="1"/>
  <c r="A985" i="1"/>
  <c r="F985" i="1"/>
  <c r="G985" i="1"/>
  <c r="I985" i="1"/>
  <c r="A986" i="1"/>
  <c r="F986" i="1"/>
  <c r="G986" i="1"/>
  <c r="I986" i="1"/>
  <c r="A987" i="1"/>
  <c r="F987" i="1"/>
  <c r="G987" i="1"/>
  <c r="I987" i="1"/>
  <c r="A988" i="1"/>
  <c r="F988" i="1"/>
  <c r="G988" i="1"/>
  <c r="I988" i="1"/>
  <c r="A989" i="1"/>
  <c r="F989" i="1"/>
  <c r="G989" i="1"/>
  <c r="I989" i="1"/>
  <c r="A990" i="1"/>
  <c r="F990" i="1"/>
  <c r="G990" i="1"/>
  <c r="I990" i="1"/>
  <c r="A991" i="1"/>
  <c r="F991" i="1"/>
  <c r="G991" i="1"/>
  <c r="I991" i="1"/>
  <c r="A992" i="1"/>
  <c r="F992" i="1"/>
  <c r="G992" i="1"/>
  <c r="I992" i="1"/>
  <c r="A993" i="1"/>
  <c r="F993" i="1"/>
  <c r="G993" i="1"/>
  <c r="I993" i="1"/>
  <c r="A994" i="1"/>
  <c r="F994" i="1"/>
  <c r="G994" i="1"/>
  <c r="I994" i="1"/>
  <c r="A995" i="1"/>
  <c r="F995" i="1"/>
  <c r="G995" i="1"/>
  <c r="I995" i="1"/>
  <c r="A996" i="1"/>
  <c r="F996" i="1"/>
  <c r="G996" i="1"/>
  <c r="I996" i="1"/>
  <c r="A997" i="1"/>
  <c r="F997" i="1"/>
  <c r="G997" i="1"/>
  <c r="I997" i="1"/>
  <c r="A998" i="1"/>
  <c r="F998" i="1"/>
  <c r="G998" i="1"/>
  <c r="I998" i="1"/>
  <c r="A999" i="1"/>
  <c r="F999" i="1"/>
  <c r="G999" i="1"/>
  <c r="I999" i="1"/>
  <c r="A1000" i="1"/>
  <c r="F1000" i="1"/>
  <c r="G1000" i="1"/>
  <c r="I1000" i="1"/>
  <c r="A1001" i="1"/>
  <c r="F1001" i="1"/>
  <c r="G1001" i="1"/>
  <c r="I1001" i="1"/>
  <c r="A1002" i="1"/>
  <c r="F1002" i="1"/>
  <c r="G1002" i="1"/>
  <c r="I1002" i="1"/>
  <c r="A1003" i="1"/>
  <c r="F1003" i="1"/>
  <c r="G1003" i="1"/>
  <c r="I1003" i="1"/>
  <c r="A1004" i="1"/>
  <c r="F1004" i="1"/>
  <c r="G1004" i="1"/>
  <c r="I1004" i="1"/>
  <c r="A1005" i="1"/>
  <c r="F1005" i="1"/>
  <c r="G1005" i="1"/>
  <c r="I1005" i="1"/>
  <c r="A1006" i="1"/>
  <c r="F1006" i="1"/>
  <c r="G1006" i="1"/>
  <c r="I1006" i="1"/>
  <c r="A1007" i="1"/>
  <c r="F1007" i="1"/>
  <c r="G1007" i="1"/>
  <c r="I1007" i="1"/>
  <c r="A1008" i="1"/>
  <c r="F1008" i="1"/>
  <c r="G1008" i="1"/>
  <c r="I1008" i="1"/>
  <c r="A1009" i="1"/>
  <c r="F1009" i="1"/>
  <c r="G1009" i="1"/>
  <c r="I1009" i="1"/>
  <c r="A1010" i="1"/>
  <c r="F1010" i="1"/>
  <c r="G1010" i="1"/>
  <c r="I1010" i="1"/>
  <c r="A1011" i="1"/>
  <c r="F1011" i="1"/>
  <c r="G1011" i="1"/>
  <c r="I1011" i="1"/>
  <c r="A1012" i="1"/>
  <c r="F1012" i="1"/>
  <c r="G1012" i="1"/>
  <c r="I1012" i="1"/>
  <c r="A1013" i="1"/>
  <c r="F1013" i="1"/>
  <c r="G1013" i="1"/>
  <c r="I1013" i="1"/>
  <c r="A1014" i="1"/>
  <c r="F1014" i="1"/>
  <c r="G1014" i="1"/>
  <c r="I1014" i="1"/>
  <c r="A1015" i="1"/>
  <c r="F1015" i="1"/>
  <c r="G1015" i="1"/>
  <c r="I1015" i="1"/>
  <c r="A1016" i="1"/>
  <c r="F1016" i="1"/>
  <c r="G1016" i="1"/>
  <c r="I1016" i="1"/>
  <c r="A1017" i="1"/>
  <c r="F1017" i="1"/>
  <c r="G1017" i="1"/>
  <c r="I1017" i="1"/>
  <c r="A1018" i="1"/>
  <c r="F1018" i="1"/>
  <c r="G1018" i="1"/>
  <c r="I1018" i="1"/>
  <c r="A1019" i="1"/>
  <c r="F1019" i="1"/>
  <c r="G1019" i="1"/>
  <c r="I1019" i="1"/>
  <c r="A1020" i="1"/>
  <c r="F1020" i="1"/>
  <c r="G1020" i="1"/>
  <c r="I1020" i="1"/>
  <c r="A1021" i="1"/>
  <c r="F1021" i="1"/>
  <c r="G1021" i="1"/>
  <c r="I1021" i="1"/>
  <c r="A1022" i="1"/>
  <c r="F1022" i="1"/>
  <c r="G1022" i="1"/>
  <c r="I1022" i="1"/>
  <c r="A1023" i="1"/>
  <c r="F1023" i="1"/>
  <c r="G1023" i="1"/>
  <c r="I1023" i="1"/>
  <c r="A1024" i="1"/>
  <c r="F1024" i="1"/>
  <c r="G1024" i="1"/>
  <c r="I1024" i="1"/>
  <c r="A1025" i="1"/>
  <c r="F1025" i="1"/>
  <c r="G1025" i="1"/>
  <c r="I1025" i="1"/>
  <c r="A1026" i="1"/>
  <c r="F1026" i="1"/>
  <c r="G1026" i="1"/>
  <c r="I1026" i="1"/>
  <c r="A1027" i="1"/>
  <c r="F1027" i="1"/>
  <c r="G1027" i="1"/>
  <c r="I1027" i="1"/>
  <c r="A1028" i="1"/>
  <c r="F1028" i="1"/>
  <c r="G1028" i="1"/>
  <c r="I1028" i="1"/>
  <c r="A1029" i="1"/>
  <c r="F1029" i="1"/>
  <c r="G1029" i="1"/>
  <c r="I1029" i="1"/>
  <c r="A1030" i="1"/>
  <c r="F1030" i="1"/>
  <c r="G1030" i="1"/>
  <c r="I1030" i="1"/>
  <c r="A1031" i="1"/>
  <c r="F1031" i="1"/>
  <c r="G1031" i="1"/>
  <c r="I1031" i="1"/>
  <c r="A1032" i="1"/>
  <c r="H1032" i="1"/>
  <c r="I1032" i="1"/>
  <c r="J1032" i="1"/>
  <c r="A1033" i="1"/>
  <c r="F1033" i="1"/>
  <c r="G1033" i="1"/>
  <c r="I1033" i="1"/>
  <c r="A1034" i="1"/>
  <c r="F1034" i="1"/>
  <c r="G1034" i="1"/>
  <c r="I1034" i="1"/>
  <c r="A1035" i="1"/>
  <c r="F1035" i="1"/>
  <c r="G1035" i="1"/>
  <c r="I1035" i="1"/>
  <c r="A1036" i="1"/>
  <c r="F1036" i="1"/>
  <c r="G1036" i="1"/>
  <c r="I1036" i="1"/>
  <c r="A1037" i="1"/>
  <c r="F1037" i="1"/>
  <c r="G1037" i="1"/>
  <c r="I1037" i="1"/>
  <c r="A1038" i="1"/>
  <c r="F1038" i="1"/>
  <c r="G1038" i="1"/>
  <c r="I1038" i="1"/>
  <c r="A1039" i="1"/>
  <c r="F1039" i="1"/>
  <c r="G1039" i="1"/>
  <c r="I1039" i="1"/>
  <c r="A1040" i="1"/>
  <c r="F1040" i="1"/>
  <c r="G1040" i="1"/>
  <c r="I1040" i="1"/>
  <c r="A1041" i="1"/>
  <c r="F1041" i="1"/>
  <c r="G1041" i="1"/>
  <c r="I1041" i="1"/>
  <c r="A1042" i="1"/>
  <c r="F1042" i="1"/>
  <c r="G1042" i="1"/>
  <c r="I1042" i="1"/>
  <c r="A1043" i="1"/>
  <c r="F1043" i="1"/>
  <c r="G1043" i="1"/>
  <c r="I1043" i="1"/>
  <c r="A1044" i="1"/>
  <c r="F1044" i="1"/>
  <c r="G1044" i="1"/>
  <c r="I1044" i="1"/>
  <c r="A1045" i="1"/>
  <c r="F1045" i="1"/>
  <c r="G1045" i="1"/>
  <c r="I1045" i="1"/>
  <c r="A1046" i="1"/>
  <c r="F1046" i="1"/>
  <c r="G1046" i="1"/>
  <c r="I1046" i="1"/>
  <c r="A1047" i="1"/>
  <c r="F1047" i="1"/>
  <c r="G1047" i="1"/>
  <c r="I1047" i="1"/>
  <c r="A1048" i="1"/>
  <c r="F1048" i="1"/>
  <c r="G1048" i="1"/>
  <c r="I1048" i="1"/>
  <c r="A1049" i="1"/>
  <c r="F1049" i="1"/>
  <c r="G1049" i="1"/>
  <c r="I1049" i="1"/>
  <c r="A1050" i="1"/>
  <c r="F1050" i="1"/>
  <c r="G1050" i="1"/>
  <c r="I1050" i="1"/>
  <c r="A1051" i="1"/>
  <c r="F1051" i="1"/>
  <c r="G1051" i="1"/>
  <c r="I1051" i="1"/>
  <c r="A1052" i="1"/>
  <c r="F1052" i="1"/>
  <c r="G1052" i="1"/>
  <c r="I1052" i="1"/>
  <c r="A1053" i="1"/>
  <c r="F1053" i="1"/>
  <c r="G1053" i="1"/>
  <c r="I1053" i="1"/>
  <c r="A1054" i="1"/>
  <c r="F1054" i="1"/>
  <c r="G1054" i="1"/>
  <c r="I1054" i="1"/>
  <c r="A1055" i="1"/>
  <c r="F1055" i="1"/>
  <c r="G1055" i="1"/>
  <c r="I1055" i="1"/>
  <c r="A1056" i="1"/>
  <c r="F1056" i="1"/>
  <c r="G1056" i="1"/>
  <c r="I1056" i="1"/>
  <c r="A1057" i="1"/>
  <c r="F1057" i="1"/>
  <c r="G1057" i="1"/>
  <c r="I1057" i="1"/>
  <c r="A1058" i="1"/>
  <c r="F1058" i="1"/>
  <c r="G1058" i="1"/>
  <c r="I1058" i="1"/>
  <c r="A1059" i="1"/>
  <c r="F1059" i="1"/>
  <c r="G1059" i="1"/>
  <c r="I1059" i="1"/>
  <c r="A1060" i="1"/>
  <c r="F1060" i="1"/>
  <c r="G1060" i="1"/>
  <c r="I1060" i="1"/>
  <c r="A1061" i="1"/>
  <c r="F1061" i="1"/>
  <c r="G1061" i="1"/>
  <c r="I1061" i="1"/>
  <c r="A1062" i="1"/>
  <c r="F1062" i="1"/>
  <c r="G1062" i="1"/>
  <c r="I1062" i="1"/>
  <c r="A1063" i="1"/>
  <c r="F1063" i="1"/>
  <c r="G1063" i="1"/>
  <c r="I1063" i="1"/>
  <c r="A1064" i="1"/>
  <c r="F1064" i="1"/>
  <c r="G1064" i="1"/>
  <c r="I1064" i="1"/>
  <c r="A1065" i="1"/>
  <c r="F1065" i="1"/>
  <c r="G1065" i="1"/>
  <c r="I1065" i="1"/>
  <c r="A1066" i="1"/>
  <c r="F1066" i="1"/>
  <c r="G1066" i="1"/>
  <c r="I1066" i="1"/>
  <c r="A1067" i="1"/>
  <c r="F1067" i="1"/>
  <c r="G1067" i="1"/>
  <c r="I1067" i="1"/>
  <c r="A1068" i="1"/>
  <c r="F1068" i="1"/>
  <c r="G1068" i="1"/>
  <c r="I1068" i="1"/>
  <c r="A1069" i="1"/>
  <c r="F1069" i="1"/>
  <c r="G1069" i="1"/>
  <c r="I1069" i="1"/>
  <c r="A1070" i="1"/>
  <c r="F1070" i="1"/>
  <c r="G1070" i="1"/>
  <c r="I1070" i="1"/>
  <c r="A1071" i="1"/>
  <c r="F1071" i="1"/>
  <c r="G1071" i="1"/>
  <c r="I1071" i="1"/>
  <c r="A1072" i="1"/>
  <c r="F1072" i="1"/>
  <c r="G1072" i="1"/>
  <c r="I1072" i="1"/>
  <c r="A1073" i="1"/>
  <c r="F1073" i="1"/>
  <c r="G1073" i="1"/>
  <c r="I1073" i="1"/>
  <c r="A1074" i="1"/>
  <c r="F1074" i="1"/>
  <c r="G1074" i="1"/>
  <c r="I1074" i="1"/>
  <c r="A1075" i="1"/>
  <c r="F1075" i="1"/>
  <c r="G1075" i="1"/>
  <c r="I1075" i="1"/>
  <c r="A1076" i="1"/>
  <c r="F1076" i="1"/>
  <c r="G1076" i="1"/>
  <c r="I1076" i="1"/>
  <c r="A1077" i="1"/>
  <c r="F1077" i="1"/>
  <c r="G1077" i="1"/>
  <c r="I1077" i="1"/>
  <c r="A1078" i="1"/>
  <c r="F1078" i="1"/>
  <c r="G1078" i="1"/>
  <c r="I1078" i="1"/>
  <c r="A1079" i="1"/>
  <c r="F1079" i="1"/>
  <c r="G1079" i="1"/>
  <c r="I1079" i="1"/>
  <c r="A1080" i="1"/>
  <c r="F1080" i="1"/>
  <c r="G1080" i="1"/>
  <c r="I1080" i="1"/>
  <c r="A1081" i="1"/>
  <c r="F1081" i="1"/>
  <c r="G1081" i="1"/>
  <c r="I1081" i="1"/>
  <c r="A1082" i="1"/>
  <c r="F1082" i="1"/>
  <c r="G1082" i="1"/>
  <c r="I1082" i="1"/>
  <c r="A1083" i="1"/>
  <c r="F1083" i="1"/>
  <c r="G1083" i="1"/>
  <c r="I1083" i="1"/>
  <c r="A1084" i="1"/>
  <c r="F1084" i="1"/>
  <c r="G1084" i="1"/>
  <c r="I1084" i="1"/>
  <c r="A1085" i="1"/>
  <c r="F1085" i="1"/>
  <c r="G1085" i="1"/>
  <c r="I1085" i="1"/>
  <c r="A1086" i="1"/>
  <c r="F1086" i="1"/>
  <c r="G1086" i="1"/>
  <c r="I1086" i="1"/>
  <c r="A1087" i="1"/>
  <c r="F1087" i="1"/>
  <c r="G1087" i="1"/>
  <c r="I1087" i="1"/>
  <c r="A1088" i="1"/>
  <c r="F1088" i="1"/>
  <c r="G1088" i="1"/>
  <c r="I1088" i="1"/>
  <c r="A1089" i="1"/>
  <c r="F1089" i="1"/>
  <c r="G1089" i="1"/>
  <c r="I1089" i="1"/>
  <c r="A1090" i="1"/>
  <c r="F1090" i="1"/>
  <c r="G1090" i="1"/>
  <c r="I1090" i="1"/>
  <c r="A1091" i="1"/>
  <c r="F1091" i="1"/>
  <c r="G1091" i="1"/>
  <c r="I1091" i="1"/>
  <c r="A1092" i="1"/>
  <c r="F1092" i="1"/>
  <c r="G1092" i="1"/>
  <c r="I1092" i="1"/>
  <c r="A1093" i="1"/>
  <c r="F1093" i="1"/>
  <c r="G1093" i="1"/>
  <c r="I1093" i="1"/>
  <c r="A1094" i="1"/>
  <c r="F1094" i="1"/>
  <c r="G1094" i="1"/>
  <c r="I1094" i="1"/>
  <c r="A1095" i="1"/>
  <c r="F1095" i="1"/>
  <c r="G1095" i="1"/>
  <c r="I1095" i="1"/>
  <c r="A1096" i="1"/>
  <c r="F1096" i="1"/>
  <c r="G1096" i="1"/>
  <c r="I1096" i="1"/>
  <c r="A1097" i="1"/>
  <c r="F1097" i="1"/>
  <c r="G1097" i="1"/>
  <c r="I1097" i="1"/>
  <c r="A1098" i="1"/>
  <c r="F1098" i="1"/>
  <c r="G1098" i="1"/>
  <c r="I1098" i="1"/>
  <c r="A1099" i="1"/>
  <c r="F1099" i="1"/>
  <c r="G1099" i="1"/>
  <c r="I1099" i="1"/>
  <c r="A1100" i="1"/>
  <c r="F1100" i="1"/>
  <c r="G1100" i="1"/>
  <c r="I1100" i="1"/>
  <c r="A1101" i="1"/>
  <c r="F1101" i="1"/>
  <c r="G1101" i="1"/>
  <c r="I1101" i="1"/>
  <c r="A1102" i="1"/>
  <c r="F1102" i="1"/>
  <c r="G1102" i="1"/>
  <c r="I1102" i="1"/>
  <c r="A1103" i="1"/>
  <c r="F1103" i="1"/>
  <c r="G1103" i="1"/>
  <c r="I1103" i="1"/>
  <c r="A1104" i="1"/>
  <c r="F1104" i="1"/>
  <c r="G1104" i="1"/>
  <c r="I1104" i="1"/>
  <c r="A1105" i="1"/>
  <c r="F1105" i="1"/>
  <c r="G1105" i="1"/>
  <c r="I1105" i="1"/>
  <c r="A1106" i="1"/>
  <c r="F1106" i="1"/>
  <c r="G1106" i="1"/>
  <c r="I1106" i="1"/>
  <c r="A1107" i="1"/>
  <c r="F1107" i="1"/>
  <c r="G1107" i="1"/>
  <c r="I1107" i="1"/>
  <c r="A1108" i="1"/>
  <c r="F1108" i="1"/>
  <c r="G1108" i="1"/>
  <c r="I1108" i="1"/>
  <c r="A1109" i="1"/>
  <c r="F1109" i="1"/>
  <c r="G1109" i="1"/>
  <c r="I1109" i="1"/>
  <c r="A1110" i="1"/>
  <c r="F1110" i="1"/>
  <c r="G1110" i="1"/>
  <c r="I1110" i="1"/>
  <c r="A1111" i="1"/>
  <c r="F1111" i="1"/>
  <c r="G1111" i="1"/>
  <c r="I1111" i="1"/>
  <c r="A1112" i="1"/>
  <c r="F1112" i="1"/>
  <c r="G1112" i="1"/>
  <c r="I1112" i="1"/>
  <c r="A1113" i="1"/>
  <c r="F1113" i="1"/>
  <c r="G1113" i="1"/>
  <c r="I1113" i="1"/>
  <c r="A1114" i="1"/>
  <c r="F1114" i="1"/>
  <c r="G1114" i="1"/>
  <c r="I1114" i="1"/>
  <c r="A1115" i="1"/>
  <c r="F1115" i="1"/>
  <c r="G1115" i="1"/>
  <c r="I1115" i="1"/>
  <c r="A1116" i="1"/>
  <c r="F1116" i="1"/>
  <c r="G1116" i="1"/>
  <c r="I1116" i="1"/>
  <c r="A1117" i="1"/>
  <c r="F1117" i="1"/>
  <c r="G1117" i="1"/>
  <c r="I1117" i="1"/>
  <c r="A1118" i="1"/>
  <c r="F1118" i="1"/>
  <c r="G1118" i="1"/>
  <c r="I1118" i="1"/>
  <c r="A1119" i="1"/>
  <c r="F1119" i="1"/>
  <c r="G1119" i="1"/>
  <c r="I1119" i="1"/>
  <c r="A1120" i="1"/>
  <c r="F1120" i="1"/>
  <c r="G1120" i="1"/>
  <c r="I1120" i="1"/>
  <c r="A1121" i="1"/>
  <c r="F1121" i="1"/>
  <c r="G1121" i="1"/>
  <c r="I1121" i="1"/>
  <c r="A1122" i="1"/>
  <c r="F1122" i="1"/>
  <c r="G1122" i="1"/>
  <c r="I1122" i="1"/>
  <c r="A1123" i="1"/>
  <c r="F1123" i="1"/>
  <c r="G1123" i="1"/>
  <c r="I1123" i="1"/>
  <c r="A1124" i="1"/>
  <c r="F1124" i="1"/>
  <c r="G1124" i="1"/>
  <c r="I1124" i="1"/>
  <c r="A1125" i="1"/>
  <c r="F1125" i="1"/>
  <c r="G1125" i="1"/>
  <c r="I1125" i="1"/>
  <c r="A1126" i="1"/>
  <c r="F1126" i="1"/>
  <c r="G1126" i="1"/>
  <c r="I1126" i="1"/>
  <c r="A1127" i="1"/>
  <c r="F1127" i="1"/>
  <c r="G1127" i="1"/>
  <c r="I1127" i="1"/>
  <c r="A1128" i="1"/>
  <c r="F1128" i="1"/>
  <c r="G1128" i="1"/>
  <c r="I1128" i="1"/>
  <c r="A1129" i="1"/>
  <c r="F1129" i="1"/>
  <c r="G1129" i="1"/>
  <c r="I1129" i="1"/>
  <c r="A1130" i="1"/>
  <c r="F1130" i="1"/>
  <c r="G1130" i="1"/>
  <c r="I1130" i="1"/>
  <c r="A1131" i="1"/>
  <c r="F1131" i="1"/>
  <c r="G1131" i="1"/>
  <c r="I1131" i="1"/>
  <c r="A1132" i="1"/>
  <c r="F1132" i="1"/>
  <c r="G1132" i="1"/>
  <c r="I1132" i="1"/>
  <c r="A1133" i="1"/>
  <c r="F1133" i="1"/>
  <c r="G1133" i="1"/>
  <c r="I1133" i="1"/>
  <c r="A1134" i="1"/>
  <c r="F1134" i="1"/>
  <c r="G1134" i="1"/>
  <c r="I1134" i="1"/>
  <c r="A1135" i="1"/>
  <c r="F1135" i="1"/>
  <c r="G1135" i="1"/>
  <c r="I1135" i="1"/>
  <c r="A1136" i="1"/>
  <c r="F1136" i="1"/>
  <c r="G1136" i="1"/>
  <c r="I1136" i="1"/>
  <c r="A1137" i="1"/>
  <c r="F1137" i="1"/>
  <c r="G1137" i="1"/>
  <c r="I1137" i="1"/>
  <c r="A1138" i="1"/>
  <c r="F1138" i="1"/>
  <c r="G1138" i="1"/>
  <c r="I1138" i="1"/>
  <c r="A1139" i="1"/>
  <c r="F1139" i="1"/>
  <c r="G1139" i="1"/>
  <c r="I1139" i="1"/>
  <c r="A1140" i="1"/>
  <c r="F1140" i="1"/>
  <c r="G1140" i="1"/>
  <c r="I1140" i="1"/>
  <c r="A1141" i="1"/>
  <c r="F1141" i="1"/>
  <c r="G1141" i="1"/>
  <c r="I1141" i="1"/>
  <c r="A1142" i="1"/>
  <c r="F1142" i="1"/>
  <c r="G1142" i="1"/>
  <c r="I1142" i="1"/>
  <c r="A1143" i="1"/>
  <c r="F1143" i="1"/>
  <c r="G1143" i="1"/>
  <c r="I1143" i="1"/>
  <c r="A1144" i="1"/>
  <c r="F1144" i="1"/>
  <c r="G1144" i="1"/>
  <c r="I1144" i="1"/>
  <c r="A1145" i="1"/>
  <c r="F1145" i="1"/>
  <c r="G1145" i="1"/>
  <c r="I1145" i="1"/>
  <c r="A1146" i="1"/>
  <c r="F1146" i="1"/>
  <c r="G1146" i="1"/>
  <c r="I1146" i="1"/>
  <c r="A1147" i="1"/>
  <c r="F1147" i="1"/>
  <c r="G1147" i="1"/>
  <c r="I1147" i="1"/>
  <c r="A1148" i="1"/>
  <c r="F1148" i="1"/>
  <c r="G1148" i="1"/>
  <c r="I1148" i="1"/>
  <c r="A1149" i="1"/>
  <c r="F1149" i="1"/>
  <c r="G1149" i="1"/>
  <c r="I1149" i="1"/>
  <c r="A1150" i="1"/>
  <c r="F1150" i="1"/>
  <c r="G1150" i="1"/>
  <c r="I1150" i="1"/>
  <c r="A1151" i="1"/>
  <c r="H1151" i="1"/>
  <c r="I1151" i="1"/>
  <c r="J1151" i="1"/>
  <c r="A1152" i="1"/>
  <c r="F1152" i="1"/>
  <c r="G1152" i="1"/>
  <c r="I1152" i="1"/>
  <c r="A1153" i="1"/>
  <c r="F1153" i="1"/>
  <c r="G1153" i="1"/>
  <c r="I1153" i="1"/>
  <c r="A1154" i="1"/>
  <c r="F1154" i="1"/>
  <c r="G1154" i="1"/>
  <c r="I1154" i="1"/>
  <c r="A1155" i="1"/>
  <c r="F1155" i="1"/>
  <c r="G1155" i="1"/>
  <c r="I1155" i="1"/>
  <c r="A1156" i="1"/>
  <c r="F1156" i="1"/>
  <c r="G1156" i="1"/>
  <c r="I1156" i="1"/>
  <c r="A1157" i="1"/>
  <c r="F1157" i="1"/>
  <c r="G1157" i="1"/>
  <c r="I1157" i="1"/>
  <c r="A1158" i="1"/>
  <c r="F1158" i="1"/>
  <c r="G1158" i="1"/>
  <c r="I1158" i="1"/>
  <c r="A1159" i="1"/>
  <c r="F1159" i="1"/>
  <c r="G1159" i="1"/>
  <c r="I1159" i="1"/>
  <c r="A1160" i="1"/>
  <c r="F1160" i="1"/>
  <c r="G1160" i="1"/>
  <c r="I1160" i="1"/>
  <c r="A1161" i="1"/>
  <c r="F1161" i="1"/>
  <c r="G1161" i="1"/>
  <c r="I1161" i="1"/>
  <c r="A1162" i="1"/>
  <c r="F1162" i="1"/>
  <c r="G1162" i="1"/>
  <c r="I1162" i="1"/>
  <c r="A1163" i="1"/>
  <c r="F1163" i="1"/>
  <c r="G1163" i="1"/>
  <c r="I1163" i="1"/>
  <c r="A1164" i="1"/>
  <c r="F1164" i="1"/>
  <c r="G1164" i="1"/>
  <c r="I1164" i="1"/>
  <c r="A1165" i="1"/>
  <c r="F1165" i="1"/>
  <c r="G1165" i="1"/>
  <c r="I1165" i="1"/>
  <c r="A1166" i="1"/>
  <c r="F1166" i="1"/>
  <c r="G1166" i="1"/>
  <c r="I1166" i="1"/>
  <c r="A1167" i="1"/>
  <c r="F1167" i="1"/>
  <c r="G1167" i="1"/>
  <c r="I1167" i="1"/>
  <c r="A1168" i="1"/>
  <c r="F1168" i="1"/>
  <c r="G1168" i="1"/>
  <c r="I1168" i="1"/>
  <c r="A1169" i="1"/>
  <c r="F1169" i="1"/>
  <c r="G1169" i="1"/>
  <c r="I1169" i="1"/>
  <c r="A1170" i="1"/>
  <c r="F1170" i="1"/>
  <c r="G1170" i="1"/>
  <c r="I1170" i="1"/>
  <c r="A1171" i="1"/>
  <c r="F1171" i="1"/>
  <c r="G1171" i="1"/>
  <c r="I1171" i="1"/>
  <c r="A1172" i="1"/>
  <c r="F1172" i="1"/>
  <c r="G1172" i="1"/>
  <c r="I1172" i="1"/>
  <c r="A1173" i="1"/>
  <c r="F1173" i="1"/>
  <c r="G1173" i="1"/>
  <c r="I1173" i="1"/>
  <c r="A1174" i="1"/>
  <c r="F1174" i="1"/>
  <c r="G1174" i="1"/>
  <c r="I1174" i="1"/>
  <c r="A1175" i="1"/>
  <c r="F1175" i="1"/>
  <c r="G1175" i="1"/>
  <c r="I1175" i="1"/>
  <c r="A1176" i="1"/>
  <c r="F1176" i="1"/>
  <c r="G1176" i="1"/>
  <c r="I1176" i="1"/>
  <c r="A1177" i="1"/>
  <c r="F1177" i="1"/>
  <c r="G1177" i="1"/>
  <c r="I1177" i="1"/>
  <c r="A1178" i="1"/>
  <c r="F1178" i="1"/>
  <c r="G1178" i="1"/>
  <c r="I1178" i="1"/>
  <c r="A1179" i="1"/>
  <c r="F1179" i="1"/>
  <c r="G1179" i="1"/>
  <c r="I1179" i="1"/>
  <c r="A1180" i="1"/>
  <c r="F1180" i="1"/>
  <c r="G1180" i="1"/>
  <c r="I1180" i="1"/>
  <c r="A1181" i="1"/>
  <c r="F1181" i="1"/>
  <c r="G1181" i="1"/>
  <c r="I1181" i="1"/>
  <c r="A1182" i="1"/>
  <c r="F1182" i="1"/>
  <c r="G1182" i="1"/>
  <c r="I1182" i="1"/>
  <c r="A1183" i="1"/>
  <c r="F1183" i="1"/>
  <c r="G1183" i="1"/>
  <c r="I1183" i="1"/>
  <c r="A1184" i="1"/>
  <c r="F1184" i="1"/>
  <c r="G1184" i="1"/>
  <c r="I1184" i="1"/>
  <c r="A1185" i="1"/>
  <c r="F1185" i="1"/>
  <c r="G1185" i="1"/>
  <c r="I1185" i="1"/>
  <c r="A1186" i="1"/>
  <c r="F1186" i="1"/>
  <c r="G1186" i="1"/>
  <c r="I1186" i="1"/>
  <c r="A1187" i="1"/>
  <c r="F1187" i="1"/>
  <c r="G1187" i="1"/>
  <c r="I1187" i="1"/>
  <c r="A1188" i="1"/>
  <c r="F1188" i="1"/>
  <c r="G1188" i="1"/>
  <c r="I1188" i="1"/>
  <c r="A1189" i="1"/>
  <c r="F1189" i="1"/>
  <c r="G1189" i="1"/>
  <c r="I1189" i="1"/>
  <c r="A1190" i="1"/>
  <c r="F1190" i="1"/>
  <c r="G1190" i="1"/>
  <c r="I1190" i="1"/>
  <c r="A1191" i="1"/>
  <c r="F1191" i="1"/>
  <c r="G1191" i="1"/>
  <c r="I1191" i="1"/>
  <c r="A1192" i="1"/>
  <c r="F1192" i="1"/>
  <c r="G1192" i="1"/>
  <c r="I1192" i="1"/>
  <c r="A1193" i="1"/>
  <c r="F1193" i="1"/>
  <c r="G1193" i="1"/>
  <c r="I1193" i="1"/>
  <c r="A1194" i="1"/>
  <c r="F1194" i="1"/>
  <c r="G1194" i="1"/>
  <c r="I1194" i="1"/>
  <c r="A1195" i="1"/>
  <c r="F1195" i="1"/>
  <c r="G1195" i="1"/>
  <c r="I1195" i="1"/>
  <c r="A1196" i="1"/>
  <c r="F1196" i="1"/>
  <c r="G1196" i="1"/>
  <c r="I1196" i="1"/>
  <c r="A1197" i="1"/>
  <c r="F1197" i="1"/>
  <c r="G1197" i="1"/>
  <c r="I1197" i="1"/>
  <c r="A1198" i="1"/>
  <c r="F1198" i="1"/>
  <c r="G1198" i="1"/>
  <c r="I1198" i="1"/>
  <c r="A1199" i="1"/>
  <c r="F1199" i="1"/>
  <c r="G1199" i="1"/>
  <c r="I1199" i="1"/>
  <c r="A1200" i="1"/>
  <c r="F1200" i="1"/>
  <c r="G1200" i="1"/>
  <c r="I1200" i="1"/>
  <c r="A1201" i="1"/>
  <c r="F1201" i="1"/>
  <c r="G1201" i="1"/>
  <c r="I1201" i="1"/>
  <c r="A1202" i="1"/>
  <c r="F1202" i="1"/>
  <c r="G1202" i="1"/>
  <c r="I1202" i="1"/>
  <c r="A1203" i="1"/>
  <c r="F1203" i="1"/>
  <c r="G1203" i="1"/>
  <c r="I1203" i="1"/>
  <c r="A1204" i="1"/>
  <c r="F1204" i="1"/>
  <c r="G1204" i="1"/>
  <c r="I1204" i="1"/>
  <c r="A1205" i="1"/>
  <c r="F1205" i="1"/>
  <c r="G1205" i="1"/>
  <c r="I1205" i="1"/>
  <c r="A1206" i="1"/>
  <c r="F1206" i="1"/>
  <c r="G1206" i="1"/>
  <c r="I1206" i="1"/>
  <c r="A1207" i="1"/>
  <c r="F1207" i="1"/>
  <c r="G1207" i="1"/>
  <c r="I1207" i="1"/>
  <c r="A1208" i="1"/>
  <c r="F1208" i="1"/>
  <c r="G1208" i="1"/>
  <c r="I1208" i="1"/>
  <c r="A1209" i="1"/>
  <c r="F1209" i="1"/>
  <c r="G1209" i="1"/>
  <c r="I1209" i="1"/>
  <c r="A1210" i="1"/>
  <c r="F1210" i="1"/>
  <c r="G1210" i="1"/>
  <c r="I1210" i="1"/>
  <c r="A1211" i="1"/>
  <c r="F1211" i="1"/>
  <c r="G1211" i="1"/>
  <c r="I1211" i="1"/>
  <c r="A1212" i="1"/>
  <c r="F1212" i="1"/>
  <c r="G1212" i="1"/>
  <c r="I1212" i="1"/>
  <c r="A1213" i="1"/>
  <c r="F1213" i="1"/>
  <c r="G1213" i="1"/>
  <c r="I1213" i="1"/>
  <c r="A1214" i="1"/>
  <c r="F1214" i="1"/>
  <c r="G1214" i="1"/>
  <c r="I1214" i="1"/>
  <c r="A1215" i="1"/>
  <c r="F1215" i="1"/>
  <c r="G1215" i="1"/>
  <c r="I1215" i="1"/>
  <c r="A1216" i="1"/>
  <c r="F1216" i="1"/>
  <c r="G1216" i="1"/>
  <c r="I1216" i="1"/>
  <c r="A1217" i="1"/>
  <c r="F1217" i="1"/>
  <c r="G1217" i="1"/>
  <c r="I1217" i="1"/>
  <c r="A1218" i="1"/>
  <c r="F1218" i="1"/>
  <c r="G1218" i="1"/>
  <c r="I1218" i="1"/>
  <c r="A1219" i="1"/>
  <c r="F1219" i="1"/>
  <c r="G1219" i="1"/>
  <c r="I1219" i="1"/>
  <c r="A1220" i="1"/>
  <c r="F1220" i="1"/>
  <c r="G1220" i="1"/>
  <c r="I1220" i="1"/>
  <c r="A1221" i="1"/>
  <c r="F1221" i="1"/>
  <c r="G1221" i="1"/>
  <c r="I1221" i="1"/>
  <c r="A1222" i="1"/>
  <c r="F1222" i="1"/>
  <c r="G1222" i="1"/>
  <c r="I1222" i="1"/>
  <c r="A1223" i="1"/>
  <c r="F1223" i="1"/>
  <c r="G1223" i="1"/>
  <c r="I1223" i="1"/>
  <c r="A1224" i="1"/>
  <c r="F1224" i="1"/>
  <c r="G1224" i="1"/>
  <c r="I1224" i="1"/>
  <c r="A1225" i="1"/>
  <c r="F1225" i="1"/>
  <c r="G1225" i="1"/>
  <c r="I1225" i="1"/>
  <c r="A1226" i="1"/>
  <c r="F1226" i="1"/>
  <c r="G1226" i="1"/>
  <c r="I1226" i="1"/>
  <c r="A1227" i="1"/>
  <c r="F1227" i="1"/>
  <c r="G1227" i="1"/>
  <c r="I1227" i="1"/>
  <c r="A1228" i="1"/>
  <c r="F1228" i="1"/>
  <c r="G1228" i="1"/>
  <c r="I1228" i="1"/>
  <c r="A1229" i="1"/>
  <c r="F1229" i="1"/>
  <c r="G1229" i="1"/>
  <c r="I1229" i="1"/>
  <c r="A1230" i="1"/>
  <c r="F1230" i="1"/>
  <c r="G1230" i="1"/>
  <c r="I1230" i="1"/>
  <c r="A1231" i="1"/>
  <c r="F1231" i="1"/>
  <c r="G1231" i="1"/>
  <c r="I1231" i="1"/>
  <c r="A1232" i="1"/>
  <c r="F1232" i="1"/>
  <c r="G1232" i="1"/>
  <c r="I1232" i="1"/>
  <c r="A1233" i="1"/>
  <c r="F1233" i="1"/>
  <c r="G1233" i="1"/>
  <c r="I1233" i="1"/>
  <c r="A1234" i="1"/>
  <c r="F1234" i="1"/>
  <c r="G1234" i="1"/>
  <c r="I1234" i="1"/>
  <c r="A1235" i="1"/>
  <c r="F1235" i="1"/>
  <c r="G1235" i="1"/>
  <c r="I1235" i="1"/>
  <c r="A1236" i="1"/>
  <c r="F1236" i="1"/>
  <c r="G1236" i="1"/>
  <c r="I1236" i="1"/>
  <c r="A1237" i="1"/>
  <c r="F1237" i="1"/>
  <c r="G1237" i="1"/>
  <c r="I1237" i="1"/>
  <c r="A1238" i="1"/>
  <c r="F1238" i="1"/>
  <c r="G1238" i="1"/>
  <c r="I1238" i="1"/>
  <c r="A1239" i="1"/>
  <c r="F1239" i="1"/>
  <c r="G1239" i="1"/>
  <c r="I1239" i="1"/>
  <c r="A1240" i="1"/>
  <c r="F1240" i="1"/>
  <c r="G1240" i="1"/>
  <c r="I1240" i="1"/>
  <c r="A1241" i="1"/>
  <c r="F1241" i="1"/>
  <c r="G1241" i="1"/>
  <c r="I1241" i="1"/>
  <c r="A1242" i="1"/>
  <c r="F1242" i="1"/>
  <c r="G1242" i="1"/>
  <c r="I1242" i="1"/>
  <c r="A1243" i="1"/>
  <c r="F1243" i="1"/>
  <c r="G1243" i="1"/>
  <c r="I1243" i="1"/>
  <c r="A1244" i="1"/>
  <c r="F1244" i="1"/>
  <c r="G1244" i="1"/>
  <c r="I1244" i="1"/>
  <c r="A1245" i="1"/>
  <c r="F1245" i="1"/>
  <c r="G1245" i="1"/>
  <c r="I1245" i="1"/>
  <c r="A1246" i="1"/>
  <c r="F1246" i="1"/>
  <c r="G1246" i="1"/>
  <c r="I1246" i="1"/>
  <c r="A1247" i="1"/>
  <c r="F1247" i="1"/>
  <c r="G1247" i="1"/>
  <c r="I1247" i="1"/>
  <c r="A1248" i="1"/>
  <c r="F1248" i="1"/>
  <c r="G1248" i="1"/>
  <c r="I1248" i="1"/>
  <c r="A1249" i="1"/>
  <c r="F1249" i="1"/>
  <c r="G1249" i="1"/>
  <c r="I1249" i="1"/>
  <c r="A1250" i="1"/>
  <c r="F1250" i="1"/>
  <c r="G1250" i="1"/>
  <c r="I1250" i="1"/>
  <c r="A1251" i="1"/>
  <c r="F1251" i="1"/>
  <c r="G1251" i="1"/>
  <c r="I1251" i="1"/>
  <c r="A1252" i="1"/>
  <c r="F1252" i="1"/>
  <c r="G1252" i="1"/>
  <c r="I1252" i="1"/>
  <c r="A1253" i="1"/>
  <c r="F1253" i="1"/>
  <c r="G1253" i="1"/>
  <c r="I1253" i="1"/>
  <c r="A1254" i="1"/>
  <c r="F1254" i="1"/>
  <c r="G1254" i="1"/>
  <c r="I1254" i="1"/>
  <c r="A1255" i="1"/>
  <c r="F1255" i="1"/>
  <c r="G1255" i="1"/>
  <c r="I1255" i="1"/>
  <c r="A1256" i="1"/>
  <c r="F1256" i="1"/>
  <c r="G1256" i="1"/>
  <c r="I1256" i="1"/>
  <c r="A1257" i="1"/>
  <c r="F1257" i="1"/>
  <c r="G1257" i="1"/>
  <c r="I1257" i="1"/>
  <c r="A1258" i="1"/>
  <c r="F1258" i="1"/>
  <c r="G1258" i="1"/>
  <c r="I1258" i="1"/>
  <c r="A1259" i="1"/>
  <c r="F1259" i="1"/>
  <c r="G1259" i="1"/>
  <c r="I1259" i="1"/>
  <c r="A1260" i="1"/>
  <c r="F1260" i="1"/>
  <c r="G1260" i="1"/>
  <c r="I1260" i="1"/>
  <c r="A1261" i="1"/>
  <c r="F1261" i="1"/>
  <c r="G1261" i="1"/>
  <c r="I1261" i="1"/>
  <c r="A1262" i="1"/>
  <c r="F1262" i="1"/>
  <c r="G1262" i="1"/>
  <c r="I1262" i="1"/>
  <c r="A1263" i="1"/>
  <c r="F1263" i="1"/>
  <c r="G1263" i="1"/>
  <c r="I1263" i="1"/>
  <c r="A1264" i="1"/>
  <c r="F1264" i="1"/>
  <c r="G1264" i="1"/>
  <c r="I1264" i="1"/>
  <c r="A1265" i="1"/>
  <c r="F1265" i="1"/>
  <c r="G1265" i="1"/>
  <c r="I1265" i="1"/>
  <c r="A1266" i="1"/>
  <c r="F1266" i="1"/>
  <c r="G1266" i="1"/>
  <c r="I1266" i="1"/>
  <c r="A1267" i="1"/>
  <c r="F1267" i="1"/>
  <c r="G1267" i="1"/>
  <c r="I1267" i="1"/>
  <c r="A1268" i="1"/>
  <c r="F1268" i="1"/>
  <c r="G1268" i="1"/>
  <c r="I1268" i="1"/>
  <c r="A1269" i="1"/>
  <c r="F1269" i="1"/>
  <c r="G1269" i="1"/>
  <c r="I1269" i="1"/>
  <c r="A1270" i="1"/>
  <c r="F1270" i="1"/>
  <c r="G1270" i="1"/>
  <c r="I1270" i="1"/>
  <c r="A1271" i="1"/>
  <c r="F1271" i="1"/>
  <c r="G1271" i="1"/>
  <c r="I1271" i="1"/>
  <c r="A1272" i="1"/>
  <c r="F1272" i="1"/>
  <c r="G1272" i="1"/>
  <c r="I1272" i="1"/>
  <c r="A1273" i="1"/>
  <c r="F1273" i="1"/>
  <c r="G1273" i="1"/>
  <c r="I1273" i="1"/>
  <c r="A1274" i="1"/>
  <c r="F1274" i="1"/>
  <c r="G1274" i="1"/>
  <c r="I1274" i="1"/>
  <c r="A1275" i="1"/>
  <c r="F1275" i="1"/>
  <c r="G1275" i="1"/>
  <c r="I1275" i="1"/>
  <c r="A1276" i="1"/>
  <c r="F1276" i="1"/>
  <c r="G1276" i="1"/>
  <c r="I1276" i="1"/>
  <c r="A1277" i="1"/>
  <c r="F1277" i="1"/>
  <c r="G1277" i="1"/>
  <c r="I1277" i="1"/>
  <c r="A1278" i="1"/>
  <c r="F1278" i="1"/>
  <c r="G1278" i="1"/>
  <c r="I1278" i="1"/>
  <c r="A1279" i="1"/>
  <c r="F1279" i="1"/>
  <c r="G1279" i="1"/>
  <c r="I1279" i="1"/>
  <c r="A1280" i="1"/>
  <c r="F1280" i="1"/>
  <c r="G1280" i="1"/>
  <c r="I1280" i="1"/>
  <c r="A1281" i="1"/>
  <c r="F1281" i="1"/>
  <c r="G1281" i="1"/>
  <c r="I1281" i="1"/>
  <c r="A1282" i="1"/>
  <c r="F1282" i="1"/>
  <c r="G1282" i="1"/>
  <c r="I1282" i="1"/>
  <c r="A1283" i="1"/>
  <c r="F1283" i="1"/>
  <c r="G1283" i="1"/>
  <c r="I1283" i="1"/>
  <c r="A1284" i="1"/>
  <c r="F1284" i="1"/>
  <c r="G1284" i="1"/>
  <c r="I1284" i="1"/>
  <c r="A1285" i="1"/>
  <c r="F1285" i="1"/>
  <c r="G1285" i="1"/>
  <c r="I1285" i="1"/>
  <c r="A1286" i="1"/>
  <c r="F1286" i="1"/>
  <c r="G1286" i="1"/>
  <c r="I1286" i="1"/>
  <c r="A1287" i="1"/>
  <c r="H1287" i="1"/>
  <c r="I1287" i="1"/>
  <c r="J1287" i="1"/>
  <c r="A1288" i="1"/>
  <c r="F1288" i="1"/>
  <c r="G1288" i="1"/>
  <c r="I1288" i="1"/>
  <c r="A1289" i="1"/>
  <c r="F1289" i="1"/>
  <c r="G1289" i="1"/>
  <c r="I1289" i="1"/>
  <c r="A1290" i="1"/>
  <c r="F1290" i="1"/>
  <c r="G1290" i="1"/>
  <c r="I1290" i="1"/>
  <c r="A1291" i="1"/>
  <c r="F1291" i="1"/>
  <c r="G1291" i="1"/>
  <c r="I1291" i="1"/>
  <c r="A1292" i="1"/>
  <c r="F1292" i="1"/>
  <c r="G1292" i="1"/>
  <c r="I1292" i="1"/>
  <c r="A1293" i="1"/>
  <c r="F1293" i="1"/>
  <c r="G1293" i="1"/>
  <c r="I1293" i="1"/>
  <c r="A1294" i="1"/>
  <c r="F1294" i="1"/>
  <c r="G1294" i="1"/>
  <c r="I1294" i="1"/>
  <c r="A1295" i="1"/>
  <c r="F1295" i="1"/>
  <c r="G1295" i="1"/>
  <c r="I1295" i="1"/>
  <c r="A1296" i="1"/>
  <c r="F1296" i="1"/>
  <c r="G1296" i="1"/>
  <c r="I1296" i="1"/>
  <c r="A1297" i="1"/>
  <c r="F1297" i="1"/>
  <c r="G1297" i="1"/>
  <c r="I1297" i="1"/>
  <c r="A1298" i="1"/>
  <c r="F1298" i="1"/>
  <c r="G1298" i="1"/>
  <c r="I1298" i="1"/>
  <c r="A1299" i="1"/>
  <c r="F1299" i="1"/>
  <c r="G1299" i="1"/>
  <c r="I1299" i="1"/>
  <c r="A1300" i="1"/>
  <c r="F1300" i="1"/>
  <c r="G1300" i="1"/>
  <c r="I1300" i="1"/>
  <c r="A1301" i="1"/>
  <c r="F1301" i="1"/>
  <c r="G1301" i="1"/>
  <c r="I1301" i="1"/>
  <c r="A1302" i="1"/>
  <c r="F1302" i="1"/>
  <c r="G1302" i="1"/>
  <c r="I1302" i="1"/>
  <c r="A1303" i="1"/>
  <c r="F1303" i="1"/>
  <c r="G1303" i="1"/>
  <c r="I1303" i="1"/>
  <c r="A1304" i="1"/>
  <c r="F1304" i="1"/>
  <c r="G1304" i="1"/>
  <c r="I1304" i="1"/>
  <c r="A1305" i="1"/>
  <c r="F1305" i="1"/>
  <c r="G1305" i="1"/>
  <c r="I1305" i="1"/>
  <c r="A1306" i="1"/>
  <c r="F1306" i="1"/>
  <c r="G1306" i="1"/>
  <c r="I1306" i="1"/>
  <c r="A1307" i="1"/>
  <c r="F1307" i="1"/>
  <c r="G1307" i="1"/>
  <c r="I1307" i="1"/>
  <c r="A1308" i="1"/>
  <c r="F1308" i="1"/>
  <c r="G1308" i="1"/>
  <c r="I1308" i="1"/>
  <c r="A1309" i="1"/>
  <c r="F1309" i="1"/>
  <c r="G1309" i="1"/>
  <c r="I1309" i="1"/>
  <c r="A1310" i="1"/>
  <c r="F1310" i="1"/>
  <c r="G1310" i="1"/>
  <c r="I1310" i="1"/>
  <c r="A1311" i="1"/>
  <c r="F1311" i="1"/>
  <c r="G1311" i="1"/>
  <c r="I1311" i="1"/>
  <c r="A1312" i="1"/>
  <c r="F1312" i="1"/>
  <c r="G1312" i="1"/>
  <c r="I1312" i="1"/>
  <c r="A1313" i="1"/>
  <c r="F1313" i="1"/>
  <c r="G1313" i="1"/>
  <c r="I1313" i="1"/>
  <c r="A1314" i="1"/>
  <c r="F1314" i="1"/>
  <c r="G1314" i="1"/>
  <c r="I1314" i="1"/>
  <c r="A1315" i="1"/>
  <c r="F1315" i="1"/>
  <c r="G1315" i="1"/>
  <c r="I1315" i="1"/>
  <c r="A1316" i="1"/>
  <c r="F1316" i="1"/>
  <c r="G1316" i="1"/>
  <c r="I1316" i="1"/>
  <c r="A1317" i="1"/>
  <c r="F1317" i="1"/>
  <c r="G1317" i="1"/>
  <c r="I1317" i="1"/>
  <c r="A1318" i="1"/>
  <c r="F1318" i="1"/>
  <c r="G1318" i="1"/>
  <c r="I1318" i="1"/>
  <c r="A1319" i="1"/>
  <c r="F1319" i="1"/>
  <c r="G1319" i="1"/>
  <c r="I1319" i="1"/>
  <c r="A1320" i="1"/>
  <c r="F1320" i="1"/>
  <c r="G1320" i="1"/>
  <c r="I1320" i="1"/>
  <c r="A1321" i="1"/>
  <c r="F1321" i="1"/>
  <c r="G1321" i="1"/>
  <c r="I1321" i="1"/>
  <c r="A1322" i="1"/>
  <c r="F1322" i="1"/>
  <c r="G1322" i="1"/>
  <c r="I1322" i="1"/>
  <c r="A1323" i="1"/>
  <c r="F1323" i="1"/>
  <c r="G1323" i="1"/>
  <c r="I1323" i="1"/>
  <c r="A1324" i="1"/>
  <c r="F1324" i="1"/>
  <c r="G1324" i="1"/>
  <c r="I1324" i="1"/>
  <c r="A1325" i="1"/>
  <c r="F1325" i="1"/>
  <c r="G1325" i="1"/>
  <c r="I1325" i="1"/>
  <c r="A1326" i="1"/>
  <c r="F1326" i="1"/>
  <c r="G1326" i="1"/>
  <c r="I1326" i="1"/>
  <c r="A1327" i="1"/>
  <c r="F1327" i="1"/>
  <c r="G1327" i="1"/>
  <c r="I1327" i="1"/>
  <c r="A1328" i="1"/>
  <c r="F1328" i="1"/>
  <c r="G1328" i="1"/>
  <c r="I1328" i="1"/>
  <c r="A1329" i="1"/>
  <c r="F1329" i="1"/>
  <c r="G1329" i="1"/>
  <c r="I1329" i="1"/>
  <c r="A1330" i="1"/>
  <c r="F1330" i="1"/>
  <c r="G1330" i="1"/>
  <c r="I1330" i="1"/>
  <c r="A1331" i="1"/>
  <c r="F1331" i="1"/>
  <c r="G1331" i="1"/>
  <c r="I1331" i="1"/>
  <c r="A1332" i="1"/>
  <c r="F1332" i="1"/>
  <c r="G1332" i="1"/>
  <c r="I1332" i="1"/>
  <c r="A1333" i="1"/>
  <c r="F1333" i="1"/>
  <c r="G1333" i="1"/>
  <c r="I1333" i="1"/>
  <c r="A1334" i="1"/>
  <c r="F1334" i="1"/>
  <c r="G1334" i="1"/>
  <c r="I1334" i="1"/>
  <c r="A1335" i="1"/>
  <c r="F1335" i="1"/>
  <c r="G1335" i="1"/>
  <c r="I1335" i="1"/>
  <c r="A1336" i="1"/>
  <c r="F1336" i="1"/>
  <c r="G1336" i="1"/>
  <c r="I1336" i="1"/>
  <c r="A1337" i="1"/>
  <c r="F1337" i="1"/>
  <c r="G1337" i="1"/>
  <c r="I1337" i="1"/>
  <c r="A1338" i="1"/>
  <c r="F1338" i="1"/>
  <c r="G1338" i="1"/>
  <c r="I1338" i="1"/>
  <c r="A1339" i="1"/>
  <c r="F1339" i="1"/>
  <c r="G1339" i="1"/>
  <c r="I1339" i="1"/>
  <c r="A1340" i="1"/>
  <c r="F1340" i="1"/>
  <c r="G1340" i="1"/>
  <c r="I1340" i="1"/>
  <c r="A1341" i="1"/>
  <c r="F1341" i="1"/>
  <c r="G1341" i="1"/>
  <c r="I1341" i="1"/>
  <c r="A1342" i="1"/>
  <c r="F1342" i="1"/>
  <c r="G1342" i="1"/>
  <c r="I1342" i="1"/>
  <c r="A1343" i="1"/>
  <c r="F1343" i="1"/>
  <c r="G1343" i="1"/>
  <c r="I1343" i="1"/>
  <c r="A1344" i="1"/>
  <c r="F1344" i="1"/>
  <c r="G1344" i="1"/>
  <c r="I1344" i="1"/>
  <c r="A1345" i="1"/>
  <c r="F1345" i="1"/>
  <c r="G1345" i="1"/>
  <c r="I1345" i="1"/>
  <c r="A1346" i="1"/>
  <c r="F1346" i="1"/>
  <c r="G1346" i="1"/>
  <c r="I1346" i="1"/>
  <c r="A1347" i="1"/>
  <c r="F1347" i="1"/>
  <c r="G1347" i="1"/>
  <c r="I1347" i="1"/>
  <c r="A1348" i="1"/>
  <c r="F1348" i="1"/>
  <c r="G1348" i="1"/>
  <c r="I1348" i="1"/>
  <c r="A1349" i="1"/>
  <c r="F1349" i="1"/>
  <c r="G1349" i="1"/>
  <c r="I1349" i="1"/>
  <c r="A1350" i="1"/>
  <c r="F1350" i="1"/>
  <c r="G1350" i="1"/>
  <c r="I1350" i="1"/>
  <c r="A1351" i="1"/>
  <c r="F1351" i="1"/>
  <c r="G1351" i="1"/>
  <c r="I1351" i="1"/>
  <c r="A1352" i="1"/>
  <c r="F1352" i="1"/>
  <c r="G1352" i="1"/>
  <c r="I1352" i="1"/>
  <c r="A1353" i="1"/>
  <c r="F1353" i="1"/>
  <c r="G1353" i="1"/>
  <c r="I1353" i="1"/>
  <c r="A1354" i="1"/>
  <c r="F1354" i="1"/>
  <c r="G1354" i="1"/>
  <c r="I1354" i="1"/>
  <c r="A1355" i="1"/>
  <c r="F1355" i="1"/>
  <c r="G1355" i="1"/>
  <c r="I1355" i="1"/>
  <c r="A1356" i="1"/>
  <c r="F1356" i="1"/>
  <c r="G1356" i="1"/>
  <c r="I1356" i="1"/>
  <c r="A1357" i="1"/>
  <c r="F1357" i="1"/>
  <c r="G1357" i="1"/>
  <c r="I1357" i="1"/>
  <c r="A1358" i="1"/>
  <c r="F1358" i="1"/>
  <c r="G1358" i="1"/>
  <c r="I1358" i="1"/>
  <c r="A1359" i="1"/>
  <c r="F1359" i="1"/>
  <c r="G1359" i="1"/>
  <c r="I1359" i="1"/>
  <c r="A1360" i="1"/>
  <c r="F1360" i="1"/>
  <c r="G1360" i="1"/>
  <c r="I1360" i="1"/>
  <c r="A1361" i="1"/>
  <c r="F1361" i="1"/>
  <c r="G1361" i="1"/>
  <c r="I1361" i="1"/>
  <c r="A1362" i="1"/>
  <c r="F1362" i="1"/>
  <c r="G1362" i="1"/>
  <c r="I1362" i="1"/>
  <c r="A1363" i="1"/>
  <c r="F1363" i="1"/>
  <c r="G1363" i="1"/>
  <c r="I1363" i="1"/>
  <c r="A1364" i="1"/>
  <c r="F1364" i="1"/>
  <c r="G1364" i="1"/>
  <c r="I1364" i="1"/>
  <c r="A1365" i="1"/>
  <c r="F1365" i="1"/>
  <c r="G1365" i="1"/>
  <c r="I1365" i="1"/>
  <c r="A1366" i="1"/>
  <c r="F1366" i="1"/>
  <c r="G1366" i="1"/>
  <c r="I1366" i="1"/>
  <c r="A1367" i="1"/>
  <c r="F1367" i="1"/>
  <c r="G1367" i="1"/>
  <c r="I1367" i="1"/>
  <c r="A1368" i="1"/>
  <c r="F1368" i="1"/>
  <c r="G1368" i="1"/>
  <c r="I1368" i="1"/>
  <c r="A1369" i="1"/>
  <c r="F1369" i="1"/>
  <c r="G1369" i="1"/>
  <c r="I1369" i="1"/>
  <c r="A1370" i="1"/>
  <c r="F1370" i="1"/>
  <c r="G1370" i="1"/>
  <c r="I1370" i="1"/>
  <c r="A1371" i="1"/>
  <c r="F1371" i="1"/>
  <c r="G1371" i="1"/>
  <c r="I1371" i="1"/>
  <c r="A1372" i="1"/>
  <c r="F1372" i="1"/>
  <c r="G1372" i="1"/>
  <c r="I1372" i="1"/>
  <c r="A1373" i="1"/>
  <c r="F1373" i="1"/>
  <c r="G1373" i="1"/>
  <c r="I1373" i="1"/>
  <c r="A1374" i="1"/>
  <c r="F1374" i="1"/>
  <c r="G1374" i="1"/>
  <c r="I1374" i="1"/>
  <c r="A1375" i="1"/>
  <c r="F1375" i="1"/>
  <c r="G1375" i="1"/>
  <c r="I1375" i="1"/>
  <c r="A1376" i="1"/>
  <c r="F1376" i="1"/>
  <c r="G1376" i="1"/>
  <c r="I1376" i="1"/>
  <c r="A1377" i="1"/>
  <c r="F1377" i="1"/>
  <c r="G1377" i="1"/>
  <c r="I1377" i="1"/>
  <c r="A1378" i="1"/>
  <c r="F1378" i="1"/>
  <c r="G1378" i="1"/>
  <c r="I1378" i="1"/>
  <c r="A1379" i="1"/>
  <c r="F1379" i="1"/>
  <c r="G1379" i="1"/>
  <c r="I1379" i="1"/>
  <c r="A1380" i="1"/>
  <c r="F1380" i="1"/>
  <c r="G1380" i="1"/>
  <c r="I1380" i="1"/>
  <c r="A1381" i="1"/>
  <c r="F1381" i="1"/>
  <c r="G1381" i="1"/>
  <c r="I1381" i="1"/>
  <c r="A1382" i="1"/>
  <c r="F1382" i="1"/>
  <c r="G1382" i="1"/>
  <c r="I1382" i="1"/>
  <c r="A1383" i="1"/>
  <c r="F1383" i="1"/>
  <c r="G1383" i="1"/>
  <c r="I1383" i="1"/>
  <c r="A1384" i="1"/>
  <c r="F1384" i="1"/>
  <c r="G1384" i="1"/>
  <c r="I1384" i="1"/>
  <c r="A1385" i="1"/>
  <c r="F1385" i="1"/>
  <c r="G1385" i="1"/>
  <c r="I1385" i="1"/>
  <c r="A1386" i="1"/>
  <c r="F1386" i="1"/>
  <c r="G1386" i="1"/>
  <c r="I1386" i="1"/>
  <c r="A1387" i="1"/>
  <c r="F1387" i="1"/>
  <c r="G1387" i="1"/>
  <c r="I1387" i="1"/>
  <c r="A1388" i="1"/>
  <c r="F1388" i="1"/>
  <c r="G1388" i="1"/>
  <c r="I1388" i="1"/>
  <c r="A1389" i="1"/>
  <c r="F1389" i="1"/>
  <c r="G1389" i="1"/>
  <c r="I1389" i="1"/>
  <c r="A1390" i="1"/>
  <c r="F1390" i="1"/>
  <c r="G1390" i="1"/>
  <c r="I1390" i="1"/>
  <c r="A1391" i="1"/>
  <c r="F1391" i="1"/>
  <c r="G1391" i="1"/>
  <c r="I1391" i="1"/>
  <c r="A1392" i="1"/>
  <c r="F1392" i="1"/>
  <c r="G1392" i="1"/>
  <c r="I1392" i="1"/>
  <c r="A1393" i="1"/>
  <c r="F1393" i="1"/>
  <c r="G1393" i="1"/>
  <c r="I1393" i="1"/>
  <c r="A1394" i="1"/>
  <c r="F1394" i="1"/>
  <c r="G1394" i="1"/>
  <c r="I1394" i="1"/>
  <c r="A1395" i="1"/>
  <c r="F1395" i="1"/>
  <c r="G1395" i="1"/>
  <c r="I1395" i="1"/>
  <c r="A1396" i="1"/>
  <c r="F1396" i="1"/>
  <c r="G1396" i="1"/>
  <c r="I1396" i="1"/>
  <c r="A1397" i="1"/>
  <c r="F1397" i="1"/>
  <c r="G1397" i="1"/>
  <c r="I1397" i="1"/>
  <c r="A1398" i="1"/>
  <c r="F1398" i="1"/>
  <c r="G1398" i="1"/>
  <c r="I1398" i="1"/>
  <c r="A1399" i="1"/>
  <c r="F1399" i="1"/>
  <c r="G1399" i="1"/>
  <c r="I1399" i="1"/>
  <c r="A1400" i="1"/>
  <c r="F1400" i="1"/>
  <c r="G1400" i="1"/>
  <c r="I1400" i="1"/>
  <c r="A1401" i="1"/>
  <c r="F1401" i="1"/>
  <c r="G1401" i="1"/>
  <c r="I1401" i="1"/>
  <c r="A1402" i="1"/>
  <c r="F1402" i="1"/>
  <c r="G1402" i="1"/>
  <c r="I1402" i="1"/>
  <c r="A1403" i="1"/>
  <c r="F1403" i="1"/>
  <c r="G1403" i="1"/>
  <c r="I1403" i="1"/>
  <c r="A1404" i="1"/>
  <c r="F1404" i="1"/>
  <c r="G1404" i="1"/>
  <c r="I1404" i="1"/>
  <c r="A1405" i="1"/>
  <c r="F1405" i="1"/>
  <c r="G1405" i="1"/>
  <c r="I1405" i="1"/>
  <c r="A1406" i="1"/>
  <c r="F1406" i="1"/>
  <c r="G1406" i="1"/>
  <c r="I1406" i="1"/>
  <c r="A1407" i="1"/>
  <c r="F1407" i="1"/>
  <c r="G1407" i="1"/>
  <c r="I1407" i="1"/>
  <c r="A1408" i="1"/>
  <c r="F1408" i="1"/>
  <c r="G1408" i="1"/>
  <c r="I1408" i="1"/>
  <c r="A1409" i="1"/>
  <c r="F1409" i="1"/>
  <c r="G1409" i="1"/>
  <c r="I1409" i="1"/>
  <c r="A1410" i="1"/>
  <c r="F1410" i="1"/>
  <c r="G1410" i="1"/>
  <c r="I1410" i="1"/>
  <c r="A1411" i="1"/>
  <c r="F1411" i="1"/>
  <c r="G1411" i="1"/>
  <c r="I1411" i="1"/>
  <c r="A1412" i="1"/>
  <c r="F1412" i="1"/>
  <c r="G1412" i="1"/>
  <c r="I1412" i="1"/>
  <c r="A1413" i="1"/>
  <c r="F1413" i="1"/>
  <c r="G1413" i="1"/>
  <c r="I1413" i="1"/>
  <c r="A1414" i="1"/>
  <c r="F1414" i="1"/>
  <c r="G1414" i="1"/>
  <c r="I1414" i="1"/>
  <c r="A1415" i="1"/>
  <c r="F1415" i="1"/>
  <c r="G1415" i="1"/>
  <c r="I1415" i="1"/>
  <c r="A1416" i="1"/>
  <c r="F1416" i="1"/>
  <c r="G1416" i="1"/>
  <c r="I1416" i="1"/>
  <c r="A1417" i="1"/>
  <c r="F1417" i="1"/>
  <c r="G1417" i="1"/>
  <c r="I1417" i="1"/>
  <c r="A1418" i="1"/>
  <c r="F1418" i="1"/>
  <c r="G1418" i="1"/>
  <c r="I1418" i="1"/>
  <c r="A1419" i="1"/>
  <c r="F1419" i="1"/>
  <c r="G1419" i="1"/>
  <c r="I1419" i="1"/>
  <c r="A1420" i="1"/>
  <c r="F1420" i="1"/>
  <c r="G1420" i="1"/>
  <c r="I1420" i="1"/>
  <c r="A1421" i="1"/>
  <c r="F1421" i="1"/>
  <c r="G1421" i="1"/>
  <c r="I1421" i="1"/>
  <c r="A1422" i="1"/>
  <c r="F1422" i="1"/>
  <c r="G1422" i="1"/>
  <c r="I1422" i="1"/>
  <c r="A1423" i="1"/>
  <c r="F1423" i="1"/>
  <c r="G1423" i="1"/>
  <c r="I1423" i="1"/>
  <c r="A1424" i="1"/>
  <c r="F1424" i="1"/>
  <c r="G1424" i="1"/>
  <c r="I1424" i="1"/>
  <c r="A1425" i="1"/>
  <c r="F1425" i="1"/>
  <c r="G1425" i="1"/>
  <c r="I1425" i="1"/>
  <c r="A1426" i="1"/>
  <c r="F1426" i="1"/>
  <c r="G1426" i="1"/>
  <c r="I1426" i="1"/>
  <c r="A1427" i="1"/>
  <c r="F1427" i="1"/>
  <c r="G1427" i="1"/>
  <c r="I1427" i="1"/>
  <c r="A1428" i="1"/>
  <c r="F1428" i="1"/>
  <c r="G1428" i="1"/>
  <c r="I1428" i="1"/>
  <c r="A1429" i="1"/>
  <c r="F1429" i="1"/>
  <c r="G1429" i="1"/>
  <c r="I1429" i="1"/>
  <c r="A1430" i="1"/>
  <c r="F1430" i="1"/>
  <c r="G1430" i="1"/>
  <c r="I1430" i="1"/>
  <c r="A1431" i="1"/>
  <c r="F1431" i="1"/>
  <c r="G1431" i="1"/>
  <c r="I1431" i="1"/>
  <c r="A1432" i="1"/>
  <c r="F1432" i="1"/>
  <c r="G1432" i="1"/>
  <c r="I1432" i="1"/>
  <c r="A1433" i="1"/>
  <c r="F1433" i="1"/>
  <c r="G1433" i="1"/>
  <c r="I1433" i="1"/>
  <c r="A1434" i="1"/>
  <c r="F1434" i="1"/>
  <c r="G1434" i="1"/>
  <c r="I1434" i="1"/>
  <c r="A1435" i="1"/>
  <c r="F1435" i="1"/>
  <c r="G1435" i="1"/>
  <c r="I1435" i="1"/>
  <c r="A1436" i="1"/>
  <c r="F1436" i="1"/>
  <c r="G1436" i="1"/>
  <c r="I1436" i="1"/>
  <c r="A1437" i="1"/>
  <c r="F1437" i="1"/>
  <c r="G1437" i="1"/>
  <c r="I1437" i="1"/>
  <c r="A1438" i="1"/>
  <c r="F1438" i="1"/>
  <c r="G1438" i="1"/>
  <c r="I1438" i="1"/>
  <c r="A1439" i="1"/>
  <c r="F1439" i="1"/>
  <c r="G1439" i="1"/>
  <c r="I1439" i="1"/>
  <c r="A1440" i="1"/>
  <c r="F1440" i="1"/>
  <c r="G1440" i="1"/>
  <c r="I1440" i="1"/>
  <c r="A1441" i="1"/>
  <c r="F1441" i="1"/>
  <c r="G1441" i="1"/>
  <c r="I1441" i="1"/>
  <c r="A1442" i="1"/>
  <c r="F1442" i="1"/>
  <c r="G1442" i="1"/>
  <c r="I1442" i="1"/>
  <c r="A1443" i="1"/>
  <c r="F1443" i="1"/>
  <c r="G1443" i="1"/>
  <c r="I1443" i="1"/>
  <c r="A1444" i="1"/>
  <c r="F1444" i="1"/>
  <c r="G1444" i="1"/>
  <c r="I1444" i="1"/>
  <c r="A1445" i="1"/>
  <c r="F1445" i="1"/>
  <c r="G1445" i="1"/>
  <c r="I1445" i="1"/>
  <c r="A1446" i="1"/>
  <c r="F1446" i="1"/>
  <c r="G1446" i="1"/>
  <c r="I1446" i="1"/>
  <c r="A1447" i="1"/>
  <c r="F1447" i="1"/>
  <c r="G1447" i="1"/>
  <c r="I1447" i="1"/>
  <c r="A1448" i="1"/>
  <c r="F1448" i="1"/>
  <c r="G1448" i="1"/>
  <c r="I1448" i="1"/>
  <c r="A1449" i="1"/>
  <c r="F1449" i="1"/>
  <c r="G1449" i="1"/>
  <c r="I1449" i="1"/>
  <c r="A1450" i="1"/>
  <c r="F1450" i="1"/>
  <c r="G1450" i="1"/>
  <c r="I1450" i="1"/>
  <c r="A1451" i="1"/>
  <c r="F1451" i="1"/>
  <c r="G1451" i="1"/>
  <c r="I1451" i="1"/>
  <c r="A1452" i="1"/>
  <c r="F1452" i="1"/>
  <c r="G1452" i="1"/>
  <c r="I1452" i="1"/>
  <c r="A1453" i="1"/>
  <c r="F1453" i="1"/>
  <c r="G1453" i="1"/>
  <c r="I1453" i="1"/>
  <c r="A1454" i="1"/>
  <c r="F1454" i="1"/>
  <c r="G1454" i="1"/>
  <c r="I1454" i="1"/>
  <c r="A1455" i="1"/>
  <c r="F1455" i="1"/>
  <c r="G1455" i="1"/>
  <c r="I1455" i="1"/>
  <c r="A1456" i="1"/>
  <c r="F1456" i="1"/>
  <c r="G1456" i="1"/>
  <c r="I1456" i="1"/>
  <c r="A1457" i="1"/>
  <c r="F1457" i="1"/>
  <c r="G1457" i="1"/>
  <c r="A1458" i="1"/>
  <c r="F1458" i="1"/>
  <c r="G1458" i="1"/>
  <c r="A1459" i="1"/>
  <c r="F1459" i="1"/>
  <c r="G1459" i="1"/>
  <c r="I1459" i="1"/>
  <c r="A1460" i="1"/>
  <c r="F1460" i="1"/>
  <c r="G1460" i="1"/>
  <c r="I1460" i="1"/>
  <c r="A1461" i="1"/>
  <c r="F1461" i="1"/>
  <c r="G1461" i="1"/>
  <c r="I1461" i="1"/>
  <c r="A1462" i="1"/>
  <c r="F1462" i="1"/>
  <c r="G1462" i="1"/>
  <c r="I1462" i="1"/>
  <c r="A1463" i="1"/>
  <c r="F1463" i="1"/>
  <c r="G1463" i="1"/>
  <c r="I1463" i="1"/>
  <c r="A1464" i="1"/>
  <c r="F1464" i="1"/>
  <c r="G1464" i="1"/>
  <c r="I1464" i="1"/>
  <c r="A1465" i="1"/>
  <c r="F1465" i="1"/>
  <c r="G1465" i="1"/>
  <c r="I1465" i="1"/>
  <c r="A1466" i="1"/>
  <c r="F1466" i="1"/>
  <c r="G1466" i="1"/>
  <c r="I1466" i="1"/>
  <c r="A1467" i="1"/>
  <c r="F1467" i="1"/>
  <c r="G1467" i="1"/>
  <c r="I1467" i="1"/>
  <c r="A1468" i="1"/>
  <c r="F1468" i="1"/>
  <c r="G1468" i="1"/>
  <c r="I1468" i="1"/>
  <c r="A1469" i="1"/>
  <c r="F1469" i="1"/>
  <c r="G1469" i="1"/>
  <c r="I1469" i="1"/>
  <c r="A1470" i="1"/>
  <c r="F1470" i="1"/>
  <c r="G1470" i="1"/>
  <c r="I1470" i="1"/>
  <c r="A1471" i="1"/>
  <c r="F1471" i="1"/>
  <c r="G1471" i="1"/>
  <c r="I1471" i="1"/>
  <c r="A1472" i="1"/>
  <c r="F1472" i="1"/>
  <c r="G1472" i="1"/>
  <c r="I1472" i="1"/>
  <c r="A1473" i="1"/>
  <c r="F1473" i="1"/>
  <c r="G1473" i="1"/>
  <c r="I1473" i="1"/>
  <c r="A1474" i="1"/>
  <c r="F1474" i="1"/>
  <c r="G1474" i="1"/>
  <c r="I1474" i="1"/>
  <c r="A1475" i="1"/>
  <c r="F1475" i="1"/>
  <c r="G1475" i="1"/>
  <c r="I1475" i="1"/>
  <c r="A1476" i="1"/>
  <c r="F1476" i="1"/>
  <c r="G1476" i="1"/>
  <c r="I1476" i="1"/>
  <c r="A1477" i="1"/>
  <c r="F1477" i="1"/>
  <c r="G1477" i="1"/>
  <c r="I1477" i="1"/>
  <c r="A1478" i="1"/>
  <c r="F1478" i="1"/>
  <c r="G1478" i="1"/>
  <c r="I1478" i="1"/>
  <c r="A1479" i="1"/>
  <c r="F1479" i="1"/>
  <c r="G1479" i="1"/>
  <c r="I1479" i="1"/>
  <c r="A1480" i="1"/>
  <c r="F1480" i="1"/>
  <c r="G1480" i="1"/>
  <c r="I1480" i="1"/>
  <c r="A1481" i="1"/>
  <c r="F1481" i="1"/>
  <c r="G1481" i="1"/>
  <c r="I1481" i="1"/>
  <c r="A1482" i="1"/>
  <c r="F1482" i="1"/>
  <c r="G1482" i="1"/>
  <c r="I1482" i="1"/>
  <c r="A1483" i="1"/>
  <c r="F1483" i="1"/>
  <c r="G1483" i="1"/>
  <c r="I1483" i="1"/>
  <c r="A1484" i="1"/>
  <c r="F1484" i="1"/>
  <c r="G1484" i="1"/>
  <c r="I1484" i="1"/>
  <c r="A1485" i="1"/>
  <c r="F1485" i="1"/>
  <c r="G1485" i="1"/>
  <c r="I1485" i="1"/>
  <c r="A1486" i="1"/>
  <c r="F1486" i="1"/>
  <c r="G1486" i="1"/>
  <c r="I1486" i="1"/>
  <c r="A1487" i="1"/>
  <c r="F1487" i="1"/>
  <c r="G1487" i="1"/>
  <c r="I1487" i="1"/>
  <c r="A1488" i="1"/>
  <c r="F1488" i="1"/>
  <c r="G1488" i="1"/>
  <c r="I1488" i="1"/>
  <c r="A1489" i="1"/>
  <c r="F1489" i="1"/>
  <c r="G1489" i="1"/>
  <c r="I1489" i="1"/>
  <c r="A1490" i="1"/>
  <c r="F1490" i="1"/>
  <c r="G1490" i="1"/>
  <c r="I1490" i="1"/>
  <c r="A1491" i="1"/>
  <c r="F1491" i="1"/>
  <c r="G1491" i="1"/>
  <c r="I1491" i="1"/>
  <c r="A1492" i="1"/>
  <c r="F1492" i="1"/>
  <c r="G1492" i="1"/>
  <c r="I1492" i="1"/>
  <c r="A1493" i="1"/>
  <c r="F1493" i="1"/>
  <c r="G1493" i="1"/>
  <c r="I1493" i="1"/>
  <c r="A1494" i="1"/>
  <c r="F1494" i="1"/>
  <c r="G1494" i="1"/>
  <c r="I1494" i="1"/>
  <c r="A1495" i="1"/>
  <c r="F1495" i="1"/>
  <c r="G1495" i="1"/>
  <c r="I1495" i="1"/>
  <c r="A1496" i="1"/>
  <c r="F1496" i="1"/>
  <c r="G1496" i="1"/>
  <c r="I1496" i="1"/>
  <c r="A1497" i="1"/>
  <c r="F1497" i="1"/>
  <c r="G1497" i="1"/>
  <c r="I1497" i="1"/>
  <c r="A1498" i="1"/>
  <c r="F1498" i="1"/>
  <c r="G1498" i="1"/>
  <c r="I1498" i="1"/>
  <c r="A1499" i="1"/>
  <c r="F1499" i="1"/>
  <c r="G1499" i="1"/>
  <c r="I1499" i="1"/>
  <c r="A1500" i="1"/>
  <c r="F1500" i="1"/>
  <c r="G1500" i="1"/>
  <c r="I1500" i="1"/>
  <c r="A1501" i="1"/>
  <c r="F1501" i="1"/>
  <c r="G1501" i="1"/>
  <c r="I1501" i="1"/>
  <c r="A1502" i="1"/>
  <c r="F1502" i="1"/>
  <c r="G1502" i="1"/>
  <c r="I1502" i="1"/>
  <c r="A1503" i="1"/>
  <c r="F1503" i="1"/>
  <c r="G1503" i="1"/>
  <c r="I1503" i="1"/>
  <c r="A1504" i="1"/>
  <c r="F1504" i="1"/>
  <c r="G1504" i="1"/>
  <c r="I1504" i="1"/>
  <c r="A1505" i="1"/>
  <c r="F1505" i="1"/>
  <c r="G1505" i="1"/>
  <c r="I1505" i="1"/>
  <c r="A1506" i="1"/>
  <c r="F1506" i="1"/>
  <c r="G1506" i="1"/>
  <c r="I1506" i="1"/>
  <c r="A1507" i="1"/>
  <c r="F1507" i="1"/>
  <c r="G1507" i="1"/>
  <c r="I1507" i="1"/>
  <c r="A1508" i="1"/>
  <c r="F1508" i="1"/>
  <c r="G1508" i="1"/>
  <c r="I1508" i="1"/>
  <c r="A1509" i="1"/>
  <c r="F1509" i="1"/>
  <c r="G1509" i="1"/>
  <c r="I1509" i="1"/>
  <c r="A1510" i="1"/>
  <c r="F1510" i="1"/>
  <c r="G1510" i="1"/>
  <c r="I1510" i="1"/>
  <c r="A1511" i="1"/>
  <c r="F1511" i="1"/>
  <c r="G1511" i="1"/>
  <c r="I1511" i="1"/>
  <c r="A1512" i="1"/>
  <c r="F1512" i="1"/>
  <c r="G1512" i="1"/>
  <c r="I1512" i="1"/>
  <c r="A1513" i="1"/>
  <c r="F1513" i="1"/>
  <c r="G1513" i="1"/>
  <c r="I1513" i="1"/>
  <c r="A1514" i="1"/>
  <c r="F1514" i="1"/>
  <c r="G1514" i="1"/>
  <c r="I1514" i="1"/>
  <c r="A1515" i="1"/>
  <c r="F1515" i="1"/>
  <c r="G1515" i="1"/>
  <c r="I1515" i="1"/>
  <c r="A1516" i="1"/>
  <c r="F1516" i="1"/>
  <c r="G1516" i="1"/>
  <c r="I1516" i="1"/>
  <c r="A1517" i="1"/>
  <c r="F1517" i="1"/>
  <c r="G1517" i="1"/>
  <c r="I1517" i="1"/>
  <c r="A1518" i="1"/>
  <c r="F1518" i="1"/>
  <c r="G1518" i="1"/>
  <c r="I1518" i="1"/>
  <c r="A1519" i="1"/>
  <c r="F1519" i="1"/>
  <c r="G1519" i="1"/>
  <c r="I1519" i="1"/>
  <c r="A1520" i="1"/>
  <c r="F1520" i="1"/>
  <c r="G1520" i="1"/>
  <c r="I1520" i="1"/>
  <c r="A1521" i="1"/>
  <c r="F1521" i="1"/>
  <c r="G1521" i="1"/>
  <c r="I1521" i="1"/>
  <c r="A1522" i="1"/>
  <c r="F1522" i="1"/>
  <c r="G1522" i="1"/>
  <c r="I1522" i="1"/>
  <c r="A1523" i="1"/>
  <c r="F1523" i="1"/>
  <c r="G1523" i="1"/>
  <c r="I1523" i="1"/>
  <c r="A1524" i="1"/>
  <c r="F1524" i="1"/>
  <c r="G1524" i="1"/>
  <c r="I1524" i="1"/>
  <c r="A1525" i="1"/>
  <c r="F1525" i="1"/>
  <c r="G1525" i="1"/>
  <c r="I1525" i="1"/>
  <c r="A1526" i="1"/>
  <c r="F1526" i="1"/>
  <c r="G1526" i="1"/>
  <c r="I1526" i="1"/>
  <c r="A1527" i="1"/>
  <c r="F1527" i="1"/>
  <c r="G1527" i="1"/>
  <c r="I1527" i="1"/>
  <c r="A1528" i="1"/>
  <c r="F1528" i="1"/>
  <c r="G1528" i="1"/>
  <c r="I1528" i="1"/>
  <c r="A1529" i="1"/>
  <c r="F1529" i="1"/>
  <c r="G1529" i="1"/>
  <c r="I1529" i="1"/>
  <c r="A1530" i="1"/>
  <c r="F1530" i="1"/>
  <c r="G1530" i="1"/>
  <c r="I1530" i="1"/>
  <c r="A1531" i="1"/>
  <c r="F1531" i="1"/>
  <c r="G1531" i="1"/>
  <c r="I1531" i="1"/>
  <c r="A1532" i="1"/>
  <c r="F1532" i="1"/>
  <c r="G1532" i="1"/>
  <c r="I1532" i="1"/>
  <c r="A1533" i="1"/>
  <c r="F1533" i="1"/>
  <c r="G1533" i="1"/>
  <c r="I1533" i="1"/>
  <c r="A1534" i="1"/>
  <c r="F1534" i="1"/>
  <c r="G1534" i="1"/>
  <c r="I1534" i="1"/>
  <c r="A1535" i="1"/>
  <c r="F1535" i="1"/>
  <c r="G1535" i="1"/>
  <c r="I1535" i="1"/>
  <c r="A1536" i="1"/>
  <c r="F1536" i="1"/>
  <c r="G1536" i="1"/>
  <c r="I1536" i="1"/>
  <c r="A1537" i="1"/>
  <c r="F1537" i="1"/>
  <c r="G1537" i="1"/>
  <c r="I1537" i="1"/>
  <c r="A1538" i="1"/>
  <c r="F1538" i="1"/>
  <c r="G1538" i="1"/>
  <c r="I1538" i="1"/>
  <c r="A1539" i="1"/>
  <c r="F1539" i="1"/>
  <c r="G1539" i="1"/>
  <c r="I1539" i="1"/>
  <c r="A1540" i="1"/>
  <c r="F1540" i="1"/>
  <c r="G1540" i="1"/>
  <c r="I1540" i="1"/>
  <c r="A1541" i="1"/>
  <c r="F1541" i="1"/>
  <c r="G1541" i="1"/>
  <c r="I1541" i="1"/>
  <c r="A1542" i="1"/>
  <c r="F1542" i="1"/>
  <c r="G1542" i="1"/>
  <c r="I1542" i="1"/>
  <c r="A1543" i="1"/>
  <c r="F1543" i="1"/>
  <c r="G1543" i="1"/>
  <c r="I1543" i="1"/>
  <c r="A1544" i="1"/>
  <c r="F1544" i="1"/>
  <c r="G1544" i="1"/>
  <c r="I1544" i="1"/>
  <c r="A1545" i="1"/>
  <c r="F1545" i="1"/>
  <c r="G1545" i="1"/>
  <c r="I1545" i="1"/>
  <c r="A1546" i="1"/>
  <c r="F1546" i="1"/>
  <c r="G1546" i="1"/>
  <c r="I1546" i="1"/>
  <c r="A1547" i="1"/>
  <c r="F1547" i="1"/>
  <c r="G1547" i="1"/>
  <c r="I1547" i="1"/>
  <c r="A1548" i="1"/>
  <c r="F1548" i="1"/>
  <c r="G1548" i="1"/>
  <c r="I1548" i="1"/>
  <c r="A1549" i="1"/>
  <c r="F1549" i="1"/>
  <c r="G1549" i="1"/>
  <c r="I1549" i="1"/>
  <c r="A1550" i="1"/>
  <c r="F1550" i="1"/>
  <c r="G1550" i="1"/>
  <c r="I1550" i="1"/>
  <c r="A1551" i="1"/>
  <c r="F1551" i="1"/>
  <c r="G1551" i="1"/>
  <c r="I1551" i="1"/>
  <c r="A1552" i="1"/>
  <c r="F1552" i="1"/>
  <c r="G1552" i="1"/>
  <c r="I1552" i="1"/>
  <c r="A1553" i="1"/>
  <c r="F1553" i="1"/>
  <c r="G1553" i="1"/>
  <c r="I1553" i="1"/>
  <c r="A1554" i="1"/>
  <c r="F1554" i="1"/>
  <c r="G1554" i="1"/>
  <c r="I1554" i="1"/>
  <c r="A1555" i="1"/>
  <c r="F1555" i="1"/>
  <c r="G1555" i="1"/>
  <c r="I1555" i="1"/>
  <c r="A1556" i="1"/>
  <c r="F1556" i="1"/>
  <c r="G1556" i="1"/>
  <c r="I1556" i="1"/>
  <c r="A1557" i="1"/>
  <c r="F1557" i="1"/>
  <c r="G1557" i="1"/>
  <c r="I1557" i="1"/>
  <c r="A1558" i="1"/>
  <c r="F1558" i="1"/>
  <c r="G1558" i="1"/>
  <c r="I1558" i="1"/>
  <c r="A1559" i="1"/>
  <c r="F1559" i="1"/>
  <c r="G1559" i="1"/>
  <c r="I1559" i="1"/>
  <c r="A1560" i="1"/>
  <c r="F1560" i="1"/>
  <c r="G1560" i="1"/>
  <c r="I1560" i="1"/>
  <c r="A1561" i="1"/>
  <c r="F1561" i="1"/>
  <c r="G1561" i="1"/>
  <c r="I1561" i="1"/>
  <c r="A1562" i="1"/>
  <c r="F1562" i="1"/>
  <c r="G1562" i="1"/>
  <c r="I1562" i="1"/>
  <c r="A1563" i="1"/>
  <c r="F1563" i="1"/>
  <c r="G1563" i="1"/>
  <c r="I1563" i="1"/>
  <c r="A1564" i="1"/>
  <c r="F1564" i="1"/>
  <c r="G1564" i="1"/>
  <c r="I1564" i="1"/>
  <c r="A1565" i="1"/>
  <c r="F1565" i="1"/>
  <c r="G1565" i="1"/>
  <c r="I1565" i="1"/>
  <c r="A1566" i="1"/>
  <c r="F1566" i="1"/>
  <c r="G1566" i="1"/>
  <c r="I1566" i="1"/>
  <c r="A1567" i="1"/>
  <c r="F1567" i="1"/>
  <c r="G1567" i="1"/>
  <c r="I1567" i="1"/>
  <c r="A1568" i="1"/>
  <c r="F1568" i="1"/>
  <c r="G1568" i="1"/>
  <c r="I1568" i="1"/>
  <c r="A1569" i="1"/>
  <c r="F1569" i="1"/>
  <c r="G1569" i="1"/>
  <c r="I1569" i="1"/>
  <c r="A1570" i="1"/>
  <c r="F1570" i="1"/>
  <c r="G1570" i="1"/>
  <c r="I1570" i="1"/>
  <c r="A1571" i="1"/>
  <c r="F1571" i="1"/>
  <c r="G1571" i="1"/>
  <c r="I1571" i="1"/>
  <c r="A1572" i="1"/>
  <c r="F1572" i="1"/>
  <c r="G1572" i="1"/>
  <c r="I1572" i="1"/>
  <c r="A1573" i="1"/>
  <c r="F1573" i="1"/>
  <c r="G1573" i="1"/>
  <c r="I1573" i="1"/>
  <c r="A1574" i="1"/>
  <c r="F1574" i="1"/>
  <c r="G1574" i="1"/>
  <c r="I1574" i="1"/>
  <c r="A1575" i="1"/>
  <c r="F1575" i="1"/>
  <c r="G1575" i="1"/>
  <c r="I1575" i="1"/>
  <c r="A1576" i="1"/>
  <c r="F1576" i="1"/>
  <c r="G1576" i="1"/>
  <c r="I1576" i="1"/>
  <c r="A1577" i="1"/>
  <c r="F1577" i="1"/>
  <c r="G1577" i="1"/>
  <c r="I1577" i="1"/>
  <c r="A1578" i="1"/>
  <c r="F1578" i="1"/>
  <c r="G1578" i="1"/>
  <c r="I1578" i="1"/>
  <c r="A1579" i="1"/>
  <c r="F1579" i="1"/>
  <c r="G1579" i="1"/>
  <c r="I1579" i="1"/>
  <c r="A1580" i="1"/>
  <c r="F1580" i="1"/>
  <c r="G1580" i="1"/>
  <c r="I1580" i="1"/>
  <c r="A1581" i="1"/>
  <c r="F1581" i="1"/>
  <c r="G1581" i="1"/>
  <c r="I1581" i="1"/>
  <c r="A1582" i="1"/>
  <c r="F1582" i="1"/>
  <c r="G1582" i="1"/>
  <c r="I1582" i="1"/>
  <c r="A1583" i="1"/>
  <c r="F1583" i="1"/>
  <c r="G1583" i="1"/>
  <c r="I1583" i="1"/>
  <c r="A1584" i="1"/>
  <c r="F1584" i="1"/>
  <c r="G1584" i="1"/>
  <c r="I1584" i="1"/>
  <c r="A1585" i="1"/>
  <c r="F1585" i="1"/>
  <c r="G1585" i="1"/>
  <c r="I1585" i="1"/>
  <c r="A1586" i="1"/>
  <c r="F1586" i="1"/>
  <c r="G1586" i="1"/>
  <c r="I1586" i="1"/>
  <c r="A1587" i="1"/>
  <c r="F1587" i="1"/>
  <c r="G1587" i="1"/>
  <c r="I1587" i="1"/>
  <c r="A1588" i="1"/>
  <c r="F1588" i="1"/>
  <c r="G1588" i="1"/>
  <c r="I1588" i="1"/>
  <c r="A1589" i="1"/>
  <c r="F1589" i="1"/>
  <c r="G1589" i="1"/>
  <c r="I1589" i="1"/>
  <c r="A1590" i="1"/>
  <c r="F1590" i="1"/>
  <c r="G1590" i="1"/>
  <c r="I1590" i="1"/>
  <c r="A1591" i="1"/>
  <c r="F1591" i="1"/>
  <c r="G1591" i="1"/>
  <c r="I1591" i="1"/>
  <c r="A1592" i="1"/>
  <c r="F1592" i="1"/>
  <c r="G1592" i="1"/>
  <c r="I1592" i="1"/>
  <c r="A1593" i="1"/>
  <c r="F1593" i="1"/>
  <c r="G1593" i="1"/>
  <c r="I1593" i="1"/>
  <c r="A1594" i="1"/>
  <c r="F1594" i="1"/>
  <c r="G1594" i="1"/>
  <c r="I1594" i="1"/>
  <c r="A1595" i="1"/>
  <c r="F1595" i="1"/>
  <c r="G1595" i="1"/>
  <c r="I1595" i="1"/>
  <c r="A1596" i="1"/>
  <c r="F1596" i="1"/>
  <c r="G1596" i="1"/>
  <c r="I1596" i="1"/>
  <c r="A1597" i="1"/>
  <c r="F1597" i="1"/>
  <c r="G1597" i="1"/>
  <c r="I1597" i="1"/>
  <c r="A1598" i="1"/>
  <c r="F1598" i="1"/>
  <c r="G1598" i="1"/>
  <c r="I1598" i="1"/>
  <c r="A1599" i="1"/>
  <c r="F1599" i="1"/>
  <c r="G1599" i="1"/>
  <c r="I1599" i="1"/>
  <c r="A1600" i="1"/>
  <c r="F1600" i="1"/>
  <c r="G1600" i="1"/>
  <c r="I1600" i="1"/>
  <c r="A1601" i="1"/>
  <c r="F1601" i="1"/>
  <c r="G1601" i="1"/>
  <c r="I1601" i="1"/>
  <c r="A1602" i="1"/>
  <c r="F1602" i="1"/>
  <c r="G1602" i="1"/>
  <c r="I1602" i="1"/>
  <c r="A1603" i="1"/>
  <c r="F1603" i="1"/>
  <c r="G1603" i="1"/>
  <c r="I1603" i="1"/>
  <c r="A1604" i="1"/>
  <c r="F1604" i="1"/>
  <c r="G1604" i="1"/>
  <c r="I1604" i="1"/>
  <c r="A1605" i="1"/>
  <c r="F1605" i="1"/>
  <c r="G1605" i="1"/>
  <c r="I1605" i="1"/>
  <c r="A1606" i="1"/>
  <c r="F1606" i="1"/>
  <c r="G1606" i="1"/>
  <c r="I1606" i="1"/>
  <c r="A1607" i="1"/>
  <c r="F1607" i="1"/>
  <c r="G1607" i="1"/>
  <c r="I1607" i="1"/>
  <c r="A1608" i="1"/>
  <c r="F1608" i="1"/>
  <c r="G1608" i="1"/>
  <c r="I1608" i="1"/>
  <c r="A1609" i="1"/>
  <c r="F1609" i="1"/>
  <c r="G1609" i="1"/>
  <c r="I1609" i="1"/>
  <c r="A1610" i="1"/>
  <c r="F1610" i="1"/>
  <c r="G1610" i="1"/>
  <c r="I1610" i="1"/>
  <c r="A1611" i="1"/>
  <c r="F1611" i="1"/>
  <c r="G1611" i="1"/>
  <c r="I1611" i="1"/>
  <c r="A1612" i="1"/>
  <c r="F1612" i="1"/>
  <c r="G1612" i="1"/>
  <c r="I1612" i="1"/>
  <c r="A1613" i="1"/>
  <c r="F1613" i="1"/>
  <c r="G1613" i="1"/>
  <c r="I1613" i="1"/>
  <c r="A1614" i="1"/>
  <c r="F1614" i="1"/>
  <c r="G1614" i="1"/>
  <c r="I1614" i="1"/>
  <c r="A1615" i="1"/>
  <c r="F1615" i="1"/>
  <c r="G1615" i="1"/>
  <c r="I1615" i="1"/>
  <c r="A1616" i="1"/>
  <c r="F1616" i="1"/>
  <c r="G1616" i="1"/>
  <c r="I1616" i="1"/>
  <c r="A1617" i="1"/>
  <c r="F1617" i="1"/>
  <c r="G1617" i="1"/>
  <c r="I1617" i="1"/>
  <c r="A1618" i="1"/>
  <c r="F1618" i="1"/>
  <c r="G1618" i="1"/>
  <c r="I1618" i="1"/>
  <c r="A1619" i="1"/>
  <c r="F1619" i="1"/>
  <c r="G1619" i="1"/>
  <c r="I1619" i="1"/>
  <c r="A1620" i="1"/>
  <c r="F1620" i="1"/>
  <c r="G1620" i="1"/>
  <c r="I1620" i="1"/>
  <c r="A1621" i="1"/>
  <c r="F1621" i="1"/>
  <c r="G1621" i="1"/>
  <c r="I1621" i="1"/>
  <c r="A1622" i="1"/>
  <c r="F1622" i="1"/>
  <c r="G1622" i="1"/>
  <c r="I1622" i="1"/>
  <c r="A1623" i="1"/>
  <c r="F1623" i="1"/>
  <c r="G1623" i="1"/>
  <c r="I1623" i="1"/>
  <c r="A1624" i="1"/>
  <c r="F1624" i="1"/>
  <c r="G1624" i="1"/>
  <c r="I1624" i="1"/>
  <c r="A1625" i="1"/>
  <c r="F1625" i="1"/>
  <c r="G1625" i="1"/>
  <c r="I1625" i="1"/>
  <c r="A1626" i="1"/>
  <c r="F1626" i="1"/>
  <c r="G1626" i="1"/>
  <c r="I1626" i="1"/>
  <c r="A1627" i="1"/>
  <c r="F1627" i="1"/>
  <c r="G1627" i="1"/>
  <c r="I1627" i="1"/>
  <c r="A1628" i="1"/>
  <c r="F1628" i="1"/>
  <c r="G1628" i="1"/>
  <c r="I1628" i="1"/>
  <c r="A1629" i="1"/>
  <c r="F1629" i="1"/>
  <c r="G1629" i="1"/>
  <c r="I1629" i="1"/>
  <c r="A1630" i="1"/>
  <c r="F1630" i="1"/>
  <c r="G1630" i="1"/>
  <c r="I1630" i="1"/>
  <c r="A1631" i="1"/>
  <c r="F1631" i="1"/>
  <c r="G1631" i="1"/>
  <c r="I1631" i="1"/>
  <c r="A1632" i="1"/>
  <c r="F1632" i="1"/>
  <c r="G1632" i="1"/>
  <c r="I1632" i="1"/>
  <c r="A1633" i="1"/>
  <c r="F1633" i="1"/>
  <c r="G1633" i="1"/>
  <c r="I1633" i="1"/>
  <c r="A1634" i="1"/>
  <c r="F1634" i="1"/>
  <c r="G1634" i="1"/>
  <c r="I1634" i="1"/>
  <c r="A1635" i="1"/>
  <c r="F1635" i="1"/>
  <c r="G1635" i="1"/>
  <c r="I1635" i="1"/>
  <c r="A1636" i="1"/>
  <c r="F1636" i="1"/>
  <c r="G1636" i="1"/>
  <c r="I1636" i="1"/>
  <c r="A1637" i="1"/>
  <c r="F1637" i="1"/>
  <c r="G1637" i="1"/>
  <c r="I1637" i="1"/>
  <c r="A1638" i="1"/>
  <c r="F1638" i="1"/>
  <c r="G1638" i="1"/>
  <c r="I1638" i="1"/>
  <c r="A1639" i="1"/>
  <c r="F1639" i="1"/>
  <c r="G1639" i="1"/>
  <c r="I1639" i="1"/>
  <c r="A1640" i="1"/>
  <c r="F1640" i="1"/>
  <c r="G1640" i="1"/>
  <c r="I1640" i="1"/>
  <c r="A1641" i="1"/>
  <c r="F1641" i="1"/>
  <c r="G1641" i="1"/>
  <c r="I1641" i="1"/>
  <c r="A1642" i="1"/>
  <c r="F1642" i="1"/>
  <c r="G1642" i="1"/>
  <c r="I1642" i="1"/>
  <c r="A1643" i="1"/>
  <c r="F1643" i="1"/>
  <c r="G1643" i="1"/>
  <c r="I1643" i="1"/>
  <c r="A1644" i="1"/>
  <c r="F1644" i="1"/>
  <c r="G1644" i="1"/>
  <c r="I1644" i="1"/>
  <c r="A1645" i="1"/>
  <c r="F1645" i="1"/>
  <c r="G1645" i="1"/>
  <c r="I1645" i="1"/>
  <c r="A1646" i="1"/>
  <c r="F1646" i="1"/>
  <c r="G1646" i="1"/>
  <c r="I1646" i="1"/>
  <c r="A1647" i="1"/>
  <c r="F1647" i="1"/>
  <c r="G1647" i="1"/>
  <c r="I1647" i="1"/>
  <c r="A1648" i="1"/>
  <c r="F1648" i="1"/>
  <c r="G1648" i="1"/>
  <c r="I1648" i="1"/>
  <c r="A1649" i="1"/>
  <c r="F1649" i="1"/>
  <c r="G1649" i="1"/>
  <c r="I1649" i="1"/>
  <c r="A1650" i="1"/>
  <c r="F1650" i="1"/>
  <c r="G1650" i="1"/>
  <c r="I1650" i="1"/>
  <c r="A1651" i="1"/>
  <c r="F1651" i="1"/>
  <c r="G1651" i="1"/>
  <c r="I1651" i="1"/>
  <c r="A1652" i="1"/>
  <c r="F1652" i="1"/>
  <c r="G1652" i="1"/>
  <c r="I1652" i="1"/>
  <c r="A1653" i="1"/>
  <c r="F1653" i="1"/>
  <c r="G1653" i="1"/>
  <c r="I1653" i="1"/>
  <c r="A1654" i="1"/>
  <c r="F1654" i="1"/>
  <c r="G1654" i="1"/>
  <c r="I1654" i="1"/>
  <c r="A1655" i="1"/>
  <c r="F1655" i="1"/>
  <c r="G1655" i="1"/>
  <c r="I1655" i="1"/>
  <c r="A1656" i="1"/>
  <c r="F1656" i="1"/>
  <c r="G1656" i="1"/>
  <c r="I1656" i="1"/>
  <c r="A1657" i="1"/>
  <c r="F1657" i="1"/>
  <c r="G1657" i="1"/>
  <c r="I1657" i="1"/>
  <c r="A1658" i="1"/>
  <c r="F1658" i="1"/>
  <c r="G1658" i="1"/>
  <c r="I1658" i="1"/>
  <c r="A1659" i="1"/>
  <c r="F1659" i="1"/>
  <c r="G1659" i="1"/>
  <c r="I1659" i="1"/>
  <c r="A1660" i="1"/>
  <c r="F1660" i="1"/>
  <c r="G1660" i="1"/>
  <c r="I1660" i="1"/>
  <c r="A1661" i="1"/>
  <c r="F1661" i="1"/>
  <c r="G1661" i="1"/>
  <c r="I1661" i="1"/>
  <c r="A1662" i="1"/>
  <c r="F1662" i="1"/>
  <c r="G1662" i="1"/>
  <c r="I1662" i="1"/>
  <c r="A1663" i="1"/>
  <c r="F1663" i="1"/>
  <c r="G1663" i="1"/>
  <c r="I1663" i="1"/>
  <c r="A1664" i="1"/>
  <c r="F1664" i="1"/>
  <c r="G1664" i="1"/>
  <c r="I1664" i="1"/>
  <c r="A1665" i="1"/>
  <c r="F1665" i="1"/>
  <c r="G1665" i="1"/>
  <c r="I1665" i="1"/>
  <c r="A1666" i="1"/>
  <c r="F1666" i="1"/>
  <c r="G1666" i="1"/>
  <c r="I1666" i="1"/>
  <c r="A1667" i="1"/>
  <c r="F1667" i="1"/>
  <c r="G1667" i="1"/>
  <c r="I1667" i="1"/>
  <c r="A1668" i="1"/>
  <c r="F1668" i="1"/>
  <c r="G1668" i="1"/>
  <c r="I1668" i="1"/>
  <c r="A1669" i="1"/>
  <c r="F1669" i="1"/>
  <c r="G1669" i="1"/>
  <c r="I1669" i="1"/>
  <c r="A1670" i="1"/>
  <c r="F1670" i="1"/>
  <c r="G1670" i="1"/>
  <c r="I1670" i="1"/>
  <c r="A1671" i="1"/>
  <c r="F1671" i="1"/>
  <c r="G1671" i="1"/>
  <c r="I1671" i="1"/>
  <c r="A1672" i="1"/>
  <c r="F1672" i="1"/>
  <c r="G1672" i="1"/>
  <c r="I1672" i="1"/>
  <c r="A1673" i="1"/>
  <c r="F1673" i="1"/>
  <c r="G1673" i="1"/>
  <c r="I1673" i="1"/>
  <c r="A1674" i="1"/>
  <c r="F1674" i="1"/>
  <c r="G1674" i="1"/>
  <c r="I1674" i="1"/>
  <c r="A1675" i="1"/>
  <c r="F1675" i="1"/>
  <c r="G1675" i="1"/>
  <c r="I1675" i="1"/>
  <c r="A1676" i="1"/>
  <c r="F1676" i="1"/>
  <c r="G1676" i="1"/>
  <c r="I1676" i="1"/>
  <c r="A1677" i="1"/>
  <c r="F1677" i="1"/>
  <c r="G1677" i="1"/>
  <c r="I1677" i="1"/>
  <c r="A1678" i="1"/>
  <c r="F1678" i="1"/>
  <c r="G1678" i="1"/>
  <c r="I1678" i="1"/>
  <c r="A1679" i="1"/>
  <c r="F1679" i="1"/>
  <c r="G1679" i="1"/>
  <c r="I1679" i="1"/>
  <c r="A1680" i="1"/>
  <c r="F1680" i="1"/>
  <c r="G1680" i="1"/>
  <c r="I1680" i="1"/>
  <c r="A1681" i="1"/>
  <c r="F1681" i="1"/>
  <c r="G1681" i="1"/>
  <c r="I1681" i="1"/>
  <c r="A1682" i="1"/>
  <c r="F1682" i="1"/>
  <c r="G1682" i="1"/>
  <c r="I1682" i="1"/>
  <c r="A1683" i="1"/>
  <c r="F1683" i="1"/>
  <c r="G1683" i="1"/>
  <c r="I1683" i="1"/>
  <c r="A1684" i="1"/>
  <c r="F1684" i="1"/>
  <c r="G1684" i="1"/>
  <c r="I1684" i="1"/>
  <c r="A1685" i="1"/>
  <c r="F1685" i="1"/>
  <c r="G1685" i="1"/>
  <c r="I1685" i="1"/>
  <c r="A1686" i="1"/>
  <c r="F1686" i="1"/>
  <c r="G1686" i="1"/>
  <c r="I1686" i="1"/>
  <c r="A1687" i="1"/>
  <c r="F1687" i="1"/>
  <c r="G1687" i="1"/>
  <c r="I1687" i="1"/>
  <c r="A1688" i="1"/>
  <c r="F1688" i="1"/>
  <c r="G1688" i="1"/>
  <c r="I1688" i="1"/>
  <c r="A1689" i="1"/>
  <c r="F1689" i="1"/>
  <c r="G1689" i="1"/>
  <c r="I1689" i="1"/>
  <c r="A1690" i="1"/>
  <c r="F1690" i="1"/>
  <c r="G1690" i="1"/>
  <c r="I1690" i="1"/>
  <c r="A1691" i="1"/>
  <c r="F1691" i="1"/>
  <c r="G1691" i="1"/>
  <c r="I1691" i="1"/>
  <c r="A1692" i="1"/>
  <c r="F1692" i="1"/>
  <c r="G1692" i="1"/>
  <c r="I1692" i="1"/>
  <c r="A1693" i="1"/>
  <c r="F1693" i="1"/>
  <c r="G1693" i="1"/>
  <c r="I1693" i="1"/>
  <c r="A1694" i="1"/>
  <c r="F1694" i="1"/>
  <c r="G1694" i="1"/>
  <c r="I1694" i="1"/>
  <c r="A1695" i="1"/>
  <c r="F1695" i="1"/>
  <c r="G1695" i="1"/>
  <c r="I1695" i="1"/>
  <c r="A1696" i="1"/>
  <c r="F1696" i="1"/>
  <c r="G1696" i="1"/>
  <c r="I1696" i="1"/>
  <c r="A1697" i="1"/>
  <c r="F1697" i="1"/>
  <c r="G1697" i="1"/>
  <c r="I1697" i="1"/>
  <c r="A1698" i="1"/>
  <c r="F1698" i="1"/>
  <c r="G1698" i="1"/>
  <c r="I1698" i="1"/>
  <c r="A1699" i="1"/>
  <c r="F1699" i="1"/>
  <c r="G1699" i="1"/>
  <c r="I1699" i="1"/>
  <c r="A1700" i="1"/>
  <c r="F1700" i="1"/>
  <c r="G1700" i="1"/>
  <c r="I1700" i="1"/>
  <c r="A1701" i="1"/>
  <c r="F1701" i="1"/>
  <c r="G1701" i="1"/>
  <c r="I1701" i="1"/>
  <c r="A1702" i="1"/>
  <c r="F1702" i="1"/>
  <c r="G1702" i="1"/>
  <c r="I1702" i="1"/>
  <c r="A1703" i="1"/>
  <c r="F1703" i="1"/>
  <c r="G1703" i="1"/>
  <c r="I1703" i="1"/>
  <c r="A1704" i="1"/>
  <c r="F1704" i="1"/>
  <c r="G1704" i="1"/>
  <c r="I1704" i="1"/>
  <c r="A1705" i="1"/>
  <c r="F1705" i="1"/>
  <c r="G1705" i="1"/>
  <c r="I1705" i="1"/>
  <c r="A1706" i="1"/>
  <c r="F1706" i="1"/>
  <c r="G1706" i="1"/>
  <c r="I1706" i="1"/>
  <c r="A1707" i="1"/>
  <c r="F1707" i="1"/>
  <c r="G1707" i="1"/>
  <c r="I1707" i="1"/>
  <c r="A1708" i="1"/>
  <c r="F1708" i="1"/>
  <c r="G1708" i="1"/>
  <c r="I1708" i="1"/>
  <c r="A1709" i="1"/>
  <c r="F1709" i="1"/>
  <c r="G1709" i="1"/>
  <c r="I1709" i="1"/>
  <c r="A1710" i="1"/>
  <c r="F1710" i="1"/>
  <c r="G1710" i="1"/>
  <c r="I1710" i="1"/>
  <c r="A1711" i="1"/>
  <c r="F1711" i="1"/>
  <c r="G1711" i="1"/>
  <c r="I1711" i="1"/>
  <c r="A1712" i="1"/>
  <c r="F1712" i="1"/>
  <c r="G1712" i="1"/>
  <c r="I1712" i="1"/>
  <c r="A1713" i="1"/>
  <c r="F1713" i="1"/>
  <c r="G1713" i="1"/>
  <c r="I1713" i="1"/>
  <c r="A1714" i="1"/>
  <c r="F1714" i="1"/>
  <c r="G1714" i="1"/>
  <c r="I1714" i="1"/>
  <c r="A1715" i="1"/>
  <c r="F1715" i="1"/>
  <c r="G1715" i="1"/>
  <c r="I1715" i="1"/>
  <c r="A1716" i="1"/>
  <c r="F1716" i="1"/>
  <c r="G1716" i="1"/>
  <c r="I1716" i="1"/>
  <c r="A1717" i="1"/>
  <c r="F1717" i="1"/>
  <c r="G1717" i="1"/>
  <c r="I1717" i="1"/>
  <c r="A1718" i="1"/>
  <c r="F1718" i="1"/>
  <c r="G1718" i="1"/>
  <c r="I1718" i="1"/>
  <c r="A1719" i="1"/>
  <c r="F1719" i="1"/>
  <c r="G1719" i="1"/>
  <c r="I1719" i="1"/>
  <c r="A1720" i="1"/>
  <c r="F1720" i="1"/>
  <c r="G1720" i="1"/>
  <c r="I1720" i="1"/>
  <c r="A1721" i="1"/>
  <c r="F1721" i="1"/>
  <c r="G1721" i="1"/>
  <c r="I1721" i="1"/>
  <c r="A1722" i="1"/>
  <c r="F1722" i="1"/>
  <c r="G1722" i="1"/>
  <c r="I1722" i="1"/>
  <c r="A1723" i="1"/>
  <c r="F1723" i="1"/>
  <c r="G1723" i="1"/>
  <c r="I1723" i="1"/>
  <c r="A1724" i="1"/>
  <c r="F1724" i="1"/>
  <c r="G1724" i="1"/>
  <c r="I1724" i="1"/>
  <c r="A1725" i="1"/>
  <c r="F1725" i="1"/>
  <c r="G1725" i="1"/>
  <c r="I1725" i="1"/>
  <c r="A1726" i="1"/>
  <c r="F1726" i="1"/>
  <c r="G1726" i="1"/>
  <c r="I1726" i="1"/>
  <c r="A1727" i="1"/>
  <c r="F1727" i="1"/>
  <c r="G1727" i="1"/>
  <c r="I1727" i="1"/>
  <c r="A1728" i="1"/>
  <c r="F1728" i="1"/>
  <c r="G1728" i="1"/>
  <c r="I1728" i="1"/>
  <c r="A1729" i="1"/>
  <c r="F1729" i="1"/>
  <c r="G1729" i="1"/>
  <c r="I1729" i="1"/>
  <c r="A1730" i="1"/>
  <c r="F1730" i="1"/>
  <c r="G1730" i="1"/>
  <c r="I1730" i="1"/>
  <c r="A1731" i="1"/>
  <c r="F1731" i="1"/>
  <c r="G1731" i="1"/>
  <c r="A1732" i="1"/>
  <c r="F1732" i="1"/>
  <c r="G1732" i="1"/>
  <c r="A1733" i="1"/>
  <c r="F1733" i="1"/>
  <c r="G1733" i="1"/>
  <c r="I1733" i="1"/>
  <c r="A1734" i="1"/>
  <c r="F1734" i="1"/>
  <c r="G1734" i="1"/>
  <c r="I1734" i="1"/>
  <c r="A1735" i="1"/>
  <c r="F1735" i="1"/>
  <c r="G1735" i="1"/>
  <c r="I1735" i="1"/>
  <c r="A1736" i="1"/>
  <c r="F1736" i="1"/>
  <c r="G1736" i="1"/>
  <c r="I1736" i="1"/>
  <c r="A1737" i="1"/>
  <c r="F1737" i="1"/>
  <c r="G1737" i="1"/>
  <c r="I1737" i="1"/>
  <c r="A1738" i="1"/>
  <c r="F1738" i="1"/>
  <c r="G1738" i="1"/>
  <c r="I1738" i="1"/>
  <c r="A1739" i="1"/>
  <c r="F1739" i="1"/>
  <c r="G1739" i="1"/>
  <c r="I1739" i="1"/>
  <c r="A1740" i="1"/>
  <c r="F1740" i="1"/>
  <c r="G1740" i="1"/>
  <c r="I1740" i="1"/>
  <c r="A1741" i="1"/>
  <c r="F1741" i="1"/>
  <c r="G1741" i="1"/>
  <c r="I1741" i="1"/>
  <c r="A1742" i="1"/>
  <c r="F1742" i="1"/>
  <c r="G1742" i="1"/>
  <c r="I1742" i="1"/>
  <c r="A1743" i="1"/>
  <c r="F1743" i="1"/>
  <c r="G1743" i="1"/>
  <c r="I1743" i="1"/>
  <c r="A1744" i="1"/>
  <c r="F1744" i="1"/>
  <c r="G1744" i="1"/>
  <c r="I1744" i="1"/>
  <c r="A1745" i="1"/>
  <c r="F1745" i="1"/>
  <c r="G1745" i="1"/>
  <c r="I1745" i="1"/>
  <c r="A1746" i="1"/>
  <c r="F1746" i="1"/>
  <c r="G1746" i="1"/>
  <c r="I1746" i="1"/>
  <c r="A1747" i="1"/>
  <c r="F1747" i="1"/>
  <c r="G1747" i="1"/>
  <c r="I1747" i="1"/>
  <c r="A1748" i="1"/>
  <c r="F1748" i="1"/>
  <c r="G1748" i="1"/>
  <c r="I1748" i="1"/>
  <c r="A1749" i="1"/>
  <c r="F1749" i="1"/>
  <c r="G1749" i="1"/>
  <c r="I1749" i="1"/>
  <c r="A1750" i="1"/>
  <c r="F1750" i="1"/>
  <c r="G1750" i="1"/>
  <c r="I1750" i="1"/>
  <c r="A1751" i="1"/>
  <c r="F1751" i="1"/>
  <c r="G1751" i="1"/>
  <c r="I1751" i="1"/>
  <c r="A1752" i="1"/>
  <c r="F1752" i="1"/>
  <c r="G1752" i="1"/>
  <c r="I1752" i="1"/>
  <c r="A1753" i="1"/>
  <c r="F1753" i="1"/>
  <c r="G1753" i="1"/>
  <c r="I1753" i="1"/>
  <c r="A1754" i="1"/>
  <c r="F1754" i="1"/>
  <c r="G1754" i="1"/>
  <c r="I1754" i="1"/>
  <c r="A1755" i="1"/>
  <c r="F1755" i="1"/>
  <c r="G1755" i="1"/>
  <c r="I1755" i="1"/>
  <c r="A1756" i="1"/>
  <c r="F1756" i="1"/>
  <c r="G1756" i="1"/>
  <c r="I1756" i="1"/>
  <c r="A1757" i="1"/>
  <c r="F1757" i="1"/>
  <c r="G1757" i="1"/>
  <c r="I1757" i="1"/>
  <c r="A1758" i="1"/>
  <c r="F1758" i="1"/>
  <c r="G1758" i="1"/>
  <c r="I1758" i="1"/>
  <c r="A1759" i="1"/>
  <c r="F1759" i="1"/>
  <c r="G1759" i="1"/>
  <c r="I1759" i="1"/>
  <c r="A1760" i="1"/>
  <c r="F1760" i="1"/>
  <c r="G1760" i="1"/>
  <c r="I1760" i="1"/>
  <c r="A1761" i="1"/>
  <c r="F1761" i="1"/>
  <c r="G1761" i="1"/>
  <c r="I1761" i="1"/>
  <c r="A1762" i="1"/>
  <c r="F1762" i="1"/>
  <c r="G1762" i="1"/>
  <c r="I1762" i="1"/>
  <c r="A1763" i="1"/>
  <c r="F1763" i="1"/>
  <c r="G1763" i="1"/>
  <c r="I1763" i="1"/>
  <c r="A1764" i="1"/>
  <c r="F1764" i="1"/>
  <c r="G1764" i="1"/>
  <c r="I1764" i="1"/>
  <c r="A1765" i="1"/>
  <c r="F1765" i="1"/>
  <c r="G1765" i="1"/>
  <c r="I1765" i="1"/>
  <c r="A1766" i="1"/>
  <c r="F1766" i="1"/>
  <c r="G1766" i="1"/>
  <c r="I1766" i="1"/>
  <c r="A1767" i="1"/>
  <c r="F1767" i="1"/>
  <c r="G1767" i="1"/>
  <c r="I1767" i="1"/>
  <c r="A1768" i="1"/>
  <c r="F1768" i="1"/>
  <c r="G1768" i="1"/>
  <c r="I1768" i="1"/>
  <c r="A1769" i="1"/>
  <c r="F1769" i="1"/>
  <c r="G1769" i="1"/>
  <c r="I1769" i="1"/>
  <c r="A1770" i="1"/>
  <c r="F1770" i="1"/>
  <c r="G1770" i="1"/>
  <c r="I1770" i="1"/>
  <c r="A1771" i="1"/>
  <c r="F1771" i="1"/>
  <c r="G1771" i="1"/>
  <c r="I1771" i="1"/>
  <c r="A1772" i="1"/>
  <c r="F1772" i="1"/>
  <c r="G1772" i="1"/>
  <c r="I1772" i="1"/>
  <c r="A1773" i="1"/>
  <c r="F1773" i="1"/>
  <c r="G1773" i="1"/>
  <c r="I1773" i="1"/>
  <c r="A1774" i="1"/>
  <c r="F1774" i="1"/>
  <c r="G1774" i="1"/>
  <c r="I1774" i="1"/>
  <c r="A1775" i="1"/>
  <c r="F1775" i="1"/>
  <c r="G1775" i="1"/>
  <c r="I1775" i="1"/>
  <c r="A1776" i="1"/>
  <c r="F1776" i="1"/>
  <c r="G1776" i="1"/>
  <c r="I1776" i="1"/>
  <c r="A1777" i="1"/>
  <c r="F1777" i="1"/>
  <c r="G1777" i="1"/>
  <c r="I1777" i="1"/>
  <c r="A1778" i="1"/>
  <c r="F1778" i="1"/>
  <c r="G1778" i="1"/>
  <c r="I1778" i="1"/>
  <c r="A1779" i="1"/>
  <c r="F1779" i="1"/>
  <c r="G1779" i="1"/>
  <c r="I1779" i="1"/>
  <c r="A1780" i="1"/>
  <c r="F1780" i="1"/>
  <c r="G1780" i="1"/>
  <c r="I1780" i="1"/>
  <c r="A1781" i="1"/>
  <c r="F1781" i="1"/>
  <c r="G1781" i="1"/>
  <c r="I1781" i="1"/>
  <c r="A1782" i="1"/>
  <c r="F1782" i="1"/>
  <c r="G1782" i="1"/>
  <c r="I1782" i="1"/>
  <c r="A1783" i="1"/>
  <c r="F1783" i="1"/>
  <c r="G1783" i="1"/>
  <c r="I1783" i="1"/>
  <c r="A1784" i="1"/>
  <c r="F1784" i="1"/>
  <c r="G1784" i="1"/>
  <c r="I1784" i="1"/>
  <c r="A1785" i="1"/>
  <c r="F1785" i="1"/>
  <c r="G1785" i="1"/>
  <c r="I1785" i="1"/>
  <c r="A1786" i="1"/>
  <c r="F1786" i="1"/>
  <c r="G1786" i="1"/>
  <c r="I1786" i="1"/>
  <c r="A1787" i="1"/>
  <c r="F1787" i="1"/>
  <c r="G1787" i="1"/>
  <c r="I1787" i="1"/>
  <c r="A1788" i="1"/>
  <c r="F1788" i="1"/>
  <c r="G1788" i="1"/>
  <c r="I1788" i="1"/>
  <c r="A1789" i="1"/>
  <c r="F1789" i="1"/>
  <c r="G1789" i="1"/>
  <c r="I1789" i="1"/>
  <c r="A1790" i="1"/>
  <c r="F1790" i="1"/>
  <c r="G1790" i="1"/>
  <c r="I1790" i="1"/>
  <c r="A1791" i="1"/>
  <c r="F1791" i="1"/>
  <c r="G1791" i="1"/>
  <c r="I1791" i="1"/>
  <c r="A1792" i="1"/>
  <c r="F1792" i="1"/>
  <c r="G1792" i="1"/>
  <c r="I1792" i="1"/>
  <c r="A1793" i="1"/>
  <c r="F1793" i="1"/>
  <c r="G1793" i="1"/>
  <c r="I1793" i="1"/>
  <c r="A1794" i="1"/>
  <c r="F1794" i="1"/>
  <c r="G1794" i="1"/>
  <c r="I1794" i="1"/>
  <c r="A1795" i="1"/>
  <c r="F1795" i="1"/>
  <c r="G1795" i="1"/>
  <c r="I1795" i="1"/>
  <c r="A1796" i="1"/>
  <c r="F1796" i="1"/>
  <c r="G1796" i="1"/>
  <c r="I1796" i="1"/>
  <c r="A1797" i="1"/>
  <c r="F1797" i="1"/>
  <c r="G1797" i="1"/>
  <c r="I1797" i="1"/>
  <c r="A1798" i="1"/>
  <c r="F1798" i="1"/>
  <c r="G1798" i="1"/>
  <c r="I1798" i="1"/>
  <c r="A1799" i="1"/>
  <c r="F1799" i="1"/>
  <c r="G1799" i="1"/>
  <c r="I1799" i="1"/>
  <c r="A1800" i="1"/>
  <c r="F1800" i="1"/>
  <c r="G1800" i="1"/>
  <c r="I1800" i="1"/>
  <c r="A1801" i="1"/>
  <c r="F1801" i="1"/>
  <c r="G1801" i="1"/>
  <c r="I1801" i="1"/>
  <c r="A1802" i="1"/>
  <c r="F1802" i="1"/>
  <c r="G1802" i="1"/>
  <c r="I1802" i="1"/>
  <c r="A1803" i="1"/>
  <c r="F1803" i="1"/>
  <c r="G1803" i="1"/>
  <c r="I1803" i="1"/>
  <c r="A1804" i="1"/>
  <c r="F1804" i="1"/>
  <c r="G1804" i="1"/>
  <c r="I1804" i="1"/>
  <c r="A1805" i="1"/>
  <c r="F1805" i="1"/>
  <c r="G1805" i="1"/>
  <c r="I1805" i="1"/>
  <c r="A1806" i="1"/>
  <c r="F1806" i="1"/>
  <c r="G1806" i="1"/>
  <c r="I1806" i="1"/>
  <c r="A1807" i="1"/>
  <c r="F1807" i="1"/>
  <c r="G1807" i="1"/>
  <c r="I1807" i="1"/>
  <c r="A1808" i="1"/>
  <c r="F1808" i="1"/>
  <c r="G1808" i="1"/>
  <c r="I1808" i="1"/>
  <c r="A1809" i="1"/>
  <c r="F1809" i="1"/>
  <c r="G1809" i="1"/>
  <c r="I1809" i="1"/>
  <c r="A1810" i="1"/>
  <c r="F1810" i="1"/>
  <c r="G1810" i="1"/>
  <c r="I1810" i="1"/>
  <c r="A1811" i="1"/>
  <c r="F1811" i="1"/>
  <c r="G1811" i="1"/>
  <c r="I1811" i="1"/>
  <c r="A1812" i="1"/>
  <c r="F1812" i="1"/>
  <c r="G1812" i="1"/>
  <c r="I1812" i="1"/>
  <c r="A1813" i="1"/>
  <c r="F1813" i="1"/>
  <c r="G1813" i="1"/>
  <c r="I1813" i="1"/>
  <c r="A1814" i="1"/>
  <c r="F1814" i="1"/>
  <c r="G1814" i="1"/>
  <c r="I1814" i="1"/>
  <c r="A1815" i="1"/>
  <c r="F1815" i="1"/>
  <c r="G1815" i="1"/>
  <c r="I1815" i="1"/>
  <c r="A1816" i="1"/>
  <c r="F1816" i="1"/>
  <c r="G1816" i="1"/>
  <c r="I1816" i="1"/>
  <c r="A1817" i="1"/>
  <c r="F1817" i="1"/>
  <c r="G1817" i="1"/>
  <c r="I1817" i="1"/>
  <c r="A1818" i="1"/>
  <c r="F1818" i="1"/>
  <c r="G1818" i="1"/>
  <c r="I1818" i="1"/>
  <c r="A1819" i="1"/>
  <c r="F1819" i="1"/>
  <c r="G1819" i="1"/>
  <c r="I1819" i="1"/>
  <c r="A1820" i="1"/>
  <c r="F1820" i="1"/>
  <c r="G1820" i="1"/>
  <c r="I1820" i="1"/>
  <c r="A1821" i="1"/>
  <c r="F1821" i="1"/>
  <c r="G1821" i="1"/>
  <c r="I1821" i="1"/>
  <c r="A1822" i="1"/>
  <c r="F1822" i="1"/>
  <c r="G1822" i="1"/>
  <c r="I1822" i="1"/>
  <c r="A1823" i="1"/>
  <c r="F1823" i="1"/>
  <c r="G1823" i="1"/>
  <c r="I1823" i="1"/>
  <c r="A1824" i="1"/>
  <c r="F1824" i="1"/>
  <c r="G1824" i="1"/>
  <c r="I1824" i="1"/>
  <c r="A1825" i="1"/>
  <c r="F1825" i="1"/>
  <c r="G1825" i="1"/>
  <c r="I1825" i="1"/>
  <c r="A1826" i="1"/>
  <c r="F1826" i="1"/>
  <c r="G1826" i="1"/>
  <c r="I1826" i="1"/>
  <c r="A1827" i="1"/>
  <c r="F1827" i="1"/>
  <c r="G1827" i="1"/>
  <c r="I1827" i="1"/>
  <c r="A1828" i="1"/>
  <c r="F1828" i="1"/>
  <c r="G1828" i="1"/>
  <c r="I1828" i="1"/>
  <c r="A1829" i="1"/>
  <c r="F1829" i="1"/>
  <c r="G1829" i="1"/>
  <c r="I1829" i="1"/>
  <c r="A1830" i="1"/>
  <c r="F1830" i="1"/>
  <c r="G1830" i="1"/>
  <c r="I1830" i="1"/>
  <c r="A1831" i="1"/>
  <c r="F1831" i="1"/>
  <c r="G1831" i="1"/>
  <c r="I1831" i="1"/>
  <c r="A1832" i="1"/>
  <c r="F1832" i="1"/>
  <c r="G1832" i="1"/>
  <c r="I1832" i="1"/>
  <c r="A1833" i="1"/>
  <c r="F1833" i="1"/>
  <c r="G1833" i="1"/>
  <c r="I1833" i="1"/>
  <c r="A1834" i="1"/>
  <c r="F1834" i="1"/>
  <c r="G1834" i="1"/>
  <c r="I1834" i="1"/>
  <c r="A1835" i="1"/>
  <c r="F1835" i="1"/>
  <c r="G1835" i="1"/>
  <c r="I1835" i="1"/>
  <c r="A1836" i="1"/>
  <c r="F1836" i="1"/>
  <c r="G1836" i="1"/>
  <c r="I1836" i="1"/>
  <c r="A1837" i="1"/>
  <c r="F1837" i="1"/>
  <c r="G1837" i="1"/>
  <c r="I1837" i="1"/>
  <c r="A1838" i="1"/>
  <c r="F1838" i="1"/>
  <c r="G1838" i="1"/>
  <c r="I1838" i="1"/>
  <c r="A1839" i="1"/>
  <c r="F1839" i="1"/>
  <c r="G1839" i="1"/>
  <c r="I1839" i="1"/>
  <c r="A1840" i="1"/>
  <c r="F1840" i="1"/>
  <c r="G1840" i="1"/>
  <c r="I1840" i="1"/>
  <c r="A1841" i="1"/>
  <c r="F1841" i="1"/>
  <c r="G1841" i="1"/>
  <c r="A1842" i="1"/>
  <c r="F1842" i="1"/>
  <c r="G1842" i="1"/>
  <c r="A1843" i="1"/>
  <c r="F1843" i="1"/>
  <c r="G1843" i="1"/>
  <c r="A1844" i="1"/>
  <c r="F1844" i="1"/>
  <c r="G1844" i="1"/>
  <c r="A1845" i="1"/>
  <c r="F1845" i="1"/>
  <c r="G1845" i="1"/>
  <c r="A1846" i="1"/>
  <c r="F1846" i="1"/>
  <c r="G1846" i="1"/>
  <c r="A1847" i="1"/>
  <c r="F1847" i="1"/>
  <c r="G1847" i="1"/>
  <c r="A1848" i="1"/>
  <c r="F1848" i="1"/>
  <c r="G1848" i="1"/>
  <c r="I1848" i="1"/>
  <c r="A1849" i="1"/>
  <c r="F1849" i="1"/>
  <c r="G1849" i="1"/>
  <c r="I1849" i="1"/>
  <c r="A1850" i="1"/>
  <c r="F1850" i="1"/>
  <c r="G1850" i="1"/>
  <c r="I1850" i="1"/>
  <c r="A1851" i="1"/>
  <c r="F1851" i="1"/>
  <c r="G1851" i="1"/>
  <c r="I1851" i="1"/>
  <c r="A1852" i="1"/>
  <c r="F1852" i="1"/>
  <c r="G1852" i="1"/>
  <c r="I1852" i="1"/>
  <c r="A1853" i="1"/>
  <c r="F1853" i="1"/>
  <c r="G1853" i="1"/>
  <c r="I1853" i="1"/>
  <c r="A1854" i="1"/>
  <c r="F1854" i="1"/>
  <c r="G1854" i="1"/>
  <c r="I1854" i="1"/>
  <c r="A1855" i="1"/>
  <c r="F1855" i="1"/>
  <c r="G1855" i="1"/>
  <c r="I1855" i="1"/>
  <c r="A1856" i="1"/>
  <c r="F1856" i="1"/>
  <c r="G1856" i="1"/>
  <c r="I1856" i="1"/>
  <c r="A1857" i="1"/>
  <c r="F1857" i="1"/>
  <c r="G1857" i="1"/>
  <c r="I1857" i="1"/>
  <c r="A1858" i="1"/>
  <c r="F1858" i="1"/>
  <c r="G1858" i="1"/>
  <c r="I1858" i="1"/>
  <c r="A1859" i="1"/>
  <c r="H1859" i="1"/>
  <c r="I1859" i="1"/>
  <c r="J1859" i="1"/>
  <c r="A1860" i="1"/>
  <c r="H1860" i="1"/>
  <c r="I1860" i="1"/>
  <c r="J1860" i="1"/>
  <c r="A1861" i="1"/>
  <c r="F1861" i="1"/>
  <c r="G1861" i="1"/>
  <c r="I1861" i="1"/>
  <c r="A1862" i="1"/>
  <c r="F1862" i="1"/>
  <c r="G1862" i="1"/>
  <c r="I1862" i="1"/>
  <c r="A1863" i="1"/>
  <c r="F1863" i="1"/>
  <c r="G1863" i="1"/>
  <c r="I1863" i="1"/>
  <c r="A1864" i="1"/>
  <c r="F1864" i="1"/>
  <c r="G1864" i="1"/>
  <c r="I1864" i="1"/>
  <c r="A1865" i="1"/>
  <c r="F1865" i="1"/>
  <c r="G1865" i="1"/>
  <c r="I1865" i="1"/>
  <c r="A1866" i="1"/>
  <c r="F1866" i="1"/>
  <c r="G1866" i="1"/>
  <c r="I1866" i="1"/>
  <c r="A1867" i="1"/>
  <c r="F1867" i="1"/>
  <c r="G1867" i="1"/>
  <c r="I1867" i="1"/>
  <c r="A1868" i="1"/>
  <c r="F1868" i="1"/>
  <c r="G1868" i="1"/>
  <c r="I1868" i="1"/>
  <c r="A1869" i="1"/>
  <c r="F1869" i="1"/>
  <c r="G1869" i="1"/>
  <c r="I1869" i="1"/>
  <c r="A1870" i="1"/>
  <c r="F1870" i="1"/>
  <c r="G1870" i="1"/>
  <c r="I1870" i="1"/>
  <c r="A1871" i="1"/>
  <c r="F1871" i="1"/>
  <c r="G1871" i="1"/>
  <c r="I1871" i="1"/>
  <c r="A1872" i="1"/>
  <c r="F1872" i="1"/>
  <c r="G1872" i="1"/>
  <c r="I1872" i="1"/>
  <c r="A1873" i="1"/>
  <c r="F1873" i="1"/>
  <c r="G1873" i="1"/>
  <c r="I1873" i="1"/>
  <c r="A1874" i="1"/>
  <c r="F1874" i="1"/>
  <c r="G1874" i="1"/>
  <c r="I1874" i="1"/>
  <c r="A1875" i="1"/>
  <c r="F1875" i="1"/>
  <c r="G1875" i="1"/>
  <c r="I1875" i="1"/>
  <c r="A1876" i="1"/>
  <c r="F1876" i="1"/>
  <c r="G1876" i="1"/>
  <c r="I1876" i="1"/>
  <c r="A1877" i="1"/>
  <c r="F1877" i="1"/>
  <c r="G1877" i="1"/>
  <c r="I1877" i="1"/>
  <c r="A1878" i="1"/>
  <c r="F1878" i="1"/>
  <c r="G1878" i="1"/>
  <c r="I1878" i="1"/>
  <c r="A1879" i="1"/>
  <c r="F1879" i="1"/>
  <c r="G1879" i="1"/>
  <c r="I1879" i="1"/>
  <c r="A1880" i="1"/>
  <c r="F1880" i="1"/>
  <c r="G1880" i="1"/>
  <c r="I1880" i="1"/>
  <c r="A1881" i="1"/>
  <c r="F1881" i="1"/>
  <c r="G1881" i="1"/>
  <c r="I1881" i="1"/>
  <c r="A1882" i="1"/>
  <c r="F1882" i="1"/>
  <c r="G1882" i="1"/>
  <c r="I1882" i="1"/>
  <c r="A1883" i="1"/>
  <c r="F1883" i="1"/>
  <c r="G1883" i="1"/>
  <c r="I1883" i="1"/>
  <c r="A1884" i="1"/>
  <c r="F1884" i="1"/>
  <c r="G1884" i="1"/>
  <c r="I1884" i="1"/>
  <c r="A1885" i="1"/>
  <c r="F1885" i="1"/>
  <c r="G1885" i="1"/>
  <c r="I1885" i="1"/>
  <c r="A1886" i="1"/>
  <c r="F1886" i="1"/>
  <c r="G1886" i="1"/>
  <c r="I1886" i="1"/>
  <c r="A1887" i="1"/>
  <c r="F1887" i="1"/>
  <c r="G1887" i="1"/>
  <c r="I1887" i="1"/>
  <c r="A1888" i="1"/>
  <c r="F1888" i="1"/>
  <c r="G1888" i="1"/>
  <c r="I1888" i="1"/>
  <c r="A1889" i="1"/>
  <c r="F1889" i="1"/>
  <c r="G1889" i="1"/>
  <c r="I1889" i="1"/>
  <c r="A1890" i="1"/>
  <c r="F1890" i="1"/>
  <c r="G1890" i="1"/>
  <c r="I1890" i="1"/>
  <c r="A1891" i="1"/>
  <c r="F1891" i="1"/>
  <c r="G1891" i="1"/>
  <c r="I1891" i="1"/>
  <c r="A1892" i="1"/>
  <c r="F1892" i="1"/>
  <c r="G1892" i="1"/>
  <c r="I1892" i="1"/>
  <c r="A1893" i="1"/>
  <c r="F1893" i="1"/>
  <c r="G1893" i="1"/>
  <c r="I1893" i="1"/>
  <c r="A1894" i="1"/>
  <c r="F1894" i="1"/>
  <c r="G1894" i="1"/>
  <c r="I1894" i="1"/>
  <c r="A1895" i="1"/>
  <c r="F1895" i="1"/>
  <c r="G1895" i="1"/>
  <c r="I1895" i="1"/>
  <c r="A1896" i="1"/>
  <c r="F1896" i="1"/>
  <c r="G1896" i="1"/>
  <c r="I1896" i="1"/>
  <c r="A1897" i="1"/>
  <c r="F1897" i="1"/>
  <c r="G1897" i="1"/>
  <c r="I1897" i="1"/>
  <c r="A1898" i="1"/>
  <c r="F1898" i="1"/>
  <c r="G1898" i="1"/>
  <c r="I1898" i="1"/>
  <c r="A1899" i="1"/>
  <c r="F1899" i="1"/>
  <c r="G1899" i="1"/>
  <c r="I1899" i="1"/>
  <c r="A1900" i="1"/>
  <c r="F1900" i="1"/>
  <c r="G1900" i="1"/>
  <c r="I1900" i="1"/>
  <c r="A1901" i="1"/>
  <c r="F1901" i="1"/>
  <c r="G1901" i="1"/>
  <c r="I1901" i="1"/>
  <c r="A1902" i="1"/>
  <c r="F1902" i="1"/>
  <c r="G1902" i="1"/>
  <c r="I1902" i="1"/>
  <c r="A1903" i="1"/>
  <c r="F1903" i="1"/>
  <c r="G1903" i="1"/>
  <c r="I1903" i="1"/>
  <c r="A1904" i="1"/>
  <c r="F1904" i="1"/>
  <c r="G1904" i="1"/>
  <c r="I1904" i="1"/>
  <c r="A1905" i="1"/>
  <c r="F1905" i="1"/>
  <c r="G1905" i="1"/>
  <c r="I1905" i="1"/>
  <c r="A1906" i="1"/>
  <c r="F1906" i="1"/>
  <c r="G1906" i="1"/>
  <c r="I1906" i="1"/>
  <c r="A1907" i="1"/>
  <c r="F1907" i="1"/>
  <c r="G1907" i="1"/>
  <c r="I1907" i="1"/>
  <c r="A1908" i="1"/>
  <c r="F1908" i="1"/>
  <c r="G1908" i="1"/>
  <c r="I1908" i="1"/>
  <c r="A1909" i="1"/>
  <c r="F1909" i="1"/>
  <c r="G1909" i="1"/>
  <c r="I1909" i="1"/>
  <c r="A1910" i="1"/>
  <c r="F1910" i="1"/>
  <c r="G1910" i="1"/>
  <c r="I1910" i="1"/>
  <c r="A1911" i="1"/>
  <c r="F1911" i="1"/>
  <c r="G1911" i="1"/>
  <c r="I1911" i="1"/>
  <c r="A1912" i="1"/>
  <c r="F1912" i="1"/>
  <c r="G1912" i="1"/>
  <c r="I1912" i="1"/>
  <c r="A1913" i="1"/>
  <c r="F1913" i="1"/>
  <c r="G1913" i="1"/>
  <c r="I1913" i="1"/>
  <c r="A1914" i="1"/>
  <c r="F1914" i="1"/>
  <c r="G1914" i="1"/>
  <c r="I1914" i="1"/>
  <c r="A1915" i="1"/>
  <c r="F1915" i="1"/>
  <c r="G1915" i="1"/>
  <c r="I1915" i="1"/>
  <c r="A1916" i="1"/>
  <c r="F1916" i="1"/>
  <c r="G1916" i="1"/>
  <c r="I1916" i="1"/>
  <c r="A1917" i="1"/>
  <c r="F1917" i="1"/>
  <c r="G1917" i="1"/>
  <c r="I1917" i="1"/>
  <c r="A1918" i="1"/>
  <c r="F1918" i="1"/>
  <c r="G1918" i="1"/>
  <c r="I1918" i="1"/>
  <c r="A1919" i="1"/>
  <c r="F1919" i="1"/>
  <c r="G1919" i="1"/>
  <c r="I1919" i="1"/>
  <c r="A1920" i="1"/>
  <c r="F1920" i="1"/>
  <c r="G1920" i="1"/>
  <c r="I1920" i="1"/>
  <c r="A1921" i="1"/>
  <c r="F1921" i="1"/>
  <c r="G1921" i="1"/>
  <c r="I1921" i="1"/>
  <c r="A1922" i="1"/>
  <c r="F1922" i="1"/>
  <c r="G1922" i="1"/>
  <c r="I1922" i="1"/>
  <c r="A1923" i="1"/>
  <c r="F1923" i="1"/>
  <c r="G1923" i="1"/>
  <c r="I1923" i="1"/>
  <c r="A1924" i="1"/>
  <c r="F1924" i="1"/>
  <c r="G1924" i="1"/>
  <c r="I1924" i="1"/>
  <c r="A1925" i="1"/>
  <c r="F1925" i="1"/>
  <c r="G1925" i="1"/>
  <c r="I1925" i="1"/>
  <c r="A1926" i="1"/>
  <c r="F1926" i="1"/>
  <c r="G1926" i="1"/>
  <c r="I1926" i="1"/>
  <c r="A1927" i="1"/>
  <c r="F1927" i="1"/>
  <c r="G1927" i="1"/>
  <c r="I1927" i="1"/>
  <c r="A1928" i="1"/>
  <c r="H1928" i="1"/>
  <c r="I1928" i="1"/>
  <c r="J1928" i="1"/>
  <c r="A1929" i="1"/>
  <c r="F1929" i="1"/>
  <c r="G1929" i="1"/>
  <c r="I1929" i="1"/>
  <c r="A1930" i="1"/>
  <c r="F1930" i="1"/>
  <c r="G1930" i="1"/>
  <c r="I1930" i="1"/>
  <c r="A1931" i="1"/>
  <c r="F1931" i="1"/>
  <c r="G1931" i="1"/>
  <c r="I1931" i="1"/>
  <c r="A1932" i="1"/>
  <c r="F1932" i="1"/>
  <c r="G1932" i="1"/>
  <c r="I1932" i="1"/>
  <c r="A1933" i="1"/>
  <c r="F1933" i="1"/>
  <c r="G1933" i="1"/>
  <c r="I1933" i="1"/>
  <c r="A1934" i="1"/>
  <c r="F1934" i="1"/>
  <c r="G1934" i="1"/>
  <c r="I1934" i="1"/>
  <c r="A1935" i="1"/>
  <c r="F1935" i="1"/>
  <c r="G1935" i="1"/>
  <c r="I1935" i="1"/>
  <c r="A1936" i="1"/>
  <c r="F1936" i="1"/>
  <c r="G1936" i="1"/>
  <c r="I1936" i="1"/>
  <c r="A1937" i="1"/>
  <c r="F1937" i="1"/>
  <c r="G1937" i="1"/>
  <c r="I1937" i="1"/>
  <c r="A1938" i="1"/>
  <c r="F1938" i="1"/>
  <c r="G1938" i="1"/>
  <c r="I1938" i="1"/>
  <c r="A1939" i="1"/>
  <c r="F1939" i="1"/>
  <c r="G1939" i="1"/>
  <c r="I1939" i="1"/>
  <c r="A1940" i="1"/>
  <c r="F1940" i="1"/>
  <c r="G1940" i="1"/>
  <c r="I1940" i="1"/>
  <c r="A1941" i="1"/>
  <c r="F1941" i="1"/>
  <c r="G1941" i="1"/>
  <c r="I1941" i="1"/>
  <c r="A1942" i="1"/>
  <c r="F1942" i="1"/>
  <c r="G1942" i="1"/>
  <c r="I1942" i="1"/>
  <c r="A1943" i="1"/>
  <c r="F1943" i="1"/>
  <c r="G1943" i="1"/>
  <c r="I1943" i="1"/>
  <c r="A1944" i="1"/>
  <c r="F1944" i="1"/>
  <c r="G1944" i="1"/>
  <c r="I1944" i="1"/>
  <c r="A1945" i="1"/>
  <c r="F1945" i="1"/>
  <c r="G1945" i="1"/>
  <c r="I1945" i="1"/>
  <c r="A1946" i="1"/>
  <c r="F1946" i="1"/>
  <c r="G1946" i="1"/>
  <c r="I1946" i="1"/>
  <c r="A1947" i="1"/>
  <c r="F1947" i="1"/>
  <c r="G1947" i="1"/>
  <c r="I1947" i="1"/>
  <c r="A1948" i="1"/>
  <c r="F1948" i="1"/>
  <c r="G1948" i="1"/>
  <c r="I1948" i="1"/>
  <c r="A1949" i="1"/>
  <c r="F1949" i="1"/>
  <c r="G1949" i="1"/>
  <c r="I1949" i="1"/>
  <c r="A1950" i="1"/>
  <c r="F1950" i="1"/>
  <c r="G1950" i="1"/>
  <c r="I1950" i="1"/>
  <c r="A1951" i="1"/>
  <c r="F1951" i="1"/>
  <c r="G1951" i="1"/>
  <c r="I1951" i="1"/>
  <c r="A1952" i="1"/>
  <c r="F1952" i="1"/>
  <c r="G1952" i="1"/>
  <c r="A1953" i="1"/>
  <c r="F1953" i="1"/>
  <c r="G1953" i="1"/>
  <c r="A1954" i="1"/>
  <c r="F1954" i="1"/>
  <c r="G1954" i="1"/>
  <c r="I1954" i="1"/>
  <c r="A1955" i="1"/>
  <c r="F1955" i="1"/>
  <c r="G1955" i="1"/>
  <c r="I1955" i="1"/>
  <c r="A1956" i="1"/>
  <c r="F1956" i="1"/>
  <c r="G1956" i="1"/>
  <c r="I1956" i="1"/>
  <c r="A1957" i="1"/>
  <c r="F1957" i="1"/>
  <c r="G1957" i="1"/>
  <c r="I1957" i="1"/>
  <c r="A1958" i="1"/>
  <c r="F1958" i="1"/>
  <c r="G1958" i="1"/>
  <c r="I1958" i="1"/>
  <c r="A1959" i="1"/>
  <c r="F1959" i="1"/>
  <c r="G1959" i="1"/>
  <c r="I1959" i="1"/>
  <c r="A1960" i="1"/>
  <c r="F1960" i="1"/>
  <c r="G1960" i="1"/>
  <c r="I1960" i="1"/>
  <c r="A1961" i="1"/>
  <c r="F1961" i="1"/>
  <c r="G1961" i="1"/>
  <c r="I1961" i="1"/>
  <c r="A1962" i="1"/>
  <c r="F1962" i="1"/>
  <c r="G1962" i="1"/>
  <c r="I1962" i="1"/>
  <c r="A1963" i="1"/>
  <c r="F1963" i="1"/>
  <c r="G1963" i="1"/>
  <c r="I1963" i="1"/>
  <c r="A1964" i="1"/>
  <c r="F1964" i="1"/>
  <c r="G1964" i="1"/>
  <c r="I1964" i="1"/>
  <c r="A1965" i="1"/>
  <c r="F1965" i="1"/>
  <c r="G1965" i="1"/>
  <c r="I1965" i="1"/>
  <c r="A1966" i="1"/>
  <c r="F1966" i="1"/>
  <c r="G1966" i="1"/>
  <c r="I1966" i="1"/>
  <c r="A1967" i="1"/>
  <c r="F1967" i="1"/>
  <c r="G1967" i="1"/>
  <c r="I1967" i="1"/>
  <c r="A1968" i="1"/>
  <c r="F1968" i="1"/>
  <c r="G1968" i="1"/>
  <c r="I1968" i="1"/>
  <c r="A1969" i="1"/>
  <c r="F1969" i="1"/>
  <c r="G1969" i="1"/>
  <c r="I1969" i="1"/>
  <c r="A1970" i="1"/>
  <c r="F1970" i="1"/>
  <c r="G1970" i="1"/>
  <c r="I1970" i="1"/>
  <c r="A1971" i="1"/>
  <c r="F1971" i="1"/>
  <c r="G1971" i="1"/>
  <c r="I1971" i="1"/>
  <c r="A1972" i="1"/>
  <c r="F1972" i="1"/>
  <c r="G1972" i="1"/>
  <c r="I1972" i="1"/>
  <c r="A1973" i="1"/>
  <c r="F1973" i="1"/>
  <c r="G1973" i="1"/>
  <c r="I1973" i="1"/>
  <c r="A1974" i="1"/>
  <c r="F1974" i="1"/>
  <c r="G1974" i="1"/>
  <c r="I1974" i="1"/>
  <c r="A1975" i="1"/>
  <c r="F1975" i="1"/>
  <c r="G1975" i="1"/>
  <c r="I1975" i="1"/>
  <c r="A1976" i="1"/>
  <c r="F1976" i="1"/>
  <c r="G1976" i="1"/>
  <c r="I1976" i="1"/>
  <c r="A1977" i="1"/>
  <c r="F1977" i="1"/>
  <c r="G1977" i="1"/>
  <c r="I1977" i="1"/>
  <c r="A1978" i="1"/>
  <c r="F1978" i="1"/>
  <c r="G1978" i="1"/>
  <c r="I1978" i="1"/>
  <c r="A1979" i="1"/>
  <c r="F1979" i="1"/>
  <c r="G1979" i="1"/>
  <c r="I1979" i="1"/>
  <c r="A1980" i="1"/>
  <c r="F1980" i="1"/>
  <c r="G1980" i="1"/>
  <c r="I1980" i="1"/>
  <c r="A1981" i="1"/>
  <c r="F1981" i="1"/>
  <c r="G1981" i="1"/>
  <c r="I1981" i="1"/>
  <c r="A1982" i="1"/>
  <c r="F1982" i="1"/>
  <c r="G1982" i="1"/>
  <c r="I1982" i="1"/>
  <c r="A1983" i="1"/>
  <c r="F1983" i="1"/>
  <c r="G1983" i="1"/>
  <c r="A1984" i="1"/>
  <c r="F1984" i="1"/>
  <c r="G1984" i="1"/>
  <c r="A1985" i="1"/>
  <c r="F1985" i="1"/>
  <c r="G1985" i="1"/>
  <c r="A1986" i="1"/>
  <c r="F1986" i="1"/>
  <c r="G1986" i="1"/>
  <c r="A1988" i="1"/>
  <c r="F1988" i="1"/>
  <c r="G1988" i="1"/>
  <c r="I1988" i="1"/>
  <c r="A1989" i="1"/>
  <c r="F1989" i="1"/>
  <c r="G1989" i="1"/>
  <c r="A1990" i="1"/>
  <c r="F1990" i="1"/>
  <c r="G1990" i="1"/>
  <c r="A1991" i="1"/>
  <c r="F1991" i="1"/>
  <c r="G1991" i="1"/>
  <c r="I1991" i="1"/>
  <c r="A1992" i="1"/>
  <c r="F1992" i="1"/>
  <c r="G1992" i="1"/>
  <c r="I1992" i="1"/>
  <c r="A1993" i="1"/>
  <c r="F1993" i="1"/>
  <c r="G1993" i="1"/>
  <c r="I1993" i="1"/>
  <c r="A1994" i="1"/>
  <c r="F1994" i="1"/>
  <c r="G1994" i="1"/>
  <c r="I1994" i="1"/>
  <c r="A1995" i="1"/>
  <c r="F1995" i="1"/>
  <c r="G1995" i="1"/>
  <c r="I1995" i="1"/>
  <c r="A1996" i="1"/>
  <c r="F1996" i="1"/>
  <c r="G1996" i="1"/>
  <c r="I1996" i="1"/>
  <c r="A1997" i="1"/>
  <c r="F1997" i="1"/>
  <c r="G1997" i="1"/>
  <c r="I1997" i="1"/>
  <c r="A1998" i="1"/>
  <c r="F1998" i="1"/>
  <c r="G1998" i="1"/>
  <c r="I1998" i="1"/>
  <c r="A1999" i="1"/>
  <c r="F1999" i="1"/>
  <c r="G1999" i="1"/>
  <c r="I1999" i="1"/>
  <c r="A2000" i="1"/>
  <c r="F2000" i="1"/>
  <c r="G2000" i="1"/>
  <c r="I2000" i="1"/>
  <c r="A2001" i="1"/>
  <c r="F2001" i="1"/>
  <c r="G2001" i="1"/>
  <c r="I2001" i="1"/>
  <c r="A2002" i="1"/>
  <c r="F2002" i="1"/>
  <c r="G2002" i="1"/>
  <c r="I2002" i="1"/>
  <c r="A2003" i="1"/>
  <c r="F2003" i="1"/>
  <c r="G2003" i="1"/>
  <c r="I2003" i="1"/>
  <c r="A2004" i="1"/>
  <c r="F2004" i="1"/>
  <c r="G2004" i="1"/>
  <c r="I2004" i="1"/>
  <c r="A2005" i="1"/>
  <c r="F2005" i="1"/>
  <c r="G2005" i="1"/>
  <c r="I2005" i="1"/>
  <c r="A2006" i="1"/>
  <c r="F2006" i="1"/>
  <c r="G2006" i="1"/>
  <c r="I2006" i="1"/>
  <c r="A2007" i="1"/>
  <c r="F2007" i="1"/>
  <c r="G2007" i="1"/>
  <c r="I2007" i="1"/>
  <c r="A2008" i="1"/>
  <c r="F2008" i="1"/>
  <c r="G2008" i="1"/>
  <c r="I2008" i="1"/>
  <c r="A2009" i="1"/>
  <c r="F2009" i="1"/>
  <c r="G2009" i="1"/>
  <c r="I2009" i="1"/>
  <c r="A2010" i="1"/>
  <c r="F2010" i="1"/>
  <c r="G2010" i="1"/>
  <c r="I2010" i="1"/>
  <c r="A2011" i="1"/>
  <c r="F2011" i="1"/>
  <c r="G2011" i="1"/>
  <c r="I2011" i="1"/>
  <c r="A2012" i="1"/>
  <c r="F2012" i="1"/>
  <c r="G2012" i="1"/>
  <c r="I2012" i="1"/>
  <c r="A2013" i="1"/>
  <c r="F2013" i="1"/>
  <c r="G2013" i="1"/>
  <c r="I2013" i="1"/>
  <c r="A2014" i="1"/>
  <c r="F2014" i="1"/>
  <c r="G2014" i="1"/>
  <c r="I2014" i="1"/>
  <c r="A2015" i="1"/>
  <c r="F2015" i="1"/>
  <c r="G2015" i="1"/>
  <c r="I2015" i="1"/>
  <c r="A2016" i="1"/>
  <c r="F2016" i="1"/>
  <c r="G2016" i="1"/>
  <c r="I2016" i="1"/>
  <c r="A2017" i="1"/>
  <c r="F2017" i="1"/>
  <c r="G2017" i="1"/>
  <c r="I2017" i="1"/>
  <c r="A2018" i="1"/>
  <c r="F2018" i="1"/>
  <c r="G2018" i="1"/>
  <c r="I2018" i="1"/>
  <c r="A2019" i="1"/>
  <c r="F2019" i="1"/>
  <c r="G2019" i="1"/>
  <c r="I2019" i="1"/>
  <c r="A2020" i="1"/>
  <c r="F2020" i="1"/>
  <c r="G2020" i="1"/>
  <c r="I2020" i="1"/>
  <c r="A2021" i="1"/>
  <c r="F2021" i="1"/>
  <c r="G2021" i="1"/>
  <c r="I2021" i="1"/>
  <c r="A2022" i="1"/>
  <c r="F2022" i="1"/>
  <c r="G2022" i="1"/>
  <c r="I2022" i="1"/>
  <c r="A2023" i="1"/>
  <c r="F2023" i="1"/>
  <c r="G2023" i="1"/>
  <c r="I2023" i="1"/>
  <c r="A2024" i="1"/>
  <c r="F2024" i="1"/>
  <c r="G2024" i="1"/>
  <c r="I2024" i="1"/>
  <c r="A2025" i="1"/>
  <c r="F2025" i="1"/>
  <c r="G2025" i="1"/>
  <c r="I2025" i="1"/>
  <c r="A2026" i="1"/>
  <c r="F2026" i="1"/>
  <c r="G2026" i="1"/>
  <c r="I2026" i="1"/>
  <c r="A2027" i="1"/>
  <c r="F2027" i="1"/>
  <c r="G2027" i="1"/>
  <c r="I2027" i="1"/>
  <c r="A2028" i="1"/>
  <c r="F2028" i="1"/>
  <c r="G2028" i="1"/>
  <c r="I2028" i="1"/>
  <c r="A2029" i="1"/>
  <c r="F2029" i="1"/>
  <c r="G2029" i="1"/>
  <c r="I2029" i="1"/>
  <c r="A2030" i="1"/>
  <c r="F2030" i="1"/>
  <c r="G2030" i="1"/>
  <c r="I2030" i="1"/>
  <c r="A2031" i="1"/>
  <c r="F2031" i="1"/>
  <c r="G2031" i="1"/>
  <c r="I2031" i="1"/>
  <c r="A2032" i="1"/>
  <c r="F2032" i="1"/>
  <c r="G2032" i="1"/>
  <c r="I2032" i="1"/>
  <c r="A2033" i="1"/>
  <c r="F2033" i="1"/>
  <c r="G2033" i="1"/>
  <c r="I2033" i="1"/>
  <c r="A2034" i="1"/>
  <c r="F2034" i="1"/>
  <c r="G2034" i="1"/>
  <c r="I2034" i="1"/>
  <c r="A2035" i="1"/>
  <c r="F2035" i="1"/>
  <c r="G2035" i="1"/>
  <c r="I2035" i="1"/>
  <c r="A2036" i="1"/>
  <c r="F2036" i="1"/>
  <c r="G2036" i="1"/>
  <c r="I2036" i="1"/>
  <c r="A2037" i="1"/>
  <c r="F2037" i="1"/>
  <c r="G2037" i="1"/>
  <c r="I2037" i="1"/>
  <c r="A2038" i="1"/>
  <c r="F2038" i="1"/>
  <c r="G2038" i="1"/>
  <c r="I2038" i="1"/>
  <c r="A2039" i="1"/>
  <c r="F2039" i="1"/>
  <c r="G2039" i="1"/>
  <c r="I2039" i="1"/>
  <c r="A2040" i="1"/>
  <c r="F2040" i="1"/>
  <c r="G2040" i="1"/>
  <c r="I2040" i="1"/>
  <c r="A2041" i="1"/>
  <c r="F2041" i="1"/>
  <c r="G2041" i="1"/>
  <c r="I2041" i="1"/>
  <c r="A2042" i="1"/>
  <c r="F2042" i="1"/>
  <c r="G2042" i="1"/>
  <c r="I2042" i="1"/>
  <c r="A2043" i="1"/>
  <c r="F2043" i="1"/>
  <c r="G2043" i="1"/>
  <c r="I2043" i="1"/>
  <c r="A2044" i="1"/>
  <c r="F2044" i="1"/>
  <c r="G2044" i="1"/>
  <c r="I2044" i="1"/>
  <c r="A2045" i="1"/>
  <c r="F2045" i="1"/>
  <c r="G2045" i="1"/>
  <c r="I2045" i="1"/>
  <c r="A2046" i="1"/>
  <c r="F2046" i="1"/>
  <c r="G2046" i="1"/>
  <c r="I2046" i="1"/>
  <c r="A2047" i="1"/>
  <c r="F2047" i="1"/>
  <c r="G2047" i="1"/>
  <c r="I2047" i="1"/>
  <c r="A2048" i="1"/>
  <c r="F2048" i="1"/>
  <c r="G2048" i="1"/>
  <c r="I2048" i="1"/>
  <c r="A2049" i="1"/>
  <c r="F2049" i="1"/>
  <c r="G2049" i="1"/>
  <c r="I2049" i="1"/>
  <c r="A2050" i="1"/>
  <c r="F2050" i="1"/>
  <c r="G2050" i="1"/>
  <c r="I2050" i="1"/>
  <c r="A2051" i="1"/>
  <c r="F2051" i="1"/>
  <c r="G2051" i="1"/>
  <c r="I2051" i="1"/>
  <c r="A2052" i="1"/>
  <c r="F2052" i="1"/>
  <c r="G2052" i="1"/>
  <c r="I2052" i="1"/>
  <c r="A2053" i="1"/>
  <c r="F2053" i="1"/>
  <c r="G2053" i="1"/>
  <c r="I2053" i="1"/>
  <c r="A2054" i="1"/>
  <c r="F2054" i="1"/>
  <c r="G2054" i="1"/>
  <c r="I2054" i="1"/>
  <c r="A2055" i="1"/>
  <c r="F2055" i="1"/>
  <c r="G2055" i="1"/>
  <c r="I2055" i="1"/>
  <c r="A2056" i="1"/>
  <c r="F2056" i="1"/>
  <c r="G2056" i="1"/>
  <c r="I2056" i="1"/>
  <c r="A2057" i="1"/>
  <c r="F2057" i="1"/>
  <c r="G2057" i="1"/>
  <c r="I2057" i="1"/>
  <c r="A2058" i="1"/>
  <c r="F2058" i="1"/>
  <c r="G2058" i="1"/>
  <c r="I2058" i="1"/>
  <c r="A2059" i="1"/>
  <c r="F2059" i="1"/>
  <c r="G2059" i="1"/>
  <c r="I2059" i="1"/>
  <c r="A2060" i="1"/>
  <c r="F2060" i="1"/>
  <c r="G2060" i="1"/>
  <c r="I2060" i="1"/>
  <c r="A2061" i="1"/>
  <c r="F2061" i="1"/>
  <c r="G2061" i="1"/>
  <c r="I2061" i="1"/>
  <c r="A2062" i="1"/>
  <c r="F2062" i="1"/>
  <c r="G2062" i="1"/>
  <c r="I2062" i="1"/>
  <c r="A2063" i="1"/>
  <c r="F2063" i="1"/>
  <c r="G2063" i="1"/>
  <c r="I2063" i="1"/>
  <c r="A2064" i="1"/>
  <c r="F2064" i="1"/>
  <c r="G2064" i="1"/>
  <c r="I2064" i="1"/>
  <c r="A2065" i="1"/>
  <c r="F2065" i="1"/>
  <c r="G2065" i="1"/>
  <c r="I2065" i="1"/>
  <c r="A2066" i="1"/>
  <c r="F2066" i="1"/>
  <c r="G2066" i="1"/>
  <c r="I2066" i="1"/>
  <c r="A2067" i="1"/>
  <c r="F2067" i="1"/>
  <c r="G2067" i="1"/>
  <c r="I2067" i="1"/>
  <c r="A2068" i="1"/>
  <c r="F2068" i="1"/>
  <c r="G2068" i="1"/>
  <c r="I2068" i="1"/>
  <c r="A2069" i="1"/>
  <c r="F2069" i="1"/>
  <c r="G2069" i="1"/>
  <c r="I2069" i="1"/>
  <c r="A2070" i="1"/>
  <c r="F2070" i="1"/>
  <c r="G2070" i="1"/>
  <c r="I2070" i="1"/>
  <c r="A2071" i="1"/>
  <c r="F2071" i="1"/>
  <c r="G2071" i="1"/>
  <c r="I2071" i="1"/>
  <c r="A2072" i="1"/>
  <c r="F2072" i="1"/>
  <c r="G2072" i="1"/>
  <c r="I2072" i="1"/>
  <c r="A2073" i="1"/>
  <c r="F2073" i="1"/>
  <c r="G2073" i="1"/>
  <c r="I2073" i="1"/>
  <c r="A2074" i="1"/>
  <c r="F2074" i="1"/>
  <c r="G2074" i="1"/>
  <c r="I2074" i="1"/>
  <c r="A2075" i="1"/>
  <c r="F2075" i="1"/>
  <c r="G2075" i="1"/>
  <c r="I2075" i="1"/>
  <c r="A2076" i="1"/>
  <c r="F2076" i="1"/>
  <c r="G2076" i="1"/>
  <c r="I2076" i="1"/>
  <c r="A2077" i="1"/>
  <c r="F2077" i="1"/>
  <c r="G2077" i="1"/>
  <c r="I2077" i="1"/>
  <c r="A2078" i="1"/>
  <c r="F2078" i="1"/>
  <c r="G2078" i="1"/>
  <c r="I2078" i="1"/>
  <c r="A2079" i="1"/>
  <c r="F2079" i="1"/>
  <c r="G2079" i="1"/>
  <c r="I2079" i="1"/>
  <c r="A2080" i="1"/>
  <c r="F2080" i="1"/>
  <c r="G2080" i="1"/>
  <c r="I2080" i="1"/>
  <c r="A2081" i="1"/>
  <c r="F2081" i="1"/>
  <c r="G2081" i="1"/>
  <c r="I2081" i="1"/>
  <c r="A2082" i="1"/>
  <c r="F2082" i="1"/>
  <c r="G2082" i="1"/>
  <c r="I2082" i="1"/>
  <c r="A2083" i="1"/>
  <c r="F2083" i="1"/>
  <c r="G2083" i="1"/>
  <c r="I2083" i="1"/>
  <c r="A2084" i="1"/>
  <c r="F2084" i="1"/>
  <c r="G2084" i="1"/>
  <c r="I2084" i="1"/>
  <c r="A2085" i="1"/>
  <c r="F2085" i="1"/>
  <c r="G2085" i="1"/>
  <c r="I2085" i="1"/>
  <c r="A2086" i="1"/>
  <c r="F2086" i="1"/>
  <c r="G2086" i="1"/>
  <c r="I2086" i="1"/>
  <c r="A2087" i="1"/>
  <c r="F2087" i="1"/>
  <c r="G2087" i="1"/>
  <c r="I2087" i="1"/>
  <c r="A2088" i="1"/>
  <c r="F2088" i="1"/>
  <c r="G2088" i="1"/>
  <c r="I2088" i="1"/>
  <c r="A2089" i="1"/>
  <c r="F2089" i="1"/>
  <c r="G2089" i="1"/>
  <c r="I2089" i="1"/>
  <c r="A2090" i="1"/>
  <c r="F2090" i="1"/>
  <c r="G2090" i="1"/>
  <c r="I2090" i="1"/>
  <c r="A2091" i="1"/>
  <c r="F2091" i="1"/>
  <c r="G2091" i="1"/>
  <c r="I2091" i="1"/>
  <c r="A2092" i="1"/>
  <c r="F2092" i="1"/>
  <c r="G2092" i="1"/>
  <c r="I2092" i="1"/>
  <c r="A2093" i="1"/>
  <c r="F2093" i="1"/>
  <c r="G2093" i="1"/>
  <c r="I2093" i="1"/>
  <c r="A2094" i="1"/>
  <c r="F2094" i="1"/>
  <c r="G2094" i="1"/>
  <c r="I2094" i="1"/>
  <c r="A2095" i="1"/>
  <c r="F2095" i="1"/>
  <c r="G2095" i="1"/>
  <c r="I2095" i="1"/>
  <c r="A2096" i="1"/>
  <c r="F2096" i="1"/>
  <c r="G2096" i="1"/>
  <c r="I2096" i="1"/>
  <c r="A2097" i="1"/>
  <c r="F2097" i="1"/>
  <c r="G2097" i="1"/>
  <c r="I2097" i="1"/>
  <c r="A2098" i="1"/>
  <c r="F2098" i="1"/>
  <c r="G2098" i="1"/>
  <c r="I2098" i="1"/>
  <c r="A2099" i="1"/>
  <c r="F2099" i="1"/>
  <c r="G2099" i="1"/>
  <c r="I2099" i="1"/>
  <c r="A2100" i="1"/>
  <c r="F2100" i="1"/>
  <c r="G2100" i="1"/>
  <c r="I2100" i="1"/>
  <c r="A2101" i="1"/>
  <c r="F2101" i="1"/>
  <c r="G2101" i="1"/>
  <c r="I2101" i="1"/>
  <c r="A2102" i="1"/>
  <c r="F2102" i="1"/>
  <c r="G2102" i="1"/>
  <c r="I2102" i="1"/>
  <c r="A2103" i="1"/>
  <c r="F2103" i="1"/>
  <c r="G2103" i="1"/>
  <c r="I2103" i="1"/>
  <c r="A2104" i="1"/>
  <c r="F2104" i="1"/>
  <c r="G2104" i="1"/>
  <c r="I2104" i="1"/>
  <c r="A2105" i="1"/>
  <c r="F2105" i="1"/>
  <c r="G2105" i="1"/>
  <c r="I2105" i="1"/>
  <c r="A2106" i="1"/>
  <c r="F2106" i="1"/>
  <c r="G2106" i="1"/>
  <c r="I2106" i="1"/>
  <c r="A2107" i="1"/>
  <c r="F2107" i="1"/>
  <c r="G2107" i="1"/>
  <c r="I2107" i="1"/>
  <c r="A2108" i="1"/>
  <c r="F2108" i="1"/>
  <c r="G2108" i="1"/>
  <c r="I2108" i="1"/>
  <c r="A2109" i="1"/>
  <c r="F2109" i="1"/>
  <c r="G2109" i="1"/>
  <c r="I2109" i="1"/>
  <c r="A2110" i="1"/>
  <c r="F2110" i="1"/>
  <c r="G2110" i="1"/>
  <c r="I2110" i="1"/>
  <c r="A2111" i="1"/>
  <c r="F2111" i="1"/>
  <c r="G2111" i="1"/>
  <c r="I2111" i="1"/>
  <c r="A2112" i="1"/>
  <c r="F2112" i="1"/>
  <c r="G2112" i="1"/>
  <c r="I2112" i="1"/>
  <c r="A2113" i="1"/>
  <c r="F2113" i="1"/>
  <c r="G2113" i="1"/>
  <c r="I2113" i="1"/>
  <c r="A2114" i="1"/>
  <c r="F2114" i="1"/>
  <c r="G2114" i="1"/>
  <c r="I2114" i="1"/>
  <c r="A2115" i="1"/>
  <c r="F2115" i="1"/>
  <c r="G2115" i="1"/>
  <c r="I2115" i="1"/>
  <c r="A2116" i="1"/>
  <c r="F2116" i="1"/>
  <c r="G2116" i="1"/>
  <c r="I2116" i="1"/>
  <c r="A2117" i="1"/>
  <c r="F2117" i="1"/>
  <c r="G2117" i="1"/>
  <c r="I2117" i="1"/>
  <c r="A2118" i="1"/>
  <c r="F2118" i="1"/>
  <c r="G2118" i="1"/>
  <c r="I2118" i="1"/>
  <c r="A2119" i="1"/>
  <c r="F2119" i="1"/>
  <c r="G2119" i="1"/>
  <c r="I2119" i="1"/>
  <c r="A2120" i="1"/>
  <c r="F2120" i="1"/>
  <c r="G2120" i="1"/>
  <c r="I2120" i="1"/>
  <c r="A2121" i="1"/>
  <c r="F2121" i="1"/>
  <c r="G2121" i="1"/>
  <c r="I2121" i="1"/>
  <c r="A2122" i="1"/>
  <c r="F2122" i="1"/>
  <c r="G2122" i="1"/>
  <c r="I2122" i="1"/>
  <c r="A2123" i="1"/>
  <c r="F2123" i="1"/>
  <c r="G2123" i="1"/>
  <c r="I2123" i="1"/>
  <c r="A2124" i="1"/>
  <c r="F2124" i="1"/>
  <c r="G2124" i="1"/>
  <c r="I2124" i="1"/>
  <c r="A2125" i="1"/>
  <c r="F2125" i="1"/>
  <c r="G2125" i="1"/>
  <c r="I2125" i="1"/>
  <c r="A2126" i="1"/>
  <c r="F2126" i="1"/>
  <c r="G2126" i="1"/>
  <c r="I2126" i="1"/>
  <c r="A2127" i="1"/>
  <c r="F2127" i="1"/>
  <c r="G2127" i="1"/>
  <c r="I2127" i="1"/>
  <c r="A2128" i="1"/>
  <c r="F2128" i="1"/>
  <c r="G2128" i="1"/>
  <c r="I2128" i="1"/>
  <c r="A2129" i="1"/>
  <c r="F2129" i="1"/>
  <c r="G2129" i="1"/>
  <c r="I2129" i="1"/>
  <c r="A2130" i="1"/>
  <c r="F2130" i="1"/>
  <c r="G2130" i="1"/>
  <c r="I2130" i="1"/>
  <c r="A2131" i="1"/>
  <c r="F2131" i="1"/>
  <c r="G2131" i="1"/>
  <c r="I2131" i="1"/>
  <c r="A2132" i="1"/>
  <c r="F2132" i="1"/>
  <c r="G2132" i="1"/>
  <c r="I2132" i="1"/>
  <c r="A2133" i="1"/>
  <c r="F2133" i="1"/>
  <c r="G2133" i="1"/>
  <c r="I2133" i="1"/>
  <c r="A2134" i="1"/>
  <c r="F2134" i="1"/>
  <c r="G2134" i="1"/>
  <c r="I2134" i="1"/>
  <c r="A2135" i="1"/>
  <c r="F2135" i="1"/>
  <c r="G2135" i="1"/>
  <c r="I2135" i="1"/>
  <c r="A2136" i="1"/>
  <c r="F2136" i="1"/>
  <c r="G2136" i="1"/>
  <c r="I2136" i="1"/>
  <c r="A2137" i="1"/>
  <c r="F2137" i="1"/>
  <c r="G2137" i="1"/>
  <c r="I2137" i="1"/>
  <c r="A2138" i="1"/>
  <c r="F2138" i="1"/>
  <c r="G2138" i="1"/>
  <c r="I2138" i="1"/>
  <c r="A2139" i="1"/>
  <c r="F2139" i="1"/>
  <c r="G2139" i="1"/>
  <c r="I2139" i="1"/>
  <c r="A2140" i="1"/>
  <c r="F2140" i="1"/>
  <c r="G2140" i="1"/>
  <c r="I2140" i="1"/>
  <c r="A2141" i="1"/>
  <c r="F2141" i="1"/>
  <c r="G2141" i="1"/>
  <c r="I2141" i="1"/>
  <c r="A2142" i="1"/>
  <c r="F2142" i="1"/>
  <c r="G2142" i="1"/>
  <c r="I2142" i="1"/>
  <c r="A2143" i="1"/>
  <c r="F2143" i="1"/>
  <c r="G2143" i="1"/>
  <c r="I2143" i="1"/>
  <c r="A2144" i="1"/>
  <c r="F2144" i="1"/>
  <c r="G2144" i="1"/>
  <c r="I2144" i="1"/>
  <c r="A2145" i="1"/>
  <c r="F2145" i="1"/>
  <c r="G2145" i="1"/>
  <c r="I2145" i="1"/>
  <c r="A2146" i="1"/>
  <c r="F2146" i="1"/>
  <c r="G2146" i="1"/>
  <c r="I2146" i="1"/>
  <c r="A2147" i="1"/>
  <c r="F2147" i="1"/>
  <c r="G2147" i="1"/>
  <c r="I2147" i="1"/>
  <c r="A2148" i="1"/>
  <c r="F2148" i="1"/>
  <c r="G2148" i="1"/>
  <c r="I2148" i="1"/>
  <c r="A2149" i="1"/>
  <c r="F2149" i="1"/>
  <c r="G2149" i="1"/>
  <c r="I2149" i="1"/>
  <c r="A2150" i="1"/>
  <c r="F2150" i="1"/>
  <c r="G2150" i="1"/>
  <c r="I2150" i="1"/>
  <c r="A2151" i="1"/>
  <c r="F2151" i="1"/>
  <c r="G2151" i="1"/>
  <c r="I2151" i="1"/>
  <c r="A2152" i="1"/>
  <c r="F2152" i="1"/>
  <c r="G2152" i="1"/>
  <c r="I2152" i="1"/>
  <c r="A2153" i="1"/>
  <c r="F2153" i="1"/>
  <c r="G2153" i="1"/>
  <c r="I2153" i="1"/>
  <c r="A2154" i="1"/>
  <c r="F2154" i="1"/>
  <c r="G2154" i="1"/>
  <c r="I2154" i="1"/>
  <c r="A2155" i="1"/>
  <c r="F2155" i="1"/>
  <c r="G2155" i="1"/>
  <c r="I2155" i="1"/>
  <c r="A2156" i="1"/>
  <c r="F2156" i="1"/>
  <c r="G2156" i="1"/>
  <c r="I2156" i="1"/>
  <c r="A2157" i="1"/>
  <c r="F2157" i="1"/>
  <c r="G2157" i="1"/>
  <c r="I2157" i="1"/>
  <c r="A2158" i="1"/>
  <c r="F2158" i="1"/>
  <c r="G2158" i="1"/>
  <c r="I2158" i="1"/>
  <c r="A2159" i="1"/>
  <c r="F2159" i="1"/>
  <c r="G2159" i="1"/>
  <c r="I2159" i="1"/>
  <c r="A2160" i="1"/>
  <c r="F2160" i="1"/>
  <c r="G2160" i="1"/>
  <c r="I2160" i="1"/>
  <c r="A2161" i="1"/>
  <c r="F2161" i="1"/>
  <c r="G2161" i="1"/>
  <c r="I2161" i="1"/>
  <c r="A2162" i="1"/>
  <c r="F2162" i="1"/>
  <c r="G2162" i="1"/>
  <c r="I2162" i="1"/>
  <c r="A2163" i="1"/>
  <c r="F2163" i="1"/>
  <c r="G2163" i="1"/>
  <c r="I2163" i="1"/>
  <c r="A2164" i="1"/>
  <c r="F2164" i="1"/>
  <c r="G2164" i="1"/>
  <c r="I2164" i="1"/>
  <c r="A2165" i="1"/>
  <c r="F2165" i="1"/>
  <c r="G2165" i="1"/>
  <c r="I2165" i="1"/>
  <c r="A2166" i="1"/>
  <c r="F2166" i="1"/>
  <c r="G2166" i="1"/>
  <c r="I2166" i="1"/>
  <c r="A2167" i="1"/>
  <c r="F2167" i="1"/>
  <c r="G2167" i="1"/>
  <c r="I2167" i="1"/>
  <c r="A2168" i="1"/>
  <c r="F2168" i="1"/>
  <c r="G2168" i="1"/>
  <c r="I2168" i="1"/>
  <c r="A2169" i="1"/>
  <c r="F2169" i="1"/>
  <c r="G2169" i="1"/>
  <c r="I2169" i="1"/>
  <c r="A2170" i="1"/>
  <c r="F2170" i="1"/>
  <c r="G2170" i="1"/>
  <c r="I2170" i="1"/>
  <c r="A2171" i="1"/>
  <c r="F2171" i="1"/>
  <c r="G2171" i="1"/>
  <c r="I2171" i="1"/>
  <c r="A2172" i="1"/>
  <c r="F2172" i="1"/>
  <c r="G2172" i="1"/>
  <c r="I2172" i="1"/>
  <c r="A2173" i="1"/>
  <c r="F2173" i="1"/>
  <c r="G2173" i="1"/>
  <c r="I2173" i="1"/>
  <c r="A2174" i="1"/>
  <c r="F2174" i="1"/>
  <c r="G2174" i="1"/>
  <c r="I2174" i="1"/>
  <c r="A2175" i="1"/>
  <c r="F2175" i="1"/>
  <c r="G2175" i="1"/>
  <c r="I2175" i="1"/>
  <c r="A2176" i="1"/>
  <c r="F2176" i="1"/>
  <c r="G2176" i="1"/>
  <c r="I2176" i="1"/>
  <c r="A2177" i="1"/>
  <c r="F2177" i="1"/>
  <c r="G2177" i="1"/>
  <c r="I2177" i="1"/>
  <c r="A2178" i="1"/>
  <c r="F2178" i="1"/>
  <c r="G2178" i="1"/>
  <c r="I2178" i="1"/>
  <c r="A2179" i="1"/>
  <c r="F2179" i="1"/>
  <c r="G2179" i="1"/>
  <c r="I2179" i="1"/>
  <c r="A2180" i="1"/>
  <c r="F2180" i="1"/>
  <c r="G2180" i="1"/>
  <c r="I2180" i="1"/>
  <c r="A2181" i="1"/>
  <c r="F2181" i="1"/>
  <c r="G2181" i="1"/>
  <c r="I2181" i="1"/>
  <c r="A2182" i="1"/>
  <c r="F2182" i="1"/>
  <c r="G2182" i="1"/>
  <c r="I2182" i="1"/>
  <c r="A2183" i="1"/>
  <c r="F2183" i="1"/>
  <c r="G2183" i="1"/>
  <c r="I2183" i="1"/>
  <c r="A2184" i="1"/>
  <c r="F2184" i="1"/>
  <c r="G2184" i="1"/>
  <c r="I2184" i="1"/>
  <c r="A2185" i="1"/>
  <c r="F2185" i="1"/>
  <c r="G2185" i="1"/>
  <c r="I2185" i="1"/>
  <c r="A2186" i="1"/>
  <c r="F2186" i="1"/>
  <c r="G2186" i="1"/>
  <c r="I2186" i="1"/>
  <c r="A2187" i="1"/>
  <c r="F2187" i="1"/>
  <c r="G2187" i="1"/>
  <c r="I2187" i="1"/>
  <c r="A2188" i="1"/>
  <c r="F2188" i="1"/>
  <c r="G2188" i="1"/>
  <c r="I2188" i="1"/>
  <c r="A2189" i="1"/>
  <c r="F2189" i="1"/>
  <c r="G2189" i="1"/>
  <c r="I2189" i="1"/>
  <c r="A2190" i="1"/>
  <c r="F2190" i="1"/>
  <c r="G2190" i="1"/>
  <c r="I2190" i="1"/>
  <c r="A2191" i="1"/>
  <c r="F2191" i="1"/>
  <c r="G2191" i="1"/>
  <c r="I2191" i="1"/>
  <c r="A2192" i="1"/>
  <c r="F2192" i="1"/>
  <c r="G2192" i="1"/>
  <c r="I2192" i="1"/>
  <c r="A2193" i="1"/>
  <c r="F2193" i="1"/>
  <c r="G2193" i="1"/>
  <c r="I2193" i="1"/>
  <c r="A2194" i="1"/>
  <c r="F2194" i="1"/>
  <c r="G2194" i="1"/>
  <c r="I2194" i="1"/>
  <c r="A2195" i="1"/>
  <c r="F2195" i="1"/>
  <c r="G2195" i="1"/>
  <c r="I2195" i="1"/>
  <c r="A2196" i="1"/>
  <c r="F2196" i="1"/>
  <c r="G2196" i="1"/>
  <c r="I2196" i="1"/>
  <c r="A2197" i="1"/>
  <c r="F2197" i="1"/>
  <c r="G2197" i="1"/>
  <c r="I2197" i="1"/>
  <c r="A2198" i="1"/>
  <c r="F2198" i="1"/>
  <c r="G2198" i="1"/>
  <c r="I2198" i="1"/>
  <c r="A2199" i="1"/>
  <c r="F2199" i="1"/>
  <c r="G2199" i="1"/>
  <c r="I2199" i="1"/>
  <c r="A2200" i="1"/>
  <c r="F2200" i="1"/>
  <c r="G2200" i="1"/>
  <c r="I2200" i="1"/>
  <c r="A2201" i="1"/>
  <c r="F2201" i="1"/>
  <c r="G2201" i="1"/>
  <c r="I2201" i="1"/>
  <c r="A2202" i="1"/>
  <c r="F2202" i="1"/>
  <c r="G2202" i="1"/>
  <c r="I2202" i="1"/>
  <c r="A2203" i="1"/>
  <c r="F2203" i="1"/>
  <c r="G2203" i="1"/>
  <c r="I2203" i="1"/>
  <c r="A2204" i="1"/>
  <c r="F2204" i="1"/>
  <c r="G2204" i="1"/>
  <c r="I2204" i="1"/>
  <c r="A2205" i="1"/>
  <c r="F2205" i="1"/>
  <c r="G2205" i="1"/>
  <c r="I2205" i="1"/>
  <c r="A2206" i="1"/>
  <c r="F2206" i="1"/>
  <c r="G2206" i="1"/>
  <c r="I2206" i="1"/>
  <c r="A2207" i="1"/>
  <c r="F2207" i="1"/>
  <c r="G2207" i="1"/>
  <c r="I2207" i="1"/>
  <c r="A2208" i="1"/>
  <c r="F2208" i="1"/>
  <c r="G2208" i="1"/>
  <c r="I2208" i="1"/>
  <c r="A2209" i="1"/>
  <c r="F2209" i="1"/>
  <c r="G2209" i="1"/>
  <c r="I2209" i="1"/>
  <c r="A2210" i="1"/>
  <c r="F2210" i="1"/>
  <c r="G2210" i="1"/>
  <c r="I2210" i="1"/>
  <c r="A2211" i="1"/>
  <c r="F2211" i="1"/>
  <c r="G2211" i="1"/>
  <c r="I2211" i="1"/>
  <c r="A2212" i="1"/>
  <c r="F2212" i="1"/>
  <c r="G2212" i="1"/>
  <c r="I2212" i="1"/>
  <c r="A2213" i="1"/>
  <c r="F2213" i="1"/>
  <c r="G2213" i="1"/>
  <c r="I2213" i="1"/>
  <c r="A2214" i="1"/>
  <c r="F2214" i="1"/>
  <c r="G2214" i="1"/>
  <c r="I2214" i="1"/>
  <c r="A2215" i="1"/>
  <c r="F2215" i="1"/>
  <c r="G2215" i="1"/>
  <c r="I2215" i="1"/>
  <c r="A2216" i="1"/>
  <c r="F2216" i="1"/>
  <c r="G2216" i="1"/>
  <c r="I2216" i="1"/>
  <c r="A2217" i="1"/>
  <c r="F2217" i="1"/>
  <c r="G2217" i="1"/>
  <c r="I2217" i="1"/>
  <c r="A2218" i="1"/>
  <c r="F2218" i="1"/>
  <c r="G2218" i="1"/>
  <c r="I2218" i="1"/>
  <c r="A2219" i="1"/>
  <c r="F2219" i="1"/>
  <c r="G2219" i="1"/>
  <c r="I2219" i="1"/>
  <c r="A2220" i="1"/>
  <c r="F2220" i="1"/>
  <c r="G2220" i="1"/>
  <c r="I2220" i="1"/>
  <c r="A2221" i="1"/>
  <c r="F2221" i="1"/>
  <c r="G2221" i="1"/>
  <c r="I2221" i="1"/>
  <c r="A2222" i="1"/>
  <c r="F2222" i="1"/>
  <c r="G2222" i="1"/>
  <c r="I2222" i="1"/>
  <c r="A2223" i="1"/>
  <c r="F2223" i="1"/>
  <c r="G2223" i="1"/>
  <c r="I2223" i="1"/>
  <c r="A2224" i="1"/>
  <c r="F2224" i="1"/>
  <c r="G2224" i="1"/>
  <c r="I2224" i="1"/>
  <c r="A2225" i="1"/>
  <c r="F2225" i="1"/>
  <c r="G2225" i="1"/>
  <c r="I2225" i="1"/>
  <c r="A2226" i="1"/>
  <c r="F2226" i="1"/>
  <c r="G2226" i="1"/>
  <c r="I2226" i="1"/>
  <c r="A2227" i="1"/>
  <c r="F2227" i="1"/>
  <c r="G2227" i="1"/>
  <c r="I2227" i="1"/>
  <c r="A2228" i="1"/>
  <c r="F2228" i="1"/>
  <c r="G2228" i="1"/>
  <c r="I2228" i="1"/>
  <c r="A2229" i="1"/>
  <c r="F2229" i="1"/>
  <c r="G2229" i="1"/>
  <c r="I2229" i="1"/>
  <c r="A2230" i="1"/>
  <c r="F2230" i="1"/>
  <c r="G2230" i="1"/>
  <c r="I2230" i="1"/>
  <c r="A2231" i="1"/>
  <c r="F2231" i="1"/>
  <c r="G2231" i="1"/>
  <c r="I2231" i="1"/>
  <c r="A2232" i="1"/>
  <c r="F2232" i="1"/>
  <c r="G2232" i="1"/>
  <c r="I2232" i="1"/>
  <c r="A2233" i="1"/>
  <c r="F2233" i="1"/>
  <c r="G2233" i="1"/>
  <c r="I2233" i="1"/>
  <c r="A2234" i="1"/>
  <c r="F2234" i="1"/>
  <c r="G2234" i="1"/>
  <c r="I2234" i="1"/>
  <c r="A2235" i="1"/>
  <c r="F2235" i="1"/>
  <c r="G2235" i="1"/>
  <c r="I2235" i="1"/>
  <c r="A2236" i="1"/>
  <c r="F2236" i="1"/>
  <c r="G2236" i="1"/>
  <c r="I2236" i="1"/>
  <c r="A2237" i="1"/>
  <c r="F2237" i="1"/>
  <c r="G2237" i="1"/>
  <c r="I2237" i="1"/>
  <c r="A2238" i="1"/>
  <c r="F2238" i="1"/>
  <c r="G2238" i="1"/>
  <c r="I2238" i="1"/>
  <c r="A2239" i="1"/>
  <c r="F2239" i="1"/>
  <c r="G2239" i="1"/>
  <c r="I2239" i="1"/>
  <c r="A2240" i="1"/>
  <c r="F2240" i="1"/>
  <c r="G2240" i="1"/>
  <c r="I2240" i="1"/>
  <c r="A2241" i="1"/>
  <c r="F2241" i="1"/>
  <c r="G2241" i="1"/>
  <c r="I2241" i="1"/>
  <c r="A2242" i="1"/>
  <c r="F2242" i="1"/>
  <c r="G2242" i="1"/>
  <c r="I2242" i="1"/>
  <c r="A2243" i="1"/>
  <c r="F2243" i="1"/>
  <c r="G2243" i="1"/>
  <c r="I2243" i="1"/>
  <c r="A2244" i="1"/>
  <c r="F2244" i="1"/>
  <c r="G2244" i="1"/>
  <c r="I2244" i="1"/>
  <c r="A2245" i="1"/>
  <c r="F2245" i="1"/>
  <c r="G2245" i="1"/>
  <c r="I2245" i="1"/>
  <c r="A2246" i="1"/>
  <c r="F2246" i="1"/>
  <c r="G2246" i="1"/>
  <c r="I2246" i="1"/>
  <c r="A2247" i="1"/>
  <c r="F2247" i="1"/>
  <c r="G2247" i="1"/>
  <c r="I2247" i="1"/>
  <c r="A2248" i="1"/>
  <c r="F2248" i="1"/>
  <c r="G2248" i="1"/>
  <c r="I2248" i="1"/>
  <c r="A2249" i="1"/>
  <c r="F2249" i="1"/>
  <c r="G2249" i="1"/>
  <c r="I2249" i="1"/>
  <c r="A2250" i="1"/>
  <c r="F2250" i="1"/>
  <c r="G2250" i="1"/>
  <c r="I2250" i="1"/>
  <c r="A2251" i="1"/>
  <c r="F2251" i="1"/>
  <c r="G2251" i="1"/>
  <c r="I2251" i="1"/>
  <c r="A2252" i="1"/>
  <c r="F2252" i="1"/>
  <c r="G2252" i="1"/>
  <c r="I2252" i="1"/>
  <c r="A2253" i="1"/>
  <c r="F2253" i="1"/>
  <c r="G2253" i="1"/>
  <c r="I2253" i="1"/>
  <c r="A2254" i="1"/>
  <c r="F2254" i="1"/>
  <c r="G2254" i="1"/>
  <c r="I2254" i="1"/>
  <c r="A2255" i="1"/>
  <c r="F2255" i="1"/>
  <c r="G2255" i="1"/>
  <c r="I2255" i="1"/>
  <c r="A2256" i="1"/>
  <c r="F2256" i="1"/>
  <c r="G2256" i="1"/>
  <c r="I2256" i="1"/>
  <c r="A2257" i="1"/>
  <c r="F2257" i="1"/>
  <c r="G2257" i="1"/>
  <c r="I2257" i="1"/>
  <c r="A2258" i="1"/>
  <c r="F2258" i="1"/>
  <c r="G2258" i="1"/>
  <c r="I2258" i="1"/>
  <c r="A2259" i="1"/>
  <c r="F2259" i="1"/>
  <c r="G2259" i="1"/>
  <c r="I2259" i="1"/>
  <c r="A2260" i="1"/>
  <c r="F2260" i="1"/>
  <c r="G2260" i="1"/>
  <c r="I2260" i="1"/>
  <c r="A2261" i="1"/>
  <c r="F2261" i="1"/>
  <c r="G2261" i="1"/>
  <c r="I2261" i="1"/>
  <c r="A2262" i="1"/>
  <c r="F2262" i="1"/>
  <c r="G2262" i="1"/>
  <c r="I2262" i="1"/>
  <c r="A2263" i="1"/>
  <c r="F2263" i="1"/>
  <c r="G2263" i="1"/>
  <c r="I2263" i="1"/>
  <c r="A2264" i="1"/>
  <c r="F2264" i="1"/>
  <c r="G2264" i="1"/>
  <c r="I2264" i="1"/>
  <c r="A2265" i="1"/>
  <c r="F2265" i="1"/>
  <c r="G2265" i="1"/>
  <c r="I2265" i="1"/>
  <c r="A2266" i="1"/>
  <c r="F2266" i="1"/>
  <c r="G2266" i="1"/>
  <c r="I2266" i="1"/>
  <c r="A2267" i="1"/>
  <c r="F2267" i="1"/>
  <c r="G2267" i="1"/>
  <c r="I2267" i="1"/>
  <c r="A2268" i="1"/>
  <c r="F2268" i="1"/>
  <c r="G2268" i="1"/>
  <c r="I2268" i="1"/>
  <c r="A2269" i="1"/>
  <c r="F2269" i="1"/>
  <c r="G2269" i="1"/>
  <c r="I2269" i="1"/>
  <c r="A2270" i="1"/>
  <c r="F2270" i="1"/>
  <c r="G2270" i="1"/>
  <c r="I2270" i="1"/>
  <c r="A2271" i="1"/>
  <c r="F2271" i="1"/>
  <c r="G2271" i="1"/>
  <c r="I2271" i="1"/>
  <c r="A2272" i="1"/>
  <c r="F2272" i="1"/>
  <c r="G2272" i="1"/>
  <c r="I2272" i="1"/>
  <c r="A2273" i="1"/>
  <c r="F2273" i="1"/>
  <c r="G2273" i="1"/>
  <c r="I2273" i="1"/>
  <c r="A2274" i="1"/>
  <c r="F2274" i="1"/>
  <c r="G2274" i="1"/>
  <c r="I2274" i="1"/>
  <c r="A2275" i="1"/>
  <c r="F2275" i="1"/>
  <c r="G2275" i="1"/>
  <c r="I2275" i="1"/>
  <c r="A2276" i="1"/>
  <c r="F2276" i="1"/>
  <c r="G2276" i="1"/>
  <c r="I2276" i="1"/>
  <c r="A2277" i="1"/>
  <c r="F2277" i="1"/>
  <c r="G2277" i="1"/>
  <c r="I2277" i="1"/>
  <c r="A2278" i="1"/>
  <c r="F2278" i="1"/>
  <c r="G2278" i="1"/>
  <c r="I2278" i="1"/>
  <c r="A2279" i="1"/>
  <c r="F2279" i="1"/>
  <c r="G2279" i="1"/>
  <c r="I2279" i="1"/>
  <c r="A2280" i="1"/>
  <c r="F2280" i="1"/>
  <c r="G2280" i="1"/>
  <c r="I2280" i="1"/>
  <c r="A2281" i="1"/>
  <c r="F2281" i="1"/>
  <c r="G2281" i="1"/>
  <c r="I2281" i="1"/>
  <c r="A2282" i="1"/>
  <c r="F2282" i="1"/>
  <c r="G2282" i="1"/>
  <c r="I2282" i="1"/>
  <c r="A2283" i="1"/>
  <c r="F2283" i="1"/>
  <c r="G2283" i="1"/>
  <c r="I2283" i="1"/>
  <c r="A2284" i="1"/>
  <c r="F2284" i="1"/>
  <c r="G2284" i="1"/>
  <c r="I2284" i="1"/>
  <c r="A2285" i="1"/>
  <c r="F2285" i="1"/>
  <c r="G2285" i="1"/>
  <c r="I2285" i="1"/>
  <c r="A2286" i="1"/>
  <c r="F2286" i="1"/>
  <c r="G2286" i="1"/>
  <c r="I2286" i="1"/>
  <c r="A2287" i="1"/>
  <c r="F2287" i="1"/>
  <c r="G2287" i="1"/>
  <c r="I2287" i="1"/>
  <c r="A2288" i="1"/>
  <c r="F2288" i="1"/>
  <c r="G2288" i="1"/>
  <c r="I2288" i="1"/>
  <c r="A2289" i="1"/>
  <c r="F2289" i="1"/>
  <c r="G2289" i="1"/>
  <c r="I2289" i="1"/>
  <c r="A2290" i="1"/>
  <c r="F2290" i="1"/>
  <c r="G2290" i="1"/>
  <c r="I2290" i="1"/>
  <c r="A2291" i="1"/>
  <c r="F2291" i="1"/>
  <c r="G2291" i="1"/>
  <c r="I2291" i="1"/>
  <c r="A2292" i="1"/>
  <c r="F2292" i="1"/>
  <c r="G2292" i="1"/>
  <c r="I2292" i="1"/>
  <c r="A2293" i="1"/>
  <c r="F2293" i="1"/>
  <c r="G2293" i="1"/>
  <c r="I2293" i="1"/>
  <c r="A2294" i="1"/>
  <c r="F2294" i="1"/>
  <c r="G2294" i="1"/>
  <c r="I2294" i="1"/>
  <c r="A2295" i="1"/>
  <c r="F2295" i="1"/>
  <c r="G2295" i="1"/>
  <c r="I2295" i="1"/>
  <c r="A2296" i="1"/>
  <c r="F2296" i="1"/>
  <c r="G2296" i="1"/>
  <c r="I2296" i="1"/>
  <c r="A2297" i="1"/>
  <c r="F2297" i="1"/>
  <c r="G2297" i="1"/>
  <c r="I2297" i="1"/>
  <c r="A2298" i="1"/>
  <c r="F2298" i="1"/>
  <c r="G2298" i="1"/>
  <c r="I2298" i="1"/>
  <c r="A2299" i="1"/>
  <c r="F2299" i="1"/>
  <c r="G2299" i="1"/>
  <c r="I2299" i="1"/>
  <c r="A2300" i="1"/>
  <c r="F2300" i="1"/>
  <c r="G2300" i="1"/>
  <c r="I2300" i="1"/>
  <c r="A2301" i="1"/>
  <c r="F2301" i="1"/>
  <c r="G2301" i="1"/>
  <c r="I2301" i="1"/>
  <c r="A2302" i="1"/>
  <c r="F2302" i="1"/>
  <c r="G2302" i="1"/>
  <c r="I2302" i="1"/>
  <c r="A2303" i="1"/>
  <c r="F2303" i="1"/>
  <c r="G2303" i="1"/>
  <c r="I2303" i="1"/>
  <c r="A2304" i="1"/>
  <c r="F2304" i="1"/>
  <c r="G2304" i="1"/>
  <c r="I2304" i="1"/>
  <c r="A2305" i="1"/>
  <c r="F2305" i="1"/>
  <c r="G2305" i="1"/>
  <c r="I2305" i="1"/>
  <c r="A2306" i="1"/>
  <c r="F2306" i="1"/>
  <c r="G2306" i="1"/>
  <c r="I2306" i="1"/>
  <c r="A2307" i="1"/>
  <c r="F2307" i="1"/>
  <c r="G2307" i="1"/>
  <c r="I2307" i="1"/>
  <c r="A2308" i="1"/>
  <c r="F2308" i="1"/>
  <c r="G2308" i="1"/>
  <c r="I2308" i="1"/>
  <c r="A2309" i="1"/>
  <c r="F2309" i="1"/>
  <c r="G2309" i="1"/>
  <c r="I2309" i="1"/>
  <c r="A2310" i="1"/>
  <c r="F2310" i="1"/>
  <c r="G2310" i="1"/>
  <c r="I2310" i="1"/>
  <c r="A2311" i="1"/>
  <c r="F2311" i="1"/>
  <c r="G2311" i="1"/>
  <c r="I2311" i="1"/>
  <c r="A2312" i="1"/>
  <c r="F2312" i="1"/>
  <c r="G2312" i="1"/>
  <c r="I2312" i="1"/>
  <c r="A2313" i="1"/>
  <c r="F2313" i="1"/>
  <c r="G2313" i="1"/>
  <c r="I2313" i="1"/>
  <c r="A2314" i="1"/>
  <c r="F2314" i="1"/>
  <c r="G2314" i="1"/>
  <c r="I2314" i="1"/>
  <c r="A2315" i="1"/>
  <c r="F2315" i="1"/>
  <c r="G2315" i="1"/>
  <c r="I2315" i="1"/>
  <c r="A2316" i="1"/>
  <c r="F2316" i="1"/>
  <c r="G2316" i="1"/>
  <c r="I2316" i="1"/>
  <c r="A2317" i="1"/>
  <c r="F2317" i="1"/>
  <c r="G2317" i="1"/>
  <c r="I2317" i="1"/>
  <c r="A2318" i="1"/>
  <c r="F2318" i="1"/>
  <c r="G2318" i="1"/>
  <c r="I2318" i="1"/>
  <c r="A2319" i="1"/>
  <c r="F2319" i="1"/>
  <c r="G2319" i="1"/>
  <c r="I2319" i="1"/>
  <c r="A2320" i="1"/>
  <c r="F2320" i="1"/>
  <c r="G2320" i="1"/>
  <c r="I2320" i="1"/>
  <c r="A2321" i="1"/>
  <c r="F2321" i="1"/>
  <c r="G2321" i="1"/>
  <c r="I2321" i="1"/>
  <c r="A2322" i="1"/>
  <c r="F2322" i="1"/>
  <c r="G2322" i="1"/>
  <c r="I2322" i="1"/>
  <c r="A2323" i="1"/>
  <c r="F2323" i="1"/>
  <c r="G2323" i="1"/>
  <c r="I2323" i="1"/>
  <c r="A2324" i="1"/>
  <c r="F2324" i="1"/>
  <c r="G2324" i="1"/>
  <c r="I2324" i="1"/>
  <c r="A2325" i="1"/>
  <c r="F2325" i="1"/>
  <c r="G2325" i="1"/>
  <c r="I2325" i="1"/>
  <c r="A2326" i="1"/>
  <c r="F2326" i="1"/>
  <c r="G2326" i="1"/>
  <c r="I2326" i="1"/>
  <c r="A2327" i="1"/>
  <c r="F2327" i="1"/>
  <c r="G2327" i="1"/>
  <c r="I2327" i="1"/>
  <c r="A2328" i="1"/>
  <c r="F2328" i="1"/>
  <c r="G2328" i="1"/>
  <c r="I2328" i="1"/>
  <c r="A2329" i="1"/>
  <c r="F2329" i="1"/>
  <c r="G2329" i="1"/>
  <c r="I2329" i="1"/>
  <c r="A2330" i="1"/>
  <c r="F2330" i="1"/>
  <c r="G2330" i="1"/>
  <c r="I2330" i="1"/>
  <c r="A2331" i="1"/>
  <c r="F2331" i="1"/>
  <c r="G2331" i="1"/>
  <c r="I2331" i="1"/>
  <c r="A2332" i="1"/>
  <c r="F2332" i="1"/>
  <c r="G2332" i="1"/>
  <c r="I2332" i="1"/>
  <c r="A2333" i="1"/>
  <c r="F2333" i="1"/>
  <c r="G2333" i="1"/>
  <c r="I2333" i="1"/>
  <c r="A2334" i="1"/>
  <c r="F2334" i="1"/>
  <c r="G2334" i="1"/>
  <c r="I2334" i="1"/>
  <c r="A2335" i="1"/>
  <c r="F2335" i="1"/>
  <c r="G2335" i="1"/>
  <c r="I2335" i="1"/>
  <c r="A2336" i="1"/>
  <c r="F2336" i="1"/>
  <c r="G2336" i="1"/>
  <c r="I2336" i="1"/>
  <c r="A2337" i="1"/>
  <c r="F2337" i="1"/>
  <c r="G2337" i="1"/>
  <c r="I2337" i="1"/>
  <c r="A2338" i="1"/>
  <c r="F2338" i="1"/>
  <c r="G2338" i="1"/>
  <c r="I2338" i="1"/>
  <c r="A2339" i="1"/>
  <c r="F2339" i="1"/>
  <c r="G2339" i="1"/>
  <c r="I2339" i="1"/>
  <c r="A2340" i="1"/>
  <c r="F2340" i="1"/>
  <c r="G2340" i="1"/>
  <c r="I2340" i="1"/>
  <c r="A2341" i="1"/>
  <c r="F2341" i="1"/>
  <c r="G2341" i="1"/>
  <c r="I2341" i="1"/>
  <c r="A2342" i="1"/>
  <c r="F2342" i="1"/>
  <c r="G2342" i="1"/>
  <c r="I2342" i="1"/>
  <c r="A2343" i="1"/>
  <c r="F2343" i="1"/>
  <c r="G2343" i="1"/>
  <c r="I2343" i="1"/>
  <c r="A2344" i="1"/>
  <c r="F2344" i="1"/>
  <c r="G2344" i="1"/>
  <c r="I2344" i="1"/>
  <c r="A2345" i="1"/>
  <c r="F2345" i="1"/>
  <c r="G2345" i="1"/>
  <c r="I2345" i="1"/>
  <c r="A2346" i="1"/>
  <c r="F2346" i="1"/>
  <c r="G2346" i="1"/>
  <c r="I2346" i="1"/>
  <c r="A2347" i="1"/>
  <c r="F2347" i="1"/>
  <c r="G2347" i="1"/>
  <c r="I2347" i="1"/>
  <c r="A2348" i="1"/>
  <c r="F2348" i="1"/>
  <c r="G2348" i="1"/>
  <c r="I2348" i="1"/>
  <c r="A2349" i="1"/>
  <c r="F2349" i="1"/>
  <c r="G2349" i="1"/>
  <c r="I2349" i="1"/>
  <c r="A2350" i="1"/>
  <c r="F2350" i="1"/>
  <c r="G2350" i="1"/>
  <c r="I2350" i="1"/>
  <c r="A2351" i="1"/>
  <c r="F2351" i="1"/>
  <c r="G2351" i="1"/>
  <c r="I2351" i="1"/>
  <c r="A2352" i="1"/>
  <c r="F2352" i="1"/>
  <c r="G2352" i="1"/>
  <c r="I2352" i="1"/>
  <c r="A2353" i="1"/>
  <c r="F2353" i="1"/>
  <c r="G2353" i="1"/>
  <c r="I2353" i="1"/>
  <c r="A2354" i="1"/>
  <c r="F2354" i="1"/>
  <c r="G2354" i="1"/>
  <c r="I2354" i="1"/>
  <c r="A2355" i="1"/>
  <c r="F2355" i="1"/>
  <c r="G2355" i="1"/>
  <c r="I2355" i="1"/>
  <c r="A2356" i="1"/>
  <c r="F2356" i="1"/>
  <c r="G2356" i="1"/>
  <c r="I2356" i="1"/>
  <c r="A2357" i="1"/>
  <c r="F2357" i="1"/>
  <c r="G2357" i="1"/>
  <c r="I2357" i="1"/>
  <c r="A2358" i="1"/>
  <c r="F2358" i="1"/>
  <c r="G2358" i="1"/>
  <c r="I2358" i="1"/>
  <c r="A2359" i="1"/>
  <c r="F2359" i="1"/>
  <c r="G2359" i="1"/>
  <c r="I2359" i="1"/>
  <c r="A2360" i="1"/>
  <c r="F2360" i="1"/>
  <c r="G2360" i="1"/>
  <c r="I2360" i="1"/>
  <c r="A2361" i="1"/>
  <c r="F2361" i="1"/>
  <c r="G2361" i="1"/>
  <c r="I2361" i="1"/>
  <c r="A2362" i="1"/>
  <c r="F2362" i="1"/>
  <c r="G2362" i="1"/>
  <c r="I2362" i="1"/>
  <c r="A2363" i="1"/>
  <c r="F2363" i="1"/>
  <c r="G2363" i="1"/>
  <c r="I2363" i="1"/>
  <c r="A2364" i="1"/>
  <c r="F2364" i="1"/>
  <c r="G2364" i="1"/>
  <c r="I2364" i="1"/>
  <c r="A2365" i="1"/>
  <c r="F2365" i="1"/>
  <c r="G2365" i="1"/>
  <c r="I2365" i="1"/>
  <c r="A2366" i="1"/>
  <c r="F2366" i="1"/>
  <c r="G2366" i="1"/>
  <c r="I2366" i="1"/>
  <c r="A2367" i="1"/>
  <c r="F2367" i="1"/>
  <c r="G2367" i="1"/>
  <c r="I2367" i="1"/>
  <c r="A2368" i="1"/>
  <c r="F2368" i="1"/>
  <c r="G2368" i="1"/>
  <c r="I2368" i="1"/>
  <c r="A2369" i="1"/>
  <c r="F2369" i="1"/>
  <c r="G2369" i="1"/>
  <c r="I2369" i="1"/>
  <c r="A2370" i="1"/>
  <c r="F2370" i="1"/>
  <c r="G2370" i="1"/>
  <c r="I2370" i="1"/>
  <c r="A2371" i="1"/>
  <c r="F2371" i="1"/>
  <c r="G2371" i="1"/>
  <c r="I2371" i="1"/>
  <c r="A2372" i="1"/>
  <c r="F2372" i="1"/>
  <c r="G2372" i="1"/>
  <c r="I2372" i="1"/>
  <c r="A2373" i="1"/>
  <c r="F2373" i="1"/>
  <c r="G2373" i="1"/>
  <c r="I2373" i="1"/>
  <c r="A2374" i="1"/>
  <c r="F2374" i="1"/>
  <c r="G2374" i="1"/>
  <c r="I2374" i="1"/>
  <c r="A2375" i="1"/>
  <c r="F2375" i="1"/>
  <c r="G2375" i="1"/>
  <c r="I2375" i="1"/>
  <c r="A2376" i="1"/>
  <c r="F2376" i="1"/>
  <c r="G2376" i="1"/>
  <c r="I2376" i="1"/>
  <c r="A2377" i="1"/>
  <c r="F2377" i="1"/>
  <c r="G2377" i="1"/>
  <c r="I2377" i="1"/>
  <c r="A2378" i="1"/>
  <c r="F2378" i="1"/>
  <c r="G2378" i="1"/>
  <c r="I2378" i="1"/>
  <c r="A2379" i="1"/>
  <c r="F2379" i="1"/>
  <c r="G2379" i="1"/>
  <c r="I2379" i="1"/>
  <c r="A2380" i="1"/>
  <c r="F2380" i="1"/>
  <c r="G2380" i="1"/>
  <c r="I2380" i="1"/>
  <c r="A2381" i="1"/>
  <c r="F2381" i="1"/>
  <c r="G2381" i="1"/>
  <c r="I2381" i="1"/>
  <c r="A2382" i="1"/>
  <c r="F2382" i="1"/>
  <c r="G2382" i="1"/>
  <c r="I2382" i="1"/>
  <c r="A2383" i="1"/>
  <c r="F2383" i="1"/>
  <c r="G2383" i="1"/>
  <c r="I2383" i="1"/>
  <c r="A2384" i="1"/>
  <c r="F2384" i="1"/>
  <c r="G2384" i="1"/>
  <c r="I2384" i="1"/>
  <c r="A2385" i="1"/>
  <c r="F2385" i="1"/>
  <c r="G2385" i="1"/>
  <c r="I2385" i="1"/>
  <c r="A2386" i="1"/>
  <c r="F2386" i="1"/>
  <c r="G2386" i="1"/>
  <c r="I2386" i="1"/>
  <c r="A2387" i="1"/>
  <c r="F2387" i="1"/>
  <c r="G2387" i="1"/>
  <c r="I2387" i="1"/>
  <c r="A2388" i="1"/>
  <c r="F2388" i="1"/>
  <c r="G2388" i="1"/>
  <c r="I2388" i="1"/>
  <c r="A2389" i="1"/>
  <c r="F2389" i="1"/>
  <c r="G2389" i="1"/>
  <c r="I2389" i="1"/>
  <c r="A2390" i="1"/>
  <c r="F2390" i="1"/>
  <c r="G2390" i="1"/>
  <c r="I2390" i="1"/>
  <c r="A2391" i="1"/>
  <c r="F2391" i="1"/>
  <c r="G2391" i="1"/>
  <c r="I2391" i="1"/>
  <c r="A2392" i="1"/>
  <c r="F2392" i="1"/>
  <c r="G2392" i="1"/>
  <c r="I2392" i="1"/>
  <c r="A2393" i="1"/>
  <c r="F2393" i="1"/>
  <c r="G2393" i="1"/>
  <c r="I2393" i="1"/>
  <c r="A2394" i="1"/>
  <c r="F2394" i="1"/>
  <c r="G2394" i="1"/>
  <c r="I2394" i="1"/>
  <c r="A2395" i="1"/>
  <c r="F2395" i="1"/>
  <c r="G2395" i="1"/>
  <c r="I2395" i="1"/>
  <c r="A2396" i="1"/>
  <c r="F2396" i="1"/>
  <c r="G2396" i="1"/>
  <c r="I2396" i="1"/>
  <c r="A2397" i="1"/>
  <c r="F2397" i="1"/>
  <c r="G2397" i="1"/>
  <c r="I2397" i="1"/>
  <c r="A2398" i="1"/>
  <c r="F2398" i="1"/>
  <c r="G2398" i="1"/>
  <c r="I2398" i="1"/>
  <c r="A2399" i="1"/>
  <c r="F2399" i="1"/>
  <c r="G2399" i="1"/>
  <c r="I2399" i="1"/>
  <c r="A2400" i="1"/>
  <c r="F2400" i="1"/>
  <c r="G2400" i="1"/>
  <c r="I2400" i="1"/>
  <c r="A2401" i="1"/>
  <c r="F2401" i="1"/>
  <c r="G2401" i="1"/>
  <c r="I2401" i="1"/>
  <c r="A2402" i="1"/>
  <c r="F2402" i="1"/>
  <c r="G2402" i="1"/>
  <c r="I2402" i="1"/>
  <c r="A2403" i="1"/>
  <c r="F2403" i="1"/>
  <c r="G2403" i="1"/>
  <c r="I2403" i="1"/>
  <c r="A2404" i="1"/>
  <c r="F2404" i="1"/>
  <c r="G2404" i="1"/>
  <c r="I2404" i="1"/>
  <c r="A2405" i="1"/>
  <c r="F2405" i="1"/>
  <c r="G2405" i="1"/>
  <c r="I2405" i="1"/>
  <c r="A2406" i="1"/>
  <c r="F2406" i="1"/>
  <c r="G2406" i="1"/>
  <c r="I2406" i="1"/>
  <c r="A2407" i="1"/>
  <c r="F2407" i="1"/>
  <c r="G2407" i="1"/>
  <c r="I2407" i="1"/>
  <c r="A2408" i="1"/>
  <c r="F2408" i="1"/>
  <c r="G2408" i="1"/>
  <c r="I2408" i="1"/>
  <c r="A2409" i="1"/>
  <c r="F2409" i="1"/>
  <c r="G2409" i="1"/>
  <c r="I2409" i="1"/>
  <c r="A2410" i="1"/>
  <c r="F2410" i="1"/>
  <c r="G2410" i="1"/>
  <c r="I2410" i="1"/>
  <c r="A2411" i="1"/>
  <c r="F2411" i="1"/>
  <c r="G2411" i="1"/>
  <c r="I2411" i="1"/>
  <c r="A2412" i="1"/>
  <c r="F2412" i="1"/>
  <c r="G2412" i="1"/>
  <c r="I2412" i="1"/>
  <c r="A2413" i="1"/>
  <c r="F2413" i="1"/>
  <c r="G2413" i="1"/>
  <c r="I2413" i="1"/>
  <c r="A2414" i="1"/>
  <c r="F2414" i="1"/>
  <c r="G2414" i="1"/>
  <c r="I2414" i="1"/>
  <c r="A2415" i="1"/>
  <c r="F2415" i="1"/>
  <c r="G2415" i="1"/>
  <c r="I2415" i="1"/>
  <c r="A2416" i="1"/>
  <c r="F2416" i="1"/>
  <c r="G2416" i="1"/>
  <c r="I2416" i="1"/>
  <c r="A2417" i="1"/>
  <c r="F2417" i="1"/>
  <c r="G2417" i="1"/>
  <c r="I2417" i="1"/>
  <c r="A2418" i="1"/>
  <c r="F2418" i="1"/>
  <c r="G2418" i="1"/>
  <c r="I2418" i="1"/>
  <c r="A2419" i="1"/>
  <c r="F2419" i="1"/>
  <c r="G2419" i="1"/>
  <c r="I2419" i="1"/>
  <c r="A2420" i="1"/>
  <c r="F2420" i="1"/>
  <c r="G2420" i="1"/>
  <c r="I2420" i="1"/>
  <c r="A2421" i="1"/>
  <c r="F2421" i="1"/>
  <c r="G2421" i="1"/>
  <c r="I2421" i="1"/>
  <c r="A2422" i="1"/>
  <c r="F2422" i="1"/>
  <c r="G2422" i="1"/>
  <c r="I2422" i="1"/>
  <c r="A2423" i="1"/>
  <c r="F2423" i="1"/>
  <c r="G2423" i="1"/>
  <c r="I2423" i="1"/>
  <c r="A2424" i="1"/>
  <c r="F2424" i="1"/>
  <c r="G2424" i="1"/>
  <c r="I2424" i="1"/>
  <c r="A2425" i="1"/>
  <c r="F2425" i="1"/>
  <c r="G2425" i="1"/>
  <c r="I2425" i="1"/>
  <c r="A2426" i="1"/>
  <c r="F2426" i="1"/>
  <c r="G2426" i="1"/>
  <c r="I2426" i="1"/>
  <c r="A2427" i="1"/>
  <c r="F2427" i="1"/>
  <c r="G2427" i="1"/>
  <c r="I2427" i="1"/>
  <c r="A2428" i="1"/>
  <c r="F2428" i="1"/>
  <c r="G2428" i="1"/>
  <c r="I2428" i="1"/>
  <c r="A2429" i="1"/>
  <c r="F2429" i="1"/>
  <c r="G2429" i="1"/>
  <c r="I2429" i="1"/>
  <c r="A2430" i="1"/>
  <c r="F2430" i="1"/>
  <c r="G2430" i="1"/>
  <c r="I2430" i="1"/>
  <c r="A2431" i="1"/>
  <c r="F2431" i="1"/>
  <c r="G2431" i="1"/>
  <c r="I2431" i="1"/>
  <c r="A2432" i="1"/>
  <c r="F2432" i="1"/>
  <c r="G2432" i="1"/>
  <c r="I2432" i="1"/>
  <c r="A2433" i="1"/>
  <c r="F2433" i="1"/>
  <c r="G2433" i="1"/>
  <c r="I2433" i="1"/>
  <c r="A2434" i="1"/>
  <c r="F2434" i="1"/>
  <c r="G2434" i="1"/>
  <c r="I2434" i="1"/>
  <c r="A2435" i="1"/>
  <c r="F2435" i="1"/>
  <c r="G2435" i="1"/>
  <c r="I2435" i="1"/>
  <c r="A2436" i="1"/>
  <c r="F2436" i="1"/>
  <c r="G2436" i="1"/>
  <c r="I2436" i="1"/>
  <c r="A2437" i="1"/>
  <c r="F2437" i="1"/>
  <c r="G2437" i="1"/>
  <c r="I2437" i="1"/>
  <c r="A2438" i="1"/>
  <c r="F2438" i="1"/>
  <c r="G2438" i="1"/>
  <c r="I2438" i="1"/>
  <c r="A2439" i="1"/>
  <c r="F2439" i="1"/>
  <c r="G2439" i="1"/>
  <c r="I2439" i="1"/>
  <c r="A2440" i="1"/>
  <c r="F2440" i="1"/>
  <c r="G2440" i="1"/>
  <c r="I2440" i="1"/>
  <c r="A2441" i="1"/>
  <c r="F2441" i="1"/>
  <c r="G2441" i="1"/>
  <c r="I2441" i="1"/>
  <c r="A2442" i="1"/>
  <c r="F2442" i="1"/>
  <c r="G2442" i="1"/>
  <c r="I2442" i="1"/>
  <c r="A2443" i="1"/>
  <c r="F2443" i="1"/>
  <c r="G2443" i="1"/>
  <c r="I2443" i="1"/>
  <c r="A2444" i="1"/>
  <c r="F2444" i="1"/>
  <c r="G2444" i="1"/>
  <c r="I2444" i="1"/>
  <c r="A2445" i="1"/>
  <c r="F2445" i="1"/>
  <c r="G2445" i="1"/>
  <c r="I2445" i="1"/>
  <c r="A2446" i="1"/>
  <c r="F2446" i="1"/>
  <c r="G2446" i="1"/>
  <c r="I2446" i="1"/>
  <c r="A2447" i="1"/>
  <c r="F2447" i="1"/>
  <c r="G2447" i="1"/>
  <c r="I2447" i="1"/>
  <c r="A2448" i="1"/>
  <c r="F2448" i="1"/>
  <c r="G2448" i="1"/>
  <c r="I2448" i="1"/>
  <c r="A2449" i="1"/>
  <c r="F2449" i="1"/>
  <c r="G2449" i="1"/>
  <c r="I2449" i="1"/>
  <c r="A2450" i="1"/>
  <c r="F2450" i="1"/>
  <c r="G2450" i="1"/>
  <c r="I2450" i="1"/>
  <c r="A2451" i="1"/>
  <c r="F2451" i="1"/>
  <c r="G2451" i="1"/>
  <c r="I2451" i="1"/>
  <c r="A2452" i="1"/>
  <c r="F2452" i="1"/>
  <c r="G2452" i="1"/>
  <c r="I2452" i="1"/>
  <c r="A2453" i="1"/>
  <c r="F2453" i="1"/>
  <c r="G2453" i="1"/>
  <c r="I2453" i="1"/>
  <c r="A2454" i="1"/>
  <c r="F2454" i="1"/>
  <c r="G2454" i="1"/>
  <c r="I2454" i="1"/>
  <c r="A2455" i="1"/>
  <c r="F2455" i="1"/>
  <c r="G2455" i="1"/>
  <c r="I2455" i="1"/>
  <c r="A2456" i="1"/>
  <c r="F2456" i="1"/>
  <c r="G2456" i="1"/>
  <c r="I2456" i="1"/>
  <c r="A2457" i="1"/>
  <c r="F2457" i="1"/>
  <c r="G2457" i="1"/>
  <c r="I2457" i="1"/>
  <c r="A2458" i="1"/>
  <c r="F2458" i="1"/>
  <c r="G2458" i="1"/>
  <c r="I2458" i="1"/>
  <c r="A2459" i="1"/>
  <c r="F2459" i="1"/>
  <c r="G2459" i="1"/>
  <c r="I2459" i="1"/>
  <c r="A2460" i="1"/>
  <c r="F2460" i="1"/>
  <c r="G2460" i="1"/>
  <c r="I2460" i="1"/>
  <c r="A2461" i="1"/>
  <c r="F2461" i="1"/>
  <c r="G2461" i="1"/>
  <c r="I2461" i="1"/>
  <c r="A2462" i="1"/>
  <c r="F2462" i="1"/>
  <c r="G2462" i="1"/>
  <c r="I2462" i="1"/>
  <c r="A2463" i="1"/>
  <c r="F2463" i="1"/>
  <c r="G2463" i="1"/>
  <c r="I2463" i="1"/>
  <c r="A2464" i="1"/>
  <c r="F2464" i="1"/>
  <c r="G2464" i="1"/>
  <c r="I2464" i="1"/>
  <c r="A2465" i="1"/>
  <c r="F2465" i="1"/>
  <c r="G2465" i="1"/>
  <c r="I2465" i="1"/>
  <c r="A2466" i="1"/>
  <c r="F2466" i="1"/>
  <c r="G2466" i="1"/>
  <c r="I2466" i="1"/>
  <c r="A2467" i="1"/>
  <c r="F2467" i="1"/>
  <c r="G2467" i="1"/>
  <c r="I2467" i="1"/>
  <c r="A2468" i="1"/>
  <c r="F2468" i="1"/>
  <c r="G2468" i="1"/>
  <c r="I2468" i="1"/>
  <c r="A2469" i="1"/>
  <c r="F2469" i="1"/>
  <c r="G2469" i="1"/>
  <c r="I2469" i="1"/>
  <c r="A2470" i="1"/>
  <c r="F2470" i="1"/>
  <c r="G2470" i="1"/>
  <c r="I2470" i="1"/>
  <c r="A2471" i="1"/>
  <c r="F2471" i="1"/>
  <c r="G2471" i="1"/>
  <c r="I2471" i="1"/>
  <c r="A2472" i="1"/>
  <c r="F2472" i="1"/>
  <c r="G2472" i="1"/>
  <c r="I2472" i="1"/>
  <c r="A2473" i="1"/>
  <c r="F2473" i="1"/>
  <c r="G2473" i="1"/>
  <c r="I2473" i="1"/>
  <c r="A2474" i="1"/>
  <c r="F2474" i="1"/>
  <c r="G2474" i="1"/>
  <c r="I2474" i="1"/>
  <c r="A2475" i="1"/>
  <c r="F2475" i="1"/>
  <c r="G2475" i="1"/>
  <c r="I2475" i="1"/>
  <c r="A2476" i="1"/>
  <c r="F2476" i="1"/>
  <c r="G2476" i="1"/>
  <c r="I2476" i="1"/>
  <c r="A2477" i="1"/>
  <c r="F2477" i="1"/>
  <c r="G2477" i="1"/>
  <c r="I2477" i="1"/>
  <c r="A2478" i="1"/>
  <c r="F2478" i="1"/>
  <c r="G2478" i="1"/>
  <c r="I2478" i="1"/>
  <c r="A2479" i="1"/>
  <c r="F2479" i="1"/>
  <c r="G2479" i="1"/>
  <c r="I2479" i="1"/>
  <c r="A2480" i="1"/>
  <c r="F2480" i="1"/>
  <c r="G2480" i="1"/>
  <c r="I2480" i="1"/>
  <c r="A2481" i="1"/>
  <c r="F2481" i="1"/>
  <c r="G2481" i="1"/>
  <c r="I2481" i="1"/>
  <c r="A2482" i="1"/>
  <c r="F2482" i="1"/>
  <c r="G2482" i="1"/>
  <c r="I2482" i="1"/>
  <c r="A2483" i="1"/>
  <c r="F2483" i="1"/>
  <c r="G2483" i="1"/>
  <c r="I2483" i="1"/>
  <c r="A2484" i="1"/>
  <c r="F2484" i="1"/>
  <c r="G2484" i="1"/>
  <c r="I2484" i="1"/>
  <c r="A2485" i="1"/>
  <c r="F2485" i="1"/>
  <c r="G2485" i="1"/>
  <c r="I2485" i="1"/>
  <c r="A2486" i="1"/>
  <c r="F2486" i="1"/>
  <c r="G2486" i="1"/>
  <c r="I2486" i="1"/>
  <c r="A2487" i="1"/>
  <c r="F2487" i="1"/>
  <c r="G2487" i="1"/>
  <c r="I2487" i="1"/>
  <c r="A2488" i="1"/>
  <c r="F2488" i="1"/>
  <c r="G2488" i="1"/>
  <c r="I2488" i="1"/>
  <c r="A2489" i="1"/>
  <c r="F2489" i="1"/>
  <c r="G2489" i="1"/>
  <c r="I2489" i="1"/>
  <c r="A2490" i="1"/>
  <c r="F2490" i="1"/>
  <c r="G2490" i="1"/>
  <c r="I2490" i="1"/>
  <c r="A2491" i="1"/>
  <c r="F2491" i="1"/>
  <c r="G2491" i="1"/>
  <c r="I2491" i="1"/>
  <c r="A2492" i="1"/>
  <c r="F2492" i="1"/>
  <c r="G2492" i="1"/>
  <c r="I2492" i="1"/>
  <c r="A2493" i="1"/>
  <c r="F2493" i="1"/>
  <c r="G2493" i="1"/>
  <c r="I2493" i="1"/>
  <c r="A2494" i="1"/>
  <c r="F2494" i="1"/>
  <c r="G2494" i="1"/>
  <c r="I2494" i="1"/>
  <c r="A2495" i="1"/>
  <c r="F2495" i="1"/>
  <c r="G2495" i="1"/>
  <c r="I2495" i="1"/>
  <c r="A2496" i="1"/>
  <c r="F2496" i="1"/>
  <c r="G2496" i="1"/>
  <c r="I2496" i="1"/>
  <c r="A2497" i="1"/>
  <c r="F2497" i="1"/>
  <c r="G2497" i="1"/>
  <c r="I2497" i="1"/>
  <c r="A2498" i="1"/>
  <c r="F2498" i="1"/>
  <c r="G2498" i="1"/>
  <c r="I2498" i="1"/>
  <c r="A2499" i="1"/>
  <c r="F2499" i="1"/>
  <c r="G2499" i="1"/>
  <c r="I2499" i="1"/>
  <c r="A2500" i="1"/>
  <c r="F2500" i="1"/>
  <c r="G2500" i="1"/>
  <c r="I2500" i="1"/>
  <c r="A2501" i="1"/>
  <c r="F2501" i="1"/>
  <c r="G2501" i="1"/>
  <c r="I2501" i="1"/>
  <c r="A2502" i="1"/>
  <c r="F2502" i="1"/>
  <c r="G2502" i="1"/>
  <c r="I2502" i="1"/>
  <c r="A2503" i="1"/>
  <c r="F2503" i="1"/>
  <c r="G2503" i="1"/>
  <c r="I2503" i="1"/>
  <c r="A2504" i="1"/>
  <c r="F2504" i="1"/>
  <c r="G2504" i="1"/>
  <c r="I2504" i="1"/>
  <c r="A2505" i="1"/>
  <c r="F2505" i="1"/>
  <c r="G2505" i="1"/>
  <c r="I2505" i="1"/>
  <c r="A2506" i="1"/>
  <c r="F2506" i="1"/>
  <c r="G2506" i="1"/>
  <c r="I2506" i="1"/>
  <c r="A2507" i="1"/>
  <c r="F2507" i="1"/>
  <c r="G2507" i="1"/>
  <c r="I2507" i="1"/>
  <c r="A2508" i="1"/>
  <c r="F2508" i="1"/>
  <c r="G2508" i="1"/>
  <c r="I2508" i="1"/>
  <c r="A2509" i="1"/>
  <c r="F2509" i="1"/>
  <c r="G2509" i="1"/>
  <c r="I2509" i="1"/>
  <c r="A2510" i="1"/>
  <c r="F2510" i="1"/>
  <c r="G2510" i="1"/>
  <c r="I2510" i="1"/>
  <c r="A2511" i="1"/>
  <c r="F2511" i="1"/>
  <c r="G2511" i="1"/>
  <c r="I2511" i="1"/>
  <c r="A2512" i="1"/>
  <c r="F2512" i="1"/>
  <c r="G2512" i="1"/>
  <c r="I2512" i="1"/>
  <c r="A2513" i="1"/>
  <c r="F2513" i="1"/>
  <c r="G2513" i="1"/>
  <c r="I2513" i="1"/>
  <c r="A2514" i="1"/>
  <c r="F2514" i="1"/>
  <c r="G2514" i="1"/>
  <c r="I2514" i="1"/>
  <c r="A2515" i="1"/>
  <c r="F2515" i="1"/>
  <c r="G2515" i="1"/>
  <c r="I2515" i="1"/>
  <c r="A2516" i="1"/>
  <c r="F2516" i="1"/>
  <c r="G2516" i="1"/>
  <c r="I2516" i="1"/>
  <c r="A2517" i="1"/>
  <c r="F2517" i="1"/>
  <c r="G2517" i="1"/>
  <c r="I2517" i="1"/>
  <c r="A2518" i="1"/>
  <c r="F2518" i="1"/>
  <c r="G2518" i="1"/>
  <c r="I2518" i="1"/>
  <c r="A2519" i="1"/>
  <c r="F2519" i="1"/>
  <c r="G2519" i="1"/>
  <c r="I2519" i="1"/>
  <c r="A2520" i="1"/>
  <c r="F2520" i="1"/>
  <c r="G2520" i="1"/>
  <c r="I2520" i="1"/>
  <c r="A2521" i="1"/>
  <c r="F2521" i="1"/>
  <c r="G2521" i="1"/>
  <c r="I2521" i="1"/>
  <c r="A2522" i="1"/>
  <c r="F2522" i="1"/>
  <c r="G2522" i="1"/>
  <c r="I2522" i="1"/>
  <c r="A2523" i="1"/>
  <c r="F2523" i="1"/>
  <c r="G2523" i="1"/>
  <c r="I2523" i="1"/>
  <c r="A2524" i="1"/>
  <c r="F2524" i="1"/>
  <c r="G2524" i="1"/>
  <c r="I2524" i="1"/>
  <c r="A2525" i="1"/>
  <c r="F2525" i="1"/>
  <c r="G2525" i="1"/>
  <c r="I2525" i="1"/>
  <c r="A2526" i="1"/>
  <c r="F2526" i="1"/>
  <c r="G2526" i="1"/>
  <c r="I2526" i="1"/>
  <c r="A2527" i="1"/>
  <c r="F2527" i="1"/>
  <c r="G2527" i="1"/>
  <c r="I2527" i="1"/>
  <c r="A2528" i="1"/>
  <c r="F2528" i="1"/>
  <c r="G2528" i="1"/>
  <c r="I2528" i="1"/>
  <c r="A2529" i="1"/>
  <c r="F2529" i="1"/>
  <c r="G2529" i="1"/>
  <c r="I2529" i="1"/>
  <c r="A2530" i="1"/>
  <c r="F2530" i="1"/>
  <c r="G2530" i="1"/>
  <c r="I2530" i="1"/>
  <c r="A2531" i="1"/>
  <c r="F2531" i="1"/>
  <c r="G2531" i="1"/>
  <c r="I2531" i="1"/>
  <c r="A2532" i="1"/>
  <c r="F2532" i="1"/>
  <c r="G2532" i="1"/>
  <c r="I2532" i="1"/>
  <c r="A2533" i="1"/>
  <c r="F2533" i="1"/>
  <c r="G2533" i="1"/>
  <c r="I2533" i="1"/>
  <c r="A2534" i="1"/>
  <c r="F2534" i="1"/>
  <c r="G2534" i="1"/>
  <c r="I2534" i="1"/>
  <c r="A2535" i="1"/>
  <c r="F2535" i="1"/>
  <c r="G2535" i="1"/>
  <c r="I2535" i="1"/>
  <c r="A2536" i="1"/>
  <c r="F2536" i="1"/>
  <c r="G2536" i="1"/>
  <c r="I2536" i="1"/>
  <c r="A2537" i="1"/>
  <c r="F2537" i="1"/>
  <c r="G2537" i="1"/>
  <c r="I2537" i="1"/>
  <c r="A2538" i="1"/>
  <c r="F2538" i="1"/>
  <c r="G2538" i="1"/>
  <c r="I2538" i="1"/>
  <c r="A2539" i="1"/>
  <c r="F2539" i="1"/>
  <c r="G2539" i="1"/>
  <c r="I2539" i="1"/>
  <c r="A2540" i="1"/>
  <c r="F2540" i="1"/>
  <c r="G2540" i="1"/>
  <c r="I2540" i="1"/>
  <c r="A2541" i="1"/>
  <c r="F2541" i="1"/>
  <c r="G2541" i="1"/>
  <c r="I2541" i="1"/>
  <c r="A2542" i="1"/>
  <c r="F2542" i="1"/>
  <c r="G2542" i="1"/>
  <c r="I2542" i="1"/>
  <c r="A2543" i="1"/>
  <c r="F2543" i="1"/>
  <c r="G2543" i="1"/>
  <c r="I2543" i="1"/>
  <c r="A2544" i="1"/>
  <c r="F2544" i="1"/>
  <c r="G2544" i="1"/>
  <c r="I2544" i="1"/>
  <c r="A2545" i="1"/>
  <c r="F2545" i="1"/>
  <c r="G2545" i="1"/>
  <c r="I2545" i="1"/>
  <c r="A2546" i="1"/>
  <c r="F2546" i="1"/>
  <c r="G2546" i="1"/>
  <c r="I2546" i="1"/>
  <c r="A2547" i="1"/>
  <c r="F2547" i="1"/>
  <c r="G2547" i="1"/>
  <c r="I2547" i="1"/>
  <c r="A2548" i="1"/>
  <c r="F2548" i="1"/>
  <c r="G2548" i="1"/>
  <c r="I2548" i="1"/>
  <c r="A2549" i="1"/>
  <c r="F2549" i="1"/>
  <c r="G2549" i="1"/>
  <c r="I2549" i="1"/>
  <c r="A2550" i="1"/>
  <c r="F2550" i="1"/>
  <c r="G2550" i="1"/>
  <c r="I2550" i="1"/>
  <c r="A2551" i="1"/>
  <c r="F2551" i="1"/>
  <c r="G2551" i="1"/>
  <c r="I2551" i="1"/>
  <c r="A2552" i="1"/>
  <c r="F2552" i="1"/>
  <c r="G2552" i="1"/>
  <c r="I2552" i="1"/>
  <c r="A2553" i="1"/>
  <c r="F2553" i="1"/>
  <c r="G2553" i="1"/>
  <c r="I2553" i="1"/>
  <c r="A2554" i="1"/>
  <c r="F2554" i="1"/>
  <c r="G2554" i="1"/>
  <c r="I2554" i="1"/>
  <c r="A2555" i="1"/>
  <c r="F2555" i="1"/>
  <c r="G2555" i="1"/>
  <c r="I2555" i="1"/>
  <c r="A2556" i="1"/>
  <c r="F2556" i="1"/>
  <c r="G2556" i="1"/>
  <c r="I2556" i="1"/>
  <c r="A2557" i="1"/>
  <c r="F2557" i="1"/>
  <c r="G2557" i="1"/>
  <c r="I2557" i="1"/>
  <c r="A2558" i="1"/>
  <c r="F2558" i="1"/>
  <c r="G2558" i="1"/>
  <c r="I2558" i="1"/>
  <c r="A2559" i="1"/>
  <c r="F2559" i="1"/>
  <c r="G2559" i="1"/>
  <c r="I2559" i="1"/>
  <c r="A2560" i="1"/>
  <c r="F2560" i="1"/>
  <c r="G2560" i="1"/>
  <c r="I2560" i="1"/>
  <c r="A2561" i="1"/>
  <c r="F2561" i="1"/>
  <c r="G2561" i="1"/>
  <c r="I2561" i="1"/>
  <c r="A2562" i="1"/>
  <c r="F2562" i="1"/>
  <c r="G2562" i="1"/>
  <c r="I2562" i="1"/>
  <c r="A2563" i="1"/>
  <c r="F2563" i="1"/>
  <c r="G2563" i="1"/>
  <c r="I2563" i="1"/>
  <c r="A2564" i="1"/>
  <c r="F2564" i="1"/>
  <c r="G2564" i="1"/>
  <c r="I2564" i="1"/>
  <c r="A2565" i="1"/>
  <c r="F2565" i="1"/>
  <c r="G2565" i="1"/>
  <c r="I2565" i="1"/>
  <c r="A2566" i="1"/>
  <c r="F2566" i="1"/>
  <c r="G2566" i="1"/>
  <c r="I2566" i="1"/>
  <c r="A2567" i="1"/>
  <c r="F2567" i="1"/>
  <c r="G2567" i="1"/>
  <c r="I2567" i="1"/>
  <c r="A2568" i="1"/>
  <c r="F2568" i="1"/>
  <c r="G2568" i="1"/>
  <c r="I2568" i="1"/>
  <c r="A2569" i="1"/>
  <c r="F2569" i="1"/>
  <c r="G2569" i="1"/>
  <c r="I2569" i="1"/>
  <c r="A2570" i="1"/>
  <c r="F2570" i="1"/>
  <c r="G2570" i="1"/>
  <c r="I2570" i="1"/>
  <c r="A2571" i="1"/>
  <c r="F2571" i="1"/>
  <c r="G2571" i="1"/>
  <c r="I2571" i="1"/>
  <c r="A2572" i="1"/>
  <c r="F2572" i="1"/>
  <c r="G2572" i="1"/>
  <c r="I2572" i="1"/>
  <c r="A2573" i="1"/>
  <c r="F2573" i="1"/>
  <c r="G2573" i="1"/>
  <c r="I2573" i="1"/>
  <c r="A2574" i="1"/>
  <c r="F2574" i="1"/>
  <c r="G2574" i="1"/>
  <c r="I2574" i="1"/>
  <c r="A2575" i="1"/>
  <c r="F2575" i="1"/>
  <c r="G2575" i="1"/>
  <c r="I2575" i="1"/>
  <c r="A2576" i="1"/>
  <c r="F2576" i="1"/>
  <c r="G2576" i="1"/>
  <c r="I2576" i="1"/>
  <c r="A2577" i="1"/>
  <c r="F2577" i="1"/>
  <c r="G2577" i="1"/>
  <c r="I2577" i="1"/>
  <c r="A2578" i="1"/>
  <c r="F2578" i="1"/>
  <c r="G2578" i="1"/>
  <c r="I2578" i="1"/>
  <c r="A2579" i="1"/>
  <c r="F2579" i="1"/>
  <c r="G2579" i="1"/>
  <c r="I2579" i="1"/>
  <c r="A2580" i="1"/>
  <c r="F2580" i="1"/>
  <c r="G2580" i="1"/>
  <c r="I2580" i="1"/>
  <c r="A2581" i="1"/>
  <c r="F2581" i="1"/>
  <c r="G2581" i="1"/>
  <c r="I2581" i="1"/>
  <c r="A2582" i="1"/>
  <c r="F2582" i="1"/>
  <c r="G2582" i="1"/>
  <c r="I2582" i="1"/>
  <c r="A2583" i="1"/>
  <c r="F2583" i="1"/>
  <c r="G2583" i="1"/>
  <c r="I2583" i="1"/>
  <c r="A2584" i="1"/>
  <c r="F2584" i="1"/>
  <c r="G2584" i="1"/>
  <c r="I2584" i="1"/>
  <c r="A2585" i="1"/>
  <c r="F2585" i="1"/>
  <c r="G2585" i="1"/>
  <c r="I2585" i="1"/>
  <c r="A2586" i="1"/>
  <c r="F2586" i="1"/>
  <c r="G2586" i="1"/>
  <c r="I2586" i="1"/>
  <c r="A2587" i="1"/>
  <c r="F2587" i="1"/>
  <c r="G2587" i="1"/>
  <c r="I2587" i="1"/>
  <c r="A2588" i="1"/>
  <c r="F2588" i="1"/>
  <c r="G2588" i="1"/>
  <c r="I2588" i="1"/>
  <c r="A2589" i="1"/>
  <c r="F2589" i="1"/>
  <c r="G2589" i="1"/>
  <c r="I2589" i="1"/>
  <c r="A2590" i="1"/>
  <c r="F2590" i="1"/>
  <c r="G2590" i="1"/>
  <c r="I2590" i="1"/>
  <c r="A2591" i="1"/>
  <c r="F2591" i="1"/>
  <c r="G2591" i="1"/>
  <c r="I2591" i="1"/>
  <c r="A2592" i="1"/>
  <c r="F2592" i="1"/>
  <c r="G2592" i="1"/>
  <c r="I2592" i="1"/>
  <c r="A2593" i="1"/>
  <c r="F2593" i="1"/>
  <c r="G2593" i="1"/>
  <c r="I2593" i="1"/>
  <c r="A2594" i="1"/>
  <c r="F2594" i="1"/>
  <c r="G2594" i="1"/>
  <c r="I2594" i="1"/>
  <c r="A2595" i="1"/>
  <c r="F2595" i="1"/>
  <c r="G2595" i="1"/>
  <c r="I2595" i="1"/>
  <c r="A2596" i="1"/>
  <c r="F2596" i="1"/>
  <c r="G2596" i="1"/>
  <c r="I2596" i="1"/>
  <c r="A2597" i="1"/>
  <c r="F2597" i="1"/>
  <c r="G2597" i="1"/>
  <c r="I2597" i="1"/>
  <c r="A2598" i="1"/>
  <c r="F2598" i="1"/>
  <c r="G2598" i="1"/>
  <c r="I2598" i="1"/>
  <c r="A2599" i="1"/>
  <c r="F2599" i="1"/>
  <c r="G2599" i="1"/>
  <c r="I2599" i="1"/>
  <c r="A2600" i="1"/>
  <c r="F2600" i="1"/>
  <c r="G2600" i="1"/>
  <c r="I2600" i="1"/>
  <c r="A2601" i="1"/>
  <c r="F2601" i="1"/>
  <c r="G2601" i="1"/>
  <c r="I2601" i="1"/>
  <c r="A2602" i="1"/>
  <c r="F2602" i="1"/>
  <c r="G2602" i="1"/>
  <c r="I2602" i="1"/>
  <c r="A2603" i="1"/>
  <c r="F2603" i="1"/>
  <c r="G2603" i="1"/>
  <c r="I2603" i="1"/>
  <c r="A2604" i="1"/>
  <c r="F2604" i="1"/>
  <c r="G2604" i="1"/>
  <c r="I2604" i="1"/>
  <c r="A2605" i="1"/>
  <c r="F2605" i="1"/>
  <c r="G2605" i="1"/>
  <c r="I2605" i="1"/>
  <c r="A2606" i="1"/>
  <c r="F2606" i="1"/>
  <c r="G2606" i="1"/>
  <c r="I2606" i="1"/>
  <c r="A2607" i="1"/>
  <c r="F2607" i="1"/>
  <c r="G2607" i="1"/>
  <c r="I2607" i="1"/>
  <c r="A2608" i="1"/>
  <c r="F2608" i="1"/>
  <c r="G2608" i="1"/>
  <c r="I2608" i="1"/>
  <c r="A2609" i="1"/>
  <c r="F2609" i="1"/>
  <c r="G2609" i="1"/>
  <c r="I2609" i="1"/>
  <c r="A2610" i="1"/>
  <c r="F2610" i="1"/>
  <c r="G2610" i="1"/>
  <c r="I2610" i="1"/>
  <c r="A2611" i="1"/>
  <c r="F2611" i="1"/>
  <c r="G2611" i="1"/>
  <c r="I2611" i="1"/>
  <c r="A2612" i="1"/>
  <c r="F2612" i="1"/>
  <c r="G2612" i="1"/>
  <c r="I2612" i="1"/>
  <c r="A2613" i="1"/>
  <c r="F2613" i="1"/>
  <c r="G2613" i="1"/>
  <c r="I2613" i="1"/>
  <c r="A2614" i="1"/>
  <c r="F2614" i="1"/>
  <c r="G2614" i="1"/>
  <c r="I2614" i="1"/>
  <c r="A2615" i="1"/>
  <c r="F2615" i="1"/>
  <c r="G2615" i="1"/>
  <c r="I2615" i="1"/>
  <c r="A2616" i="1"/>
  <c r="F2616" i="1"/>
  <c r="G2616" i="1"/>
  <c r="I2616" i="1"/>
  <c r="A2617" i="1"/>
  <c r="F2617" i="1"/>
  <c r="G2617" i="1"/>
  <c r="I2617" i="1"/>
  <c r="A2618" i="1"/>
  <c r="F2618" i="1"/>
  <c r="G2618" i="1"/>
  <c r="I2618" i="1"/>
  <c r="A2619" i="1"/>
  <c r="F2619" i="1"/>
  <c r="G2619" i="1"/>
  <c r="I2619" i="1"/>
  <c r="A2620" i="1"/>
  <c r="F2620" i="1"/>
  <c r="G2620" i="1"/>
  <c r="I2620" i="1"/>
  <c r="A2621" i="1"/>
  <c r="F2621" i="1"/>
  <c r="G2621" i="1"/>
  <c r="I2621" i="1"/>
  <c r="A2622" i="1"/>
  <c r="F2622" i="1"/>
  <c r="G2622" i="1"/>
  <c r="I2622" i="1"/>
  <c r="A2623" i="1"/>
  <c r="F2623" i="1"/>
  <c r="G2623" i="1"/>
  <c r="I2623" i="1"/>
  <c r="A2624" i="1"/>
  <c r="F2624" i="1"/>
  <c r="G2624" i="1"/>
  <c r="I2624" i="1"/>
  <c r="A2625" i="1"/>
  <c r="F2625" i="1"/>
  <c r="G2625" i="1"/>
  <c r="I2625" i="1"/>
  <c r="A2626" i="1"/>
  <c r="F2626" i="1"/>
  <c r="G2626" i="1"/>
  <c r="I2626" i="1"/>
  <c r="A2627" i="1"/>
  <c r="F2627" i="1"/>
  <c r="G2627" i="1"/>
  <c r="I2627" i="1"/>
  <c r="A2628" i="1"/>
  <c r="F2628" i="1"/>
  <c r="G2628" i="1"/>
  <c r="I2628" i="1"/>
  <c r="A2629" i="1"/>
  <c r="F2629" i="1"/>
  <c r="G2629" i="1"/>
  <c r="I2629" i="1"/>
  <c r="A2630" i="1"/>
  <c r="F2630" i="1"/>
  <c r="G2630" i="1"/>
  <c r="I2630" i="1"/>
  <c r="A2631" i="1"/>
  <c r="F2631" i="1"/>
  <c r="G2631" i="1"/>
  <c r="I2631" i="1"/>
  <c r="A2632" i="1"/>
  <c r="F2632" i="1"/>
  <c r="G2632" i="1"/>
  <c r="I2632" i="1"/>
  <c r="A2633" i="1"/>
  <c r="F2633" i="1"/>
  <c r="G2633" i="1"/>
  <c r="I2633" i="1"/>
  <c r="A2634" i="1"/>
  <c r="F2634" i="1"/>
  <c r="G2634" i="1"/>
  <c r="I2634" i="1"/>
  <c r="A2635" i="1"/>
  <c r="F2635" i="1"/>
  <c r="G2635" i="1"/>
  <c r="I2635" i="1"/>
  <c r="A2636" i="1"/>
  <c r="F2636" i="1"/>
  <c r="G2636" i="1"/>
  <c r="I2636" i="1"/>
  <c r="A2637" i="1"/>
  <c r="F2637" i="1"/>
  <c r="G2637" i="1"/>
  <c r="I2637" i="1"/>
  <c r="A2638" i="1"/>
  <c r="F2638" i="1"/>
  <c r="G2638" i="1"/>
  <c r="I2638" i="1"/>
  <c r="A2639" i="1"/>
  <c r="F2639" i="1"/>
  <c r="G2639" i="1"/>
  <c r="I2639" i="1"/>
  <c r="A2640" i="1"/>
  <c r="F2640" i="1"/>
  <c r="G2640" i="1"/>
  <c r="I2640" i="1"/>
  <c r="A2641" i="1"/>
  <c r="F2641" i="1"/>
  <c r="G2641" i="1"/>
  <c r="I2641" i="1"/>
  <c r="A2642" i="1"/>
  <c r="F2642" i="1"/>
  <c r="G2642" i="1"/>
  <c r="I2642" i="1"/>
  <c r="A2643" i="1"/>
  <c r="F2643" i="1"/>
  <c r="G2643" i="1"/>
  <c r="I2643" i="1"/>
  <c r="A2644" i="1"/>
  <c r="F2644" i="1"/>
  <c r="G2644" i="1"/>
  <c r="I2644" i="1"/>
  <c r="A2645" i="1"/>
  <c r="F2645" i="1"/>
  <c r="G2645" i="1"/>
  <c r="I2645" i="1"/>
  <c r="A2646" i="1"/>
  <c r="F2646" i="1"/>
  <c r="G2646" i="1"/>
  <c r="I2646" i="1"/>
  <c r="A2647" i="1"/>
  <c r="F2647" i="1"/>
  <c r="G2647" i="1"/>
  <c r="I2647" i="1"/>
  <c r="A2648" i="1"/>
  <c r="F2648" i="1"/>
  <c r="G2648" i="1"/>
  <c r="I2648" i="1"/>
  <c r="A2649" i="1"/>
  <c r="F2649" i="1"/>
  <c r="G2649" i="1"/>
  <c r="I2649" i="1"/>
  <c r="A2650" i="1"/>
  <c r="F2650" i="1"/>
  <c r="G2650" i="1"/>
  <c r="I2650" i="1"/>
  <c r="A2651" i="1"/>
  <c r="F2651" i="1"/>
  <c r="G2651" i="1"/>
  <c r="I2651" i="1"/>
  <c r="A2652" i="1"/>
  <c r="F2652" i="1"/>
  <c r="G2652" i="1"/>
  <c r="I2652" i="1"/>
  <c r="A2653" i="1"/>
  <c r="F2653" i="1"/>
  <c r="G2653" i="1"/>
  <c r="I2653" i="1"/>
  <c r="A2654" i="1"/>
  <c r="F2654" i="1"/>
  <c r="G2654" i="1"/>
  <c r="I2654" i="1"/>
  <c r="A2655" i="1"/>
  <c r="F2655" i="1"/>
  <c r="G2655" i="1"/>
  <c r="I2655" i="1"/>
  <c r="A2656" i="1"/>
  <c r="F2656" i="1"/>
  <c r="G2656" i="1"/>
  <c r="I2656" i="1"/>
  <c r="A2657" i="1"/>
  <c r="F2657" i="1"/>
  <c r="G2657" i="1"/>
  <c r="I2657" i="1"/>
  <c r="A2658" i="1"/>
  <c r="F2658" i="1"/>
  <c r="G2658" i="1"/>
  <c r="I2658" i="1"/>
  <c r="A2659" i="1"/>
  <c r="F2659" i="1"/>
  <c r="G2659" i="1"/>
  <c r="I2659" i="1"/>
  <c r="A2660" i="1"/>
  <c r="F2660" i="1"/>
  <c r="G2660" i="1"/>
  <c r="I2660" i="1"/>
  <c r="A2661" i="1"/>
  <c r="F2661" i="1"/>
  <c r="G2661" i="1"/>
  <c r="I2661" i="1"/>
  <c r="A2662" i="1"/>
  <c r="F2662" i="1"/>
  <c r="G2662" i="1"/>
  <c r="I2662" i="1"/>
  <c r="A2663" i="1"/>
  <c r="F2663" i="1"/>
  <c r="G2663" i="1"/>
  <c r="I2663" i="1"/>
  <c r="A2664" i="1"/>
  <c r="F2664" i="1"/>
  <c r="G2664" i="1"/>
  <c r="I2664" i="1"/>
  <c r="A2665" i="1"/>
  <c r="F2665" i="1"/>
  <c r="G2665" i="1"/>
  <c r="I2665" i="1"/>
  <c r="A2666" i="1"/>
  <c r="F2666" i="1"/>
  <c r="G2666" i="1"/>
  <c r="I2666" i="1"/>
  <c r="A2667" i="1"/>
  <c r="F2667" i="1"/>
  <c r="G2667" i="1"/>
  <c r="I2667" i="1"/>
  <c r="A2668" i="1"/>
  <c r="F2668" i="1"/>
  <c r="G2668" i="1"/>
  <c r="I2668" i="1"/>
  <c r="A2669" i="1"/>
  <c r="F2669" i="1"/>
  <c r="G2669" i="1"/>
  <c r="I2669" i="1"/>
  <c r="A2670" i="1"/>
  <c r="F2670" i="1"/>
  <c r="G2670" i="1"/>
  <c r="I2670" i="1"/>
  <c r="A2671" i="1"/>
  <c r="F2671" i="1"/>
  <c r="G2671" i="1"/>
  <c r="I2671" i="1"/>
  <c r="A2672" i="1"/>
  <c r="F2672" i="1"/>
  <c r="G2672" i="1"/>
  <c r="I2672" i="1"/>
  <c r="A2673" i="1"/>
  <c r="F2673" i="1"/>
  <c r="G2673" i="1"/>
  <c r="I2673" i="1"/>
  <c r="A2674" i="1"/>
  <c r="F2674" i="1"/>
  <c r="G2674" i="1"/>
  <c r="I2674" i="1"/>
  <c r="A2675" i="1"/>
  <c r="F2675" i="1"/>
  <c r="G2675" i="1"/>
  <c r="I2675" i="1"/>
  <c r="A2676" i="1"/>
  <c r="F2676" i="1"/>
  <c r="G2676" i="1"/>
  <c r="I2676" i="1"/>
  <c r="A2677" i="1"/>
  <c r="F2677" i="1"/>
  <c r="G2677" i="1"/>
  <c r="I2677" i="1"/>
  <c r="A2678" i="1"/>
  <c r="F2678" i="1"/>
  <c r="G2678" i="1"/>
  <c r="I2678" i="1"/>
  <c r="A2679" i="1"/>
  <c r="F2679" i="1"/>
  <c r="G2679" i="1"/>
  <c r="I2679" i="1"/>
  <c r="A2680" i="1"/>
  <c r="F2680" i="1"/>
  <c r="G2680" i="1"/>
  <c r="I2680" i="1"/>
  <c r="A2681" i="1"/>
  <c r="F2681" i="1"/>
  <c r="G2681" i="1"/>
  <c r="I2681" i="1"/>
  <c r="A2682" i="1"/>
  <c r="F2682" i="1"/>
  <c r="G2682" i="1"/>
  <c r="I2682" i="1"/>
  <c r="A2683" i="1"/>
  <c r="F2683" i="1"/>
  <c r="G2683" i="1"/>
  <c r="I2683" i="1"/>
  <c r="A2684" i="1"/>
  <c r="F2684" i="1"/>
  <c r="G2684" i="1"/>
  <c r="I2684" i="1"/>
  <c r="A2685" i="1"/>
  <c r="F2685" i="1"/>
  <c r="G2685" i="1"/>
  <c r="I2685" i="1"/>
  <c r="A2686" i="1"/>
  <c r="F2686" i="1"/>
  <c r="G2686" i="1"/>
  <c r="I2686" i="1"/>
  <c r="A2687" i="1"/>
  <c r="F2687" i="1"/>
  <c r="G2687" i="1"/>
  <c r="I2687" i="1"/>
  <c r="A2688" i="1"/>
  <c r="F2688" i="1"/>
  <c r="G2688" i="1"/>
  <c r="I2688" i="1"/>
  <c r="A2689" i="1"/>
  <c r="F2689" i="1"/>
  <c r="G2689" i="1"/>
  <c r="I2689" i="1"/>
  <c r="A2690" i="1"/>
  <c r="F2690" i="1"/>
  <c r="G2690" i="1"/>
  <c r="I2690" i="1"/>
  <c r="A2691" i="1"/>
  <c r="F2691" i="1"/>
  <c r="G2691" i="1"/>
  <c r="I2691" i="1"/>
  <c r="A2692" i="1"/>
  <c r="F2692" i="1"/>
  <c r="G2692" i="1"/>
  <c r="I2692" i="1"/>
  <c r="A2693" i="1"/>
  <c r="F2693" i="1"/>
  <c r="G2693" i="1"/>
  <c r="I2693" i="1"/>
  <c r="A2694" i="1"/>
  <c r="F2694" i="1"/>
  <c r="G2694" i="1"/>
  <c r="I2694" i="1"/>
  <c r="A2695" i="1"/>
  <c r="F2695" i="1"/>
  <c r="G2695" i="1"/>
  <c r="I2695" i="1"/>
  <c r="A2696" i="1"/>
  <c r="F2696" i="1"/>
  <c r="G2696" i="1"/>
  <c r="I2696" i="1"/>
  <c r="A2697" i="1"/>
  <c r="F2697" i="1"/>
  <c r="G2697" i="1"/>
  <c r="I2697" i="1"/>
  <c r="A2698" i="1"/>
  <c r="F2698" i="1"/>
  <c r="G2698" i="1"/>
  <c r="I2698" i="1"/>
  <c r="A2699" i="1"/>
  <c r="F2699" i="1"/>
  <c r="G2699" i="1"/>
  <c r="I2699" i="1"/>
  <c r="A2700" i="1"/>
  <c r="F2700" i="1"/>
  <c r="G2700" i="1"/>
  <c r="I2700" i="1"/>
  <c r="A2701" i="1"/>
  <c r="F2701" i="1"/>
  <c r="G2701" i="1"/>
  <c r="I2701" i="1"/>
  <c r="A2702" i="1"/>
  <c r="F2702" i="1"/>
  <c r="G2702" i="1"/>
  <c r="I2702" i="1"/>
  <c r="A2703" i="1"/>
  <c r="F2703" i="1"/>
  <c r="G2703" i="1"/>
  <c r="I2703" i="1"/>
  <c r="A2704" i="1"/>
  <c r="F2704" i="1"/>
  <c r="G2704" i="1"/>
  <c r="I2704" i="1"/>
  <c r="A2705" i="1"/>
  <c r="F2705" i="1"/>
  <c r="G2705" i="1"/>
  <c r="I2705" i="1"/>
  <c r="A2706" i="1"/>
  <c r="F2706" i="1"/>
  <c r="G2706" i="1"/>
  <c r="I2706" i="1"/>
  <c r="A2707" i="1"/>
  <c r="F2707" i="1"/>
  <c r="G2707" i="1"/>
  <c r="I2707" i="1"/>
  <c r="A2708" i="1"/>
  <c r="F2708" i="1"/>
  <c r="G2708" i="1"/>
  <c r="I2708" i="1"/>
  <c r="A2709" i="1"/>
  <c r="F2709" i="1"/>
  <c r="G2709" i="1"/>
  <c r="I2709" i="1"/>
  <c r="A2710" i="1"/>
  <c r="F2710" i="1"/>
  <c r="G2710" i="1"/>
  <c r="I2710" i="1"/>
  <c r="A2711" i="1"/>
  <c r="F2711" i="1"/>
  <c r="G2711" i="1"/>
  <c r="I2711" i="1"/>
  <c r="A2712" i="1"/>
  <c r="F2712" i="1"/>
  <c r="G2712" i="1"/>
  <c r="I2712" i="1"/>
  <c r="A2713" i="1"/>
  <c r="F2713" i="1"/>
  <c r="G2713" i="1"/>
  <c r="I2713" i="1"/>
  <c r="A2714" i="1"/>
  <c r="F2714" i="1"/>
  <c r="G2714" i="1"/>
  <c r="I2714" i="1"/>
  <c r="A2715" i="1"/>
  <c r="F2715" i="1"/>
  <c r="G2715" i="1"/>
  <c r="I2715" i="1"/>
  <c r="A2716" i="1"/>
  <c r="F2716" i="1"/>
  <c r="G2716" i="1"/>
  <c r="I2716" i="1"/>
  <c r="A2717" i="1"/>
  <c r="F2717" i="1"/>
  <c r="G2717" i="1"/>
  <c r="I2717" i="1"/>
  <c r="A2718" i="1"/>
  <c r="F2718" i="1"/>
  <c r="G2718" i="1"/>
  <c r="I2718" i="1"/>
  <c r="A2719" i="1"/>
  <c r="F2719" i="1"/>
  <c r="G2719" i="1"/>
  <c r="I2719" i="1"/>
  <c r="A2720" i="1"/>
  <c r="F2720" i="1"/>
  <c r="G2720" i="1"/>
  <c r="I2720" i="1"/>
  <c r="A2721" i="1"/>
  <c r="F2721" i="1"/>
  <c r="G2721" i="1"/>
  <c r="I2721" i="1"/>
  <c r="A2722" i="1"/>
  <c r="F2722" i="1"/>
  <c r="G2722" i="1"/>
  <c r="I2722" i="1"/>
  <c r="A2723" i="1"/>
  <c r="F2723" i="1"/>
  <c r="G2723" i="1"/>
  <c r="I2723" i="1"/>
  <c r="A2724" i="1"/>
  <c r="F2724" i="1"/>
  <c r="G2724" i="1"/>
  <c r="I2724" i="1"/>
  <c r="A2725" i="1"/>
  <c r="F2725" i="1"/>
  <c r="G2725" i="1"/>
  <c r="I2725" i="1"/>
  <c r="A2726" i="1"/>
  <c r="F2726" i="1"/>
  <c r="G2726" i="1"/>
  <c r="I2726" i="1"/>
  <c r="A2727" i="1"/>
  <c r="F2727" i="1"/>
  <c r="G2727" i="1"/>
  <c r="I2727" i="1"/>
  <c r="A2728" i="1"/>
  <c r="F2728" i="1"/>
  <c r="G2728" i="1"/>
  <c r="I2728" i="1"/>
  <c r="A2729" i="1"/>
  <c r="F2729" i="1"/>
  <c r="G2729" i="1"/>
  <c r="I2729" i="1"/>
  <c r="A2730" i="1"/>
  <c r="F2730" i="1"/>
  <c r="G2730" i="1"/>
  <c r="I2730" i="1"/>
  <c r="A2731" i="1"/>
  <c r="F2731" i="1"/>
  <c r="G2731" i="1"/>
  <c r="I2731" i="1"/>
  <c r="A2732" i="1"/>
  <c r="F2732" i="1"/>
  <c r="G2732" i="1"/>
  <c r="I2732" i="1"/>
  <c r="A2733" i="1"/>
  <c r="F2733" i="1"/>
  <c r="G2733" i="1"/>
  <c r="I2733" i="1"/>
  <c r="A2734" i="1"/>
  <c r="F2734" i="1"/>
  <c r="G2734" i="1"/>
  <c r="I2734" i="1"/>
  <c r="A2735" i="1"/>
  <c r="F2735" i="1"/>
  <c r="G2735" i="1"/>
  <c r="I2735" i="1"/>
  <c r="A2736" i="1"/>
  <c r="F2736" i="1"/>
  <c r="G2736" i="1"/>
  <c r="I2736" i="1"/>
  <c r="A2737" i="1"/>
  <c r="F2737" i="1"/>
  <c r="G2737" i="1"/>
  <c r="I2737" i="1"/>
  <c r="A2738" i="1"/>
  <c r="F2738" i="1"/>
  <c r="G2738" i="1"/>
  <c r="I2738" i="1"/>
  <c r="A2739" i="1"/>
  <c r="F2739" i="1"/>
  <c r="G2739" i="1"/>
  <c r="I2739" i="1"/>
  <c r="A2740" i="1"/>
  <c r="F2740" i="1"/>
  <c r="G2740" i="1"/>
  <c r="I2740" i="1"/>
  <c r="A2741" i="1"/>
  <c r="F2741" i="1"/>
  <c r="G2741" i="1"/>
  <c r="I2741" i="1"/>
  <c r="A2742" i="1"/>
  <c r="F2742" i="1"/>
  <c r="G2742" i="1"/>
  <c r="I2742" i="1"/>
  <c r="A2743" i="1"/>
  <c r="F2743" i="1"/>
  <c r="G2743" i="1"/>
  <c r="I2743" i="1"/>
  <c r="A2744" i="1"/>
  <c r="F2744" i="1"/>
  <c r="G2744" i="1"/>
  <c r="I2744" i="1"/>
  <c r="A2745" i="1"/>
  <c r="F2745" i="1"/>
  <c r="G2745" i="1"/>
  <c r="I2745" i="1"/>
  <c r="A2746" i="1"/>
  <c r="F2746" i="1"/>
  <c r="G2746" i="1"/>
  <c r="I2746" i="1"/>
  <c r="A2747" i="1"/>
  <c r="F2747" i="1"/>
  <c r="G2747" i="1"/>
  <c r="I2747" i="1"/>
  <c r="A2748" i="1"/>
  <c r="F2748" i="1"/>
  <c r="G2748" i="1"/>
  <c r="I2748" i="1"/>
  <c r="A2749" i="1"/>
  <c r="F2749" i="1"/>
  <c r="G2749" i="1"/>
  <c r="I2749" i="1"/>
  <c r="A2750" i="1"/>
  <c r="F2750" i="1"/>
  <c r="G2750" i="1"/>
  <c r="I2750" i="1"/>
  <c r="A2751" i="1"/>
  <c r="F2751" i="1"/>
  <c r="G2751" i="1"/>
  <c r="I2751" i="1"/>
  <c r="A2752" i="1"/>
  <c r="F2752" i="1"/>
  <c r="G2752" i="1"/>
  <c r="I2752" i="1"/>
  <c r="A2753" i="1"/>
  <c r="F2753" i="1"/>
  <c r="G2753" i="1"/>
  <c r="I2753" i="1"/>
  <c r="A2754" i="1"/>
  <c r="F2754" i="1"/>
  <c r="G2754" i="1"/>
  <c r="I2754" i="1"/>
  <c r="A2755" i="1"/>
  <c r="F2755" i="1"/>
  <c r="G2755" i="1"/>
  <c r="I2755" i="1"/>
  <c r="A2756" i="1"/>
  <c r="F2756" i="1"/>
  <c r="G2756" i="1"/>
  <c r="I2756" i="1"/>
  <c r="A2757" i="1"/>
  <c r="F2757" i="1"/>
  <c r="G2757" i="1"/>
  <c r="I2757" i="1"/>
  <c r="A2758" i="1"/>
  <c r="F2758" i="1"/>
  <c r="G2758" i="1"/>
  <c r="I2758" i="1"/>
  <c r="A2759" i="1"/>
  <c r="F2759" i="1"/>
  <c r="G2759" i="1"/>
  <c r="I2759" i="1"/>
  <c r="A2760" i="1"/>
  <c r="F2760" i="1"/>
  <c r="G2760" i="1"/>
  <c r="I2760" i="1"/>
  <c r="A2761" i="1"/>
  <c r="F2761" i="1"/>
  <c r="G2761" i="1"/>
  <c r="I2761" i="1"/>
  <c r="A2762" i="1"/>
  <c r="F2762" i="1"/>
  <c r="G2762" i="1"/>
  <c r="I2762" i="1"/>
  <c r="A2763" i="1"/>
  <c r="F2763" i="1"/>
  <c r="G2763" i="1"/>
  <c r="I2763" i="1"/>
  <c r="A2764" i="1"/>
  <c r="F2764" i="1"/>
  <c r="G2764" i="1"/>
  <c r="I2764" i="1"/>
  <c r="A2765" i="1"/>
  <c r="F2765" i="1"/>
  <c r="G2765" i="1"/>
  <c r="I2765" i="1"/>
  <c r="A2766" i="1"/>
  <c r="F2766" i="1"/>
  <c r="G2766" i="1"/>
  <c r="I2766" i="1"/>
  <c r="A2767" i="1"/>
  <c r="F2767" i="1"/>
  <c r="G2767" i="1"/>
  <c r="I2767" i="1"/>
  <c r="A2768" i="1"/>
  <c r="F2768" i="1"/>
  <c r="G2768" i="1"/>
  <c r="I2768" i="1"/>
  <c r="A2769" i="1"/>
  <c r="F2769" i="1"/>
  <c r="G2769" i="1"/>
  <c r="I2769" i="1"/>
  <c r="A2770" i="1"/>
  <c r="F2770" i="1"/>
  <c r="G2770" i="1"/>
  <c r="I2770" i="1"/>
  <c r="A2771" i="1"/>
  <c r="F2771" i="1"/>
  <c r="G2771" i="1"/>
  <c r="I2771" i="1"/>
  <c r="A2772" i="1"/>
  <c r="F2772" i="1"/>
  <c r="G2772" i="1"/>
  <c r="I2772" i="1"/>
  <c r="A2773" i="1"/>
  <c r="F2773" i="1"/>
  <c r="G2773" i="1"/>
  <c r="I2773" i="1"/>
  <c r="A2774" i="1"/>
  <c r="F2774" i="1"/>
  <c r="G2774" i="1"/>
  <c r="I2774" i="1"/>
  <c r="A2775" i="1"/>
  <c r="F2775" i="1"/>
  <c r="G2775" i="1"/>
  <c r="I2775" i="1"/>
  <c r="A2776" i="1"/>
  <c r="F2776" i="1"/>
  <c r="G2776" i="1"/>
  <c r="I2776" i="1"/>
  <c r="A2777" i="1"/>
  <c r="F2777" i="1"/>
  <c r="G2777" i="1"/>
  <c r="I2777" i="1"/>
  <c r="A2778" i="1"/>
  <c r="F2778" i="1"/>
  <c r="G2778" i="1"/>
  <c r="I2778" i="1"/>
  <c r="A2779" i="1"/>
  <c r="F2779" i="1"/>
  <c r="G2779" i="1"/>
  <c r="I2779" i="1"/>
  <c r="A2780" i="1"/>
  <c r="F2780" i="1"/>
  <c r="G2780" i="1"/>
  <c r="I2780" i="1"/>
  <c r="A2781" i="1"/>
  <c r="F2781" i="1"/>
  <c r="G2781" i="1"/>
  <c r="I2781" i="1"/>
  <c r="A2782" i="1"/>
  <c r="F2782" i="1"/>
  <c r="G2782" i="1"/>
  <c r="I2782" i="1"/>
  <c r="A2783" i="1"/>
  <c r="F2783" i="1"/>
  <c r="G2783" i="1"/>
  <c r="I2783" i="1"/>
  <c r="A2784" i="1"/>
  <c r="F2784" i="1"/>
  <c r="G2784" i="1"/>
  <c r="I2784" i="1"/>
  <c r="A2785" i="1"/>
  <c r="F2785" i="1"/>
  <c r="G2785" i="1"/>
  <c r="I2785" i="1"/>
  <c r="A2786" i="1"/>
  <c r="F2786" i="1"/>
  <c r="G2786" i="1"/>
  <c r="I2786" i="1"/>
  <c r="A2787" i="1"/>
  <c r="F2787" i="1"/>
  <c r="G2787" i="1"/>
  <c r="I2787" i="1"/>
  <c r="A2788" i="1"/>
  <c r="F2788" i="1"/>
  <c r="G2788" i="1"/>
  <c r="I2788" i="1"/>
  <c r="A2789" i="1"/>
  <c r="F2789" i="1"/>
  <c r="G2789" i="1"/>
  <c r="I2789" i="1"/>
  <c r="A2790" i="1"/>
  <c r="F2790" i="1"/>
  <c r="G2790" i="1"/>
  <c r="I2790" i="1"/>
  <c r="A2791" i="1"/>
  <c r="F2791" i="1"/>
  <c r="G2791" i="1"/>
  <c r="I2791" i="1"/>
  <c r="A2792" i="1"/>
  <c r="F2792" i="1"/>
  <c r="G2792" i="1"/>
  <c r="I2792" i="1"/>
  <c r="A2793" i="1"/>
  <c r="F2793" i="1"/>
  <c r="G2793" i="1"/>
  <c r="I2793" i="1"/>
  <c r="A2794" i="1"/>
  <c r="F2794" i="1"/>
  <c r="G2794" i="1"/>
  <c r="I2794" i="1"/>
  <c r="A2795" i="1"/>
  <c r="F2795" i="1"/>
  <c r="G2795" i="1"/>
  <c r="I2795" i="1"/>
  <c r="A2796" i="1"/>
  <c r="F2796" i="1"/>
  <c r="G2796" i="1"/>
  <c r="I2796" i="1"/>
  <c r="A2797" i="1"/>
  <c r="F2797" i="1"/>
  <c r="G2797" i="1"/>
  <c r="I2797" i="1"/>
  <c r="A2798" i="1"/>
  <c r="F2798" i="1"/>
  <c r="G2798" i="1"/>
  <c r="I2798" i="1"/>
  <c r="A2799" i="1"/>
  <c r="F2799" i="1"/>
  <c r="G2799" i="1"/>
  <c r="I2799" i="1"/>
  <c r="A2800" i="1"/>
  <c r="F2800" i="1"/>
  <c r="G2800" i="1"/>
  <c r="I2800" i="1"/>
  <c r="A2801" i="1"/>
  <c r="F2801" i="1"/>
  <c r="G2801" i="1"/>
  <c r="I2801" i="1"/>
  <c r="A2802" i="1"/>
  <c r="F2802" i="1"/>
  <c r="G2802" i="1"/>
  <c r="I2802" i="1"/>
  <c r="A2803" i="1"/>
  <c r="F2803" i="1"/>
  <c r="G2803" i="1"/>
  <c r="I2803" i="1"/>
  <c r="A2804" i="1"/>
  <c r="F2804" i="1"/>
  <c r="G2804" i="1"/>
  <c r="I2804" i="1"/>
  <c r="A2805" i="1"/>
  <c r="F2805" i="1"/>
  <c r="G2805" i="1"/>
  <c r="I2805" i="1"/>
  <c r="A2806" i="1"/>
  <c r="F2806" i="1"/>
  <c r="G2806" i="1"/>
  <c r="I2806" i="1"/>
  <c r="A2807" i="1"/>
  <c r="F2807" i="1"/>
  <c r="G2807" i="1"/>
  <c r="I2807" i="1"/>
  <c r="A2808" i="1"/>
  <c r="F2808" i="1"/>
  <c r="G2808" i="1"/>
  <c r="I2808" i="1"/>
  <c r="A2809" i="1"/>
  <c r="F2809" i="1"/>
  <c r="G2809" i="1"/>
  <c r="I2809" i="1"/>
  <c r="A2810" i="1"/>
  <c r="F2810" i="1"/>
  <c r="G2810" i="1"/>
  <c r="I2810" i="1"/>
  <c r="A2811" i="1"/>
  <c r="F2811" i="1"/>
  <c r="G2811" i="1"/>
  <c r="I2811" i="1"/>
  <c r="A2812" i="1"/>
  <c r="F2812" i="1"/>
  <c r="G2812" i="1"/>
  <c r="I2812" i="1"/>
  <c r="A2813" i="1"/>
  <c r="F2813" i="1"/>
  <c r="G2813" i="1"/>
  <c r="I2813" i="1"/>
  <c r="A2814" i="1"/>
  <c r="F2814" i="1"/>
  <c r="G2814" i="1"/>
  <c r="I2814" i="1"/>
  <c r="A2815" i="1"/>
  <c r="F2815" i="1"/>
  <c r="G2815" i="1"/>
  <c r="I2815" i="1"/>
  <c r="A2816" i="1"/>
  <c r="F2816" i="1"/>
  <c r="G2816" i="1"/>
  <c r="I2816" i="1"/>
  <c r="A2817" i="1"/>
  <c r="F2817" i="1"/>
  <c r="G2817" i="1"/>
  <c r="I2817" i="1"/>
  <c r="A2818" i="1"/>
  <c r="F2818" i="1"/>
  <c r="G2818" i="1"/>
  <c r="I2818" i="1"/>
  <c r="A2819" i="1"/>
  <c r="F2819" i="1"/>
  <c r="G2819" i="1"/>
  <c r="I2819" i="1"/>
  <c r="A2820" i="1"/>
  <c r="F2820" i="1"/>
  <c r="G2820" i="1"/>
  <c r="I2820" i="1"/>
  <c r="A2821" i="1"/>
  <c r="F2821" i="1"/>
  <c r="G2821" i="1"/>
  <c r="I2821" i="1"/>
  <c r="A2822" i="1"/>
  <c r="F2822" i="1"/>
  <c r="G2822" i="1"/>
  <c r="I2822" i="1"/>
  <c r="A2823" i="1"/>
  <c r="F2823" i="1"/>
  <c r="G2823" i="1"/>
  <c r="I2823" i="1"/>
  <c r="A2824" i="1"/>
  <c r="F2824" i="1"/>
  <c r="G2824" i="1"/>
  <c r="I2824" i="1"/>
  <c r="A2825" i="1"/>
  <c r="F2825" i="1"/>
  <c r="G2825" i="1"/>
  <c r="I2825" i="1"/>
  <c r="A2826" i="1"/>
  <c r="F2826" i="1"/>
  <c r="G2826" i="1"/>
  <c r="I2826" i="1"/>
  <c r="A2827" i="1"/>
  <c r="F2827" i="1"/>
  <c r="G2827" i="1"/>
  <c r="I2827" i="1"/>
  <c r="A2828" i="1"/>
  <c r="F2828" i="1"/>
  <c r="G2828" i="1"/>
  <c r="I2828" i="1"/>
  <c r="A2829" i="1"/>
  <c r="F2829" i="1"/>
  <c r="G2829" i="1"/>
  <c r="I2829" i="1"/>
  <c r="A2830" i="1"/>
  <c r="F2830" i="1"/>
  <c r="G2830" i="1"/>
  <c r="I2830" i="1"/>
  <c r="A2831" i="1"/>
  <c r="F2831" i="1"/>
  <c r="G2831" i="1"/>
  <c r="I2831" i="1"/>
  <c r="A2832" i="1"/>
  <c r="F2832" i="1"/>
  <c r="G2832" i="1"/>
  <c r="I2832" i="1"/>
  <c r="A2833" i="1"/>
  <c r="F2833" i="1"/>
  <c r="G2833" i="1"/>
  <c r="I2833" i="1"/>
  <c r="A2834" i="1"/>
  <c r="F2834" i="1"/>
  <c r="G2834" i="1"/>
  <c r="I2834" i="1"/>
  <c r="A2835" i="1"/>
  <c r="F2835" i="1"/>
  <c r="G2835" i="1"/>
  <c r="I2835" i="1"/>
  <c r="A2836" i="1"/>
  <c r="F2836" i="1"/>
  <c r="G2836" i="1"/>
  <c r="I2836" i="1"/>
  <c r="A2837" i="1"/>
  <c r="F2837" i="1"/>
  <c r="G2837" i="1"/>
  <c r="I2837" i="1"/>
  <c r="A2838" i="1"/>
  <c r="F2838" i="1"/>
  <c r="G2838" i="1"/>
  <c r="I2838" i="1"/>
  <c r="A2839" i="1"/>
  <c r="F2839" i="1"/>
  <c r="G2839" i="1"/>
  <c r="I2839" i="1"/>
  <c r="A2840" i="1"/>
  <c r="F2840" i="1"/>
  <c r="G2840" i="1"/>
  <c r="I2840" i="1"/>
  <c r="A2841" i="1"/>
  <c r="F2841" i="1"/>
  <c r="G2841" i="1"/>
  <c r="I2841" i="1"/>
  <c r="A2842" i="1"/>
  <c r="F2842" i="1"/>
  <c r="G2842" i="1"/>
  <c r="I2842" i="1"/>
  <c r="A2843" i="1"/>
  <c r="F2843" i="1"/>
  <c r="G2843" i="1"/>
  <c r="I2843" i="1"/>
  <c r="A2844" i="1"/>
  <c r="F2844" i="1"/>
  <c r="G2844" i="1"/>
  <c r="I2844" i="1"/>
  <c r="A2845" i="1"/>
  <c r="F2845" i="1"/>
  <c r="G2845" i="1"/>
  <c r="I2845" i="1"/>
  <c r="A2846" i="1"/>
  <c r="F2846" i="1"/>
  <c r="G2846" i="1"/>
  <c r="I2846" i="1"/>
  <c r="A2847" i="1"/>
  <c r="F2847" i="1"/>
  <c r="G2847" i="1"/>
  <c r="I2847" i="1"/>
  <c r="A2848" i="1"/>
  <c r="F2848" i="1"/>
  <c r="G2848" i="1"/>
  <c r="I2848" i="1"/>
  <c r="A2849" i="1"/>
  <c r="F2849" i="1"/>
  <c r="G2849" i="1"/>
  <c r="I2849" i="1"/>
  <c r="A2850" i="1"/>
  <c r="F2850" i="1"/>
  <c r="G2850" i="1"/>
  <c r="I2850" i="1"/>
  <c r="A2851" i="1"/>
  <c r="F2851" i="1"/>
  <c r="G2851" i="1"/>
  <c r="I2851" i="1"/>
  <c r="A2852" i="1"/>
  <c r="F2852" i="1"/>
  <c r="G2852" i="1"/>
  <c r="I2852" i="1"/>
  <c r="A2853" i="1"/>
  <c r="F2853" i="1"/>
  <c r="G2853" i="1"/>
  <c r="I2853" i="1"/>
  <c r="A2854" i="1"/>
  <c r="F2854" i="1"/>
  <c r="G2854" i="1"/>
  <c r="I2854" i="1"/>
  <c r="A2855" i="1"/>
  <c r="F2855" i="1"/>
  <c r="G2855" i="1"/>
  <c r="I2855" i="1"/>
  <c r="A2856" i="1"/>
  <c r="F2856" i="1"/>
  <c r="G2856" i="1"/>
  <c r="I2856" i="1"/>
  <c r="A2857" i="1"/>
  <c r="F2857" i="1"/>
  <c r="G2857" i="1"/>
  <c r="I2857" i="1"/>
  <c r="A2858" i="1"/>
  <c r="F2858" i="1"/>
  <c r="G2858" i="1"/>
  <c r="I2858" i="1"/>
  <c r="A2859" i="1"/>
  <c r="F2859" i="1"/>
  <c r="G2859" i="1"/>
  <c r="I2859" i="1"/>
  <c r="A2860" i="1"/>
  <c r="F2860" i="1"/>
  <c r="G2860" i="1"/>
  <c r="I2860" i="1"/>
  <c r="A2861" i="1"/>
  <c r="F2861" i="1"/>
  <c r="G2861" i="1"/>
  <c r="I2861" i="1"/>
  <c r="A2862" i="1"/>
  <c r="F2862" i="1"/>
  <c r="G2862" i="1"/>
  <c r="I2862" i="1"/>
  <c r="A2863" i="1"/>
  <c r="F2863" i="1"/>
  <c r="G2863" i="1"/>
  <c r="I2863" i="1"/>
  <c r="A2864" i="1"/>
  <c r="F2864" i="1"/>
  <c r="G2864" i="1"/>
  <c r="I2864" i="1"/>
  <c r="A2865" i="1"/>
  <c r="F2865" i="1"/>
  <c r="G2865" i="1"/>
  <c r="I2865" i="1"/>
  <c r="A2866" i="1"/>
  <c r="F2866" i="1"/>
  <c r="G2866" i="1"/>
  <c r="I2866" i="1"/>
  <c r="A2867" i="1"/>
  <c r="F2867" i="1"/>
  <c r="G2867" i="1"/>
  <c r="I2867" i="1"/>
  <c r="A2868" i="1"/>
  <c r="F2868" i="1"/>
  <c r="G2868" i="1"/>
  <c r="I2868" i="1"/>
  <c r="A2869" i="1"/>
  <c r="F2869" i="1"/>
  <c r="G2869" i="1"/>
  <c r="I2869" i="1"/>
  <c r="A2870" i="1"/>
  <c r="F2870" i="1"/>
  <c r="G2870" i="1"/>
  <c r="I2870" i="1"/>
  <c r="A2871" i="1"/>
  <c r="F2871" i="1"/>
  <c r="G2871" i="1"/>
  <c r="I2871" i="1"/>
  <c r="A2872" i="1"/>
  <c r="F2872" i="1"/>
  <c r="G2872" i="1"/>
  <c r="I2872" i="1"/>
  <c r="A2873" i="1"/>
  <c r="F2873" i="1"/>
  <c r="G2873" i="1"/>
  <c r="I2873" i="1"/>
  <c r="A2874" i="1"/>
  <c r="F2874" i="1"/>
  <c r="G2874" i="1"/>
  <c r="I2874" i="1"/>
  <c r="A2875" i="1"/>
  <c r="F2875" i="1"/>
  <c r="G2875" i="1"/>
  <c r="I2875" i="1"/>
  <c r="A2876" i="1"/>
  <c r="F2876" i="1"/>
  <c r="G2876" i="1"/>
  <c r="I2876" i="1"/>
  <c r="A2877" i="1"/>
  <c r="F2877" i="1"/>
  <c r="G2877" i="1"/>
  <c r="I2877" i="1"/>
  <c r="A2878" i="1"/>
  <c r="F2878" i="1"/>
  <c r="G2878" i="1"/>
  <c r="I2878" i="1"/>
  <c r="A2879" i="1"/>
  <c r="F2879" i="1"/>
  <c r="G2879" i="1"/>
  <c r="I2879" i="1"/>
  <c r="A2880" i="1"/>
  <c r="F2880" i="1"/>
  <c r="G2880" i="1"/>
  <c r="I2880" i="1"/>
  <c r="A2881" i="1"/>
  <c r="F2881" i="1"/>
  <c r="G2881" i="1"/>
  <c r="I2881" i="1"/>
  <c r="A2882" i="1"/>
  <c r="F2882" i="1"/>
  <c r="G2882" i="1"/>
  <c r="I2882" i="1"/>
  <c r="A2883" i="1"/>
  <c r="F2883" i="1"/>
  <c r="G2883" i="1"/>
  <c r="I2883" i="1"/>
  <c r="A2884" i="1"/>
  <c r="F2884" i="1"/>
  <c r="G2884" i="1"/>
  <c r="I2884" i="1"/>
  <c r="A2885" i="1"/>
  <c r="F2885" i="1"/>
  <c r="G2885" i="1"/>
  <c r="I2885" i="1"/>
  <c r="A2886" i="1"/>
  <c r="F2886" i="1"/>
  <c r="G2886" i="1"/>
  <c r="I2886" i="1"/>
  <c r="A2887" i="1"/>
  <c r="F2887" i="1"/>
  <c r="G2887" i="1"/>
  <c r="I2887" i="1"/>
  <c r="A2888" i="1"/>
  <c r="F2888" i="1"/>
  <c r="G2888" i="1"/>
  <c r="I2888" i="1"/>
  <c r="A2889" i="1"/>
  <c r="F2889" i="1"/>
  <c r="G2889" i="1"/>
  <c r="I2889" i="1"/>
  <c r="A2890" i="1"/>
  <c r="F2890" i="1"/>
  <c r="G2890" i="1"/>
  <c r="I2890" i="1"/>
  <c r="A2891" i="1"/>
  <c r="F2891" i="1"/>
  <c r="G2891" i="1"/>
  <c r="I2891" i="1"/>
  <c r="A2892" i="1"/>
  <c r="F2892" i="1"/>
  <c r="G2892" i="1"/>
  <c r="I2892" i="1"/>
  <c r="A2893" i="1"/>
  <c r="F2893" i="1"/>
  <c r="G2893" i="1"/>
  <c r="I2893" i="1"/>
  <c r="A2894" i="1"/>
  <c r="F2894" i="1"/>
  <c r="G2894" i="1"/>
  <c r="I2894" i="1"/>
  <c r="A2895" i="1"/>
  <c r="F2895" i="1"/>
  <c r="G2895" i="1"/>
  <c r="I2895" i="1"/>
  <c r="A2896" i="1"/>
  <c r="F2896" i="1"/>
  <c r="G2896" i="1"/>
  <c r="I2896" i="1"/>
  <c r="A2897" i="1"/>
  <c r="F2897" i="1"/>
  <c r="G2897" i="1"/>
  <c r="I2897" i="1"/>
  <c r="A2898" i="1"/>
  <c r="F2898" i="1"/>
  <c r="G2898" i="1"/>
  <c r="I2898" i="1"/>
  <c r="A2899" i="1"/>
  <c r="F2899" i="1"/>
  <c r="G2899" i="1"/>
  <c r="I2899" i="1"/>
  <c r="A2900" i="1"/>
  <c r="F2900" i="1"/>
  <c r="G2900" i="1"/>
  <c r="I2900" i="1"/>
  <c r="A2901" i="1"/>
  <c r="F2901" i="1"/>
  <c r="G2901" i="1"/>
  <c r="I2901" i="1"/>
  <c r="A2902" i="1"/>
  <c r="F2902" i="1"/>
  <c r="G2902" i="1"/>
  <c r="I2902" i="1"/>
  <c r="A2903" i="1"/>
  <c r="F2903" i="1"/>
  <c r="G2903" i="1"/>
  <c r="I2903" i="1"/>
  <c r="A2904" i="1"/>
  <c r="F2904" i="1"/>
  <c r="G2904" i="1"/>
  <c r="I2904" i="1"/>
  <c r="A2905" i="1"/>
  <c r="F2905" i="1"/>
  <c r="G2905" i="1"/>
  <c r="I2905" i="1"/>
  <c r="A2906" i="1"/>
  <c r="F2906" i="1"/>
  <c r="G2906" i="1"/>
  <c r="I2906" i="1"/>
  <c r="A2907" i="1"/>
  <c r="F2907" i="1"/>
  <c r="G2907" i="1"/>
  <c r="I2907" i="1"/>
  <c r="A2908" i="1"/>
  <c r="F2908" i="1"/>
  <c r="G2908" i="1"/>
  <c r="I2908" i="1"/>
  <c r="A2909" i="1"/>
  <c r="F2909" i="1"/>
  <c r="G2909" i="1"/>
  <c r="I2909" i="1"/>
  <c r="A2910" i="1"/>
  <c r="F2910" i="1"/>
  <c r="G2910" i="1"/>
  <c r="I2910" i="1"/>
  <c r="A2911" i="1"/>
  <c r="F2911" i="1"/>
  <c r="G2911" i="1"/>
  <c r="I2911" i="1"/>
  <c r="A2912" i="1"/>
  <c r="F2912" i="1"/>
  <c r="G2912" i="1"/>
  <c r="I2912" i="1"/>
  <c r="A2913" i="1"/>
  <c r="F2913" i="1"/>
  <c r="G2913" i="1"/>
  <c r="I2913" i="1"/>
  <c r="A2914" i="1"/>
  <c r="F2914" i="1"/>
  <c r="G2914" i="1"/>
  <c r="I2914" i="1"/>
  <c r="A2915" i="1"/>
  <c r="F2915" i="1"/>
  <c r="G2915" i="1"/>
  <c r="I2915" i="1"/>
  <c r="A2916" i="1"/>
  <c r="F2916" i="1"/>
  <c r="G2916" i="1"/>
  <c r="I2916" i="1"/>
  <c r="A2917" i="1"/>
  <c r="F2917" i="1"/>
  <c r="G2917" i="1"/>
  <c r="I2917" i="1"/>
  <c r="A2918" i="1"/>
  <c r="F2918" i="1"/>
  <c r="G2918" i="1"/>
  <c r="I2918" i="1"/>
  <c r="A2919" i="1"/>
  <c r="F2919" i="1"/>
  <c r="G2919" i="1"/>
  <c r="I2919" i="1"/>
  <c r="A2920" i="1"/>
  <c r="F2920" i="1"/>
  <c r="G2920" i="1"/>
  <c r="I2920" i="1"/>
  <c r="A2921" i="1"/>
  <c r="F2921" i="1"/>
  <c r="G2921" i="1"/>
  <c r="I2921" i="1"/>
  <c r="A2922" i="1"/>
  <c r="F2922" i="1"/>
  <c r="G2922" i="1"/>
  <c r="I2922" i="1"/>
  <c r="A2923" i="1"/>
  <c r="F2923" i="1"/>
  <c r="G2923" i="1"/>
  <c r="I2923" i="1"/>
  <c r="A2924" i="1"/>
  <c r="F2924" i="1"/>
  <c r="G2924" i="1"/>
  <c r="I2924" i="1"/>
  <c r="A2925" i="1"/>
  <c r="F2925" i="1"/>
  <c r="G2925" i="1"/>
  <c r="I2925" i="1"/>
  <c r="A2926" i="1"/>
  <c r="F2926" i="1"/>
  <c r="G2926" i="1"/>
  <c r="I2926" i="1"/>
  <c r="A2927" i="1"/>
  <c r="F2927" i="1"/>
  <c r="G2927" i="1"/>
  <c r="I2927" i="1"/>
  <c r="A2928" i="1"/>
  <c r="F2928" i="1"/>
  <c r="G2928" i="1"/>
  <c r="I2928" i="1"/>
  <c r="A2929" i="1"/>
  <c r="F2929" i="1"/>
  <c r="G2929" i="1"/>
  <c r="I2929" i="1"/>
  <c r="A2930" i="1"/>
  <c r="F2930" i="1"/>
  <c r="G2930" i="1"/>
  <c r="I2930" i="1"/>
  <c r="A2931" i="1"/>
  <c r="F2931" i="1"/>
  <c r="G2931" i="1"/>
  <c r="I2931" i="1"/>
  <c r="A2932" i="1"/>
  <c r="F2932" i="1"/>
  <c r="G2932" i="1"/>
  <c r="I2932" i="1"/>
  <c r="A2933" i="1"/>
  <c r="F2933" i="1"/>
  <c r="G2933" i="1"/>
  <c r="I2933" i="1"/>
  <c r="A2934" i="1"/>
  <c r="F2934" i="1"/>
  <c r="G2934" i="1"/>
  <c r="I2934" i="1"/>
  <c r="A2935" i="1"/>
  <c r="F2935" i="1"/>
  <c r="G2935" i="1"/>
  <c r="I2935" i="1"/>
  <c r="A2936" i="1"/>
  <c r="F2936" i="1"/>
  <c r="G2936" i="1"/>
  <c r="I2936" i="1"/>
  <c r="A2937" i="1"/>
  <c r="F2937" i="1"/>
  <c r="G2937" i="1"/>
  <c r="I2937" i="1"/>
  <c r="A2938" i="1"/>
  <c r="F2938" i="1"/>
  <c r="G2938" i="1"/>
  <c r="I2938" i="1"/>
  <c r="A2939" i="1"/>
  <c r="F2939" i="1"/>
  <c r="G2939" i="1"/>
  <c r="I2939" i="1"/>
  <c r="A2940" i="1"/>
  <c r="F2940" i="1"/>
  <c r="G2940" i="1"/>
  <c r="I2940" i="1"/>
  <c r="A2941" i="1"/>
  <c r="F2941" i="1"/>
  <c r="G2941" i="1"/>
  <c r="I2941" i="1"/>
  <c r="A2942" i="1"/>
  <c r="F2942" i="1"/>
  <c r="G2942" i="1"/>
  <c r="I2942" i="1"/>
  <c r="A2943" i="1"/>
  <c r="F2943" i="1"/>
  <c r="G2943" i="1"/>
  <c r="I2943" i="1"/>
  <c r="A2944" i="1"/>
  <c r="F2944" i="1"/>
  <c r="G2944" i="1"/>
  <c r="I2944" i="1"/>
  <c r="A2945" i="1"/>
  <c r="F2945" i="1"/>
  <c r="G2945" i="1"/>
  <c r="I2945" i="1"/>
  <c r="A2946" i="1"/>
  <c r="F2946" i="1"/>
  <c r="G2946" i="1"/>
  <c r="I2946" i="1"/>
  <c r="A2947" i="1"/>
  <c r="F2947" i="1"/>
  <c r="G2947" i="1"/>
  <c r="I2947" i="1"/>
  <c r="A2948" i="1"/>
  <c r="F2948" i="1"/>
  <c r="G2948" i="1"/>
  <c r="I2948" i="1"/>
  <c r="A2949" i="1"/>
  <c r="F2949" i="1"/>
  <c r="G2949" i="1"/>
  <c r="I2949" i="1"/>
  <c r="A2950" i="1"/>
  <c r="F2950" i="1"/>
  <c r="G2950" i="1"/>
  <c r="I2950" i="1"/>
  <c r="A2951" i="1"/>
  <c r="F2951" i="1"/>
  <c r="G2951" i="1"/>
  <c r="I2951" i="1"/>
  <c r="A2952" i="1"/>
  <c r="F2952" i="1"/>
  <c r="G2952" i="1"/>
  <c r="I2952" i="1"/>
  <c r="A2953" i="1"/>
  <c r="F2953" i="1"/>
  <c r="G2953" i="1"/>
  <c r="I2953" i="1"/>
  <c r="A2954" i="1"/>
  <c r="F2954" i="1"/>
  <c r="G2954" i="1"/>
  <c r="I2954" i="1"/>
  <c r="A2955" i="1"/>
  <c r="F2955" i="1"/>
  <c r="G2955" i="1"/>
  <c r="I2955" i="1"/>
  <c r="A2956" i="1"/>
  <c r="F2956" i="1"/>
  <c r="G2956" i="1"/>
  <c r="I2956" i="1"/>
  <c r="A2957" i="1"/>
  <c r="F2957" i="1"/>
  <c r="G2957" i="1"/>
  <c r="I2957" i="1"/>
  <c r="A2958" i="1"/>
  <c r="F2958" i="1"/>
  <c r="G2958" i="1"/>
  <c r="I2958" i="1"/>
  <c r="A2959" i="1"/>
  <c r="F2959" i="1"/>
  <c r="G2959" i="1"/>
  <c r="I2959" i="1"/>
  <c r="A2960" i="1"/>
  <c r="F2960" i="1"/>
  <c r="G2960" i="1"/>
  <c r="I2960" i="1"/>
  <c r="A2961" i="1"/>
  <c r="F2961" i="1"/>
  <c r="G2961" i="1"/>
  <c r="I2961" i="1"/>
  <c r="A2962" i="1"/>
  <c r="F2962" i="1"/>
  <c r="G2962" i="1"/>
  <c r="I2962" i="1"/>
  <c r="A2963" i="1"/>
  <c r="F2963" i="1"/>
  <c r="G2963" i="1"/>
  <c r="I2963" i="1"/>
  <c r="A2964" i="1"/>
  <c r="F2964" i="1"/>
  <c r="G2964" i="1"/>
  <c r="I2964" i="1"/>
  <c r="A2965" i="1"/>
  <c r="F2965" i="1"/>
  <c r="G2965" i="1"/>
  <c r="I2965" i="1"/>
  <c r="A2966" i="1"/>
  <c r="F2966" i="1"/>
  <c r="G2966" i="1"/>
  <c r="I2966" i="1"/>
  <c r="A2967" i="1"/>
  <c r="F2967" i="1"/>
  <c r="G2967" i="1"/>
  <c r="I2967" i="1"/>
  <c r="A2968" i="1"/>
  <c r="F2968" i="1"/>
  <c r="G2968" i="1"/>
  <c r="I2968" i="1"/>
  <c r="A2969" i="1"/>
  <c r="F2969" i="1"/>
  <c r="G2969" i="1"/>
  <c r="I2969" i="1"/>
  <c r="A2970" i="1"/>
  <c r="F2970" i="1"/>
  <c r="G2970" i="1"/>
  <c r="I2970" i="1"/>
  <c r="A2971" i="1"/>
  <c r="F2971" i="1"/>
  <c r="G2971" i="1"/>
  <c r="I2971" i="1"/>
  <c r="A2972" i="1"/>
  <c r="F2972" i="1"/>
  <c r="G2972" i="1"/>
  <c r="I2972" i="1"/>
  <c r="A2973" i="1"/>
  <c r="F2973" i="1"/>
  <c r="G2973" i="1"/>
  <c r="I2973" i="1"/>
  <c r="A2974" i="1"/>
  <c r="F2974" i="1"/>
  <c r="G2974" i="1"/>
  <c r="I2974" i="1"/>
  <c r="A2975" i="1"/>
  <c r="F2975" i="1"/>
  <c r="G2975" i="1"/>
  <c r="I2975" i="1"/>
  <c r="A2976" i="1"/>
  <c r="F2976" i="1"/>
  <c r="G2976" i="1"/>
  <c r="I2976" i="1"/>
  <c r="A2977" i="1"/>
  <c r="F2977" i="1"/>
  <c r="G2977" i="1"/>
  <c r="I2977" i="1"/>
  <c r="A2978" i="1"/>
  <c r="F2978" i="1"/>
  <c r="G2978" i="1"/>
  <c r="I2978" i="1"/>
  <c r="A2979" i="1"/>
  <c r="F2979" i="1"/>
  <c r="G2979" i="1"/>
  <c r="I2979" i="1"/>
  <c r="A2980" i="1"/>
  <c r="F2980" i="1"/>
  <c r="G2980" i="1"/>
  <c r="I2980" i="1"/>
  <c r="A2981" i="1"/>
  <c r="F2981" i="1"/>
  <c r="G2981" i="1"/>
  <c r="I2981" i="1"/>
  <c r="A2982" i="1"/>
  <c r="F2982" i="1"/>
  <c r="G2982" i="1"/>
  <c r="I2982" i="1"/>
  <c r="A2983" i="1"/>
  <c r="F2983" i="1"/>
  <c r="G2983" i="1"/>
  <c r="I2983" i="1"/>
  <c r="A2984" i="1"/>
  <c r="F2984" i="1"/>
  <c r="G2984" i="1"/>
  <c r="I2984" i="1"/>
  <c r="A2985" i="1"/>
  <c r="F2985" i="1"/>
  <c r="G2985" i="1"/>
  <c r="I2985" i="1"/>
  <c r="A2986" i="1"/>
  <c r="F2986" i="1"/>
  <c r="G2986" i="1"/>
  <c r="I2986" i="1"/>
  <c r="A2987" i="1"/>
  <c r="F2987" i="1"/>
  <c r="G2987" i="1"/>
  <c r="I2987" i="1"/>
  <c r="A2988" i="1"/>
  <c r="F2988" i="1"/>
  <c r="G2988" i="1"/>
  <c r="I2988" i="1"/>
  <c r="A2989" i="1"/>
  <c r="F2989" i="1"/>
  <c r="G2989" i="1"/>
  <c r="I2989" i="1"/>
  <c r="A2990" i="1"/>
  <c r="F2990" i="1"/>
  <c r="G2990" i="1"/>
  <c r="I2990" i="1"/>
  <c r="A2991" i="1"/>
  <c r="F2991" i="1"/>
  <c r="G2991" i="1"/>
  <c r="I2991" i="1"/>
  <c r="A2992" i="1"/>
  <c r="F2992" i="1"/>
  <c r="G2992" i="1"/>
  <c r="I2992" i="1"/>
  <c r="A2993" i="1"/>
  <c r="F2993" i="1"/>
  <c r="G2993" i="1"/>
  <c r="I2993" i="1"/>
  <c r="A2994" i="1"/>
  <c r="F2994" i="1"/>
  <c r="G2994" i="1"/>
  <c r="I2994" i="1"/>
  <c r="A2995" i="1"/>
  <c r="F2995" i="1"/>
  <c r="G2995" i="1"/>
  <c r="I2995" i="1"/>
  <c r="A2996" i="1"/>
  <c r="F2996" i="1"/>
  <c r="G2996" i="1"/>
  <c r="I2996" i="1"/>
  <c r="A2997" i="1"/>
  <c r="F2997" i="1"/>
  <c r="G2997" i="1"/>
  <c r="I2997" i="1"/>
  <c r="A2998" i="1"/>
  <c r="F2998" i="1"/>
  <c r="G2998" i="1"/>
  <c r="I2998" i="1"/>
  <c r="A2999" i="1"/>
  <c r="F2999" i="1"/>
  <c r="G2999" i="1"/>
  <c r="I2999" i="1"/>
  <c r="A3000" i="1"/>
  <c r="F3000" i="1"/>
  <c r="G3000" i="1"/>
  <c r="I3000" i="1"/>
  <c r="A3001" i="1"/>
  <c r="F3001" i="1"/>
  <c r="G3001" i="1"/>
  <c r="I3001" i="1"/>
  <c r="A3002" i="1"/>
  <c r="F3002" i="1"/>
  <c r="G3002" i="1"/>
  <c r="I3002" i="1"/>
  <c r="A3003" i="1"/>
  <c r="F3003" i="1"/>
  <c r="G3003" i="1"/>
  <c r="I3003" i="1"/>
  <c r="A3004" i="1"/>
  <c r="F3004" i="1"/>
  <c r="G3004" i="1"/>
  <c r="I3004" i="1"/>
  <c r="A3005" i="1"/>
  <c r="F3005" i="1"/>
  <c r="G3005" i="1"/>
  <c r="I3005" i="1"/>
  <c r="A3006" i="1"/>
  <c r="F3006" i="1"/>
  <c r="G3006" i="1"/>
  <c r="I3006" i="1"/>
  <c r="A3007" i="1"/>
  <c r="F3007" i="1"/>
  <c r="G3007" i="1"/>
  <c r="I3007" i="1"/>
  <c r="A3008" i="1"/>
  <c r="F3008" i="1"/>
  <c r="G3008" i="1"/>
  <c r="I3008" i="1"/>
  <c r="A3009" i="1"/>
  <c r="F3009" i="1"/>
  <c r="G3009" i="1"/>
  <c r="I3009" i="1"/>
  <c r="A3010" i="1"/>
  <c r="F3010" i="1"/>
  <c r="G3010" i="1"/>
  <c r="I3010" i="1"/>
  <c r="A3011" i="1"/>
  <c r="F3011" i="1"/>
  <c r="G3011" i="1"/>
  <c r="I3011" i="1"/>
  <c r="A3012" i="1"/>
  <c r="F3012" i="1"/>
  <c r="G3012" i="1"/>
  <c r="I3012" i="1"/>
  <c r="A3013" i="1"/>
  <c r="F3013" i="1"/>
  <c r="G3013" i="1"/>
  <c r="I3013" i="1"/>
  <c r="A3014" i="1"/>
  <c r="F3014" i="1"/>
  <c r="G3014" i="1"/>
  <c r="I3014" i="1"/>
  <c r="A3015" i="1"/>
  <c r="F3015" i="1"/>
  <c r="G3015" i="1"/>
  <c r="I3015" i="1"/>
  <c r="A3016" i="1"/>
  <c r="F3016" i="1"/>
  <c r="G3016" i="1"/>
  <c r="I3016" i="1"/>
  <c r="A3017" i="1"/>
  <c r="F3017" i="1"/>
  <c r="G3017" i="1"/>
  <c r="I3017" i="1"/>
  <c r="A3018" i="1"/>
  <c r="F3018" i="1"/>
  <c r="G3018" i="1"/>
  <c r="I3018" i="1"/>
  <c r="A3019" i="1"/>
  <c r="F3019" i="1"/>
  <c r="G3019" i="1"/>
  <c r="I3019" i="1"/>
  <c r="A3020" i="1"/>
  <c r="F3020" i="1"/>
  <c r="G3020" i="1"/>
  <c r="I3020" i="1"/>
  <c r="A3021" i="1"/>
  <c r="F3021" i="1"/>
  <c r="G3021" i="1"/>
  <c r="I3021" i="1"/>
  <c r="A3022" i="1"/>
  <c r="F3022" i="1"/>
  <c r="G3022" i="1"/>
  <c r="I3022" i="1"/>
  <c r="A3023" i="1"/>
  <c r="F3023" i="1"/>
  <c r="G3023" i="1"/>
  <c r="I3023" i="1"/>
  <c r="A3024" i="1"/>
  <c r="F3024" i="1"/>
  <c r="G3024" i="1"/>
  <c r="I3024" i="1"/>
  <c r="A3025" i="1"/>
  <c r="F3025" i="1"/>
  <c r="G3025" i="1"/>
  <c r="I3025" i="1"/>
  <c r="A3026" i="1"/>
  <c r="F3026" i="1"/>
  <c r="G3026" i="1"/>
  <c r="I3026" i="1"/>
  <c r="A3027" i="1"/>
  <c r="F3027" i="1"/>
  <c r="G3027" i="1"/>
  <c r="I3027" i="1"/>
  <c r="A3028" i="1"/>
  <c r="F3028" i="1"/>
  <c r="G3028" i="1"/>
  <c r="I3028" i="1"/>
  <c r="A3029" i="1"/>
  <c r="F3029" i="1"/>
  <c r="G3029" i="1"/>
  <c r="I3029" i="1"/>
  <c r="A3030" i="1"/>
  <c r="F3030" i="1"/>
  <c r="G3030" i="1"/>
  <c r="I3030" i="1"/>
  <c r="A3031" i="1"/>
  <c r="F3031" i="1"/>
  <c r="G3031" i="1"/>
  <c r="I3031" i="1"/>
  <c r="A3032" i="1"/>
  <c r="F3032" i="1"/>
  <c r="G3032" i="1"/>
  <c r="I3032" i="1"/>
  <c r="A3033" i="1"/>
  <c r="F3033" i="1"/>
  <c r="G3033" i="1"/>
  <c r="I3033" i="1"/>
  <c r="A3034" i="1"/>
  <c r="F3034" i="1"/>
  <c r="G3034" i="1"/>
  <c r="I3034" i="1"/>
  <c r="A3035" i="1"/>
  <c r="F3035" i="1"/>
  <c r="G3035" i="1"/>
  <c r="I3035" i="1"/>
  <c r="A3036" i="1"/>
  <c r="F3036" i="1"/>
  <c r="G3036" i="1"/>
  <c r="I3036" i="1"/>
  <c r="A3037" i="1"/>
  <c r="F3037" i="1"/>
  <c r="G3037" i="1"/>
  <c r="I3037" i="1"/>
  <c r="A3038" i="1"/>
  <c r="F3038" i="1"/>
  <c r="G3038" i="1"/>
  <c r="I3038" i="1"/>
  <c r="A3039" i="1"/>
  <c r="F3039" i="1"/>
  <c r="G3039" i="1"/>
  <c r="I3039" i="1"/>
  <c r="A3040" i="1"/>
  <c r="F3040" i="1"/>
  <c r="G3040" i="1"/>
  <c r="I3040" i="1"/>
  <c r="A3041" i="1"/>
  <c r="F3041" i="1"/>
  <c r="G3041" i="1"/>
  <c r="I3041" i="1"/>
  <c r="A3042" i="1"/>
  <c r="F3042" i="1"/>
  <c r="G3042" i="1"/>
  <c r="I3042" i="1"/>
  <c r="A3043" i="1"/>
  <c r="F3043" i="1"/>
  <c r="G3043" i="1"/>
  <c r="I3043" i="1"/>
  <c r="A3044" i="1"/>
  <c r="F3044" i="1"/>
  <c r="G3044" i="1"/>
  <c r="I3044" i="1"/>
  <c r="A3045" i="1"/>
  <c r="F3045" i="1"/>
  <c r="G3045" i="1"/>
  <c r="I3045" i="1"/>
  <c r="A3046" i="1"/>
  <c r="F3046" i="1"/>
  <c r="G3046" i="1"/>
  <c r="I3046" i="1"/>
  <c r="A3047" i="1"/>
  <c r="F3047" i="1"/>
  <c r="G3047" i="1"/>
  <c r="I3047" i="1"/>
  <c r="A3048" i="1"/>
  <c r="F3048" i="1"/>
  <c r="G3048" i="1"/>
  <c r="I3048" i="1"/>
  <c r="A3049" i="1"/>
  <c r="F3049" i="1"/>
  <c r="G3049" i="1"/>
  <c r="I3049" i="1"/>
  <c r="A3050" i="1"/>
  <c r="F3050" i="1"/>
  <c r="G3050" i="1"/>
  <c r="I3050" i="1"/>
  <c r="A3051" i="1"/>
  <c r="F3051" i="1"/>
  <c r="G3051" i="1"/>
  <c r="I3051" i="1"/>
  <c r="A3052" i="1"/>
  <c r="F3052" i="1"/>
  <c r="G3052" i="1"/>
  <c r="I3052" i="1"/>
  <c r="A3053" i="1"/>
  <c r="F3053" i="1"/>
  <c r="G3053" i="1"/>
  <c r="I3053" i="1"/>
  <c r="A3054" i="1"/>
  <c r="F3054" i="1"/>
  <c r="G3054" i="1"/>
  <c r="I3054" i="1"/>
  <c r="A3055" i="1"/>
  <c r="F3055" i="1"/>
  <c r="G3055" i="1"/>
  <c r="I3055" i="1"/>
  <c r="A3056" i="1"/>
  <c r="F3056" i="1"/>
  <c r="G3056" i="1"/>
  <c r="I3056" i="1"/>
  <c r="A3057" i="1"/>
  <c r="F3057" i="1"/>
  <c r="G3057" i="1"/>
  <c r="I3057" i="1"/>
  <c r="A3058" i="1"/>
  <c r="F3058" i="1"/>
  <c r="G3058" i="1"/>
  <c r="I3058" i="1"/>
  <c r="A3059" i="1"/>
  <c r="F3059" i="1"/>
  <c r="G3059" i="1"/>
  <c r="I3059" i="1"/>
  <c r="A3060" i="1"/>
  <c r="F3060" i="1"/>
  <c r="G3060" i="1"/>
  <c r="I3060" i="1"/>
  <c r="A3061" i="1"/>
  <c r="F3061" i="1"/>
  <c r="G3061" i="1"/>
  <c r="I3061" i="1"/>
  <c r="A3062" i="1"/>
  <c r="F3062" i="1"/>
  <c r="G3062" i="1"/>
  <c r="I3062" i="1"/>
  <c r="A3063" i="1"/>
  <c r="F3063" i="1"/>
  <c r="G3063" i="1"/>
  <c r="I3063" i="1"/>
  <c r="A3064" i="1"/>
  <c r="F3064" i="1"/>
  <c r="G3064" i="1"/>
  <c r="I3064" i="1"/>
  <c r="A3065" i="1"/>
  <c r="F3065" i="1"/>
  <c r="G3065" i="1"/>
  <c r="I3065" i="1"/>
  <c r="A3066" i="1"/>
  <c r="F3066" i="1"/>
  <c r="G3066" i="1"/>
  <c r="I3066" i="1"/>
  <c r="A3067" i="1"/>
  <c r="F3067" i="1"/>
  <c r="G3067" i="1"/>
  <c r="I3067" i="1"/>
  <c r="A3068" i="1"/>
  <c r="F3068" i="1"/>
  <c r="G3068" i="1"/>
  <c r="I3068" i="1"/>
  <c r="A3069" i="1"/>
  <c r="F3069" i="1"/>
  <c r="G3069" i="1"/>
  <c r="I3069" i="1"/>
  <c r="A3070" i="1"/>
  <c r="F3070" i="1"/>
  <c r="G3070" i="1"/>
  <c r="I3070" i="1"/>
  <c r="A3071" i="1"/>
  <c r="F3071" i="1"/>
  <c r="G3071" i="1"/>
  <c r="I3071" i="1"/>
  <c r="A3072" i="1"/>
  <c r="F3072" i="1"/>
  <c r="G3072" i="1"/>
  <c r="I3072" i="1"/>
  <c r="A3073" i="1"/>
  <c r="F3073" i="1"/>
  <c r="G3073" i="1"/>
  <c r="I3073" i="1"/>
  <c r="A3074" i="1"/>
  <c r="F3074" i="1"/>
  <c r="G3074" i="1"/>
  <c r="I3074" i="1"/>
  <c r="A3075" i="1"/>
  <c r="F3075" i="1"/>
  <c r="G3075" i="1"/>
  <c r="I3075" i="1"/>
  <c r="A3076" i="1"/>
  <c r="F3076" i="1"/>
  <c r="G3076" i="1"/>
  <c r="I3076" i="1"/>
  <c r="A3077" i="1"/>
  <c r="F3077" i="1"/>
  <c r="G3077" i="1"/>
  <c r="I3077" i="1"/>
  <c r="A3078" i="1"/>
  <c r="F3078" i="1"/>
  <c r="G3078" i="1"/>
  <c r="I3078" i="1"/>
  <c r="A3079" i="1"/>
  <c r="F3079" i="1"/>
  <c r="G3079" i="1"/>
  <c r="I3079" i="1"/>
  <c r="A3080" i="1"/>
  <c r="F3080" i="1"/>
  <c r="G3080" i="1"/>
  <c r="I3080" i="1"/>
  <c r="A3081" i="1"/>
  <c r="F3081" i="1"/>
  <c r="G3081" i="1"/>
  <c r="I3081" i="1"/>
  <c r="A3082" i="1"/>
  <c r="F3082" i="1"/>
  <c r="G3082" i="1"/>
  <c r="I3082" i="1"/>
  <c r="A3083" i="1"/>
  <c r="F3083" i="1"/>
  <c r="G3083" i="1"/>
  <c r="I3083" i="1"/>
  <c r="A3084" i="1"/>
  <c r="F3084" i="1"/>
  <c r="G3084" i="1"/>
  <c r="I3084" i="1"/>
  <c r="A3085" i="1"/>
  <c r="F3085" i="1"/>
  <c r="G3085" i="1"/>
  <c r="I3085" i="1"/>
  <c r="A3086" i="1"/>
  <c r="F3086" i="1"/>
  <c r="G3086" i="1"/>
  <c r="I3086" i="1"/>
  <c r="A3087" i="1"/>
  <c r="F3087" i="1"/>
  <c r="G3087" i="1"/>
  <c r="I3087" i="1"/>
  <c r="A3088" i="1"/>
  <c r="F3088" i="1"/>
  <c r="G3088" i="1"/>
  <c r="I3088" i="1"/>
  <c r="A3089" i="1"/>
  <c r="F3089" i="1"/>
  <c r="G3089" i="1"/>
  <c r="I3089" i="1"/>
  <c r="A3090" i="1"/>
  <c r="F3090" i="1"/>
  <c r="G3090" i="1"/>
  <c r="I3090" i="1"/>
  <c r="A3091" i="1"/>
  <c r="F3091" i="1"/>
  <c r="G3091" i="1"/>
  <c r="I3091" i="1"/>
  <c r="A3092" i="1"/>
  <c r="F3092" i="1"/>
  <c r="G3092" i="1"/>
  <c r="I3092" i="1"/>
  <c r="A3093" i="1"/>
  <c r="F3093" i="1"/>
  <c r="G3093" i="1"/>
  <c r="I3093" i="1"/>
  <c r="A3094" i="1"/>
  <c r="F3094" i="1"/>
  <c r="G3094" i="1"/>
  <c r="I3094" i="1"/>
  <c r="A3095" i="1"/>
  <c r="F3095" i="1"/>
  <c r="G3095" i="1"/>
  <c r="I3095" i="1"/>
  <c r="A3096" i="1"/>
  <c r="F3096" i="1"/>
  <c r="G3096" i="1"/>
  <c r="I3096" i="1"/>
  <c r="A3097" i="1"/>
  <c r="F3097" i="1"/>
  <c r="G3097" i="1"/>
  <c r="I3097" i="1"/>
  <c r="A3098" i="1"/>
  <c r="F3098" i="1"/>
  <c r="G3098" i="1"/>
  <c r="I3098" i="1"/>
  <c r="A3099" i="1"/>
  <c r="F3099" i="1"/>
  <c r="G3099" i="1"/>
  <c r="I3099" i="1"/>
  <c r="A3100" i="1"/>
  <c r="F3100" i="1"/>
  <c r="G3100" i="1"/>
  <c r="I3100" i="1"/>
  <c r="A3101" i="1"/>
  <c r="F3101" i="1"/>
  <c r="G3101" i="1"/>
  <c r="I3101" i="1"/>
  <c r="A3102" i="1"/>
  <c r="F3102" i="1"/>
  <c r="G3102" i="1"/>
  <c r="I3102" i="1"/>
  <c r="A3103" i="1"/>
  <c r="F3103" i="1"/>
  <c r="G3103" i="1"/>
  <c r="I3103" i="1"/>
  <c r="A3104" i="1"/>
  <c r="F3104" i="1"/>
  <c r="G3104" i="1"/>
  <c r="I3104" i="1"/>
  <c r="A3105" i="1"/>
  <c r="F3105" i="1"/>
  <c r="G3105" i="1"/>
  <c r="I3105" i="1"/>
  <c r="A3106" i="1"/>
  <c r="F3106" i="1"/>
  <c r="G3106" i="1"/>
  <c r="I3106" i="1"/>
  <c r="A3107" i="1"/>
  <c r="F3107" i="1"/>
  <c r="G3107" i="1"/>
  <c r="I3107" i="1"/>
  <c r="A3108" i="1"/>
  <c r="F3108" i="1"/>
  <c r="G3108" i="1"/>
  <c r="I3108" i="1"/>
  <c r="A3109" i="1"/>
  <c r="F3109" i="1"/>
  <c r="G3109" i="1"/>
  <c r="I3109" i="1"/>
  <c r="A3110" i="1"/>
  <c r="F3110" i="1"/>
  <c r="G3110" i="1"/>
  <c r="I3110" i="1"/>
  <c r="A3111" i="1"/>
  <c r="F3111" i="1"/>
  <c r="G3111" i="1"/>
  <c r="I3111" i="1"/>
  <c r="A3112" i="1"/>
  <c r="F3112" i="1"/>
  <c r="G3112" i="1"/>
  <c r="I3112" i="1"/>
  <c r="A3113" i="1"/>
  <c r="F3113" i="1"/>
  <c r="G3113" i="1"/>
  <c r="I3113" i="1"/>
  <c r="A3114" i="1"/>
  <c r="F3114" i="1"/>
  <c r="G3114" i="1"/>
  <c r="I3114" i="1"/>
  <c r="A3115" i="1"/>
  <c r="F3115" i="1"/>
  <c r="G3115" i="1"/>
  <c r="I3115" i="1"/>
  <c r="A3116" i="1"/>
  <c r="F3116" i="1"/>
  <c r="G3116" i="1"/>
  <c r="I3116" i="1"/>
  <c r="A3117" i="1"/>
  <c r="F3117" i="1"/>
  <c r="G3117" i="1"/>
  <c r="I3117" i="1"/>
  <c r="A3118" i="1"/>
  <c r="F3118" i="1"/>
  <c r="G3118" i="1"/>
  <c r="I3118" i="1"/>
  <c r="A3119" i="1"/>
  <c r="F3119" i="1"/>
  <c r="G3119" i="1"/>
  <c r="I3119" i="1"/>
  <c r="A3120" i="1"/>
  <c r="F3120" i="1"/>
  <c r="G3120" i="1"/>
  <c r="I3120" i="1"/>
  <c r="A3121" i="1"/>
  <c r="F3121" i="1"/>
  <c r="G3121" i="1"/>
  <c r="I3121" i="1"/>
  <c r="A3122" i="1"/>
  <c r="F3122" i="1"/>
  <c r="G3122" i="1"/>
  <c r="I3122" i="1"/>
  <c r="A3123" i="1"/>
  <c r="F3123" i="1"/>
  <c r="G3123" i="1"/>
  <c r="I3123" i="1"/>
  <c r="A3124" i="1"/>
  <c r="F3124" i="1"/>
  <c r="G3124" i="1"/>
  <c r="I3124" i="1"/>
  <c r="A3125" i="1"/>
  <c r="F3125" i="1"/>
  <c r="G3125" i="1"/>
  <c r="I3125" i="1"/>
  <c r="A3126" i="1"/>
  <c r="F3126" i="1"/>
  <c r="G3126" i="1"/>
  <c r="I3126" i="1"/>
  <c r="A3127" i="1"/>
  <c r="F3127" i="1"/>
  <c r="G3127" i="1"/>
  <c r="I3127" i="1"/>
  <c r="A3128" i="1"/>
  <c r="F3128" i="1"/>
  <c r="G3128" i="1"/>
  <c r="I3128" i="1"/>
  <c r="A3129" i="1"/>
  <c r="F3129" i="1"/>
  <c r="G3129" i="1"/>
  <c r="I3129" i="1"/>
  <c r="A3130" i="1"/>
  <c r="F3130" i="1"/>
  <c r="G3130" i="1"/>
  <c r="I3130" i="1"/>
  <c r="A3131" i="1"/>
  <c r="F3131" i="1"/>
  <c r="G3131" i="1"/>
  <c r="I3131" i="1"/>
  <c r="A3132" i="1"/>
  <c r="F3132" i="1"/>
  <c r="G3132" i="1"/>
  <c r="I3132" i="1"/>
  <c r="A3133" i="1"/>
  <c r="F3133" i="1"/>
  <c r="G3133" i="1"/>
  <c r="I3133" i="1"/>
  <c r="A3134" i="1"/>
  <c r="F3134" i="1"/>
  <c r="G3134" i="1"/>
  <c r="I3134" i="1"/>
  <c r="A3135" i="1"/>
  <c r="F3135" i="1"/>
  <c r="G3135" i="1"/>
  <c r="I3135" i="1"/>
  <c r="A3136" i="1"/>
  <c r="F3136" i="1"/>
  <c r="G3136" i="1"/>
  <c r="I3136" i="1"/>
  <c r="A3137" i="1"/>
  <c r="F3137" i="1"/>
  <c r="G3137" i="1"/>
  <c r="I3137" i="1"/>
  <c r="A3138" i="1"/>
  <c r="F3138" i="1"/>
  <c r="G3138" i="1"/>
  <c r="I3138" i="1"/>
  <c r="A3139" i="1"/>
  <c r="F3139" i="1"/>
  <c r="G3139" i="1"/>
  <c r="I3139" i="1"/>
  <c r="A3140" i="1"/>
  <c r="F3140" i="1"/>
  <c r="G3140" i="1"/>
  <c r="I3140" i="1"/>
  <c r="A3141" i="1"/>
  <c r="F3141" i="1"/>
  <c r="G3141" i="1"/>
  <c r="I3141" i="1"/>
  <c r="A3142" i="1"/>
  <c r="F3142" i="1"/>
  <c r="G3142" i="1"/>
  <c r="I3142" i="1"/>
  <c r="A3143" i="1"/>
  <c r="F3143" i="1"/>
  <c r="G3143" i="1"/>
  <c r="I3143" i="1"/>
  <c r="A3144" i="1"/>
  <c r="F3144" i="1"/>
  <c r="G3144" i="1"/>
  <c r="I3144" i="1"/>
  <c r="A3145" i="1"/>
  <c r="F3145" i="1"/>
  <c r="G3145" i="1"/>
  <c r="I3145" i="1"/>
  <c r="A3146" i="1"/>
  <c r="F3146" i="1"/>
  <c r="G3146" i="1"/>
  <c r="I3146" i="1"/>
  <c r="A3147" i="1"/>
  <c r="F3147" i="1"/>
  <c r="G3147" i="1"/>
  <c r="I3147" i="1"/>
  <c r="A3148" i="1"/>
  <c r="F3148" i="1"/>
  <c r="G3148" i="1"/>
  <c r="I3148" i="1"/>
  <c r="A3149" i="1"/>
  <c r="F3149" i="1"/>
  <c r="G3149" i="1"/>
  <c r="I3149" i="1"/>
  <c r="A3150" i="1"/>
  <c r="F3150" i="1"/>
  <c r="G3150" i="1"/>
  <c r="I3150" i="1"/>
  <c r="A3151" i="1"/>
  <c r="F3151" i="1"/>
  <c r="G3151" i="1"/>
  <c r="I3151" i="1"/>
  <c r="A3152" i="1"/>
  <c r="F3152" i="1"/>
  <c r="G3152" i="1"/>
  <c r="I3152" i="1"/>
  <c r="A3153" i="1"/>
  <c r="F3153" i="1"/>
  <c r="G3153" i="1"/>
  <c r="I3153" i="1"/>
  <c r="A3154" i="1"/>
  <c r="F3154" i="1"/>
  <c r="G3154" i="1"/>
  <c r="I3154" i="1"/>
  <c r="A3155" i="1"/>
  <c r="F3155" i="1"/>
  <c r="G3155" i="1"/>
  <c r="I3155" i="1"/>
  <c r="A3156" i="1"/>
  <c r="F3156" i="1"/>
  <c r="G3156" i="1"/>
  <c r="I3156" i="1"/>
  <c r="A3157" i="1"/>
  <c r="F3157" i="1"/>
  <c r="G3157" i="1"/>
  <c r="I3157" i="1"/>
  <c r="A3158" i="1"/>
  <c r="F3158" i="1"/>
  <c r="G3158" i="1"/>
  <c r="I3158" i="1"/>
  <c r="A3159" i="1"/>
  <c r="F3159" i="1"/>
  <c r="G3159" i="1"/>
  <c r="I3159" i="1"/>
  <c r="A3160" i="1"/>
  <c r="F3160" i="1"/>
  <c r="G3160" i="1"/>
  <c r="I3160" i="1"/>
  <c r="A3161" i="1"/>
  <c r="F3161" i="1"/>
  <c r="G3161" i="1"/>
  <c r="I3161" i="1"/>
  <c r="A3162" i="1"/>
  <c r="F3162" i="1"/>
  <c r="G3162" i="1"/>
  <c r="I3162" i="1"/>
  <c r="A3163" i="1"/>
  <c r="F3163" i="1"/>
  <c r="G3163" i="1"/>
  <c r="I3163" i="1"/>
  <c r="A3164" i="1"/>
  <c r="F3164" i="1"/>
  <c r="G3164" i="1"/>
  <c r="I3164" i="1"/>
  <c r="A3165" i="1"/>
  <c r="F3165" i="1"/>
  <c r="G3165" i="1"/>
  <c r="I3165" i="1"/>
  <c r="A3166" i="1"/>
  <c r="F3166" i="1"/>
  <c r="G3166" i="1"/>
  <c r="I3166" i="1"/>
  <c r="A3167" i="1"/>
  <c r="F3167" i="1"/>
  <c r="G3167" i="1"/>
  <c r="I3167" i="1"/>
  <c r="A3168" i="1"/>
  <c r="F3168" i="1"/>
  <c r="G3168" i="1"/>
  <c r="I3168" i="1"/>
  <c r="A3169" i="1"/>
  <c r="F3169" i="1"/>
  <c r="G3169" i="1"/>
  <c r="I3169" i="1"/>
  <c r="A3170" i="1"/>
  <c r="F3170" i="1"/>
  <c r="G3170" i="1"/>
  <c r="I3170" i="1"/>
  <c r="A3171" i="1"/>
  <c r="F3171" i="1"/>
  <c r="G3171" i="1"/>
  <c r="I3171" i="1"/>
  <c r="A3172" i="1"/>
  <c r="F3172" i="1"/>
  <c r="G3172" i="1"/>
  <c r="I3172" i="1"/>
  <c r="A3173" i="1"/>
  <c r="F3173" i="1"/>
  <c r="G3173" i="1"/>
  <c r="I3173" i="1"/>
  <c r="A3174" i="1"/>
  <c r="F3174" i="1"/>
  <c r="G3174" i="1"/>
  <c r="I3174" i="1"/>
  <c r="A3175" i="1"/>
  <c r="F3175" i="1"/>
  <c r="G3175" i="1"/>
  <c r="I3175" i="1"/>
  <c r="A3176" i="1"/>
  <c r="F3176" i="1"/>
  <c r="G3176" i="1"/>
  <c r="I3176" i="1"/>
  <c r="A3177" i="1"/>
  <c r="F3177" i="1"/>
  <c r="G3177" i="1"/>
  <c r="I3177" i="1"/>
  <c r="A3178" i="1"/>
  <c r="F3178" i="1"/>
  <c r="G3178" i="1"/>
  <c r="I3178" i="1"/>
  <c r="A3179" i="1"/>
  <c r="F3179" i="1"/>
  <c r="G3179" i="1"/>
  <c r="I3179" i="1"/>
  <c r="A3180" i="1"/>
  <c r="F3180" i="1"/>
  <c r="G3180" i="1"/>
  <c r="I3180" i="1"/>
  <c r="A3181" i="1"/>
  <c r="F3181" i="1"/>
  <c r="G3181" i="1"/>
  <c r="I3181" i="1"/>
  <c r="A3182" i="1"/>
  <c r="F3182" i="1"/>
  <c r="G3182" i="1"/>
  <c r="I3182" i="1"/>
  <c r="A3183" i="1"/>
  <c r="F3183" i="1"/>
  <c r="G3183" i="1"/>
  <c r="I3183" i="1"/>
  <c r="A3184" i="1"/>
  <c r="F3184" i="1"/>
  <c r="G3184" i="1"/>
  <c r="I3184" i="1"/>
  <c r="A3185" i="1"/>
  <c r="F3185" i="1"/>
  <c r="G3185" i="1"/>
  <c r="I3185" i="1"/>
  <c r="A3186" i="1"/>
  <c r="F3186" i="1"/>
  <c r="G3186" i="1"/>
  <c r="I3186" i="1"/>
  <c r="A3187" i="1"/>
  <c r="F3187" i="1"/>
  <c r="G3187" i="1"/>
  <c r="I3187" i="1"/>
  <c r="A3188" i="1"/>
  <c r="F3188" i="1"/>
  <c r="G3188" i="1"/>
  <c r="I3188" i="1"/>
  <c r="A3189" i="1"/>
  <c r="F3189" i="1"/>
  <c r="G3189" i="1"/>
  <c r="I3189" i="1"/>
  <c r="A3190" i="1"/>
  <c r="F3190" i="1"/>
  <c r="G3190" i="1"/>
  <c r="I3190" i="1"/>
  <c r="A3191" i="1"/>
  <c r="F3191" i="1"/>
  <c r="G3191" i="1"/>
  <c r="I3191" i="1"/>
  <c r="A3192" i="1"/>
  <c r="F3192" i="1"/>
  <c r="G3192" i="1"/>
  <c r="I3192" i="1"/>
  <c r="A3193" i="1"/>
  <c r="F3193" i="1"/>
  <c r="G3193" i="1"/>
  <c r="I3193" i="1"/>
  <c r="A3194" i="1"/>
  <c r="F3194" i="1"/>
  <c r="G3194" i="1"/>
  <c r="I3194" i="1"/>
  <c r="A3195" i="1"/>
  <c r="F3195" i="1"/>
  <c r="G3195" i="1"/>
  <c r="I3195" i="1"/>
  <c r="A3196" i="1"/>
  <c r="F3196" i="1"/>
  <c r="G3196" i="1"/>
  <c r="I3196" i="1"/>
  <c r="A3197" i="1"/>
  <c r="F3197" i="1"/>
  <c r="G3197" i="1"/>
  <c r="I3197" i="1"/>
  <c r="A3198" i="1"/>
  <c r="F3198" i="1"/>
  <c r="G3198" i="1"/>
  <c r="I3198" i="1"/>
  <c r="A3199" i="1"/>
  <c r="F3199" i="1"/>
  <c r="G3199" i="1"/>
  <c r="I3199" i="1"/>
  <c r="A3200" i="1"/>
  <c r="F3200" i="1"/>
  <c r="G3200" i="1"/>
  <c r="I3200" i="1"/>
  <c r="A3201" i="1"/>
  <c r="F3201" i="1"/>
  <c r="G3201" i="1"/>
  <c r="I3201" i="1"/>
  <c r="A3202" i="1"/>
  <c r="F3202" i="1"/>
  <c r="G3202" i="1"/>
  <c r="I3202" i="1"/>
  <c r="A3203" i="1"/>
  <c r="F3203" i="1"/>
  <c r="G3203" i="1"/>
  <c r="I3203" i="1"/>
  <c r="A3204" i="1"/>
  <c r="F3204" i="1"/>
  <c r="G3204" i="1"/>
  <c r="I3204" i="1"/>
  <c r="A3205" i="1"/>
  <c r="F3205" i="1"/>
  <c r="G3205" i="1"/>
  <c r="I3205" i="1"/>
  <c r="A3206" i="1"/>
  <c r="F3206" i="1"/>
  <c r="G3206" i="1"/>
  <c r="I3206" i="1"/>
  <c r="A3207" i="1"/>
  <c r="F3207" i="1"/>
  <c r="G3207" i="1"/>
  <c r="I3207" i="1"/>
  <c r="A3208" i="1"/>
  <c r="F3208" i="1"/>
  <c r="G3208" i="1"/>
  <c r="I3208" i="1"/>
  <c r="A3209" i="1"/>
  <c r="F3209" i="1"/>
  <c r="G3209" i="1"/>
  <c r="I3209" i="1"/>
  <c r="A3210" i="1"/>
  <c r="F3210" i="1"/>
  <c r="G3210" i="1"/>
  <c r="I3210" i="1"/>
  <c r="A3211" i="1"/>
  <c r="F3211" i="1"/>
  <c r="G3211" i="1"/>
  <c r="I3211" i="1"/>
  <c r="A3212" i="1"/>
  <c r="F3212" i="1"/>
  <c r="G3212" i="1"/>
  <c r="I3212" i="1"/>
  <c r="A3213" i="1"/>
  <c r="F3213" i="1"/>
  <c r="G3213" i="1"/>
  <c r="I3213" i="1"/>
  <c r="A3214" i="1"/>
  <c r="F3214" i="1"/>
  <c r="G3214" i="1"/>
  <c r="I3214" i="1"/>
  <c r="A3215" i="1"/>
  <c r="F3215" i="1"/>
  <c r="G3215" i="1"/>
  <c r="I3215" i="1"/>
  <c r="A3216" i="1"/>
  <c r="F3216" i="1"/>
  <c r="G3216" i="1"/>
  <c r="I3216" i="1"/>
  <c r="A3217" i="1"/>
  <c r="F3217" i="1"/>
  <c r="G3217" i="1"/>
  <c r="I3217" i="1"/>
  <c r="A3218" i="1"/>
  <c r="F3218" i="1"/>
  <c r="G3218" i="1"/>
  <c r="I3218" i="1"/>
  <c r="A3219" i="1"/>
  <c r="F3219" i="1"/>
  <c r="G3219" i="1"/>
  <c r="I3219" i="1"/>
  <c r="A3220" i="1"/>
  <c r="F3220" i="1"/>
  <c r="G3220" i="1"/>
  <c r="I3220" i="1"/>
  <c r="A3221" i="1"/>
  <c r="F3221" i="1"/>
  <c r="G3221" i="1"/>
  <c r="I3221" i="1"/>
  <c r="A3222" i="1"/>
  <c r="F3222" i="1"/>
  <c r="G3222" i="1"/>
  <c r="I3222" i="1"/>
  <c r="A3223" i="1"/>
  <c r="F3223" i="1"/>
  <c r="G3223" i="1"/>
  <c r="I3223" i="1"/>
  <c r="A3224" i="1"/>
  <c r="F3224" i="1"/>
  <c r="G3224" i="1"/>
  <c r="I3224" i="1"/>
  <c r="A3225" i="1"/>
  <c r="F3225" i="1"/>
  <c r="G3225" i="1"/>
  <c r="I3225" i="1"/>
  <c r="A3226" i="1"/>
  <c r="F3226" i="1"/>
  <c r="G3226" i="1"/>
  <c r="I3226" i="1"/>
  <c r="A3227" i="1"/>
  <c r="F3227" i="1"/>
  <c r="G3227" i="1"/>
  <c r="I3227" i="1"/>
  <c r="A3228" i="1"/>
  <c r="F3228" i="1"/>
  <c r="G3228" i="1"/>
  <c r="I3228" i="1"/>
  <c r="A3229" i="1"/>
  <c r="F3229" i="1"/>
  <c r="G3229" i="1"/>
  <c r="I3229" i="1"/>
  <c r="A3230" i="1"/>
  <c r="F3230" i="1"/>
  <c r="G3230" i="1"/>
  <c r="I3230" i="1"/>
  <c r="A3231" i="1"/>
  <c r="F3231" i="1"/>
  <c r="G3231" i="1"/>
  <c r="I3231" i="1"/>
  <c r="A3232" i="1"/>
  <c r="F3232" i="1"/>
  <c r="G3232" i="1"/>
  <c r="I3232" i="1"/>
  <c r="A3233" i="1"/>
  <c r="F3233" i="1"/>
  <c r="G3233" i="1"/>
  <c r="I3233" i="1"/>
  <c r="A3234" i="1"/>
  <c r="F3234" i="1"/>
  <c r="G3234" i="1"/>
  <c r="I3234" i="1"/>
  <c r="A3235" i="1"/>
  <c r="F3235" i="1"/>
  <c r="G3235" i="1"/>
  <c r="I3235" i="1"/>
  <c r="A3236" i="1"/>
  <c r="F3236" i="1"/>
  <c r="G3236" i="1"/>
  <c r="I3236" i="1"/>
  <c r="A3237" i="1"/>
  <c r="F3237" i="1"/>
  <c r="G3237" i="1"/>
  <c r="I3237" i="1"/>
  <c r="A3238" i="1"/>
  <c r="F3238" i="1"/>
  <c r="G3238" i="1"/>
  <c r="I3238" i="1"/>
  <c r="A3239" i="1"/>
  <c r="F3239" i="1"/>
  <c r="G3239" i="1"/>
  <c r="I3239" i="1"/>
  <c r="A3240" i="1"/>
  <c r="F3240" i="1"/>
  <c r="G3240" i="1"/>
  <c r="I3240" i="1"/>
  <c r="A3241" i="1"/>
  <c r="F3241" i="1"/>
  <c r="G3241" i="1"/>
  <c r="I3241" i="1"/>
  <c r="A3242" i="1"/>
  <c r="F3242" i="1"/>
  <c r="G3242" i="1"/>
  <c r="I3242" i="1"/>
  <c r="A3243" i="1"/>
  <c r="F3243" i="1"/>
  <c r="G3243" i="1"/>
  <c r="I3243" i="1"/>
  <c r="A3244" i="1"/>
  <c r="F3244" i="1"/>
  <c r="G3244" i="1"/>
  <c r="I3244" i="1"/>
  <c r="A3245" i="1"/>
  <c r="F3245" i="1"/>
  <c r="G3245" i="1"/>
  <c r="I3245" i="1"/>
  <c r="A3246" i="1"/>
  <c r="F3246" i="1"/>
  <c r="G3246" i="1"/>
  <c r="I3246" i="1"/>
  <c r="A3247" i="1"/>
  <c r="F3247" i="1"/>
  <c r="G3247" i="1"/>
  <c r="I3247" i="1"/>
  <c r="A3248" i="1"/>
  <c r="F3248" i="1"/>
  <c r="G3248" i="1"/>
  <c r="I3248" i="1"/>
  <c r="A3249" i="1"/>
  <c r="F3249" i="1"/>
  <c r="G3249" i="1"/>
  <c r="I3249" i="1"/>
  <c r="A3250" i="1"/>
  <c r="F3250" i="1"/>
  <c r="G3250" i="1"/>
  <c r="I3250" i="1"/>
  <c r="A3251" i="1"/>
  <c r="F3251" i="1"/>
  <c r="G3251" i="1"/>
  <c r="I3251" i="1"/>
  <c r="A3252" i="1"/>
  <c r="F3252" i="1"/>
  <c r="G3252" i="1"/>
  <c r="I3252" i="1"/>
  <c r="A3253" i="1"/>
  <c r="F3253" i="1"/>
  <c r="G3253" i="1"/>
  <c r="I3253" i="1"/>
  <c r="A3254" i="1"/>
  <c r="F3254" i="1"/>
  <c r="G3254" i="1"/>
  <c r="I3254" i="1"/>
  <c r="A3255" i="1"/>
  <c r="F3255" i="1"/>
  <c r="G3255" i="1"/>
  <c r="I3255" i="1"/>
  <c r="A3256" i="1"/>
  <c r="F3256" i="1"/>
  <c r="G3256" i="1"/>
  <c r="I3256" i="1"/>
  <c r="A3257" i="1"/>
  <c r="F3257" i="1"/>
  <c r="G3257" i="1"/>
  <c r="I3257" i="1"/>
  <c r="A3258" i="1"/>
  <c r="F3258" i="1"/>
  <c r="G3258" i="1"/>
  <c r="I3258" i="1"/>
  <c r="A3259" i="1"/>
  <c r="F3259" i="1"/>
  <c r="G3259" i="1"/>
  <c r="I3259" i="1"/>
  <c r="A3260" i="1"/>
  <c r="F3260" i="1"/>
  <c r="G3260" i="1"/>
  <c r="I3260" i="1"/>
  <c r="A3261" i="1"/>
  <c r="F3261" i="1"/>
  <c r="G3261" i="1"/>
  <c r="I3261" i="1"/>
  <c r="A3262" i="1"/>
  <c r="F3262" i="1"/>
  <c r="G3262" i="1"/>
  <c r="I3262" i="1"/>
  <c r="A3263" i="1"/>
  <c r="F3263" i="1"/>
  <c r="G3263" i="1"/>
  <c r="I3263" i="1"/>
  <c r="A3264" i="1"/>
  <c r="F3264" i="1"/>
  <c r="G3264" i="1"/>
  <c r="I3264" i="1"/>
  <c r="A3265" i="1"/>
  <c r="F3265" i="1"/>
  <c r="G3265" i="1"/>
  <c r="I3265" i="1"/>
  <c r="A3266" i="1"/>
  <c r="F3266" i="1"/>
  <c r="G3266" i="1"/>
  <c r="I3266" i="1"/>
  <c r="A3267" i="1"/>
  <c r="F3267" i="1"/>
  <c r="G3267" i="1"/>
  <c r="I3267" i="1"/>
  <c r="A3268" i="1"/>
  <c r="F3268" i="1"/>
  <c r="G3268" i="1"/>
  <c r="I3268" i="1"/>
  <c r="A3269" i="1"/>
  <c r="F3269" i="1"/>
  <c r="G3269" i="1"/>
  <c r="I3269" i="1"/>
  <c r="A3270" i="1"/>
  <c r="F3270" i="1"/>
  <c r="G3270" i="1"/>
  <c r="I3270" i="1"/>
  <c r="A3271" i="1"/>
  <c r="F3271" i="1"/>
  <c r="G3271" i="1"/>
  <c r="I3271" i="1"/>
  <c r="A3272" i="1"/>
  <c r="F3272" i="1"/>
  <c r="G3272" i="1"/>
  <c r="I3272" i="1"/>
  <c r="A3273" i="1"/>
  <c r="F3273" i="1"/>
  <c r="G3273" i="1"/>
  <c r="I3273" i="1"/>
  <c r="A3274" i="1"/>
  <c r="F3274" i="1"/>
  <c r="G3274" i="1"/>
  <c r="I3274" i="1"/>
  <c r="A3275" i="1"/>
  <c r="F3275" i="1"/>
  <c r="G3275" i="1"/>
  <c r="I3275" i="1"/>
  <c r="A3276" i="1"/>
  <c r="F3276" i="1"/>
  <c r="G3276" i="1"/>
  <c r="I3276" i="1"/>
  <c r="A3277" i="1"/>
  <c r="F3277" i="1"/>
  <c r="G3277" i="1"/>
  <c r="I3277" i="1"/>
  <c r="A3278" i="1"/>
  <c r="F3278" i="1"/>
  <c r="G3278" i="1"/>
  <c r="I3278" i="1"/>
  <c r="A3279" i="1"/>
  <c r="F3279" i="1"/>
  <c r="G3279" i="1"/>
  <c r="I3279" i="1"/>
  <c r="A3280" i="1"/>
  <c r="F3280" i="1"/>
  <c r="G3280" i="1"/>
  <c r="I3280" i="1"/>
  <c r="A3281" i="1"/>
  <c r="F3281" i="1"/>
  <c r="G3281" i="1"/>
  <c r="I3281" i="1"/>
  <c r="A3282" i="1"/>
  <c r="F3282" i="1"/>
  <c r="G3282" i="1"/>
  <c r="I3282" i="1"/>
  <c r="A3283" i="1"/>
  <c r="F3283" i="1"/>
  <c r="G3283" i="1"/>
  <c r="I3283" i="1"/>
  <c r="A3284" i="1"/>
  <c r="F3284" i="1"/>
  <c r="G3284" i="1"/>
  <c r="I3284" i="1"/>
  <c r="A3285" i="1"/>
  <c r="F3285" i="1"/>
  <c r="G3285" i="1"/>
  <c r="I3285" i="1"/>
  <c r="A3286" i="1"/>
  <c r="F3286" i="1"/>
  <c r="G3286" i="1"/>
  <c r="I3286" i="1"/>
  <c r="A3287" i="1"/>
  <c r="F3287" i="1"/>
  <c r="G3287" i="1"/>
  <c r="I3287" i="1"/>
  <c r="A3288" i="1"/>
  <c r="F3288" i="1"/>
  <c r="G3288" i="1"/>
  <c r="I3288" i="1"/>
  <c r="A3289" i="1"/>
  <c r="F3289" i="1"/>
  <c r="G3289" i="1"/>
  <c r="I3289" i="1"/>
  <c r="A3290" i="1"/>
  <c r="F3290" i="1"/>
  <c r="G3290" i="1"/>
  <c r="I3290" i="1"/>
  <c r="A3291" i="1"/>
  <c r="F3291" i="1"/>
  <c r="G3291" i="1"/>
  <c r="I3291" i="1"/>
  <c r="A3292" i="1"/>
  <c r="F3292" i="1"/>
  <c r="G3292" i="1"/>
  <c r="I3292" i="1"/>
  <c r="A3293" i="1"/>
  <c r="F3293" i="1"/>
  <c r="G3293" i="1"/>
  <c r="I3293" i="1"/>
  <c r="A3294" i="1"/>
  <c r="F3294" i="1"/>
  <c r="G3294" i="1"/>
  <c r="I3294" i="1"/>
  <c r="A3295" i="1"/>
  <c r="F3295" i="1"/>
  <c r="G3295" i="1"/>
  <c r="I3295" i="1"/>
  <c r="A3296" i="1"/>
  <c r="F3296" i="1"/>
  <c r="G3296" i="1"/>
  <c r="I3296" i="1"/>
  <c r="A3297" i="1"/>
  <c r="F3297" i="1"/>
  <c r="G3297" i="1"/>
  <c r="I3297" i="1"/>
  <c r="A3298" i="1"/>
  <c r="F3298" i="1"/>
  <c r="G3298" i="1"/>
  <c r="I3298" i="1"/>
  <c r="A3299" i="1"/>
  <c r="F3299" i="1"/>
  <c r="G3299" i="1"/>
  <c r="I3299" i="1"/>
  <c r="A3300" i="1"/>
  <c r="F3300" i="1"/>
  <c r="G3300" i="1"/>
  <c r="I3300" i="1"/>
  <c r="A3301" i="1"/>
  <c r="F3301" i="1"/>
  <c r="G3301" i="1"/>
  <c r="I3301" i="1"/>
  <c r="A3302" i="1"/>
  <c r="F3302" i="1"/>
  <c r="G3302" i="1"/>
  <c r="I3302" i="1"/>
  <c r="A3303" i="1"/>
  <c r="F3303" i="1"/>
  <c r="G3303" i="1"/>
  <c r="I3303" i="1"/>
  <c r="A3304" i="1"/>
  <c r="F3304" i="1"/>
  <c r="G3304" i="1"/>
  <c r="I3304" i="1"/>
  <c r="A3305" i="1"/>
  <c r="F3305" i="1"/>
  <c r="G3305" i="1"/>
  <c r="I3305" i="1"/>
  <c r="A3306" i="1"/>
  <c r="F3306" i="1"/>
  <c r="G3306" i="1"/>
  <c r="I3306" i="1"/>
  <c r="A3307" i="1"/>
  <c r="F3307" i="1"/>
  <c r="G3307" i="1"/>
  <c r="I3307" i="1"/>
  <c r="A3308" i="1"/>
  <c r="F3308" i="1"/>
  <c r="G3308" i="1"/>
  <c r="I3308" i="1"/>
  <c r="A3309" i="1"/>
  <c r="F3309" i="1"/>
  <c r="G3309" i="1"/>
  <c r="I3309" i="1"/>
  <c r="A3310" i="1"/>
  <c r="F3310" i="1"/>
  <c r="G3310" i="1"/>
  <c r="I3310" i="1"/>
  <c r="A3311" i="1"/>
  <c r="F3311" i="1"/>
  <c r="G3311" i="1"/>
  <c r="I3311" i="1"/>
  <c r="A3312" i="1"/>
  <c r="F3312" i="1"/>
  <c r="G3312" i="1"/>
  <c r="I3312" i="1"/>
  <c r="A3313" i="1"/>
  <c r="F3313" i="1"/>
  <c r="G3313" i="1"/>
  <c r="I3313" i="1"/>
  <c r="A3314" i="1"/>
  <c r="F3314" i="1"/>
  <c r="G3314" i="1"/>
  <c r="I3314" i="1"/>
  <c r="A3315" i="1"/>
  <c r="F3315" i="1"/>
  <c r="G3315" i="1"/>
  <c r="I3315" i="1"/>
  <c r="A3316" i="1"/>
  <c r="F3316" i="1"/>
  <c r="G3316" i="1"/>
  <c r="I3316" i="1"/>
  <c r="A3317" i="1"/>
  <c r="F3317" i="1"/>
  <c r="G3317" i="1"/>
  <c r="I3317" i="1"/>
  <c r="A3318" i="1"/>
  <c r="F3318" i="1"/>
  <c r="G3318" i="1"/>
  <c r="I3318" i="1"/>
  <c r="A3319" i="1"/>
  <c r="F3319" i="1"/>
  <c r="G3319" i="1"/>
  <c r="I3319" i="1"/>
  <c r="A3320" i="1"/>
  <c r="F3320" i="1"/>
  <c r="G3320" i="1"/>
  <c r="I3320" i="1"/>
  <c r="A3321" i="1"/>
  <c r="F3321" i="1"/>
  <c r="G3321" i="1"/>
  <c r="I3321" i="1"/>
  <c r="A3322" i="1"/>
  <c r="F3322" i="1"/>
  <c r="G3322" i="1"/>
  <c r="I3322" i="1"/>
  <c r="A3323" i="1"/>
  <c r="F3323" i="1"/>
  <c r="G3323" i="1"/>
  <c r="I3323" i="1"/>
  <c r="A3324" i="1"/>
  <c r="F3324" i="1"/>
  <c r="G3324" i="1"/>
  <c r="I3324" i="1"/>
  <c r="A3325" i="1"/>
  <c r="F3325" i="1"/>
  <c r="G3325" i="1"/>
  <c r="I3325" i="1"/>
  <c r="A3326" i="1"/>
  <c r="F3326" i="1"/>
  <c r="G3326" i="1"/>
  <c r="I3326" i="1"/>
  <c r="A3327" i="1"/>
  <c r="F3327" i="1"/>
  <c r="G3327" i="1"/>
  <c r="I3327" i="1"/>
  <c r="A3328" i="1"/>
  <c r="F3328" i="1"/>
  <c r="G3328" i="1"/>
  <c r="I3328" i="1"/>
  <c r="A3329" i="1"/>
  <c r="F3329" i="1"/>
  <c r="G3329" i="1"/>
  <c r="I3329" i="1"/>
  <c r="A3330" i="1"/>
  <c r="F3330" i="1"/>
  <c r="G3330" i="1"/>
  <c r="I3330" i="1"/>
  <c r="A3331" i="1"/>
  <c r="F3331" i="1"/>
  <c r="G3331" i="1"/>
  <c r="I3331" i="1"/>
  <c r="A3332" i="1"/>
  <c r="F3332" i="1"/>
  <c r="G3332" i="1"/>
  <c r="I3332" i="1"/>
  <c r="A3333" i="1"/>
  <c r="F3333" i="1"/>
  <c r="G3333" i="1"/>
  <c r="I3333" i="1"/>
  <c r="A3334" i="1"/>
  <c r="F3334" i="1"/>
  <c r="G3334" i="1"/>
  <c r="I3334" i="1"/>
  <c r="A3335" i="1"/>
  <c r="F3335" i="1"/>
  <c r="G3335" i="1"/>
  <c r="I3335" i="1"/>
  <c r="A3336" i="1"/>
  <c r="F3336" i="1"/>
  <c r="G3336" i="1"/>
  <c r="I3336" i="1"/>
  <c r="A3337" i="1"/>
  <c r="F3337" i="1"/>
  <c r="G3337" i="1"/>
  <c r="I3337" i="1"/>
  <c r="A3338" i="1"/>
  <c r="F3338" i="1"/>
  <c r="G3338" i="1"/>
  <c r="I3338" i="1"/>
  <c r="A3339" i="1"/>
  <c r="F3339" i="1"/>
  <c r="G3339" i="1"/>
  <c r="I3339" i="1"/>
  <c r="A3340" i="1"/>
  <c r="F3340" i="1"/>
  <c r="G3340" i="1"/>
  <c r="I3340" i="1"/>
  <c r="A3341" i="1"/>
  <c r="F3341" i="1"/>
  <c r="G3341" i="1"/>
  <c r="I3341" i="1"/>
</calcChain>
</file>

<file path=xl/sharedStrings.xml><?xml version="1.0" encoding="utf-8"?>
<sst xmlns="http://schemas.openxmlformats.org/spreadsheetml/2006/main" count="770" uniqueCount="583">
  <si>
    <t xml:space="preserve">Vendor # </t>
  </si>
  <si>
    <t>Name</t>
  </si>
  <si>
    <t>Check #</t>
  </si>
  <si>
    <t>Check Amount</t>
  </si>
  <si>
    <t>Check Date</t>
  </si>
  <si>
    <t>Invoice ID</t>
  </si>
  <si>
    <t>Invoice Desc</t>
  </si>
  <si>
    <t>Invoice Payment</t>
  </si>
  <si>
    <t>GL Description</t>
  </si>
  <si>
    <t>CHRISTINA CANNON</t>
  </si>
  <si>
    <t>4IMPRINT  INC</t>
  </si>
  <si>
    <t>973 MATERIALS  LLC</t>
  </si>
  <si>
    <t>A PLUS BAIL BONDS</t>
  </si>
  <si>
    <t>ARNOLD OIL COMPANY OF AUSTIN LP</t>
  </si>
  <si>
    <t>A. DAVID AXELRAD  M.D. &amp; ASSOCIATES  P. A.</t>
  </si>
  <si>
    <t>TIMOTHY HALL</t>
  </si>
  <si>
    <t>AAA FIRE &amp; SAFETY EQUIP CO.  INC.</t>
  </si>
  <si>
    <t>ADAM ROWINS</t>
  </si>
  <si>
    <t>ADENA LEWIS</t>
  </si>
  <si>
    <t>MBR INC</t>
  </si>
  <si>
    <t>ALBERT NEAL PFEIFFER</t>
  </si>
  <si>
    <t>ALBERT STERLING &amp; ASSOC.</t>
  </si>
  <si>
    <t>ALEJANDRO RODRIGUEZ</t>
  </si>
  <si>
    <t>ALLIED INSURANCE</t>
  </si>
  <si>
    <t>="15</t>
  </si>
  <si>
    <t>835  03/05/18"</t>
  </si>
  <si>
    <t>AMAZON CAPITAL SERVICES INC</t>
  </si>
  <si>
    <t>AMC SOLUTIONS</t>
  </si>
  <si>
    <t>AMERICAN FASTENERS  INC.</t>
  </si>
  <si>
    <t>AMERICAN TIRE DISTRIBUTORS INC</t>
  </si>
  <si>
    <t>AMERISOURCEBERGEN</t>
  </si>
  <si>
    <t>AMG PRINTING &amp; MAILING  LLC</t>
  </si>
  <si>
    <t>ANDERSON &amp; ANDERSON LAW FIRM PC</t>
  </si>
  <si>
    <t>APRIL KUCK</t>
  </si>
  <si>
    <t>AQUA BEVERAGE COMPANY/OZARKA</t>
  </si>
  <si>
    <t>AQUA WATER SUPPLY CORPORATION</t>
  </si>
  <si>
    <t>ARA IMAGING / ST.DAVIDS IMAGING LP</t>
  </si>
  <si>
    <t>ARSENAL ADVERTISING LLC</t>
  </si>
  <si>
    <t>ASCO</t>
  </si>
  <si>
    <t>AT &amp; T</t>
  </si>
  <si>
    <t>AT&amp;T</t>
  </si>
  <si>
    <t>AT&amp;T MOBILITY</t>
  </si>
  <si>
    <t>AT&amp;T MOBILITY-W&amp;M</t>
  </si>
  <si>
    <t>MSZ HOLDINGS  LLC</t>
  </si>
  <si>
    <t>THE AUBAINE SUPPLY COMPANY  INC</t>
  </si>
  <si>
    <t>GRAND JUNCTION NEWSPAPERS INC</t>
  </si>
  <si>
    <t>AUSTIN ANESTHESIOLOGY GROUP</t>
  </si>
  <si>
    <t>MARK (MARCO) W. HANSON</t>
  </si>
  <si>
    <t>AUSTIN ENDOSCOPY CENTER  II LP</t>
  </si>
  <si>
    <t>AUSTIN GASTROENTERLOGY</t>
  </si>
  <si>
    <t>AUSTIN LLOYD</t>
  </si>
  <si>
    <t>AUSTIN RADIOLOGICAL ASSOC</t>
  </si>
  <si>
    <t>JIM ATTRA INC</t>
  </si>
  <si>
    <t>MICHAEL OLDHAM TIRE INC</t>
  </si>
  <si>
    <t>EDUARDO BARRIENTOS</t>
  </si>
  <si>
    <t>DEBORAH D. SPARKMAN</t>
  </si>
  <si>
    <t>BASTROP BAIL BONDS</t>
  </si>
  <si>
    <t>BASTROP COMMUNITY CARES</t>
  </si>
  <si>
    <t>BASTROP COUNTY SHERIFF'S DEPT</t>
  </si>
  <si>
    <t>="11</t>
  </si>
  <si>
    <t>227 REISSUE"</t>
  </si>
  <si>
    <t>BASTROP CO SHERIFF'S OFFICE FORFEITURE FUND</t>
  </si>
  <si>
    <t>DANIEL L HEPKER</t>
  </si>
  <si>
    <t>BASTROP ECONOMIC DEVELOPMENT CORP</t>
  </si>
  <si>
    <t>BASTROP MEDICAL CLINIC</t>
  </si>
  <si>
    <t>BASTROP OUTDOOR</t>
  </si>
  <si>
    <t>BASTROP POLICE DEPT</t>
  </si>
  <si>
    <t>BASTROP PROVIDENCE FUNERAL HOME</t>
  </si>
  <si>
    <t>BASTROP RETAIL PARTNERS LP</t>
  </si>
  <si>
    <t>BASTROP SIGNS &amp; BANNERS</t>
  </si>
  <si>
    <t>BASTROP TREE SERVICE  INC</t>
  </si>
  <si>
    <t>BASTROP VET. HOSPITAL  INC.</t>
  </si>
  <si>
    <t>DAVID H OUTON</t>
  </si>
  <si>
    <t>BEARD INTEGRATED SYSTEMS  INC.</t>
  </si>
  <si>
    <t>BEN E KEITH CO.</t>
  </si>
  <si>
    <t>MULTI SERVICE CORP</t>
  </si>
  <si>
    <t>BEXAR COUNTY SHERIFF</t>
  </si>
  <si>
    <t>BICKERSTAFF HEATH DELGADO ACOSTA LLP</t>
  </si>
  <si>
    <t>BIG WRENCH ROAD SERVICE INC</t>
  </si>
  <si>
    <t>BILL'S TRUCK &amp; TRAILER INC</t>
  </si>
  <si>
    <t>BIMBO FOODS INC</t>
  </si>
  <si>
    <t>BLAS J. COY  JR.</t>
  </si>
  <si>
    <t>BLUEBONNET AREA CRIME STOPPERS PROGRAM</t>
  </si>
  <si>
    <t>BLUEBONNET ELECTRIC</t>
  </si>
  <si>
    <t>915  03/07/18"</t>
  </si>
  <si>
    <t>BLUEBONNET ELECTRIC COOPERATIVE  INC.</t>
  </si>
  <si>
    <t>BOBBY BROWN</t>
  </si>
  <si>
    <t>BRAD ELLIS</t>
  </si>
  <si>
    <t>BRAMS &amp; ASSOCIATES  INC.</t>
  </si>
  <si>
    <t>BRANDI SNEED</t>
  </si>
  <si>
    <t>BRAUNTEX MATERIALS INC</t>
  </si>
  <si>
    <t>BRIDGETTE ESCOBEDO</t>
  </si>
  <si>
    <t>BRUSH2MULCH  LLC</t>
  </si>
  <si>
    <t>LAW OFFICE OF BRYAN W. MCDANIEL  P.C.</t>
  </si>
  <si>
    <t>BUCKEYE INTERNATIONAL INC</t>
  </si>
  <si>
    <t>BUREAU OF VITAL STATISTICS</t>
  </si>
  <si>
    <t>CAMCOR INC</t>
  </si>
  <si>
    <t>CAPITAL AREA COUNCIL OF GOVERNMENTS</t>
  </si>
  <si>
    <t>TIB-THE INDEPENDENT BANKERS BANK</t>
  </si>
  <si>
    <t>CAPITAL AREA RURAL TRANSPORATION SYSTEM</t>
  </si>
  <si>
    <t>CDW GOVERNMENT INC</t>
  </si>
  <si>
    <t>CENTERPOINT ENERGY</t>
  </si>
  <si>
    <t>CENTEX IMAGE DESIGNS</t>
  </si>
  <si>
    <t>CENTEX MATERIALS LLC</t>
  </si>
  <si>
    <t>CENTRAL TEXAS BARRICADES INC</t>
  </si>
  <si>
    <t>CENTRAL TEXAS AUTOPSY</t>
  </si>
  <si>
    <t>CHARM-TEX</t>
  </si>
  <si>
    <t>CHECK PLUS STORAGE  LLC</t>
  </si>
  <si>
    <t>CHERYL KIRKPATRICK</t>
  </si>
  <si>
    <t>CHRIS MATT DILLON</t>
  </si>
  <si>
    <t>CHRISTOPHER WOLF</t>
  </si>
  <si>
    <t>CIMA SOFTWARE CORP</t>
  </si>
  <si>
    <t>CINDYE WOLFORD</t>
  </si>
  <si>
    <t>CINTAS</t>
  </si>
  <si>
    <t>CINTAS CORPORATION</t>
  </si>
  <si>
    <t>CINTAS CORPORATION #86</t>
  </si>
  <si>
    <t>CITY OF BASTROP</t>
  </si>
  <si>
    <t>CITY OF SMITHVILLE</t>
  </si>
  <si>
    <t>CLERK SUPREME COURT</t>
  </si>
  <si>
    <t>CLIFFORD POWER SYSTEMS INC</t>
  </si>
  <si>
    <t>CLINICAL PATHOLOGY ASSOC. OF AUSTIN</t>
  </si>
  <si>
    <t>CLINICAL PATHOLOGY LABORATORIES INC</t>
  </si>
  <si>
    <t>MID-AMERICAN SUPPLY CO.</t>
  </si>
  <si>
    <t>COMAL COUNTY SHERIFF</t>
  </si>
  <si>
    <t>COMMERCIAL METALS COMPANY</t>
  </si>
  <si>
    <t>COMMUNITY COFFEE COMPANY LLC</t>
  </si>
  <si>
    <t>COMMUNITY HEALTH CENTERS</t>
  </si>
  <si>
    <t>CONNIE SCHROEDER</t>
  </si>
  <si>
    <t>="13</t>
  </si>
  <si>
    <t>651  03/14/18"</t>
  </si>
  <si>
    <t>CONOR BROWN</t>
  </si>
  <si>
    <t>CONTECH ENGINEERED SOLUTIONS INC</t>
  </si>
  <si>
    <t>DAVID CONTI</t>
  </si>
  <si>
    <t>CORRECTIONAL REHABILITATION SERVICE  LLC</t>
  </si>
  <si>
    <t>COTHRON SECURITY SOLUTIONS LLC</t>
  </si>
  <si>
    <t>COVERT CHEVROLET-OLDS</t>
  </si>
  <si>
    <t>CRESSIDA EVELYN KWOLEK  PH. D.</t>
  </si>
  <si>
    <t>DFW COMMUNICATIONS  INC.</t>
  </si>
  <si>
    <t>CRYSTAL DEAR</t>
  </si>
  <si>
    <t>MUNICIPAL SERVICES BUREAU</t>
  </si>
  <si>
    <t>CUNA MUTUAL</t>
  </si>
  <si>
    <t>CURTIS OLTMANN</t>
  </si>
  <si>
    <t>CUSTOM PRODUCTS CORPORATION</t>
  </si>
  <si>
    <t>DAHILL</t>
  </si>
  <si>
    <t>DAHILL INDUSTRIES  INC</t>
  </si>
  <si>
    <t>DALE L OLSON</t>
  </si>
  <si>
    <t>DALLAS COUNTY CONSTABLE PCT 1</t>
  </si>
  <si>
    <t>DAVID B BROOKS</t>
  </si>
  <si>
    <t>DAVID C. FOLKERS  M.D.</t>
  </si>
  <si>
    <t>DAVID M COLLINS</t>
  </si>
  <si>
    <t>DELL</t>
  </si>
  <si>
    <t>DENTRUST DENTAL TX PC</t>
  </si>
  <si>
    <t>DICKENS LOCKSMITH INC</t>
  </si>
  <si>
    <t>DIMMITT COUNTY SHERIFF</t>
  </si>
  <si>
    <t>559"</t>
  </si>
  <si>
    <t>DEPARTMENT OF INFORMATION RESOURCES</t>
  </si>
  <si>
    <t>DISCOUNT DOOR &amp; METAL  LLC</t>
  </si>
  <si>
    <t>DONNA J  THOMSON</t>
  </si>
  <si>
    <t>DONNIE STARK</t>
  </si>
  <si>
    <t>DOUBLE D INTERNATIONAL FOOD CO.  INC.</t>
  </si>
  <si>
    <t>DUNNE &amp; JUAREZ L.L.C.</t>
  </si>
  <si>
    <t>DURAN GRAVEL CO. INC</t>
  </si>
  <si>
    <t>EARTH DAY TEXAS  INC</t>
  </si>
  <si>
    <t>ECOLAB INC</t>
  </si>
  <si>
    <t>ELECTION SYSTEMS &amp; SOFTWARE INC</t>
  </si>
  <si>
    <t>ELGIN PUBLIC LIBRARY</t>
  </si>
  <si>
    <t>ELGIN REINVESTMENT ZONE # 1</t>
  </si>
  <si>
    <t>CITY OF ELGIN UTILITIES</t>
  </si>
  <si>
    <t>ELLIOTT ELECTRIC SUPPLY INC</t>
  </si>
  <si>
    <t>EMBASSY SUITES</t>
  </si>
  <si>
    <t>ENRIQUE PORTUGAL</t>
  </si>
  <si>
    <t>RICHARD MARK HANSEN</t>
  </si>
  <si>
    <t>ERGON ASPHALT &amp; EMULSIONS INC</t>
  </si>
  <si>
    <t>EWALD KUBOTA  INC.</t>
  </si>
  <si>
    <t>WILLIE FABILA III</t>
  </si>
  <si>
    <t>HERITAGE INN NUMBER XXVII</t>
  </si>
  <si>
    <t>BASTROP COUNTY WOMEN'S SHELTER</t>
  </si>
  <si>
    <t>FAMILY HEALTH CENTER OF BASTROP PLLC</t>
  </si>
  <si>
    <t>FAYETTE MEDICAL SUPPLY</t>
  </si>
  <si>
    <t>FEDERAL EXPRESS</t>
  </si>
  <si>
    <t>FERGUSON ENTERPRISES  INC.</t>
  </si>
  <si>
    <t>FIRST NATIONAL BANK BASTROP</t>
  </si>
  <si>
    <t>507  03/02/18"</t>
  </si>
  <si>
    <t>="14</t>
  </si>
  <si>
    <t>861  03/14/18"</t>
  </si>
  <si>
    <t>FLASHBACK DATA  LLC</t>
  </si>
  <si>
    <t>FLEET COR TECHNOLOGIES INC</t>
  </si>
  <si>
    <t>FLEETPRIDE</t>
  </si>
  <si>
    <t>FLO'S BAIL BONDS</t>
  </si>
  <si>
    <t>FOREMOST COUNTY MUTUAL INS CO</t>
  </si>
  <si>
    <t>347  3/29/18"</t>
  </si>
  <si>
    <t>FORREST L. SANDERSON</t>
  </si>
  <si>
    <t>FPC FINANCIAL f.s.b.</t>
  </si>
  <si>
    <t>FRANCISCO SALDANA</t>
  </si>
  <si>
    <t>AUSTIN TRUCK &amp; EQUIPMENT  LTD</t>
  </si>
  <si>
    <t>EUGENE W BRIGGS JR</t>
  </si>
  <si>
    <t>G &amp; K SERVICES</t>
  </si>
  <si>
    <t>GARLAND T MURLEY</t>
  </si>
  <si>
    <t>GARY L SNOWDEN</t>
  </si>
  <si>
    <t>BRIDGESTONE AMERICAS INC</t>
  </si>
  <si>
    <t>GENEVA JAIMES</t>
  </si>
  <si>
    <t>GERALD HANNA</t>
  </si>
  <si>
    <t>GERALD L. BYINGTON</t>
  </si>
  <si>
    <t>GIPSON PENDERGRASS PEOPLE'S MORTUARY LLC</t>
  </si>
  <si>
    <t>GOVERNMENT FORMS AND SUPPLIES LLC</t>
  </si>
  <si>
    <t>GRAINGER INC</t>
  </si>
  <si>
    <t>GRAND JUNCTION NEWSPAPERS</t>
  </si>
  <si>
    <t>GRAPEVINE DODGE CHRYSLER JEEP  LLC</t>
  </si>
  <si>
    <t>U S ANESTHESIA PARTNERS OF TEXAS PA</t>
  </si>
  <si>
    <t>GT DISTRIBUTORS  INC.</t>
  </si>
  <si>
    <t>GULF COAST PAPER CO. INC.</t>
  </si>
  <si>
    <t>H &amp; H OIL INC</t>
  </si>
  <si>
    <t>HANNAH McMAHAN</t>
  </si>
  <si>
    <t>HARRIS COUNTY CONSTABLE PCT 1</t>
  </si>
  <si>
    <t>HAYS CNTY CONSTABLE PCT 5</t>
  </si>
  <si>
    <t>HEARTLAND QUARRIES  LLC</t>
  </si>
  <si>
    <t>HENGST PRINTING &amp; SUPPLIES</t>
  </si>
  <si>
    <t>HENNA CHEVROLET</t>
  </si>
  <si>
    <t>HERSHCAP BACKHOE &amp; DITCHING  INC.</t>
  </si>
  <si>
    <t>="10</t>
  </si>
  <si>
    <t>658  03/13/18"</t>
  </si>
  <si>
    <t>HILIGHTS  INC</t>
  </si>
  <si>
    <t>HILLARY LONG</t>
  </si>
  <si>
    <t>BASCOM L HODGES JR</t>
  </si>
  <si>
    <t>HODGSON G ECKEL</t>
  </si>
  <si>
    <t>HOLLY TUCKER</t>
  </si>
  <si>
    <t>BD HOLT CO</t>
  </si>
  <si>
    <t>CITIBANK (SOUTH DAKOTA)N.A./THE HOME DEPOT</t>
  </si>
  <si>
    <t>HUDSON ENERGY CORP</t>
  </si>
  <si>
    <t>HYDRAULIC HOUSE INC</t>
  </si>
  <si>
    <t>IDW LLC</t>
  </si>
  <si>
    <t>IDEXX DISTRIBUTION INC</t>
  </si>
  <si>
    <t>AUSTIN GASTROENTEROLOGY ANESTHESIA ASSOC</t>
  </si>
  <si>
    <t>INDIGENT HEALTHCARE SOLUTIONS</t>
  </si>
  <si>
    <t>IRON MOUNTAIN RECORDS MGMT INC</t>
  </si>
  <si>
    <t>TRIPLE J JACKPOT</t>
  </si>
  <si>
    <t>JAMES O. BURKE</t>
  </si>
  <si>
    <t>JENKINS &amp; JENKINS LLP</t>
  </si>
  <si>
    <t>JENNIFER PACHECO</t>
  </si>
  <si>
    <t>JERRY HOFROCK</t>
  </si>
  <si>
    <t>505  03/26/18"</t>
  </si>
  <si>
    <t>JAMES MORGAN</t>
  </si>
  <si>
    <t>JOHN E. REID &amp; ASSOCIATES  INC.</t>
  </si>
  <si>
    <t>JOHN MATTHEW FABIAN  PSY.D. J.D. LLC.</t>
  </si>
  <si>
    <t>JOHNNA GRIFFITH</t>
  </si>
  <si>
    <t>JOHNNIE SCHROEDER  JR.</t>
  </si>
  <si>
    <t>JOSEFINA CALVILLO RODRIGUEZ</t>
  </si>
  <si>
    <t>BILLY JOSH GILL</t>
  </si>
  <si>
    <t>JULIAN F TORRES</t>
  </si>
  <si>
    <t>JUSTIN MATTHEW FOHN</t>
  </si>
  <si>
    <t>KATY NYC-LYYTINEN</t>
  </si>
  <si>
    <t>KELLY-MOORE PAINT COMPANY  INC</t>
  </si>
  <si>
    <t>KENNETH LIMUEL</t>
  </si>
  <si>
    <t>KENT BROUSSARD TOWER RENTAL INC</t>
  </si>
  <si>
    <t>KIRSTEN RUEHMAN</t>
  </si>
  <si>
    <t>KLEIBER FORD TRACTOR  INC.</t>
  </si>
  <si>
    <t>KOETTER FIRE PROTECTION OF AUSTIN  LLC</t>
  </si>
  <si>
    <t>KRISTEN KRAUSE</t>
  </si>
  <si>
    <t>LONGHORN INTERNATIONAL TRUCKS LTD</t>
  </si>
  <si>
    <t>SAVE INN LTD</t>
  </si>
  <si>
    <t>LABATT INSTITUTIONAL SUPPLY CO</t>
  </si>
  <si>
    <t>LANDONNA WILLIAMS</t>
  </si>
  <si>
    <t xml:space="preserve"> JAMES RUSSELL FROST</t>
  </si>
  <si>
    <t>LUCIO LEAL</t>
  </si>
  <si>
    <t>LEE COUNTY WATER SUPPLY CORP</t>
  </si>
  <si>
    <t>LENNOX INDUSTRIES INC</t>
  </si>
  <si>
    <t>LEON SCAIFE</t>
  </si>
  <si>
    <t>LEXISNEXIS RISK DATA MGMT INC</t>
  </si>
  <si>
    <t>LIBERTY TIRE RECYCLING</t>
  </si>
  <si>
    <t>LINDA HARMON-TAX ASSESSOR</t>
  </si>
  <si>
    <t>LISA M. MIMS</t>
  </si>
  <si>
    <t>LISA SMITH</t>
  </si>
  <si>
    <t>LLOYD GOSSELINK ROCHELLE &amp; TOWNSEND. PC</t>
  </si>
  <si>
    <t>LONE STAR CIRCLE OF CARE</t>
  </si>
  <si>
    <t>UNITED KWB COLLABORATIONS LLC</t>
  </si>
  <si>
    <t>LONGHORN EMERGENCY MEDICAL ASSOC PA</t>
  </si>
  <si>
    <t>LONNIE LAWRENCE DAVIS</t>
  </si>
  <si>
    <t>SCOTT BRYANT</t>
  </si>
  <si>
    <t>LOWE'S</t>
  </si>
  <si>
    <t>LYNN PEAVEY CO.</t>
  </si>
  <si>
    <t>MAGIC TOUCH CLEANING SYSTEMS LLC</t>
  </si>
  <si>
    <t>MARIA ANFOSSO</t>
  </si>
  <si>
    <t>MARIA CELESTE COSTLEY</t>
  </si>
  <si>
    <t>MARK A RUMPLE</t>
  </si>
  <si>
    <t>MARK DOUGLAS CUNNINGHAM</t>
  </si>
  <si>
    <t>MARK T MALONE M.D. P.A</t>
  </si>
  <si>
    <t>JOHN W GASPARINI INC</t>
  </si>
  <si>
    <t>MARY BETH SCOTT</t>
  </si>
  <si>
    <t>MATHESON TRI-GAS INC</t>
  </si>
  <si>
    <t>MATTHEW J. MENDEL  PhD  PC</t>
  </si>
  <si>
    <t>McCOY'S BUILDING SUPPLY CENTER</t>
  </si>
  <si>
    <t>McCREARY  VESELKA  BRAGG &amp; ALLEN P</t>
  </si>
  <si>
    <t>559  03/28/18"</t>
  </si>
  <si>
    <t>BOERNER  INC.</t>
  </si>
  <si>
    <t>MECHANICAL REPS INC</t>
  </si>
  <si>
    <t>MEDIMPACT HEALTHCARE SYSTEMS INC</t>
  </si>
  <si>
    <t>MELISSA KINCAID</t>
  </si>
  <si>
    <t>MELVIN TUCKER</t>
  </si>
  <si>
    <t>MICHAEL CHARLES SHULMAN</t>
  </si>
  <si>
    <t>MICHAEL HARBICH</t>
  </si>
  <si>
    <t>MICHELE FRITSCHE C.S.R.</t>
  </si>
  <si>
    <t>MIDTEX MATERIALS</t>
  </si>
  <si>
    <t>MIGUEL MENDOZ</t>
  </si>
  <si>
    <t>MIKE FORSTNER'S WATERLIFE</t>
  </si>
  <si>
    <t>GALLS  LLC</t>
  </si>
  <si>
    <t>Family Crisis Center</t>
  </si>
  <si>
    <t>Children's Advocacy Center</t>
  </si>
  <si>
    <t>Child Protective Services</t>
  </si>
  <si>
    <t>COURT APPOINTED SPECIAL ADVOCA</t>
  </si>
  <si>
    <t>JENNIFER BRASHER VARGAS</t>
  </si>
  <si>
    <t>STEPHANIE DIANE MLYNARSKI</t>
  </si>
  <si>
    <t>DYLAN ROSS COLLINS</t>
  </si>
  <si>
    <t>MARY ANN HERRERA</t>
  </si>
  <si>
    <t>DAVID NEAL MCKENZIE</t>
  </si>
  <si>
    <t>KAYLA MARIE WOFFORD</t>
  </si>
  <si>
    <t>FRANCISCO NARIO SOLACHE</t>
  </si>
  <si>
    <t>DAVID NATHAN ARRIZOLA</t>
  </si>
  <si>
    <t>SUYAN ZYVETTE DAWSON</t>
  </si>
  <si>
    <t>LINDA JOHNS HILES</t>
  </si>
  <si>
    <t>HENRY H SEILEY</t>
  </si>
  <si>
    <t>RONALD GENE MILLER</t>
  </si>
  <si>
    <t>WAYNE LEE DUNGEY JR</t>
  </si>
  <si>
    <t>CLAY ROYAL BARKER SR</t>
  </si>
  <si>
    <t>KERRI PAIGE WEST</t>
  </si>
  <si>
    <t>DUSTIN RAY BLAIR</t>
  </si>
  <si>
    <t>KENNETH LELAND ANDERSON III</t>
  </si>
  <si>
    <t>TYLER WADE SHARP</t>
  </si>
  <si>
    <t>RONNIE WAYNE HARDI JR</t>
  </si>
  <si>
    <t>ADAM MICHAEL ROBERTSON</t>
  </si>
  <si>
    <t>WALTER JAMES SNEED</t>
  </si>
  <si>
    <t>ANGELA LARAE POWERS</t>
  </si>
  <si>
    <t>MONTY JOE BLACK</t>
  </si>
  <si>
    <t>MICHAEL C OCONNOR</t>
  </si>
  <si>
    <t>LESLIE LAUREN BLACKFORD</t>
  </si>
  <si>
    <t>BARBARA ELAINE HILL</t>
  </si>
  <si>
    <t>BETTY MCDONALD WARREN</t>
  </si>
  <si>
    <t>RYAN KLARK WILSEY</t>
  </si>
  <si>
    <t>KEITH LEVOY DENSON</t>
  </si>
  <si>
    <t>SAMANTHA ROCHELLE STRATTON</t>
  </si>
  <si>
    <t>LESSLIE ANN MARTIN</t>
  </si>
  <si>
    <t>BRIAN DIAZ</t>
  </si>
  <si>
    <t>KIMBERLY RAYE HANLY</t>
  </si>
  <si>
    <t>LINDA SUE HINKLE-MILLER</t>
  </si>
  <si>
    <t>KEVIN RYAN LAGALY</t>
  </si>
  <si>
    <t>BROCK ALLAN ROTHER</t>
  </si>
  <si>
    <t>JOHN ALLEN GOERTZ</t>
  </si>
  <si>
    <t>ADELINE ALLEN GILLIAM</t>
  </si>
  <si>
    <t>DEAN LOUIS ALLUM</t>
  </si>
  <si>
    <t>JAVIER A GUERRERO</t>
  </si>
  <si>
    <t>ADILENE MACEDO</t>
  </si>
  <si>
    <t>ROBERT ALLEN COOPER</t>
  </si>
  <si>
    <t>STACY LEA JOHNSON</t>
  </si>
  <si>
    <t>JEFFERY BLAKE ATKINS</t>
  </si>
  <si>
    <t>JAVIER MONSE TIJERINA</t>
  </si>
  <si>
    <t>JONATHAN ALEXIS MONDRAGON CRUZ</t>
  </si>
  <si>
    <t>MARISSA NICHOLE DIAZ</t>
  </si>
  <si>
    <t>GAIL ANN DAVID</t>
  </si>
  <si>
    <t>JACOB ADAM JURKOVAC</t>
  </si>
  <si>
    <t>JEANNIE COLLINS WEIGL</t>
  </si>
  <si>
    <t>GLORIA ANN TORRES</t>
  </si>
  <si>
    <t>MEGAN NICOLE SALINAS</t>
  </si>
  <si>
    <t>PATTI JANNELLE SOWELL</t>
  </si>
  <si>
    <t>DALE C SHOOK JR</t>
  </si>
  <si>
    <t>MARCIA WITBRODT JACKSON</t>
  </si>
  <si>
    <t>WARREN ELIOT BENCHOFF</t>
  </si>
  <si>
    <t>CHRISTOPHER LEE REDD</t>
  </si>
  <si>
    <t>BERNARD MICHAEL DROZD JR</t>
  </si>
  <si>
    <t>RODOLFO TEJEDA</t>
  </si>
  <si>
    <t>ANNE KAPPEL MOORE</t>
  </si>
  <si>
    <t>AARON JERALD SMISCHNEY</t>
  </si>
  <si>
    <t>VICTORIA NICOLE BRADFORD</t>
  </si>
  <si>
    <t>PETER M HYNES</t>
  </si>
  <si>
    <t>GARY WAYNE DOLBEARE</t>
  </si>
  <si>
    <t>TIMOTHY FRANCIS DINNEAN</t>
  </si>
  <si>
    <t>BRUCE ROBERT ALLYN</t>
  </si>
  <si>
    <t>NICOLASA AGUILAR BISHOP</t>
  </si>
  <si>
    <t>DAVID KYLE BRUMMITT</t>
  </si>
  <si>
    <t>BETHANY RENEE COOK</t>
  </si>
  <si>
    <t>SARAH ELIZABETH-ANN EDSALL</t>
  </si>
  <si>
    <t>JOSE ADRION FIGUEROA</t>
  </si>
  <si>
    <t>LARRY GENE HANSEN</t>
  </si>
  <si>
    <t>JANA HOFFMAN MOORE</t>
  </si>
  <si>
    <t>KATHRYN EVA ROGERS</t>
  </si>
  <si>
    <t>LAUREN N SCHECKTER</t>
  </si>
  <si>
    <t>SCOTT A SHIKE</t>
  </si>
  <si>
    <t>SYLVIA GONZALEZ WATSON</t>
  </si>
  <si>
    <t>MOISES OR CAROLINE GUERRERO</t>
  </si>
  <si>
    <t>="12</t>
  </si>
  <si>
    <t>851  03/12/18"</t>
  </si>
  <si>
    <t>MOORE MEDICAL LLC</t>
  </si>
  <si>
    <t>HAJOCA CORPORATION</t>
  </si>
  <si>
    <t>MORSCO SUPPLY  LLC</t>
  </si>
  <si>
    <t>MOTOROLA</t>
  </si>
  <si>
    <t>MOTOROLA INC</t>
  </si>
  <si>
    <t>NALCO COMPANY LLC</t>
  </si>
  <si>
    <t>NATIONAL FOOD GROUP INC</t>
  </si>
  <si>
    <t>NEAFCS NATIONAL OFFICE</t>
  </si>
  <si>
    <t>NATIONAL EMERGENCY NUMBER ASSOCIATION</t>
  </si>
  <si>
    <t>JOHN NIXON</t>
  </si>
  <si>
    <t>NSTS LLC</t>
  </si>
  <si>
    <t>O'REILLY AUTOMOTIVE  INC.</t>
  </si>
  <si>
    <t>SOUTHERN FOODS GROUP LP</t>
  </si>
  <si>
    <t>OFFICE DEPOT</t>
  </si>
  <si>
    <t>OFFICE OF ATTORNEY GENERAL</t>
  </si>
  <si>
    <t>UCG INFORMATION SERVICES LLC</t>
  </si>
  <si>
    <t>OLDCASTLE MATERIALS TEXAS INC</t>
  </si>
  <si>
    <t>NATIONAL TELEPHONE MESSAGE CORP</t>
  </si>
  <si>
    <t>OMNIBASE SERVICES OF TEXAS LP</t>
  </si>
  <si>
    <t>ROGER C. OSBORN</t>
  </si>
  <si>
    <t>OSBURN ASSOCIATES INC.</t>
  </si>
  <si>
    <t>OSKAR NISIMBLAT</t>
  </si>
  <si>
    <t>1859 HISTORIC HOTELS  LTD</t>
  </si>
  <si>
    <t>PAIGE TRACTORS INC</t>
  </si>
  <si>
    <t>SL PARKER PARTNERSHIP LLC</t>
  </si>
  <si>
    <t>PATHMARK TRAFFIC PRODUCTS</t>
  </si>
  <si>
    <t>PATTERSON  VETERINARY SUPPLY INC</t>
  </si>
  <si>
    <t>PAUL PAPE</t>
  </si>
  <si>
    <t>PETHEALTH SERVICES(USA) INC.</t>
  </si>
  <si>
    <t>PHILIP L HALL</t>
  </si>
  <si>
    <t>PHILIP R DUCLOUX</t>
  </si>
  <si>
    <t>PM WILSON &amp; ASSOCIATES PLLC</t>
  </si>
  <si>
    <t>POSTMASTER</t>
  </si>
  <si>
    <t>PRISCILLA PARSONS</t>
  </si>
  <si>
    <t>PRODUCTIVITY CENTER INC</t>
  </si>
  <si>
    <t>AEGEAN  LLC</t>
  </si>
  <si>
    <t>QUEST DIAGNOSTICS</t>
  </si>
  <si>
    <t>RACHEL A BAUER</t>
  </si>
  <si>
    <t>RAYMAH DAVIS</t>
  </si>
  <si>
    <t>MADTEX  INC.</t>
  </si>
  <si>
    <t>NESTLE WATERS N AMERICA INC</t>
  </si>
  <si>
    <t>RED WING BUSINESS ADVANTAGE ACCOUNT</t>
  </si>
  <si>
    <t>REPUBLIC SERVICES INC BFI WASTE SERVICE</t>
  </si>
  <si>
    <t>REPUBLIC TRUCK SALES   PARTS  &amp; REPAIRS LLC</t>
  </si>
  <si>
    <t>PAULINE SPURLOCK</t>
  </si>
  <si>
    <t>RESERVE ACCOUNT</t>
  </si>
  <si>
    <t>REYNOLDS &amp; KEINARTH</t>
  </si>
  <si>
    <t>RIATA FORD</t>
  </si>
  <si>
    <t>RICHARD ALLAN DICKMAN JR</t>
  </si>
  <si>
    <t>RICHARD ORMSBY</t>
  </si>
  <si>
    <t>RICOH USA INC</t>
  </si>
  <si>
    <t>RICOH AMERICAS CORP</t>
  </si>
  <si>
    <t>RUNKLE ENTERPRISES</t>
  </si>
  <si>
    <t>ROADRUNNER RADIOLOGY EQUIP LLC</t>
  </si>
  <si>
    <t>ROBERT MADDEN INDUSTRIES LTD</t>
  </si>
  <si>
    <t>ROCKY ROAD PRINTING</t>
  </si>
  <si>
    <t>ROMNEY LASSEN DENTAL  PLLC</t>
  </si>
  <si>
    <t>ROSE PIETSCH COUNTY CLERK</t>
  </si>
  <si>
    <t>RUSH TRUCK CENTERS OF TEXAS  LP</t>
  </si>
  <si>
    <t>TRAVIS CNTY DOMESTIC VIOLENCE &amp; SEXUAL ASSAULT</t>
  </si>
  <si>
    <t>SAMMY LERMA III MD</t>
  </si>
  <si>
    <t>SCOTT MERRIMAN INC</t>
  </si>
  <si>
    <t>SECRETARY OF STATE</t>
  </si>
  <si>
    <t>SECURETECH SYSTEMS  INC.</t>
  </si>
  <si>
    <t>SECURUS TECHNOLOGIES INC</t>
  </si>
  <si>
    <t>SETON HEALTHCARE SPONSORED PROJECTS</t>
  </si>
  <si>
    <t>SETON FAMILY OF HOSPITALS</t>
  </si>
  <si>
    <t>FERRELLGAS  LP</t>
  </si>
  <si>
    <t>SHERWIN WILLIAMS CO</t>
  </si>
  <si>
    <t>SHI GOVERNMENT SOLUTIONS INC.</t>
  </si>
  <si>
    <t>SHOPPA'S FARM SUPPLY</t>
  </si>
  <si>
    <t>SHRED-IT US HOLDCO  INC</t>
  </si>
  <si>
    <t>SIGNATURE SMILES</t>
  </si>
  <si>
    <t>SMITH STORES  INC.</t>
  </si>
  <si>
    <t>SMITHVILLE AUTO PARTS  INC</t>
  </si>
  <si>
    <t>SOUTHERN TIRE MART LLC</t>
  </si>
  <si>
    <t>DS WATERS OF AMERICA INC</t>
  </si>
  <si>
    <t>SPOK INC</t>
  </si>
  <si>
    <t>SRIDHAR P REDDY MD PA</t>
  </si>
  <si>
    <t>ST.DAVID'S HEALTHCARE PARTNERSHIP</t>
  </si>
  <si>
    <t>STAPLES ADVANTAGE</t>
  </si>
  <si>
    <t>STATE OF TEXAS</t>
  </si>
  <si>
    <t>STEPHEN A. THORNE  PHD</t>
  </si>
  <si>
    <t>STERICYCLE  INC.</t>
  </si>
  <si>
    <t>STEVE GRANADO</t>
  </si>
  <si>
    <t>SUE COOPER</t>
  </si>
  <si>
    <t>MATTHEW LEE SULLINS</t>
  </si>
  <si>
    <t>SUPERCIRCUITS INC.</t>
  </si>
  <si>
    <t>TAS ENVIRONMENTAL SERVICES LP</t>
  </si>
  <si>
    <t>TAVCO SERVICES INC</t>
  </si>
  <si>
    <t>TAYLOR SECURITY SYSTEMS  LLC</t>
  </si>
  <si>
    <t>TX COMM ON LAW ENFORCEMENT</t>
  </si>
  <si>
    <t>TDCAA</t>
  </si>
  <si>
    <t>TEJAS ELEVATOR COMPANY</t>
  </si>
  <si>
    <t>TERRI  ROBASON</t>
  </si>
  <si>
    <t>TERRY FLENNIKEN</t>
  </si>
  <si>
    <t>JOHN J FIETSAM INC</t>
  </si>
  <si>
    <t>TEX-CON OIL CO</t>
  </si>
  <si>
    <t>TEXAN EYE  P.A.</t>
  </si>
  <si>
    <t>TEXAS A&amp;M AGRILIFE EXTENSION</t>
  </si>
  <si>
    <t>TEXAS AGGREGATES  LLC</t>
  </si>
  <si>
    <t>TEXAS ASSOCIATES INSURORS AGENCY</t>
  </si>
  <si>
    <t>TEXAS ASSOCIATION OF COUNTIES</t>
  </si>
  <si>
    <t>TEXAS BLACKLAND HARDWARE</t>
  </si>
  <si>
    <t>TEXAS DEPT OF LICENSING &amp; REGULATION</t>
  </si>
  <si>
    <t>TEXAS DEPT OF PUBLIC SAFETY</t>
  </si>
  <si>
    <t>TEXAS DIVISION OF EMERGENCY MANAGEMENT</t>
  </si>
  <si>
    <t>TEXAS ENERGY ENGINEERING SERVICES  INC.</t>
  </si>
  <si>
    <t>TEXAS PARKS &amp; WILDLIFE FUNDS</t>
  </si>
  <si>
    <t>THE BRANDT COMPANIES  LLC</t>
  </si>
  <si>
    <t>BUG MASTER EXTERMINATING SERVICES  LTD</t>
  </si>
  <si>
    <t>THE ELECTION CENTER</t>
  </si>
  <si>
    <t>RICHARD NELSON MOORE</t>
  </si>
  <si>
    <t>THE TRAVELERS INDEMNITY CO</t>
  </si>
  <si>
    <t>TEXAS HOTEL &amp; LODGING ASSN</t>
  </si>
  <si>
    <t>TWE-ADVANCE/NEWHOUSE PARTNERSHIP</t>
  </si>
  <si>
    <t>TMDE CALIBRATION LABS  INC.</t>
  </si>
  <si>
    <t>TRANE</t>
  </si>
  <si>
    <t>TRAVIS CO CONSTABLE  PCT 5</t>
  </si>
  <si>
    <t>TRAVIS COUNTY CLERK</t>
  </si>
  <si>
    <t>TRAVIS COUNTY CONSTABLE PCT 2</t>
  </si>
  <si>
    <t>TRAVIS COUNTY MEDICAL EXAMINER</t>
  </si>
  <si>
    <t>KAUFFMAN TIRE</t>
  </si>
  <si>
    <t>TRI-COUNTY PRACTICE ASSOCIATION</t>
  </si>
  <si>
    <t>TRIPLE S FUELS</t>
  </si>
  <si>
    <t>TRACTOR SUPPLY CREDIT PLAN</t>
  </si>
  <si>
    <t>TULL FARLEY</t>
  </si>
  <si>
    <t>LINDA WALKER</t>
  </si>
  <si>
    <t>TX COMMISSION ON LAW ENFORCEMENT</t>
  </si>
  <si>
    <t>TX DEPT OF MOTOR VEHICLES</t>
  </si>
  <si>
    <t>TYLER TECHNOLOGIES INC</t>
  </si>
  <si>
    <t>TYRONE C. MONCRIFFE</t>
  </si>
  <si>
    <t xml:space="preserve"> 934"</t>
  </si>
  <si>
    <t>934"</t>
  </si>
  <si>
    <t>ULINE</t>
  </si>
  <si>
    <t>COUFAL-PRATER EQUIPMENT  LLC</t>
  </si>
  <si>
    <t>UNITED REFRIGERATION INC</t>
  </si>
  <si>
    <t>UNITED STATES TREASURY</t>
  </si>
  <si>
    <t>UNIVERSITY OF TEXAS SYSTEM</t>
  </si>
  <si>
    <t>UPS</t>
  </si>
  <si>
    <t>VALERIE BULLOCK</t>
  </si>
  <si>
    <t>MOUNTAIN WEST DERM-AUSTIN PLLC</t>
  </si>
  <si>
    <t>VORTECH PHARMACEUTICALS LTD</t>
  </si>
  <si>
    <t>VULCAN CONSTRUCTION MATERIALS  LP</t>
  </si>
  <si>
    <t>WAGEWORKS INC  FSA/HSA</t>
  </si>
  <si>
    <t>WALLER COUNTY ASPHALT INC</t>
  </si>
  <si>
    <t>WALMART COMMUNITY BRC</t>
  </si>
  <si>
    <t>WASHING EQUIPMENT OF TEXAS</t>
  </si>
  <si>
    <t>WATERLOGIC USA INC</t>
  </si>
  <si>
    <t>PROGRESSIVE WASTE SOLUTIONS OF TX. INC.</t>
  </si>
  <si>
    <t>WIND KNOT INCORPORATED</t>
  </si>
  <si>
    <t>COBRA EQUIPMENT RENTALS</t>
  </si>
  <si>
    <t>WEBB COUNTY SHERIFF</t>
  </si>
  <si>
    <t>WEBB SUPPLY COMPANY  INC.</t>
  </si>
  <si>
    <t>WEI-ANN LIN  MD PA</t>
  </si>
  <si>
    <t>WESLEY WEST</t>
  </si>
  <si>
    <t>WEST PUBLISHING CORPORATION</t>
  </si>
  <si>
    <t>MAO PHARMACY INC</t>
  </si>
  <si>
    <t>WHITE CHURCH EVENTS  INC</t>
  </si>
  <si>
    <t>WILLIAMSON COUNTY CONSTABLE #2</t>
  </si>
  <si>
    <t>WJC CONSTRUCTION LLC</t>
  </si>
  <si>
    <t>XEROX CORPORATION</t>
  </si>
  <si>
    <t>ZBATTERY.COM INC</t>
  </si>
  <si>
    <t>ZORO TOOLS INC</t>
  </si>
  <si>
    <t>AMERITEX PIPE &amp; PRODUCTS LLC</t>
  </si>
  <si>
    <t>BBTC LLC</t>
  </si>
  <si>
    <t>BASTROP INDEPENDENT SCHOOL DISTRICT</t>
  </si>
  <si>
    <t>CMC CAPITOL CITY STEEL</t>
  </si>
  <si>
    <t>FIRST NATIONAL BANK</t>
  </si>
  <si>
    <t>JAMES E. GARON &amp; ASSOC.</t>
  </si>
  <si>
    <t>JPC CONSTRUCTION</t>
  </si>
  <si>
    <t>KIRKSEY ARCHITECTS  INC.</t>
  </si>
  <si>
    <t>LANGFORD COMMUNITY MGMT INC</t>
  </si>
  <si>
    <t>MUSTANG MACHINERY COMPANY LTD</t>
  </si>
  <si>
    <t>RICK BLAKLEY</t>
  </si>
  <si>
    <t>TEXAS STATE UNIVERSITY</t>
  </si>
  <si>
    <t>ALLSTATE-AMERICAN HERITAGE LIFE INS CO</t>
  </si>
  <si>
    <t>BASTROP CNTY ADULT PROBATION</t>
  </si>
  <si>
    <t>COLONIAL LIFE &amp; ACCIDENT INS. CO.</t>
  </si>
  <si>
    <t>DEBORAH B LANGEHENNIG</t>
  </si>
  <si>
    <t>GUARDIAN</t>
  </si>
  <si>
    <t>INTERNAL REVENUE SERVICE - ACS SUPPORT</t>
  </si>
  <si>
    <t>IRS-PAYROLL TAXES</t>
  </si>
  <si>
    <t>KRISTIN BURNS</t>
  </si>
  <si>
    <t>MICHIGAN STATE DISBURSEMENT UNIT(MiSDU)</t>
  </si>
  <si>
    <t>MONUMENTAL LIFE INS CO</t>
  </si>
  <si>
    <t>GERALD FLORES OLIVO</t>
  </si>
  <si>
    <t>TAC HEALTH BENEFITS POOL</t>
  </si>
  <si>
    <t>TEXAS ATTY.GENERAL'S OFFICE</t>
  </si>
  <si>
    <t>TEXAS CNTY &amp; DIST RETIREMENT SYS</t>
  </si>
  <si>
    <t>TEXAS LEGAL PROTECTION PLAN INC</t>
  </si>
  <si>
    <t>TG STUDENT LOAN</t>
  </si>
  <si>
    <t>U.S. DEPT OF EDUCATION - FINANCIAL  ASST</t>
  </si>
  <si>
    <t>Amount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</si>
</sst>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41"/>
  <sheetViews>
    <sheetView tabSelected="1" workbookViewId="0"/>
  </sheetViews>
  <sheetFormatPr defaultRowHeight="14.4" x14ac:dyDescent="0.3"/>
  <cols>
    <col min="1" max="1" width="8.77734375" bestFit="1" customWidth="1"/>
    <col min="2" max="2" width="46.77734375" bestFit="1" customWidth="1"/>
    <col min="3" max="3" width="7.33203125" bestFit="1" customWidth="1"/>
    <col min="4" max="4" width="13.5546875" style="2" bestFit="1" customWidth="1"/>
    <col min="5" max="5" width="10.5546875" bestFit="1" customWidth="1"/>
    <col min="6" max="6" width="20" bestFit="1" customWidth="1"/>
    <col min="7" max="7" width="33.6640625" bestFit="1" customWidth="1"/>
    <col min="8" max="8" width="27.5546875" bestFit="1" customWidth="1"/>
    <col min="9" max="9" width="33.6640625" bestFit="1" customWidth="1"/>
  </cols>
  <sheetData>
    <row r="1" spans="1:9" x14ac:dyDescent="0.3">
      <c r="A1" t="s">
        <v>0</v>
      </c>
      <c r="B1" t="s">
        <v>1</v>
      </c>
      <c r="C1" t="s">
        <v>2</v>
      </c>
      <c r="D1" s="2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">
      <c r="A2" t="str">
        <f>"003799"</f>
        <v>003799</v>
      </c>
      <c r="B2" t="s">
        <v>9</v>
      </c>
      <c r="C2">
        <v>76530</v>
      </c>
      <c r="D2" s="2">
        <v>270</v>
      </c>
      <c r="E2" s="1">
        <v>43234</v>
      </c>
      <c r="F2" t="str">
        <f>"201805010485"</f>
        <v>201805010485</v>
      </c>
      <c r="G2" t="str">
        <f>"REFUND COUPONS-21844 21563"</f>
        <v>REFUND COUPONS-21844 21563</v>
      </c>
      <c r="H2">
        <v>30</v>
      </c>
      <c r="I2" t="str">
        <f>"REFUND COUPONS-21844 21563"</f>
        <v>REFUND COUPONS-21844 21563</v>
      </c>
    </row>
    <row r="3" spans="1:9" x14ac:dyDescent="0.3">
      <c r="A3" t="str">
        <f>""</f>
        <v/>
      </c>
      <c r="F3" t="str">
        <f>"201805010493"</f>
        <v>201805010493</v>
      </c>
      <c r="G3" t="str">
        <f>"REFUND COUPONS"</f>
        <v>REFUND COUPONS</v>
      </c>
      <c r="H3">
        <v>240</v>
      </c>
      <c r="I3" t="str">
        <f>"REFUND COUPONS"</f>
        <v>REFUND COUPONS</v>
      </c>
    </row>
    <row r="4" spans="1:9" x14ac:dyDescent="0.3">
      <c r="A4" t="str">
        <f>"000953"</f>
        <v>000953</v>
      </c>
      <c r="B4" t="s">
        <v>10</v>
      </c>
      <c r="C4">
        <v>999999</v>
      </c>
      <c r="D4" s="2">
        <v>4014.5</v>
      </c>
      <c r="E4" s="1">
        <v>43235</v>
      </c>
      <c r="F4" t="str">
        <f>"6258583"</f>
        <v>6258583</v>
      </c>
      <c r="G4" t="str">
        <f>"Items for Advertising"</f>
        <v>Items for Advertising</v>
      </c>
      <c r="H4">
        <v>4014.5</v>
      </c>
      <c r="I4" t="str">
        <f>"Item# 114377-53 Pres"</f>
        <v>Item# 114377-53 Pres</v>
      </c>
    </row>
    <row r="5" spans="1:9" x14ac:dyDescent="0.3">
      <c r="A5" t="str">
        <f>""</f>
        <v/>
      </c>
      <c r="F5" t="str">
        <f>""</f>
        <v/>
      </c>
      <c r="G5" t="str">
        <f>""</f>
        <v/>
      </c>
      <c r="I5" t="str">
        <f>"Shipping"</f>
        <v>Shipping</v>
      </c>
    </row>
    <row r="6" spans="1:9" x14ac:dyDescent="0.3">
      <c r="A6" t="str">
        <f>""</f>
        <v/>
      </c>
      <c r="F6" t="str">
        <f>""</f>
        <v/>
      </c>
      <c r="G6" t="str">
        <f>""</f>
        <v/>
      </c>
      <c r="I6" t="str">
        <f>"Item# 114377-53 Alt."</f>
        <v>Item# 114377-53 Alt.</v>
      </c>
    </row>
    <row r="7" spans="1:9" x14ac:dyDescent="0.3">
      <c r="A7" t="str">
        <f>""</f>
        <v/>
      </c>
      <c r="F7" t="str">
        <f>""</f>
        <v/>
      </c>
      <c r="G7" t="str">
        <f>""</f>
        <v/>
      </c>
      <c r="I7" t="str">
        <f>"Shipping"</f>
        <v>Shipping</v>
      </c>
    </row>
    <row r="8" spans="1:9" x14ac:dyDescent="0.3">
      <c r="A8" t="str">
        <f>""</f>
        <v/>
      </c>
      <c r="F8" t="str">
        <f>""</f>
        <v/>
      </c>
      <c r="G8" t="str">
        <f>""</f>
        <v/>
      </c>
      <c r="I8" t="str">
        <f>"Item# 114377-53 Clk"</f>
        <v>Item# 114377-53 Clk</v>
      </c>
    </row>
    <row r="9" spans="1:9" x14ac:dyDescent="0.3">
      <c r="A9" t="str">
        <f>""</f>
        <v/>
      </c>
      <c r="F9" t="str">
        <f>""</f>
        <v/>
      </c>
      <c r="G9" t="str">
        <f>""</f>
        <v/>
      </c>
      <c r="I9" t="str">
        <f>"Shipping"</f>
        <v>Shipping</v>
      </c>
    </row>
    <row r="10" spans="1:9" x14ac:dyDescent="0.3">
      <c r="A10" t="str">
        <f>""</f>
        <v/>
      </c>
      <c r="F10" t="str">
        <f>""</f>
        <v/>
      </c>
      <c r="G10" t="str">
        <f>""</f>
        <v/>
      </c>
      <c r="I10" t="str">
        <f>"Item# 6514-MBD"</f>
        <v>Item# 6514-MBD</v>
      </c>
    </row>
    <row r="11" spans="1:9" x14ac:dyDescent="0.3">
      <c r="A11" t="str">
        <f>""</f>
        <v/>
      </c>
      <c r="F11" t="str">
        <f>""</f>
        <v/>
      </c>
      <c r="G11" t="str">
        <f>""</f>
        <v/>
      </c>
      <c r="I11" t="str">
        <f>"Set-Up Charge"</f>
        <v>Set-Up Charge</v>
      </c>
    </row>
    <row r="12" spans="1:9" x14ac:dyDescent="0.3">
      <c r="A12" t="str">
        <f>""</f>
        <v/>
      </c>
      <c r="F12" t="str">
        <f>""</f>
        <v/>
      </c>
      <c r="G12" t="str">
        <f>""</f>
        <v/>
      </c>
      <c r="I12" t="str">
        <f>"Shipping"</f>
        <v>Shipping</v>
      </c>
    </row>
    <row r="13" spans="1:9" x14ac:dyDescent="0.3">
      <c r="A13" t="str">
        <f>""</f>
        <v/>
      </c>
      <c r="F13" t="str">
        <f>""</f>
        <v/>
      </c>
      <c r="G13" t="str">
        <f>""</f>
        <v/>
      </c>
      <c r="I13" t="str">
        <f>"Item# 6514-MSR"</f>
        <v>Item# 6514-MSR</v>
      </c>
    </row>
    <row r="14" spans="1:9" x14ac:dyDescent="0.3">
      <c r="A14" t="str">
        <f>""</f>
        <v/>
      </c>
      <c r="F14" t="str">
        <f>""</f>
        <v/>
      </c>
      <c r="G14" t="str">
        <f>""</f>
        <v/>
      </c>
      <c r="I14" t="str">
        <f>"Set Up Charge"</f>
        <v>Set Up Charge</v>
      </c>
    </row>
    <row r="15" spans="1:9" x14ac:dyDescent="0.3">
      <c r="A15" t="str">
        <f>""</f>
        <v/>
      </c>
      <c r="F15" t="str">
        <f>""</f>
        <v/>
      </c>
      <c r="G15" t="str">
        <f>""</f>
        <v/>
      </c>
      <c r="I15" t="str">
        <f>"Shipping"</f>
        <v>Shipping</v>
      </c>
    </row>
    <row r="16" spans="1:9" x14ac:dyDescent="0.3">
      <c r="A16" t="str">
        <f>""</f>
        <v/>
      </c>
      <c r="F16" t="str">
        <f>""</f>
        <v/>
      </c>
      <c r="G16" t="str">
        <f>""</f>
        <v/>
      </c>
      <c r="I16" t="str">
        <f>"Item# 127762-23-S-FC"</f>
        <v>Item# 127762-23-S-FC</v>
      </c>
    </row>
    <row r="17" spans="1:9" x14ac:dyDescent="0.3">
      <c r="A17" t="str">
        <f>""</f>
        <v/>
      </c>
      <c r="F17" t="str">
        <f>""</f>
        <v/>
      </c>
      <c r="G17" t="str">
        <f>""</f>
        <v/>
      </c>
      <c r="I17" t="str">
        <f>"Set up Charge"</f>
        <v>Set up Charge</v>
      </c>
    </row>
    <row r="18" spans="1:9" x14ac:dyDescent="0.3">
      <c r="A18" t="str">
        <f>""</f>
        <v/>
      </c>
      <c r="F18" t="str">
        <f>""</f>
        <v/>
      </c>
      <c r="G18" t="str">
        <f>""</f>
        <v/>
      </c>
      <c r="I18" t="str">
        <f>"Shipping"</f>
        <v>Shipping</v>
      </c>
    </row>
    <row r="19" spans="1:9" x14ac:dyDescent="0.3">
      <c r="A19" t="str">
        <f>""</f>
        <v/>
      </c>
      <c r="F19" t="str">
        <f>""</f>
        <v/>
      </c>
      <c r="G19" t="str">
        <f>""</f>
        <v/>
      </c>
      <c r="I19" t="str">
        <f>"Item# 107760-RC"</f>
        <v>Item# 107760-RC</v>
      </c>
    </row>
    <row r="20" spans="1:9" x14ac:dyDescent="0.3">
      <c r="A20" t="str">
        <f>""</f>
        <v/>
      </c>
      <c r="F20" t="str">
        <f>""</f>
        <v/>
      </c>
      <c r="G20" t="str">
        <f>""</f>
        <v/>
      </c>
      <c r="I20" t="str">
        <f>"Set up Charge"</f>
        <v>Set up Charge</v>
      </c>
    </row>
    <row r="21" spans="1:9" x14ac:dyDescent="0.3">
      <c r="A21" t="str">
        <f>""</f>
        <v/>
      </c>
      <c r="F21" t="str">
        <f>""</f>
        <v/>
      </c>
      <c r="G21" t="str">
        <f>""</f>
        <v/>
      </c>
      <c r="I21" t="str">
        <f>"Shipping"</f>
        <v>Shipping</v>
      </c>
    </row>
    <row r="22" spans="1:9" x14ac:dyDescent="0.3">
      <c r="A22" t="str">
        <f>"000598"</f>
        <v>000598</v>
      </c>
      <c r="B22" t="s">
        <v>11</v>
      </c>
      <c r="C22">
        <v>76531</v>
      </c>
      <c r="D22" s="2">
        <v>31807.119999999999</v>
      </c>
      <c r="E22" s="1">
        <v>43234</v>
      </c>
      <c r="F22" t="str">
        <f>"9725-001-99516"</f>
        <v>9725-001-99516</v>
      </c>
      <c r="G22" t="str">
        <f>"ACCT#9725-001/REC BASE/PCT#2"</f>
        <v>ACCT#9725-001/REC BASE/PCT#2</v>
      </c>
      <c r="H22">
        <v>1878.99</v>
      </c>
      <c r="I22" t="str">
        <f>"ACCT#9725-001/REC BASE/PCT#2"</f>
        <v>ACCT#9725-001/REC BASE/PCT#2</v>
      </c>
    </row>
    <row r="23" spans="1:9" x14ac:dyDescent="0.3">
      <c r="A23" t="str">
        <f>""</f>
        <v/>
      </c>
      <c r="F23" t="str">
        <f>"9725-001-99550"</f>
        <v>9725-001-99550</v>
      </c>
      <c r="G23" t="str">
        <f>"ACCT#9725-001/REC BASE/PCT#2"</f>
        <v>ACCT#9725-001/REC BASE/PCT#2</v>
      </c>
      <c r="H23">
        <v>2481.85</v>
      </c>
      <c r="I23" t="str">
        <f>"ACCT#9725-001/REC BASE/PCT#2"</f>
        <v>ACCT#9725-001/REC BASE/PCT#2</v>
      </c>
    </row>
    <row r="24" spans="1:9" x14ac:dyDescent="0.3">
      <c r="A24" t="str">
        <f>""</f>
        <v/>
      </c>
      <c r="F24" t="str">
        <f>"9725-001-99598"</f>
        <v>9725-001-99598</v>
      </c>
      <c r="G24" t="str">
        <f>"ACCT#9725-001/REC BASE/PCT#2"</f>
        <v>ACCT#9725-001/REC BASE/PCT#2</v>
      </c>
      <c r="H24">
        <v>4543.2</v>
      </c>
      <c r="I24" t="str">
        <f>"ACCT#9725-001/REC BASE/PCT#2"</f>
        <v>ACCT#9725-001/REC BASE/PCT#2</v>
      </c>
    </row>
    <row r="25" spans="1:9" x14ac:dyDescent="0.3">
      <c r="A25" t="str">
        <f>""</f>
        <v/>
      </c>
      <c r="F25" t="str">
        <f>"9725-001-99622"</f>
        <v>9725-001-99622</v>
      </c>
      <c r="G25" t="str">
        <f>"ACCT#9725-001/REC BASE/PCT#2"</f>
        <v>ACCT#9725-001/REC BASE/PCT#2</v>
      </c>
      <c r="H25">
        <v>3556.9</v>
      </c>
      <c r="I25" t="str">
        <f>"ACCT#9725-001/REC BASE/PCT#2"</f>
        <v>ACCT#9725-001/REC BASE/PCT#2</v>
      </c>
    </row>
    <row r="26" spans="1:9" x14ac:dyDescent="0.3">
      <c r="A26" t="str">
        <f>""</f>
        <v/>
      </c>
      <c r="F26" t="str">
        <f>"9725-001-99654"</f>
        <v>9725-001-99654</v>
      </c>
      <c r="G26" t="str">
        <f>"ACCT#9725-001/REC BASE/PCT#2"</f>
        <v>ACCT#9725-001/REC BASE/PCT#2</v>
      </c>
      <c r="H26">
        <v>2862.65</v>
      </c>
      <c r="I26" t="str">
        <f>"ACCT#9725-001/REC BASE/PCT#2"</f>
        <v>ACCT#9725-001/REC BASE/PCT#2</v>
      </c>
    </row>
    <row r="27" spans="1:9" x14ac:dyDescent="0.3">
      <c r="A27" t="str">
        <f>""</f>
        <v/>
      </c>
      <c r="F27" t="str">
        <f>"9725-001-99834"</f>
        <v>9725-001-99834</v>
      </c>
      <c r="G27" t="str">
        <f>"ACCT#9725-001/PCT#2"</f>
        <v>ACCT#9725-001/PCT#2</v>
      </c>
      <c r="H27">
        <v>1445.51</v>
      </c>
      <c r="I27" t="str">
        <f>"ACCT#9725-001/PCT#2"</f>
        <v>ACCT#9725-001/PCT#2</v>
      </c>
    </row>
    <row r="28" spans="1:9" x14ac:dyDescent="0.3">
      <c r="A28" t="str">
        <f>""</f>
        <v/>
      </c>
      <c r="F28" t="str">
        <f>"9725-017-100012"</f>
        <v>9725-017-100012</v>
      </c>
      <c r="G28" t="str">
        <f>"ACCT#9725-017/REC BASE/PCT#2"</f>
        <v>ACCT#9725-017/REC BASE/PCT#2</v>
      </c>
      <c r="H28">
        <v>1448.75</v>
      </c>
      <c r="I28" t="str">
        <f>"ACCT#9725-017/REC BASE/PCT#2"</f>
        <v>ACCT#9725-017/REC BASE/PCT#2</v>
      </c>
    </row>
    <row r="29" spans="1:9" x14ac:dyDescent="0.3">
      <c r="A29" t="str">
        <f>""</f>
        <v/>
      </c>
      <c r="F29" t="str">
        <f>"9725-017-100043"</f>
        <v>9725-017-100043</v>
      </c>
      <c r="G29" t="str">
        <f>"ACCT#9725-017/REC BASE/PCT#2"</f>
        <v>ACCT#9725-017/REC BASE/PCT#2</v>
      </c>
      <c r="H29">
        <v>3261.5</v>
      </c>
      <c r="I29" t="str">
        <f>"ACCT#9725-017/REC BASE/PCT#2"</f>
        <v>ACCT#9725-017/REC BASE/PCT#2</v>
      </c>
    </row>
    <row r="30" spans="1:9" x14ac:dyDescent="0.3">
      <c r="A30" t="str">
        <f>""</f>
        <v/>
      </c>
      <c r="F30" t="str">
        <f>"9725-017-99885"</f>
        <v>9725-017-99885</v>
      </c>
      <c r="G30" t="str">
        <f>"ACCT#9725-017/PCT#2"</f>
        <v>ACCT#9725-017/PCT#2</v>
      </c>
      <c r="H30">
        <v>1969.37</v>
      </c>
      <c r="I30" t="str">
        <f>"ACCT#9725-017/PCT#2"</f>
        <v>ACCT#9725-017/PCT#2</v>
      </c>
    </row>
    <row r="31" spans="1:9" x14ac:dyDescent="0.3">
      <c r="A31" t="str">
        <f>""</f>
        <v/>
      </c>
      <c r="F31" t="str">
        <f>"9725-017-99917"</f>
        <v>9725-017-99917</v>
      </c>
      <c r="G31" t="str">
        <f>"ACCT#9725-017/REC BASE/PCT#2"</f>
        <v>ACCT#9725-017/REC BASE/PCT#2</v>
      </c>
      <c r="H31">
        <v>2593.08</v>
      </c>
      <c r="I31" t="str">
        <f>"ACCT#9725-017/REC BASE/PCT#2"</f>
        <v>ACCT#9725-017/REC BASE/PCT#2</v>
      </c>
    </row>
    <row r="32" spans="1:9" x14ac:dyDescent="0.3">
      <c r="A32" t="str">
        <f>""</f>
        <v/>
      </c>
      <c r="F32" t="str">
        <f>"9725-017-99949"</f>
        <v>9725-017-99949</v>
      </c>
      <c r="G32" t="str">
        <f>"ACCT#9725-017/REC BASE/PCT#2"</f>
        <v>ACCT#9725-017/REC BASE/PCT#2</v>
      </c>
      <c r="H32">
        <v>3104.42</v>
      </c>
      <c r="I32" t="str">
        <f>"ACCT#9725-017/REC BASE/PCT#2"</f>
        <v>ACCT#9725-017/REC BASE/PCT#2</v>
      </c>
    </row>
    <row r="33" spans="1:9" x14ac:dyDescent="0.3">
      <c r="A33" t="str">
        <f>""</f>
        <v/>
      </c>
      <c r="F33" t="str">
        <f>"9725-017-99978"</f>
        <v>9725-017-99978</v>
      </c>
      <c r="G33" t="str">
        <f>"ACCT#9725-017/REC BASE/PCT#2"</f>
        <v>ACCT#9725-017/REC BASE/PCT#2</v>
      </c>
      <c r="H33">
        <v>2660.9</v>
      </c>
      <c r="I33" t="str">
        <f>"ACCT#9725-017/REC BASE/PCT#2"</f>
        <v>ACCT#9725-017/REC BASE/PCT#2</v>
      </c>
    </row>
    <row r="34" spans="1:9" x14ac:dyDescent="0.3">
      <c r="A34" t="str">
        <f>"000598"</f>
        <v>000598</v>
      </c>
      <c r="B34" t="s">
        <v>11</v>
      </c>
      <c r="C34">
        <v>76828</v>
      </c>
      <c r="D34" s="2">
        <v>31067.31</v>
      </c>
      <c r="E34" s="1">
        <v>43249</v>
      </c>
      <c r="F34" t="str">
        <f>"9725-001-100073"</f>
        <v>9725-001-100073</v>
      </c>
      <c r="G34" t="str">
        <f>"ACCT#9725-001/REC BASE/PCT#2"</f>
        <v>ACCT#9725-001/REC BASE/PCT#2</v>
      </c>
      <c r="H34">
        <v>1249.68</v>
      </c>
      <c r="I34" t="str">
        <f>"ACCT#9725-001/REC BASE/PCT#2"</f>
        <v>ACCT#9725-001/REC BASE/PCT#2</v>
      </c>
    </row>
    <row r="35" spans="1:9" x14ac:dyDescent="0.3">
      <c r="A35" t="str">
        <f>""</f>
        <v/>
      </c>
      <c r="F35" t="str">
        <f>"9725-001-100117"</f>
        <v>9725-001-100117</v>
      </c>
      <c r="G35" t="str">
        <f>"ACCT#9725-001/REC BASE/PCT#2"</f>
        <v>ACCT#9725-001/REC BASE/PCT#2</v>
      </c>
      <c r="H35">
        <v>2747.42</v>
      </c>
      <c r="I35" t="str">
        <f>"ACCT#9725-001/REC BASE/PCT#2"</f>
        <v>ACCT#9725-001/REC BASE/PCT#2</v>
      </c>
    </row>
    <row r="36" spans="1:9" x14ac:dyDescent="0.3">
      <c r="A36" t="str">
        <f>""</f>
        <v/>
      </c>
      <c r="F36" t="str">
        <f>"9725-001-100145"</f>
        <v>9725-001-100145</v>
      </c>
      <c r="G36" t="str">
        <f>"ACCT#9725-001/REC BASE/PCT#2"</f>
        <v>ACCT#9725-001/REC BASE/PCT#2</v>
      </c>
      <c r="H36">
        <v>1225.27</v>
      </c>
      <c r="I36" t="str">
        <f>"ACCT#9725-001/REC BASE/PCT#2"</f>
        <v>ACCT#9725-001/REC BASE/PCT#2</v>
      </c>
    </row>
    <row r="37" spans="1:9" x14ac:dyDescent="0.3">
      <c r="A37" t="str">
        <f>""</f>
        <v/>
      </c>
      <c r="F37" t="str">
        <f>"9725-001-100215"</f>
        <v>9725-001-100215</v>
      </c>
      <c r="G37" t="str">
        <f>"ACCT#9725-001/REC BASE/PCT#2"</f>
        <v>ACCT#9725-001/REC BASE/PCT#2</v>
      </c>
      <c r="H37">
        <v>2094.75</v>
      </c>
      <c r="I37" t="str">
        <f>"ACCT#9725-001/REC BASE/PCT#2"</f>
        <v>ACCT#9725-001/REC BASE/PCT#2</v>
      </c>
    </row>
    <row r="38" spans="1:9" x14ac:dyDescent="0.3">
      <c r="A38" t="str">
        <f>""</f>
        <v/>
      </c>
      <c r="F38" t="str">
        <f>"9725-001-100273"</f>
        <v>9725-001-100273</v>
      </c>
      <c r="G38" t="str">
        <f>"ACCT#9725-001/REC BASE/PCT#2"</f>
        <v>ACCT#9725-001/REC BASE/PCT#2</v>
      </c>
      <c r="H38">
        <v>2040.68</v>
      </c>
      <c r="I38" t="str">
        <f>"ACCT#9725-001/REC BASE/PCT#2"</f>
        <v>ACCT#9725-001/REC BASE/PCT#2</v>
      </c>
    </row>
    <row r="39" spans="1:9" x14ac:dyDescent="0.3">
      <c r="A39" t="str">
        <f>""</f>
        <v/>
      </c>
      <c r="F39" t="str">
        <f>"9725-017-100065"</f>
        <v>9725-017-100065</v>
      </c>
      <c r="G39" t="str">
        <f t="shared" ref="G39:G48" si="0">"ACCT#9725-017/REC BASE/PCT#2"</f>
        <v>ACCT#9725-017/REC BASE/PCT#2</v>
      </c>
      <c r="H39">
        <v>2817.07</v>
      </c>
      <c r="I39" t="str">
        <f t="shared" ref="I39:I48" si="1">"ACCT#9725-017/REC BASE/PCT#2"</f>
        <v>ACCT#9725-017/REC BASE/PCT#2</v>
      </c>
    </row>
    <row r="40" spans="1:9" x14ac:dyDescent="0.3">
      <c r="A40" t="str">
        <f>""</f>
        <v/>
      </c>
      <c r="F40" t="str">
        <f>"9725-017-100105"</f>
        <v>9725-017-100105</v>
      </c>
      <c r="G40" t="str">
        <f t="shared" si="0"/>
        <v>ACCT#9725-017/REC BASE/PCT#2</v>
      </c>
      <c r="H40">
        <v>1990.56</v>
      </c>
      <c r="I40" t="str">
        <f t="shared" si="1"/>
        <v>ACCT#9725-017/REC BASE/PCT#2</v>
      </c>
    </row>
    <row r="41" spans="1:9" x14ac:dyDescent="0.3">
      <c r="A41" t="str">
        <f>""</f>
        <v/>
      </c>
      <c r="F41" t="str">
        <f>"9725-017-100138"</f>
        <v>9725-017-100138</v>
      </c>
      <c r="G41" t="str">
        <f t="shared" si="0"/>
        <v>ACCT#9725-017/REC BASE/PCT#2</v>
      </c>
      <c r="H41">
        <v>3202.78</v>
      </c>
      <c r="I41" t="str">
        <f t="shared" si="1"/>
        <v>ACCT#9725-017/REC BASE/PCT#2</v>
      </c>
    </row>
    <row r="42" spans="1:9" x14ac:dyDescent="0.3">
      <c r="A42" t="str">
        <f>""</f>
        <v/>
      </c>
      <c r="F42" t="str">
        <f>"9725-017-100168"</f>
        <v>9725-017-100168</v>
      </c>
      <c r="G42" t="str">
        <f t="shared" si="0"/>
        <v>ACCT#9725-017/REC BASE/PCT#2</v>
      </c>
      <c r="H42">
        <v>2626.94</v>
      </c>
      <c r="I42" t="str">
        <f t="shared" si="1"/>
        <v>ACCT#9725-017/REC BASE/PCT#2</v>
      </c>
    </row>
    <row r="43" spans="1:9" x14ac:dyDescent="0.3">
      <c r="A43" t="str">
        <f>""</f>
        <v/>
      </c>
      <c r="F43" t="str">
        <f>"9725-017-100205"</f>
        <v>9725-017-100205</v>
      </c>
      <c r="G43" t="str">
        <f t="shared" si="0"/>
        <v>ACCT#9725-017/REC BASE/PCT#2</v>
      </c>
      <c r="H43">
        <v>1293.3599999999999</v>
      </c>
      <c r="I43" t="str">
        <f t="shared" si="1"/>
        <v>ACCT#9725-017/REC BASE/PCT#2</v>
      </c>
    </row>
    <row r="44" spans="1:9" x14ac:dyDescent="0.3">
      <c r="A44" t="str">
        <f>""</f>
        <v/>
      </c>
      <c r="F44" t="str">
        <f>"9725-017-100255"</f>
        <v>9725-017-100255</v>
      </c>
      <c r="G44" t="str">
        <f t="shared" si="0"/>
        <v>ACCT#9725-017/REC BASE/PCT#2</v>
      </c>
      <c r="H44">
        <v>1641.08</v>
      </c>
      <c r="I44" t="str">
        <f t="shared" si="1"/>
        <v>ACCT#9725-017/REC BASE/PCT#2</v>
      </c>
    </row>
    <row r="45" spans="1:9" x14ac:dyDescent="0.3">
      <c r="A45" t="str">
        <f>""</f>
        <v/>
      </c>
      <c r="F45" t="str">
        <f>"9725-017-100289"</f>
        <v>9725-017-100289</v>
      </c>
      <c r="G45" t="str">
        <f t="shared" si="0"/>
        <v>ACCT#9725-017/REC BASE/PCT#2</v>
      </c>
      <c r="H45">
        <v>2875.7</v>
      </c>
      <c r="I45" t="str">
        <f t="shared" si="1"/>
        <v>ACCT#9725-017/REC BASE/PCT#2</v>
      </c>
    </row>
    <row r="46" spans="1:9" x14ac:dyDescent="0.3">
      <c r="A46" t="str">
        <f>""</f>
        <v/>
      </c>
      <c r="F46" t="str">
        <f>"9725-017-100323"</f>
        <v>9725-017-100323</v>
      </c>
      <c r="G46" t="str">
        <f t="shared" si="0"/>
        <v>ACCT#9725-017/REC BASE/PCT#2</v>
      </c>
      <c r="H46">
        <v>2160.29</v>
      </c>
      <c r="I46" t="str">
        <f t="shared" si="1"/>
        <v>ACCT#9725-017/REC BASE/PCT#2</v>
      </c>
    </row>
    <row r="47" spans="1:9" x14ac:dyDescent="0.3">
      <c r="A47" t="str">
        <f>""</f>
        <v/>
      </c>
      <c r="F47" t="str">
        <f>"9725-017-100359"</f>
        <v>9725-017-100359</v>
      </c>
      <c r="G47" t="str">
        <f t="shared" si="0"/>
        <v>ACCT#9725-017/REC BASE/PCT#2</v>
      </c>
      <c r="H47">
        <v>1520.5</v>
      </c>
      <c r="I47" t="str">
        <f t="shared" si="1"/>
        <v>ACCT#9725-017/REC BASE/PCT#2</v>
      </c>
    </row>
    <row r="48" spans="1:9" x14ac:dyDescent="0.3">
      <c r="A48" t="str">
        <f>""</f>
        <v/>
      </c>
      <c r="F48" t="str">
        <f>"9725-017-100396"</f>
        <v>9725-017-100396</v>
      </c>
      <c r="G48" t="str">
        <f t="shared" si="0"/>
        <v>ACCT#9725-017/REC BASE/PCT#2</v>
      </c>
      <c r="H48">
        <v>1581.23</v>
      </c>
      <c r="I48" t="str">
        <f t="shared" si="1"/>
        <v>ACCT#9725-017/REC BASE/PCT#2</v>
      </c>
    </row>
    <row r="49" spans="1:9" x14ac:dyDescent="0.3">
      <c r="A49" t="str">
        <f>"002656"</f>
        <v>002656</v>
      </c>
      <c r="B49" t="s">
        <v>12</v>
      </c>
      <c r="C49">
        <v>76532</v>
      </c>
      <c r="D49" s="2">
        <v>210</v>
      </c>
      <c r="E49" s="1">
        <v>43234</v>
      </c>
      <c r="F49" t="str">
        <f>"201805030741"</f>
        <v>201805030741</v>
      </c>
      <c r="G49" t="str">
        <f>"REUND COUPONS"</f>
        <v>REUND COUPONS</v>
      </c>
      <c r="H49">
        <v>210</v>
      </c>
      <c r="I49" t="str">
        <f>"REUND COUPONS"</f>
        <v>REUND COUPONS</v>
      </c>
    </row>
    <row r="50" spans="1:9" x14ac:dyDescent="0.3">
      <c r="A50" t="str">
        <f>"ALINE"</f>
        <v>ALINE</v>
      </c>
      <c r="B50" t="s">
        <v>13</v>
      </c>
      <c r="C50">
        <v>76533</v>
      </c>
      <c r="D50" s="2">
        <v>284.20999999999998</v>
      </c>
      <c r="E50" s="1">
        <v>43234</v>
      </c>
      <c r="F50" t="str">
        <f>"304957"</f>
        <v>304957</v>
      </c>
      <c r="G50" t="str">
        <f>"CUST ID#16500/PCT#4"</f>
        <v>CUST ID#16500/PCT#4</v>
      </c>
      <c r="H50">
        <v>284.20999999999998</v>
      </c>
      <c r="I50" t="str">
        <f>"CUST ID#16500/PCT#4"</f>
        <v>CUST ID#16500/PCT#4</v>
      </c>
    </row>
    <row r="51" spans="1:9" x14ac:dyDescent="0.3">
      <c r="A51" t="str">
        <f>"005360"</f>
        <v>005360</v>
      </c>
      <c r="B51" t="s">
        <v>14</v>
      </c>
      <c r="C51">
        <v>76534</v>
      </c>
      <c r="D51" s="2">
        <v>250</v>
      </c>
      <c r="E51" s="1">
        <v>43234</v>
      </c>
      <c r="F51" t="str">
        <f>"201805070858"</f>
        <v>201805070858</v>
      </c>
      <c r="G51" t="str">
        <f>"ACCT#17181002/ANALYSIS OF INFO"</f>
        <v>ACCT#17181002/ANALYSIS OF INFO</v>
      </c>
      <c r="H51">
        <v>250</v>
      </c>
      <c r="I51" t="str">
        <f>"ACCT#17181002/ANALYSIS OF INFO"</f>
        <v>ACCT#17181002/ANALYSIS OF INFO</v>
      </c>
    </row>
    <row r="52" spans="1:9" x14ac:dyDescent="0.3">
      <c r="A52" t="str">
        <f>"002048"</f>
        <v>002048</v>
      </c>
      <c r="B52" t="s">
        <v>15</v>
      </c>
      <c r="C52">
        <v>999999</v>
      </c>
      <c r="D52" s="2">
        <v>9002.02</v>
      </c>
      <c r="E52" s="1">
        <v>43235</v>
      </c>
      <c r="F52" t="str">
        <f>"201805090950"</f>
        <v>201805090950</v>
      </c>
      <c r="G52" t="str">
        <f>"HAULING EXPS 4/13-5/7/PCT#4"</f>
        <v>HAULING EXPS 4/13-5/7/PCT#4</v>
      </c>
      <c r="H52">
        <v>7612.83</v>
      </c>
      <c r="I52" t="str">
        <f>"HAULING EXPS 4/13-5/7/PCT#4"</f>
        <v>HAULING EXPS 4/13-5/7/PCT#4</v>
      </c>
    </row>
    <row r="53" spans="1:9" x14ac:dyDescent="0.3">
      <c r="A53" t="str">
        <f>""</f>
        <v/>
      </c>
      <c r="F53" t="str">
        <f>"201805091001"</f>
        <v>201805091001</v>
      </c>
      <c r="G53" t="str">
        <f>"HAULING EXPS 04/16-05/07/PCT#1"</f>
        <v>HAULING EXPS 04/16-05/07/PCT#1</v>
      </c>
      <c r="H53">
        <v>1389.19</v>
      </c>
      <c r="I53" t="str">
        <f>"HAULING EXPS 04/16-05/07/PCT#1"</f>
        <v>HAULING EXPS 04/16-05/07/PCT#1</v>
      </c>
    </row>
    <row r="54" spans="1:9" x14ac:dyDescent="0.3">
      <c r="A54" t="str">
        <f>"002048"</f>
        <v>002048</v>
      </c>
      <c r="B54" t="s">
        <v>15</v>
      </c>
      <c r="C54">
        <v>999999</v>
      </c>
      <c r="D54" s="2">
        <v>3392.82</v>
      </c>
      <c r="E54" s="1">
        <v>43250</v>
      </c>
      <c r="F54" t="str">
        <f>"201805211091"</f>
        <v>201805211091</v>
      </c>
      <c r="G54" t="str">
        <f>"HAULING EXPENSES 5/8-5/16/PCT1"</f>
        <v>HAULING EXPENSES 5/8-5/16/PCT1</v>
      </c>
      <c r="H54">
        <v>793.8</v>
      </c>
      <c r="I54" t="str">
        <f>"HAULING EXPENSES 5/8-5/16/PCT1"</f>
        <v>HAULING EXPENSES 5/8-5/16/PCT1</v>
      </c>
    </row>
    <row r="55" spans="1:9" x14ac:dyDescent="0.3">
      <c r="A55" t="str">
        <f>""</f>
        <v/>
      </c>
      <c r="F55" t="str">
        <f>"201805211092"</f>
        <v>201805211092</v>
      </c>
      <c r="G55" t="str">
        <f>"HAULING EXPENSES 5/08-5/16/P4"</f>
        <v>HAULING EXPENSES 5/08-5/16/P4</v>
      </c>
      <c r="H55">
        <v>2599.02</v>
      </c>
      <c r="I55" t="str">
        <f>"HAULING EXPENSES 5/08-5/16/P4"</f>
        <v>HAULING EXPENSES 5/08-5/16/P4</v>
      </c>
    </row>
    <row r="56" spans="1:9" x14ac:dyDescent="0.3">
      <c r="A56" t="str">
        <f>"AAA"</f>
        <v>AAA</v>
      </c>
      <c r="B56" t="s">
        <v>16</v>
      </c>
      <c r="C56">
        <v>999999</v>
      </c>
      <c r="D56" s="2">
        <v>447</v>
      </c>
      <c r="E56" s="1">
        <v>43235</v>
      </c>
      <c r="F56" t="str">
        <f>"300132"</f>
        <v>300132</v>
      </c>
      <c r="G56" t="str">
        <f>"FIRE EXTINGUISHER MAINT SERV"</f>
        <v>FIRE EXTINGUISHER MAINT SERV</v>
      </c>
      <c r="H56">
        <v>227</v>
      </c>
      <c r="I56" t="str">
        <f>"FIRE EXTINGUISHER MAINT SERV"</f>
        <v>FIRE EXTINGUISHER MAINT SERV</v>
      </c>
    </row>
    <row r="57" spans="1:9" x14ac:dyDescent="0.3">
      <c r="A57" t="str">
        <f>""</f>
        <v/>
      </c>
      <c r="F57" t="str">
        <f>"300134"</f>
        <v>300134</v>
      </c>
      <c r="G57" t="str">
        <f>"FIRE EXT MAINT/PCT#1"</f>
        <v>FIRE EXT MAINT/PCT#1</v>
      </c>
      <c r="H57">
        <v>220</v>
      </c>
      <c r="I57" t="str">
        <f>"FIRE EXT MAINT/PCT#1"</f>
        <v>FIRE EXT MAINT/PCT#1</v>
      </c>
    </row>
    <row r="58" spans="1:9" x14ac:dyDescent="0.3">
      <c r="A58" t="str">
        <f>"AAA"</f>
        <v>AAA</v>
      </c>
      <c r="B58" t="s">
        <v>16</v>
      </c>
      <c r="C58">
        <v>999999</v>
      </c>
      <c r="D58" s="2">
        <v>2379.5</v>
      </c>
      <c r="E58" s="1">
        <v>43250</v>
      </c>
      <c r="F58" t="str">
        <f>"300133"</f>
        <v>300133</v>
      </c>
      <c r="G58" t="str">
        <f>"ANNUAL FIRE EXT MAINT"</f>
        <v>ANNUAL FIRE EXT MAINT</v>
      </c>
      <c r="H58">
        <v>35</v>
      </c>
      <c r="I58" t="str">
        <f>"ANNUAL FIRE EXT MAINT"</f>
        <v>ANNUAL FIRE EXT MAINT</v>
      </c>
    </row>
    <row r="59" spans="1:9" x14ac:dyDescent="0.3">
      <c r="A59" t="str">
        <f>""</f>
        <v/>
      </c>
      <c r="F59" t="str">
        <f>"301473"</f>
        <v>301473</v>
      </c>
      <c r="G59" t="str">
        <f>"FIRE EXTINGUISHER MAINT/PCT#3"</f>
        <v>FIRE EXTINGUISHER MAINT/PCT#3</v>
      </c>
      <c r="H59">
        <v>365</v>
      </c>
      <c r="I59" t="str">
        <f>"FIRE EXTINGUISHER MAINT/PCT#3"</f>
        <v>FIRE EXTINGUISHER MAINT/PCT#3</v>
      </c>
    </row>
    <row r="60" spans="1:9" x14ac:dyDescent="0.3">
      <c r="A60" t="str">
        <f>""</f>
        <v/>
      </c>
      <c r="F60" t="str">
        <f>"301919/301866/3018"</f>
        <v>301919/301866/3018</v>
      </c>
      <c r="G60" t="str">
        <f>"INV301919"</f>
        <v>INV301919</v>
      </c>
      <c r="H60">
        <v>1979.5</v>
      </c>
      <c r="I60" t="str">
        <f>"INV301919"</f>
        <v>INV301919</v>
      </c>
    </row>
    <row r="61" spans="1:9" x14ac:dyDescent="0.3">
      <c r="A61" t="str">
        <f>""</f>
        <v/>
      </c>
      <c r="F61" t="str">
        <f>""</f>
        <v/>
      </c>
      <c r="G61" t="str">
        <f>""</f>
        <v/>
      </c>
      <c r="I61" t="str">
        <f>"INV301866"</f>
        <v>INV301866</v>
      </c>
    </row>
    <row r="62" spans="1:9" x14ac:dyDescent="0.3">
      <c r="A62" t="str">
        <f>""</f>
        <v/>
      </c>
      <c r="F62" t="str">
        <f>""</f>
        <v/>
      </c>
      <c r="G62" t="str">
        <f>""</f>
        <v/>
      </c>
      <c r="I62" t="str">
        <f>"INV301876"</f>
        <v>INV301876</v>
      </c>
    </row>
    <row r="63" spans="1:9" x14ac:dyDescent="0.3">
      <c r="A63" t="str">
        <f>"000954"</f>
        <v>000954</v>
      </c>
      <c r="B63" t="s">
        <v>17</v>
      </c>
      <c r="C63">
        <v>76535</v>
      </c>
      <c r="D63" s="2">
        <v>775</v>
      </c>
      <c r="E63" s="1">
        <v>43234</v>
      </c>
      <c r="F63" t="str">
        <f>"201805090926"</f>
        <v>201805090926</v>
      </c>
      <c r="G63" t="str">
        <f>"17-18757"</f>
        <v>17-18757</v>
      </c>
      <c r="H63">
        <v>100</v>
      </c>
      <c r="I63" t="str">
        <f>"17-18757"</f>
        <v>17-18757</v>
      </c>
    </row>
    <row r="64" spans="1:9" x14ac:dyDescent="0.3">
      <c r="A64" t="str">
        <f>""</f>
        <v/>
      </c>
      <c r="F64" t="str">
        <f>"201805090927"</f>
        <v>201805090927</v>
      </c>
      <c r="G64" t="str">
        <f>"18-18827"</f>
        <v>18-18827</v>
      </c>
      <c r="H64">
        <v>145</v>
      </c>
      <c r="I64" t="str">
        <f>"18-18827"</f>
        <v>18-18827</v>
      </c>
    </row>
    <row r="65" spans="1:9" x14ac:dyDescent="0.3">
      <c r="A65" t="str">
        <f>""</f>
        <v/>
      </c>
      <c r="F65" t="str">
        <f>"201805090928"</f>
        <v>201805090928</v>
      </c>
      <c r="G65" t="str">
        <f>"16-17614"</f>
        <v>16-17614</v>
      </c>
      <c r="H65">
        <v>122.5</v>
      </c>
      <c r="I65" t="str">
        <f>"16-17614"</f>
        <v>16-17614</v>
      </c>
    </row>
    <row r="66" spans="1:9" x14ac:dyDescent="0.3">
      <c r="A66" t="str">
        <f>""</f>
        <v/>
      </c>
      <c r="F66" t="str">
        <f>"201805090929"</f>
        <v>201805090929</v>
      </c>
      <c r="G66" t="str">
        <f>"17-18392"</f>
        <v>17-18392</v>
      </c>
      <c r="H66">
        <v>105</v>
      </c>
      <c r="I66" t="str">
        <f>"17-18392"</f>
        <v>17-18392</v>
      </c>
    </row>
    <row r="67" spans="1:9" x14ac:dyDescent="0.3">
      <c r="A67" t="str">
        <f>""</f>
        <v/>
      </c>
      <c r="F67" t="str">
        <f>"201805090930"</f>
        <v>201805090930</v>
      </c>
      <c r="G67" t="str">
        <f>"17-18788"</f>
        <v>17-18788</v>
      </c>
      <c r="H67">
        <v>30</v>
      </c>
      <c r="I67" t="str">
        <f>"17-18788"</f>
        <v>17-18788</v>
      </c>
    </row>
    <row r="68" spans="1:9" x14ac:dyDescent="0.3">
      <c r="A68" t="str">
        <f>""</f>
        <v/>
      </c>
      <c r="F68" t="str">
        <f>"201805090931"</f>
        <v>201805090931</v>
      </c>
      <c r="G68" t="str">
        <f>"17-18635"</f>
        <v>17-18635</v>
      </c>
      <c r="H68">
        <v>212.5</v>
      </c>
      <c r="I68" t="str">
        <f>"17-18635"</f>
        <v>17-18635</v>
      </c>
    </row>
    <row r="69" spans="1:9" x14ac:dyDescent="0.3">
      <c r="A69" t="str">
        <f>""</f>
        <v/>
      </c>
      <c r="F69" t="str">
        <f>"201805090932"</f>
        <v>201805090932</v>
      </c>
      <c r="G69" t="str">
        <f>"14-16907"</f>
        <v>14-16907</v>
      </c>
      <c r="H69">
        <v>60</v>
      </c>
      <c r="I69" t="str">
        <f>"14-16907"</f>
        <v>14-16907</v>
      </c>
    </row>
    <row r="70" spans="1:9" x14ac:dyDescent="0.3">
      <c r="A70" t="str">
        <f>"003117"</f>
        <v>003117</v>
      </c>
      <c r="B70" t="s">
        <v>18</v>
      </c>
      <c r="C70">
        <v>999999</v>
      </c>
      <c r="D70" s="2">
        <v>454.42</v>
      </c>
      <c r="E70" s="1">
        <v>43235</v>
      </c>
      <c r="F70" t="str">
        <f>"201805080882"</f>
        <v>201805080882</v>
      </c>
      <c r="G70" t="str">
        <f>"REIMBURSE- HOTEL CHARGES"</f>
        <v>REIMBURSE- HOTEL CHARGES</v>
      </c>
      <c r="H70">
        <v>297.35000000000002</v>
      </c>
      <c r="I70" t="str">
        <f>"REIMBURSE- HOTEL CHARGES"</f>
        <v>REIMBURSE- HOTEL CHARGES</v>
      </c>
    </row>
    <row r="71" spans="1:9" x14ac:dyDescent="0.3">
      <c r="A71" t="str">
        <f>""</f>
        <v/>
      </c>
      <c r="F71" t="str">
        <f>"201805080883"</f>
        <v>201805080883</v>
      </c>
      <c r="G71" t="str">
        <f>"REIMBURSE-HOTEL CHARGES"</f>
        <v>REIMBURSE-HOTEL CHARGES</v>
      </c>
      <c r="H71">
        <v>157.07</v>
      </c>
      <c r="I71" t="str">
        <f>"REIMBURSE-HOTEL CHARGES"</f>
        <v>REIMBURSE-HOTEL CHARGES</v>
      </c>
    </row>
    <row r="72" spans="1:9" x14ac:dyDescent="0.3">
      <c r="A72" t="str">
        <f>"003117"</f>
        <v>003117</v>
      </c>
      <c r="B72" t="s">
        <v>18</v>
      </c>
      <c r="C72">
        <v>999999</v>
      </c>
      <c r="D72" s="2">
        <v>587.84</v>
      </c>
      <c r="E72" s="1">
        <v>43250</v>
      </c>
      <c r="F72" t="str">
        <f>"201805211088"</f>
        <v>201805211088</v>
      </c>
      <c r="G72" t="str">
        <f>"REIMBURSE PARKING/MAIL/STORAGE"</f>
        <v>REIMBURSE PARKING/MAIL/STORAGE</v>
      </c>
      <c r="H72">
        <v>222.84</v>
      </c>
      <c r="I72" t="str">
        <f>"REIMBURSE PARKING/MAIL/STORAGE"</f>
        <v>REIMBURSE PARKING/MAIL/STORAGE</v>
      </c>
    </row>
    <row r="73" spans="1:9" x14ac:dyDescent="0.3">
      <c r="A73" t="str">
        <f>""</f>
        <v/>
      </c>
      <c r="F73" t="str">
        <f>"201805221109"</f>
        <v>201805221109</v>
      </c>
      <c r="G73" t="str">
        <f>"REIMBURSE ARCIT REGISTRATION"</f>
        <v>REIMBURSE ARCIT REGISTRATION</v>
      </c>
      <c r="H73">
        <v>265</v>
      </c>
      <c r="I73" t="str">
        <f>"REIMBURSE ARCIT REGISTRATION"</f>
        <v>REIMBURSE ARCIT REGISTRATION</v>
      </c>
    </row>
    <row r="74" spans="1:9" x14ac:dyDescent="0.3">
      <c r="A74" t="str">
        <f>""</f>
        <v/>
      </c>
      <c r="F74" t="str">
        <f>"201805231170"</f>
        <v>201805231170</v>
      </c>
      <c r="G74" t="str">
        <f>"REIMBURSE TACVB SPONSORSHIP"</f>
        <v>REIMBURSE TACVB SPONSORSHIP</v>
      </c>
      <c r="H74">
        <v>100</v>
      </c>
      <c r="I74" t="str">
        <f>"REIMBURSE TACVB SPONSORSHIP"</f>
        <v>REIMBURSE TACVB SPONSORSHIP</v>
      </c>
    </row>
    <row r="75" spans="1:9" x14ac:dyDescent="0.3">
      <c r="A75" t="str">
        <f>"002810"</f>
        <v>002810</v>
      </c>
      <c r="B75" t="s">
        <v>19</v>
      </c>
      <c r="C75">
        <v>76536</v>
      </c>
      <c r="D75" s="2">
        <v>4584.8</v>
      </c>
      <c r="E75" s="1">
        <v>43234</v>
      </c>
      <c r="F75" t="str">
        <f>"68260"</f>
        <v>68260</v>
      </c>
      <c r="G75" t="str">
        <f>"MBR INC"</f>
        <v>MBR INC</v>
      </c>
      <c r="H75">
        <v>4584.8</v>
      </c>
      <c r="I75" t="str">
        <f>"AG StickerFactory"</f>
        <v>AG StickerFactory</v>
      </c>
    </row>
    <row r="76" spans="1:9" x14ac:dyDescent="0.3">
      <c r="A76" t="str">
        <f>""</f>
        <v/>
      </c>
      <c r="F76" t="str">
        <f>""</f>
        <v/>
      </c>
      <c r="G76" t="str">
        <f>""</f>
        <v/>
      </c>
      <c r="I76" t="str">
        <f>"5 pk Red Tip Blades"</f>
        <v>5 pk Red Tip Blades</v>
      </c>
    </row>
    <row r="77" spans="1:9" x14ac:dyDescent="0.3">
      <c r="A77" t="str">
        <f>""</f>
        <v/>
      </c>
      <c r="F77" t="str">
        <f>""</f>
        <v/>
      </c>
      <c r="G77" t="str">
        <f>""</f>
        <v/>
      </c>
      <c r="I77" t="str">
        <f>"Onsite Install"</f>
        <v>Onsite Install</v>
      </c>
    </row>
    <row r="78" spans="1:9" x14ac:dyDescent="0.3">
      <c r="A78" t="str">
        <f>""</f>
        <v/>
      </c>
      <c r="F78" t="str">
        <f>""</f>
        <v/>
      </c>
      <c r="G78" t="str">
        <f>""</f>
        <v/>
      </c>
      <c r="I78" t="str">
        <f>"S &amp; H"</f>
        <v>S &amp; H</v>
      </c>
    </row>
    <row r="79" spans="1:9" x14ac:dyDescent="0.3">
      <c r="A79" t="str">
        <f>"NPP"</f>
        <v>NPP</v>
      </c>
      <c r="B79" t="s">
        <v>20</v>
      </c>
      <c r="C79">
        <v>999999</v>
      </c>
      <c r="D79" s="2">
        <v>700</v>
      </c>
      <c r="E79" s="1">
        <v>43235</v>
      </c>
      <c r="F79" t="str">
        <f>"201804250439"</f>
        <v>201804250439</v>
      </c>
      <c r="G79" t="str">
        <f>"15029"</f>
        <v>15029</v>
      </c>
      <c r="H79">
        <v>400</v>
      </c>
      <c r="I79" t="str">
        <f>"15029"</f>
        <v>15029</v>
      </c>
    </row>
    <row r="80" spans="1:9" x14ac:dyDescent="0.3">
      <c r="A80" t="str">
        <f>""</f>
        <v/>
      </c>
      <c r="F80" t="str">
        <f>"201805080885"</f>
        <v>201805080885</v>
      </c>
      <c r="G80" t="str">
        <f>"55176"</f>
        <v>55176</v>
      </c>
      <c r="H80">
        <v>300</v>
      </c>
      <c r="I80" t="str">
        <f>"55176"</f>
        <v>55176</v>
      </c>
    </row>
    <row r="81" spans="1:10" x14ac:dyDescent="0.3">
      <c r="A81" t="str">
        <f>"NPP"</f>
        <v>NPP</v>
      </c>
      <c r="B81" t="s">
        <v>20</v>
      </c>
      <c r="C81">
        <v>999999</v>
      </c>
      <c r="D81" s="2">
        <v>1000</v>
      </c>
      <c r="E81" s="1">
        <v>43250</v>
      </c>
      <c r="F81" t="str">
        <f>"201805171061"</f>
        <v>201805171061</v>
      </c>
      <c r="G81" t="str">
        <f>"16410"</f>
        <v>16410</v>
      </c>
      <c r="H81">
        <v>400</v>
      </c>
      <c r="I81" t="str">
        <f>"16410"</f>
        <v>16410</v>
      </c>
    </row>
    <row r="82" spans="1:10" x14ac:dyDescent="0.3">
      <c r="A82" t="str">
        <f>""</f>
        <v/>
      </c>
      <c r="F82" t="str">
        <f>"201805171062"</f>
        <v>201805171062</v>
      </c>
      <c r="G82" t="str">
        <f>"C170106"</f>
        <v>C170106</v>
      </c>
      <c r="H82">
        <v>200</v>
      </c>
      <c r="I82" t="str">
        <f>"C170106"</f>
        <v>C170106</v>
      </c>
    </row>
    <row r="83" spans="1:10" x14ac:dyDescent="0.3">
      <c r="A83" t="str">
        <f>""</f>
        <v/>
      </c>
      <c r="F83" t="str">
        <f>"201805211085"</f>
        <v>201805211085</v>
      </c>
      <c r="G83" t="str">
        <f>"16515"</f>
        <v>16515</v>
      </c>
      <c r="H83">
        <v>400</v>
      </c>
      <c r="I83" t="str">
        <f>"16515"</f>
        <v>16515</v>
      </c>
    </row>
    <row r="84" spans="1:10" x14ac:dyDescent="0.3">
      <c r="A84" t="str">
        <f>"T3798"</f>
        <v>T3798</v>
      </c>
      <c r="B84" t="s">
        <v>21</v>
      </c>
      <c r="C84">
        <v>76829</v>
      </c>
      <c r="D84" s="2">
        <v>833</v>
      </c>
      <c r="E84" s="1">
        <v>43249</v>
      </c>
      <c r="F84" t="str">
        <f>"18-0634"</f>
        <v>18-0634</v>
      </c>
      <c r="G84" t="str">
        <f>"INV 18-0634"</f>
        <v>INV 18-0634</v>
      </c>
      <c r="H84">
        <v>833</v>
      </c>
      <c r="I84" t="str">
        <f>"INV 18-0634"</f>
        <v>INV 18-0634</v>
      </c>
    </row>
    <row r="85" spans="1:10" x14ac:dyDescent="0.3">
      <c r="A85" t="str">
        <f>"003796"</f>
        <v>003796</v>
      </c>
      <c r="B85" t="s">
        <v>22</v>
      </c>
      <c r="C85">
        <v>76537</v>
      </c>
      <c r="D85" s="2">
        <v>292.7</v>
      </c>
      <c r="E85" s="1">
        <v>43234</v>
      </c>
      <c r="F85" t="str">
        <f>"201805040783"</f>
        <v>201805040783</v>
      </c>
      <c r="G85" t="str">
        <f>"CRIMINAL CCL 4/26/18"</f>
        <v>CRIMINAL CCL 4/26/18</v>
      </c>
      <c r="H85">
        <v>292.7</v>
      </c>
      <c r="I85" t="str">
        <f>"CRIMINAL CCL 4/26/18"</f>
        <v>CRIMINAL CCL 4/26/18</v>
      </c>
    </row>
    <row r="86" spans="1:10" x14ac:dyDescent="0.3">
      <c r="A86" t="str">
        <f>"003796"</f>
        <v>003796</v>
      </c>
      <c r="B86" t="s">
        <v>22</v>
      </c>
      <c r="C86">
        <v>76830</v>
      </c>
      <c r="D86" s="2">
        <v>227.7</v>
      </c>
      <c r="E86" s="1">
        <v>43249</v>
      </c>
      <c r="F86" t="str">
        <f>"201805161048"</f>
        <v>201805161048</v>
      </c>
      <c r="G86" t="str">
        <f>"423-5253  16411"</f>
        <v>423-5253  16411</v>
      </c>
      <c r="H86">
        <v>227.7</v>
      </c>
      <c r="I86" t="str">
        <f>"423-5253  16411"</f>
        <v>423-5253  16411</v>
      </c>
    </row>
    <row r="87" spans="1:10" x14ac:dyDescent="0.3">
      <c r="A87" t="str">
        <f>"005335"</f>
        <v>005335</v>
      </c>
      <c r="B87" t="s">
        <v>23</v>
      </c>
      <c r="C87">
        <v>76538</v>
      </c>
      <c r="D87" s="2">
        <v>30</v>
      </c>
      <c r="E87" s="1">
        <v>43234</v>
      </c>
      <c r="F87" t="s">
        <v>24</v>
      </c>
      <c r="G87" t="s">
        <v>25</v>
      </c>
      <c r="H87" t="str">
        <f>"RESTITUTION-T. CHURCH"</f>
        <v>RESTITUTION-T. CHURCH</v>
      </c>
      <c r="I87" t="str">
        <f>"210-0000"</f>
        <v>210-0000</v>
      </c>
      <c r="J87" t="str">
        <f>""</f>
        <v/>
      </c>
    </row>
    <row r="88" spans="1:10" x14ac:dyDescent="0.3">
      <c r="A88" t="str">
        <f>"005237"</f>
        <v>005237</v>
      </c>
      <c r="B88" t="s">
        <v>26</v>
      </c>
      <c r="C88">
        <v>999999</v>
      </c>
      <c r="D88" s="2">
        <v>782.41</v>
      </c>
      <c r="E88" s="1">
        <v>43235</v>
      </c>
      <c r="F88" t="str">
        <f>"1CFV-NJC9-NPPJ"</f>
        <v>1CFV-NJC9-NPPJ</v>
      </c>
      <c r="G88" t="str">
        <f>"DCK299D1T1"</f>
        <v>DCK299D1T1</v>
      </c>
      <c r="H88">
        <v>309.99</v>
      </c>
      <c r="I88" t="str">
        <f>"DCK299D1T1"</f>
        <v>DCK299D1T1</v>
      </c>
    </row>
    <row r="89" spans="1:10" x14ac:dyDescent="0.3">
      <c r="A89" t="str">
        <f>""</f>
        <v/>
      </c>
      <c r="F89" t="str">
        <f>"1F31-DCY3-4JPR"</f>
        <v>1F31-DCY3-4JPR</v>
      </c>
      <c r="G89" t="str">
        <f>"RUBBER BLOCKS"</f>
        <v>RUBBER BLOCKS</v>
      </c>
      <c r="H89">
        <v>59.92</v>
      </c>
      <c r="I89" t="str">
        <f>"BUNKERWALL BW3431"</f>
        <v>BUNKERWALL BW3431</v>
      </c>
    </row>
    <row r="90" spans="1:10" x14ac:dyDescent="0.3">
      <c r="A90" t="str">
        <f>""</f>
        <v/>
      </c>
      <c r="F90" t="str">
        <f>"1G7F-WCW7-WMLJ"</f>
        <v>1G7F-WCW7-WMLJ</v>
      </c>
      <c r="G90" t="str">
        <f>"Enclosed Trailer Parts"</f>
        <v>Enclosed Trailer Parts</v>
      </c>
      <c r="H90">
        <v>270.51</v>
      </c>
      <c r="I90" t="str">
        <f>"Gas &amp; Go Cart"</f>
        <v>Gas &amp; Go Cart</v>
      </c>
    </row>
    <row r="91" spans="1:10" x14ac:dyDescent="0.3">
      <c r="A91" t="str">
        <f>""</f>
        <v/>
      </c>
      <c r="F91" t="str">
        <f>"1RH3-H4DF-CF9"</f>
        <v>1RH3-H4DF-CF9</v>
      </c>
      <c r="G91" t="str">
        <f>"Panic Button Batteries"</f>
        <v>Panic Button Batteries</v>
      </c>
      <c r="H91">
        <v>88.83</v>
      </c>
      <c r="I91" t="str">
        <f>"Panasonic CR2"</f>
        <v>Panasonic CR2</v>
      </c>
    </row>
    <row r="92" spans="1:10" x14ac:dyDescent="0.3">
      <c r="A92" t="str">
        <f>""</f>
        <v/>
      </c>
      <c r="F92" t="str">
        <f>""</f>
        <v/>
      </c>
      <c r="G92" t="str">
        <f>""</f>
        <v/>
      </c>
      <c r="I92" t="str">
        <f>"CR2450 Batteries"</f>
        <v>CR2450 Batteries</v>
      </c>
    </row>
    <row r="93" spans="1:10" x14ac:dyDescent="0.3">
      <c r="A93" t="str">
        <f>""</f>
        <v/>
      </c>
      <c r="F93" t="str">
        <f>""</f>
        <v/>
      </c>
      <c r="G93" t="str">
        <f>""</f>
        <v/>
      </c>
      <c r="I93" t="str">
        <f>"Expedited Shipping"</f>
        <v>Expedited Shipping</v>
      </c>
    </row>
    <row r="94" spans="1:10" x14ac:dyDescent="0.3">
      <c r="A94" t="str">
        <f>""</f>
        <v/>
      </c>
      <c r="F94" t="str">
        <f>"1VW1-D1PX-73TK"</f>
        <v>1VW1-D1PX-73TK</v>
      </c>
      <c r="G94" t="str">
        <f>"Enclosed Trailer Tools"</f>
        <v>Enclosed Trailer Tools</v>
      </c>
      <c r="H94">
        <v>23.68</v>
      </c>
      <c r="I94" t="str">
        <f>"Spare Tire Mount"</f>
        <v>Spare Tire Mount</v>
      </c>
    </row>
    <row r="95" spans="1:10" x14ac:dyDescent="0.3">
      <c r="A95" t="str">
        <f>""</f>
        <v/>
      </c>
      <c r="F95" t="str">
        <f>""</f>
        <v/>
      </c>
      <c r="G95" t="str">
        <f>""</f>
        <v/>
      </c>
      <c r="I95" t="str">
        <f>"Shipping"</f>
        <v>Shipping</v>
      </c>
    </row>
    <row r="96" spans="1:10" x14ac:dyDescent="0.3">
      <c r="A96" t="str">
        <f>""</f>
        <v/>
      </c>
      <c r="F96" t="str">
        <f>"1VW1-D1PX-QYGF"</f>
        <v>1VW1-D1PX-QYGF</v>
      </c>
      <c r="G96" t="str">
        <f>"Enclosed Trailer Tools"</f>
        <v>Enclosed Trailer Tools</v>
      </c>
      <c r="H96">
        <v>29.48</v>
      </c>
      <c r="I96" t="str">
        <f>"Tire Changing Ramp"</f>
        <v>Tire Changing Ramp</v>
      </c>
    </row>
    <row r="97" spans="1:9" x14ac:dyDescent="0.3">
      <c r="A97" t="str">
        <f>"005237"</f>
        <v>005237</v>
      </c>
      <c r="B97" t="s">
        <v>26</v>
      </c>
      <c r="C97">
        <v>999999</v>
      </c>
      <c r="D97" s="2">
        <v>6038.31</v>
      </c>
      <c r="E97" s="1">
        <v>43250</v>
      </c>
      <c r="F97" t="str">
        <f>"111-4653578-030984"</f>
        <v>111-4653578-030984</v>
      </c>
      <c r="G97" t="str">
        <f>"Ord# 111-4653578-0309841"</f>
        <v>Ord# 111-4653578-0309841</v>
      </c>
      <c r="H97">
        <v>27.63</v>
      </c>
      <c r="I97" t="str">
        <f>"Ord# 111-4653578-0309841"</f>
        <v>Ord# 111-4653578-0309841</v>
      </c>
    </row>
    <row r="98" spans="1:9" x14ac:dyDescent="0.3">
      <c r="A98" t="str">
        <f>""</f>
        <v/>
      </c>
      <c r="F98" t="str">
        <f>"11DC-R3H7-WKTP"</f>
        <v>11DC-R3H7-WKTP</v>
      </c>
      <c r="G98" t="str">
        <f>"Thermoscan 6500"</f>
        <v>Thermoscan 6500</v>
      </c>
      <c r="H98">
        <v>176.73</v>
      </c>
      <c r="I98" t="str">
        <f>"Thermoscan 6500"</f>
        <v>Thermoscan 6500</v>
      </c>
    </row>
    <row r="99" spans="1:9" x14ac:dyDescent="0.3">
      <c r="A99" t="str">
        <f>""</f>
        <v/>
      </c>
      <c r="F99" t="str">
        <f>""</f>
        <v/>
      </c>
      <c r="G99" t="str">
        <f>""</f>
        <v/>
      </c>
      <c r="I99" t="str">
        <f>"Thermoscan Lens Filt"</f>
        <v>Thermoscan Lens Filt</v>
      </c>
    </row>
    <row r="100" spans="1:9" x14ac:dyDescent="0.3">
      <c r="A100" t="str">
        <f>""</f>
        <v/>
      </c>
      <c r="F100" t="str">
        <f>"11RR-NPIJPX9M"</f>
        <v>11RR-NPIJPX9M</v>
      </c>
      <c r="G100" t="str">
        <f>"Books by Steve King"</f>
        <v>Books by Steve King</v>
      </c>
      <c r="H100">
        <v>131.4</v>
      </c>
      <c r="I100" t="str">
        <f>"Books by Steve King"</f>
        <v>Books by Steve King</v>
      </c>
    </row>
    <row r="101" spans="1:9" x14ac:dyDescent="0.3">
      <c r="A101" t="str">
        <f>""</f>
        <v/>
      </c>
      <c r="F101" t="str">
        <f>"14-XL-7Q3H-6PFK"</f>
        <v>14-XL-7Q3H-6PFK</v>
      </c>
      <c r="G101" t="str">
        <f>"Inv# 14XL-7Q3H-6PFK"</f>
        <v>Inv# 14XL-7Q3H-6PFK</v>
      </c>
      <c r="H101">
        <v>84.21</v>
      </c>
      <c r="I101" t="str">
        <f>"Inv# 14XL-7Q3H-6PFK"</f>
        <v>Inv# 14XL-7Q3H-6PFK</v>
      </c>
    </row>
    <row r="102" spans="1:9" x14ac:dyDescent="0.3">
      <c r="A102" t="str">
        <f>""</f>
        <v/>
      </c>
      <c r="F102" t="str">
        <f>"16CR-9D1X-XQ4C"</f>
        <v>16CR-9D1X-XQ4C</v>
      </c>
      <c r="G102" t="str">
        <f>"Flash Drives"</f>
        <v>Flash Drives</v>
      </c>
      <c r="H102">
        <v>4678.88</v>
      </c>
      <c r="I102" t="str">
        <f>"8GB"</f>
        <v>8GB</v>
      </c>
    </row>
    <row r="103" spans="1:9" x14ac:dyDescent="0.3">
      <c r="A103" t="str">
        <f>""</f>
        <v/>
      </c>
      <c r="F103" t="str">
        <f>""</f>
        <v/>
      </c>
      <c r="G103" t="str">
        <f>""</f>
        <v/>
      </c>
      <c r="I103" t="str">
        <f>"64GB"</f>
        <v>64GB</v>
      </c>
    </row>
    <row r="104" spans="1:9" x14ac:dyDescent="0.3">
      <c r="A104" t="str">
        <f>""</f>
        <v/>
      </c>
      <c r="F104" t="str">
        <f>""</f>
        <v/>
      </c>
      <c r="G104" t="str">
        <f>""</f>
        <v/>
      </c>
      <c r="I104" t="str">
        <f>"16GB"</f>
        <v>16GB</v>
      </c>
    </row>
    <row r="105" spans="1:9" x14ac:dyDescent="0.3">
      <c r="A105" t="str">
        <f>""</f>
        <v/>
      </c>
      <c r="F105" t="str">
        <f>""</f>
        <v/>
      </c>
      <c r="G105" t="str">
        <f>""</f>
        <v/>
      </c>
      <c r="I105" t="str">
        <f>"32GB"</f>
        <v>32GB</v>
      </c>
    </row>
    <row r="106" spans="1:9" x14ac:dyDescent="0.3">
      <c r="A106" t="str">
        <f>""</f>
        <v/>
      </c>
      <c r="F106" t="str">
        <f>"16GC-P1J4-R4JY"</f>
        <v>16GC-P1J4-R4JY</v>
      </c>
      <c r="G106" t="str">
        <f>"CHAIR COVER FOR LEON"</f>
        <v>CHAIR COVER FOR LEON</v>
      </c>
      <c r="H106">
        <v>27.98</v>
      </c>
      <c r="I106" t="str">
        <f>"Chair Cover"</f>
        <v>Chair Cover</v>
      </c>
    </row>
    <row r="107" spans="1:9" x14ac:dyDescent="0.3">
      <c r="A107" t="str">
        <f>""</f>
        <v/>
      </c>
      <c r="F107" t="str">
        <f>""</f>
        <v/>
      </c>
      <c r="G107" t="str">
        <f>""</f>
        <v/>
      </c>
      <c r="I107" t="str">
        <f>"Armrest Cover"</f>
        <v>Armrest Cover</v>
      </c>
    </row>
    <row r="108" spans="1:9" x14ac:dyDescent="0.3">
      <c r="A108" t="str">
        <f>""</f>
        <v/>
      </c>
      <c r="F108" t="str">
        <f>"176J-1Q4L-NLH3"</f>
        <v>176J-1Q4L-NLH3</v>
      </c>
      <c r="G108" t="str">
        <f>"Sprayer Pro Extension"</f>
        <v>Sprayer Pro Extension</v>
      </c>
      <c r="H108">
        <v>29.99</v>
      </c>
      <c r="I108" t="str">
        <f>"Sprayer Pro Extension"</f>
        <v>Sprayer Pro Extension</v>
      </c>
    </row>
    <row r="109" spans="1:9" x14ac:dyDescent="0.3">
      <c r="A109" t="str">
        <f>""</f>
        <v/>
      </c>
      <c r="F109" t="str">
        <f>"1NHT-XXRD-WKMN"</f>
        <v>1NHT-XXRD-WKMN</v>
      </c>
      <c r="G109" t="str">
        <f>"Aleratec Direct V2 DVD CD"</f>
        <v>Aleratec Direct V2 DVD CD</v>
      </c>
      <c r="H109">
        <v>592.30999999999995</v>
      </c>
      <c r="I109" t="str">
        <f>"Aleratec Direct V2 DVD CD"</f>
        <v>Aleratec Direct V2 DVD CD</v>
      </c>
    </row>
    <row r="110" spans="1:9" x14ac:dyDescent="0.3">
      <c r="A110" t="str">
        <f>""</f>
        <v/>
      </c>
      <c r="F110" t="str">
        <f>"1T9V-RMH7-DGW4"</f>
        <v>1T9V-RMH7-DGW4</v>
      </c>
      <c r="G110" t="str">
        <f>"Enclosed Trailer Tools"</f>
        <v>Enclosed Trailer Tools</v>
      </c>
      <c r="H110">
        <v>218.53</v>
      </c>
      <c r="I110" t="str">
        <f>"Tie- Down Rails 4 pk"</f>
        <v>Tie- Down Rails 4 pk</v>
      </c>
    </row>
    <row r="111" spans="1:9" x14ac:dyDescent="0.3">
      <c r="A111" t="str">
        <f>""</f>
        <v/>
      </c>
      <c r="F111" t="str">
        <f>""</f>
        <v/>
      </c>
      <c r="G111" t="str">
        <f>""</f>
        <v/>
      </c>
      <c r="I111" t="str">
        <f>"Shipping"</f>
        <v>Shipping</v>
      </c>
    </row>
    <row r="112" spans="1:9" x14ac:dyDescent="0.3">
      <c r="A112" t="str">
        <f>""</f>
        <v/>
      </c>
      <c r="F112" t="str">
        <f>"1WH3-3DHJ-JH44"</f>
        <v>1WH3-3DHJ-JH44</v>
      </c>
      <c r="G112" t="str">
        <f>"Headlamp Bezel"</f>
        <v>Headlamp Bezel</v>
      </c>
      <c r="H112">
        <v>70.650000000000006</v>
      </c>
      <c r="I112" t="str">
        <f>"Headlamp Bezel"</f>
        <v>Headlamp Bezel</v>
      </c>
    </row>
    <row r="113" spans="1:9" x14ac:dyDescent="0.3">
      <c r="A113" t="str">
        <f>"002599"</f>
        <v>002599</v>
      </c>
      <c r="B113" t="s">
        <v>27</v>
      </c>
      <c r="C113">
        <v>76539</v>
      </c>
      <c r="D113" s="2">
        <v>536.36</v>
      </c>
      <c r="E113" s="1">
        <v>43234</v>
      </c>
      <c r="F113" t="str">
        <f>"26304-1"</f>
        <v>26304-1</v>
      </c>
      <c r="G113" t="str">
        <f t="shared" ref="G113:G119" si="2">"CUST#100031/PCT#3"</f>
        <v>CUST#100031/PCT#3</v>
      </c>
      <c r="H113">
        <v>322.36</v>
      </c>
      <c r="I113" t="str">
        <f t="shared" ref="I113:I119" si="3">"CUST#100031/PCT#3"</f>
        <v>CUST#100031/PCT#3</v>
      </c>
    </row>
    <row r="114" spans="1:9" x14ac:dyDescent="0.3">
      <c r="A114" t="str">
        <f>""</f>
        <v/>
      </c>
      <c r="F114" t="str">
        <f>"26304-2"</f>
        <v>26304-2</v>
      </c>
      <c r="G114" t="str">
        <f t="shared" si="2"/>
        <v>CUST#100031/PCT#3</v>
      </c>
      <c r="H114">
        <v>12.3</v>
      </c>
      <c r="I114" t="str">
        <f t="shared" si="3"/>
        <v>CUST#100031/PCT#3</v>
      </c>
    </row>
    <row r="115" spans="1:9" x14ac:dyDescent="0.3">
      <c r="A115" t="str">
        <f>""</f>
        <v/>
      </c>
      <c r="F115" t="str">
        <f>"26409-1"</f>
        <v>26409-1</v>
      </c>
      <c r="G115" t="str">
        <f t="shared" si="2"/>
        <v>CUST#100031/PCT#3</v>
      </c>
      <c r="H115">
        <v>62.2</v>
      </c>
      <c r="I115" t="str">
        <f t="shared" si="3"/>
        <v>CUST#100031/PCT#3</v>
      </c>
    </row>
    <row r="116" spans="1:9" x14ac:dyDescent="0.3">
      <c r="A116" t="str">
        <f>""</f>
        <v/>
      </c>
      <c r="F116" t="str">
        <f>"26409-2"</f>
        <v>26409-2</v>
      </c>
      <c r="G116" t="str">
        <f t="shared" si="2"/>
        <v>CUST#100031/PCT#3</v>
      </c>
      <c r="H116">
        <v>55.92</v>
      </c>
      <c r="I116" t="str">
        <f t="shared" si="3"/>
        <v>CUST#100031/PCT#3</v>
      </c>
    </row>
    <row r="117" spans="1:9" x14ac:dyDescent="0.3">
      <c r="A117" t="str">
        <f>""</f>
        <v/>
      </c>
      <c r="F117" t="str">
        <f>"26409-3"</f>
        <v>26409-3</v>
      </c>
      <c r="G117" t="str">
        <f t="shared" si="2"/>
        <v>CUST#100031/PCT#3</v>
      </c>
      <c r="H117">
        <v>83.58</v>
      </c>
      <c r="I117" t="str">
        <f t="shared" si="3"/>
        <v>CUST#100031/PCT#3</v>
      </c>
    </row>
    <row r="118" spans="1:9" x14ac:dyDescent="0.3">
      <c r="A118" t="str">
        <f>"002599"</f>
        <v>002599</v>
      </c>
      <c r="B118" t="s">
        <v>27</v>
      </c>
      <c r="C118">
        <v>76831</v>
      </c>
      <c r="D118" s="2">
        <v>81.010000000000005</v>
      </c>
      <c r="E118" s="1">
        <v>43249</v>
      </c>
      <c r="F118" t="str">
        <f>"26304-3"</f>
        <v>26304-3</v>
      </c>
      <c r="G118" t="str">
        <f t="shared" si="2"/>
        <v>CUST#100031/PCT#3</v>
      </c>
      <c r="H118">
        <v>24.1</v>
      </c>
      <c r="I118" t="str">
        <f t="shared" si="3"/>
        <v>CUST#100031/PCT#3</v>
      </c>
    </row>
    <row r="119" spans="1:9" x14ac:dyDescent="0.3">
      <c r="A119" t="str">
        <f>""</f>
        <v/>
      </c>
      <c r="F119" t="str">
        <f>"26618-1"</f>
        <v>26618-1</v>
      </c>
      <c r="G119" t="str">
        <f t="shared" si="2"/>
        <v>CUST#100031/PCT#3</v>
      </c>
      <c r="H119">
        <v>56.91</v>
      </c>
      <c r="I119" t="str">
        <f t="shared" si="3"/>
        <v>CUST#100031/PCT#3</v>
      </c>
    </row>
    <row r="120" spans="1:9" x14ac:dyDescent="0.3">
      <c r="A120" t="str">
        <f>"AMERIC"</f>
        <v>AMERIC</v>
      </c>
      <c r="B120" t="s">
        <v>28</v>
      </c>
      <c r="C120">
        <v>76540</v>
      </c>
      <c r="D120" s="2">
        <v>5</v>
      </c>
      <c r="E120" s="1">
        <v>43234</v>
      </c>
      <c r="F120" t="str">
        <f>"5313829"</f>
        <v>5313829</v>
      </c>
      <c r="G120" t="str">
        <f>"CUST#100074/TICKET#3326805/P3"</f>
        <v>CUST#100074/TICKET#3326805/P3</v>
      </c>
      <c r="H120">
        <v>5</v>
      </c>
      <c r="I120" t="str">
        <f>"CUST#100074/TICKET#3326805/P3"</f>
        <v>CUST#100074/TICKET#3326805/P3</v>
      </c>
    </row>
    <row r="121" spans="1:9" x14ac:dyDescent="0.3">
      <c r="A121" t="str">
        <f>"003296"</f>
        <v>003296</v>
      </c>
      <c r="B121" t="s">
        <v>29</v>
      </c>
      <c r="C121">
        <v>76541</v>
      </c>
      <c r="D121" s="2">
        <v>990.81</v>
      </c>
      <c r="E121" s="1">
        <v>43234</v>
      </c>
      <c r="F121" t="str">
        <f>"201805030729"</f>
        <v>201805030729</v>
      </c>
      <c r="G121" t="str">
        <f>"ACCT#379865/PCT#2"</f>
        <v>ACCT#379865/PCT#2</v>
      </c>
      <c r="H121">
        <v>705.05</v>
      </c>
      <c r="I121" t="str">
        <f>"ACCT#379865/PCT#2"</f>
        <v>ACCT#379865/PCT#2</v>
      </c>
    </row>
    <row r="122" spans="1:9" x14ac:dyDescent="0.3">
      <c r="A122" t="str">
        <f>""</f>
        <v/>
      </c>
      <c r="F122" t="str">
        <f>"S107354660"</f>
        <v>S107354660</v>
      </c>
      <c r="G122" t="str">
        <f>"ACCT#69006/PCT#2"</f>
        <v>ACCT#69006/PCT#2</v>
      </c>
      <c r="H122">
        <v>285.76</v>
      </c>
      <c r="I122" t="str">
        <f>"ACCT#69006/PCT#2"</f>
        <v>ACCT#69006/PCT#2</v>
      </c>
    </row>
    <row r="123" spans="1:9" x14ac:dyDescent="0.3">
      <c r="A123" t="str">
        <f>"002148"</f>
        <v>002148</v>
      </c>
      <c r="B123" t="s">
        <v>30</v>
      </c>
      <c r="C123">
        <v>76542</v>
      </c>
      <c r="D123" s="2">
        <v>322.39</v>
      </c>
      <c r="E123" s="1">
        <v>43234</v>
      </c>
      <c r="F123" t="str">
        <f>"936048906/07"</f>
        <v>936048906/07</v>
      </c>
      <c r="G123" t="str">
        <f>"INV 936048906"</f>
        <v>INV 936048906</v>
      </c>
      <c r="H123">
        <v>322.39</v>
      </c>
      <c r="I123" t="str">
        <f>"INV 936048906"</f>
        <v>INV 936048906</v>
      </c>
    </row>
    <row r="124" spans="1:9" x14ac:dyDescent="0.3">
      <c r="A124" t="str">
        <f>""</f>
        <v/>
      </c>
      <c r="F124" t="str">
        <f>""</f>
        <v/>
      </c>
      <c r="G124" t="str">
        <f>""</f>
        <v/>
      </c>
      <c r="I124" t="str">
        <f>"INV 936048907"</f>
        <v>INV 936048907</v>
      </c>
    </row>
    <row r="125" spans="1:9" x14ac:dyDescent="0.3">
      <c r="A125" t="str">
        <f>"T14545"</f>
        <v>T14545</v>
      </c>
      <c r="B125" t="s">
        <v>31</v>
      </c>
      <c r="C125">
        <v>76543</v>
      </c>
      <c r="D125" s="2">
        <v>5637.46</v>
      </c>
      <c r="E125" s="1">
        <v>43234</v>
      </c>
      <c r="F125" t="str">
        <f>"108437"</f>
        <v>108437</v>
      </c>
      <c r="G125" t="str">
        <f>"2018 RUNOFF CARD/PAPER/POSTAGE"</f>
        <v>2018 RUNOFF CARD/PAPER/POSTAGE</v>
      </c>
      <c r="H125">
        <v>4607.66</v>
      </c>
      <c r="I125" t="str">
        <f>"2018 RUNOFF CARD/PAPER/POSTAGE"</f>
        <v>2018 RUNOFF CARD/PAPER/POSTAGE</v>
      </c>
    </row>
    <row r="126" spans="1:9" x14ac:dyDescent="0.3">
      <c r="A126" t="str">
        <f>""</f>
        <v/>
      </c>
      <c r="F126" t="str">
        <f>"108463"</f>
        <v>108463</v>
      </c>
      <c r="G126" t="str">
        <f>"VR CARD W/RECEIPT/ELECTIONS"</f>
        <v>VR CARD W/RECEIPT/ELECTIONS</v>
      </c>
      <c r="H126">
        <v>1029.8</v>
      </c>
      <c r="I126" t="str">
        <f>"VR CARD W/RECEIPT/ELECTIONS"</f>
        <v>VR CARD W/RECEIPT/ELECTIONS</v>
      </c>
    </row>
    <row r="127" spans="1:9" x14ac:dyDescent="0.3">
      <c r="A127" t="str">
        <f>"T7520"</f>
        <v>T7520</v>
      </c>
      <c r="B127" t="s">
        <v>32</v>
      </c>
      <c r="C127">
        <v>999999</v>
      </c>
      <c r="D127" s="2">
        <v>4870</v>
      </c>
      <c r="E127" s="1">
        <v>43235</v>
      </c>
      <c r="F127" t="str">
        <f>"201805040784"</f>
        <v>201805040784</v>
      </c>
      <c r="G127" t="str">
        <f>"18-18827"</f>
        <v>18-18827</v>
      </c>
      <c r="H127">
        <v>542.5</v>
      </c>
      <c r="I127" t="str">
        <f>"18-18827"</f>
        <v>18-18827</v>
      </c>
    </row>
    <row r="128" spans="1:9" x14ac:dyDescent="0.3">
      <c r="A128" t="str">
        <f>""</f>
        <v/>
      </c>
      <c r="F128" t="str">
        <f>"201805040785"</f>
        <v>201805040785</v>
      </c>
      <c r="G128" t="str">
        <f>"18-18876"</f>
        <v>18-18876</v>
      </c>
      <c r="H128">
        <v>680</v>
      </c>
      <c r="I128" t="str">
        <f>"18-18876"</f>
        <v>18-18876</v>
      </c>
    </row>
    <row r="129" spans="1:9" x14ac:dyDescent="0.3">
      <c r="A129" t="str">
        <f>""</f>
        <v/>
      </c>
      <c r="F129" t="str">
        <f>"201805040786"</f>
        <v>201805040786</v>
      </c>
      <c r="G129" t="str">
        <f>"07-11943"</f>
        <v>07-11943</v>
      </c>
      <c r="H129">
        <v>280</v>
      </c>
      <c r="I129" t="str">
        <f>"07-11943"</f>
        <v>07-11943</v>
      </c>
    </row>
    <row r="130" spans="1:9" x14ac:dyDescent="0.3">
      <c r="A130" t="str">
        <f>""</f>
        <v/>
      </c>
      <c r="F130" t="str">
        <f>"201805040787"</f>
        <v>201805040787</v>
      </c>
      <c r="G130" t="str">
        <f>"18-18941"</f>
        <v>18-18941</v>
      </c>
      <c r="H130">
        <v>335</v>
      </c>
      <c r="I130" t="str">
        <f>"18-18941"</f>
        <v>18-18941</v>
      </c>
    </row>
    <row r="131" spans="1:9" x14ac:dyDescent="0.3">
      <c r="A131" t="str">
        <f>""</f>
        <v/>
      </c>
      <c r="F131" t="str">
        <f>"201805040788"</f>
        <v>201805040788</v>
      </c>
      <c r="G131" t="str">
        <f>"16-17913"</f>
        <v>16-17913</v>
      </c>
      <c r="H131">
        <v>332.5</v>
      </c>
      <c r="I131" t="str">
        <f>"16-17913"</f>
        <v>16-17913</v>
      </c>
    </row>
    <row r="132" spans="1:9" x14ac:dyDescent="0.3">
      <c r="A132" t="str">
        <f>""</f>
        <v/>
      </c>
      <c r="F132" t="str">
        <f>"201805040813"</f>
        <v>201805040813</v>
      </c>
      <c r="G132" t="str">
        <f>"J-3118"</f>
        <v>J-3118</v>
      </c>
      <c r="H132">
        <v>250</v>
      </c>
      <c r="I132" t="str">
        <f>"J-3118"</f>
        <v>J-3118</v>
      </c>
    </row>
    <row r="133" spans="1:9" x14ac:dyDescent="0.3">
      <c r="A133" t="str">
        <f>""</f>
        <v/>
      </c>
      <c r="F133" t="str">
        <f>"201805040814"</f>
        <v>201805040814</v>
      </c>
      <c r="G133" t="str">
        <f>"55 376"</f>
        <v>55 376</v>
      </c>
      <c r="H133">
        <v>250</v>
      </c>
      <c r="I133" t="str">
        <f>"55 376"</f>
        <v>55 376</v>
      </c>
    </row>
    <row r="134" spans="1:9" x14ac:dyDescent="0.3">
      <c r="A134" t="str">
        <f>""</f>
        <v/>
      </c>
      <c r="F134" t="str">
        <f>"201805080889"</f>
        <v>201805080889</v>
      </c>
      <c r="G134" t="str">
        <f>"16 309"</f>
        <v>16 309</v>
      </c>
      <c r="H134">
        <v>400</v>
      </c>
      <c r="I134" t="str">
        <f>"16 309"</f>
        <v>16 309</v>
      </c>
    </row>
    <row r="135" spans="1:9" x14ac:dyDescent="0.3">
      <c r="A135" t="str">
        <f>""</f>
        <v/>
      </c>
      <c r="F135" t="str">
        <f>"201805080890"</f>
        <v>201805080890</v>
      </c>
      <c r="G135" t="str">
        <f>"311062016A"</f>
        <v>311062016A</v>
      </c>
      <c r="H135">
        <v>400</v>
      </c>
      <c r="I135" t="str">
        <f>"311062016A"</f>
        <v>311062016A</v>
      </c>
    </row>
    <row r="136" spans="1:9" x14ac:dyDescent="0.3">
      <c r="A136" t="str">
        <f>""</f>
        <v/>
      </c>
      <c r="F136" t="str">
        <f>"201805080891"</f>
        <v>201805080891</v>
      </c>
      <c r="G136" t="str">
        <f>"15 958"</f>
        <v>15 958</v>
      </c>
      <c r="H136">
        <v>400</v>
      </c>
      <c r="I136" t="str">
        <f>"15 958"</f>
        <v>15 958</v>
      </c>
    </row>
    <row r="137" spans="1:9" x14ac:dyDescent="0.3">
      <c r="A137" t="str">
        <f>""</f>
        <v/>
      </c>
      <c r="F137" t="str">
        <f>"201805080892"</f>
        <v>201805080892</v>
      </c>
      <c r="G137" t="str">
        <f>"CH-20160914-A"</f>
        <v>CH-20160914-A</v>
      </c>
      <c r="H137">
        <v>400</v>
      </c>
      <c r="I137" t="str">
        <f>"CH-20160914-A"</f>
        <v>CH-20160914-A</v>
      </c>
    </row>
    <row r="138" spans="1:9" x14ac:dyDescent="0.3">
      <c r="A138" t="str">
        <f>""</f>
        <v/>
      </c>
      <c r="F138" t="str">
        <f>"201805080893"</f>
        <v>201805080893</v>
      </c>
      <c r="G138" t="str">
        <f>"730-335"</f>
        <v>730-335</v>
      </c>
      <c r="H138">
        <v>100</v>
      </c>
      <c r="I138" t="str">
        <f>"730-335"</f>
        <v>730-335</v>
      </c>
    </row>
    <row r="139" spans="1:9" x14ac:dyDescent="0.3">
      <c r="A139" t="str">
        <f>""</f>
        <v/>
      </c>
      <c r="F139" t="str">
        <f>"201805080894"</f>
        <v>201805080894</v>
      </c>
      <c r="G139" t="str">
        <f>"423-5621"</f>
        <v>423-5621</v>
      </c>
      <c r="H139">
        <v>100</v>
      </c>
      <c r="I139" t="str">
        <f>"423-5621"</f>
        <v>423-5621</v>
      </c>
    </row>
    <row r="140" spans="1:9" x14ac:dyDescent="0.3">
      <c r="A140" t="str">
        <f>""</f>
        <v/>
      </c>
      <c r="F140" t="str">
        <f>"201805080895"</f>
        <v>201805080895</v>
      </c>
      <c r="G140" t="str">
        <f>"740-21"</f>
        <v>740-21</v>
      </c>
      <c r="H140">
        <v>100</v>
      </c>
      <c r="I140" t="str">
        <f>"740-21"</f>
        <v>740-21</v>
      </c>
    </row>
    <row r="141" spans="1:9" x14ac:dyDescent="0.3">
      <c r="A141" t="str">
        <f>""</f>
        <v/>
      </c>
      <c r="F141" t="str">
        <f>"201805080896"</f>
        <v>201805080896</v>
      </c>
      <c r="G141" t="str">
        <f>"739-21"</f>
        <v>739-21</v>
      </c>
      <c r="H141">
        <v>100</v>
      </c>
      <c r="I141" t="str">
        <f>"739-21"</f>
        <v>739-21</v>
      </c>
    </row>
    <row r="142" spans="1:9" x14ac:dyDescent="0.3">
      <c r="A142" t="str">
        <f>""</f>
        <v/>
      </c>
      <c r="F142" t="str">
        <f>"201805080897"</f>
        <v>201805080897</v>
      </c>
      <c r="G142" t="str">
        <f>"423-5618"</f>
        <v>423-5618</v>
      </c>
      <c r="H142">
        <v>100</v>
      </c>
      <c r="I142" t="str">
        <f>"423-5618"</f>
        <v>423-5618</v>
      </c>
    </row>
    <row r="143" spans="1:9" x14ac:dyDescent="0.3">
      <c r="A143" t="str">
        <f>""</f>
        <v/>
      </c>
      <c r="F143" t="str">
        <f>"201805080898"</f>
        <v>201805080898</v>
      </c>
      <c r="G143" t="str">
        <f>"423-5232"</f>
        <v>423-5232</v>
      </c>
      <c r="H143">
        <v>100</v>
      </c>
      <c r="I143" t="str">
        <f>"423-5232"</f>
        <v>423-5232</v>
      </c>
    </row>
    <row r="144" spans="1:9" x14ac:dyDescent="0.3">
      <c r="A144" t="str">
        <f>"T7520"</f>
        <v>T7520</v>
      </c>
      <c r="B144" t="s">
        <v>32</v>
      </c>
      <c r="C144">
        <v>999999</v>
      </c>
      <c r="D144" s="2">
        <v>1625</v>
      </c>
      <c r="E144" s="1">
        <v>43250</v>
      </c>
      <c r="F144" t="str">
        <f>"201805171065"</f>
        <v>201805171065</v>
      </c>
      <c r="G144" t="str">
        <f>"16 441"</f>
        <v>16 441</v>
      </c>
      <c r="H144">
        <v>400</v>
      </c>
      <c r="I144" t="str">
        <f>"16 441"</f>
        <v>16 441</v>
      </c>
    </row>
    <row r="145" spans="1:9" x14ac:dyDescent="0.3">
      <c r="A145" t="str">
        <f>""</f>
        <v/>
      </c>
      <c r="F145" t="str">
        <f>"201805221142"</f>
        <v>201805221142</v>
      </c>
      <c r="G145" t="str">
        <f>"18-19026  18-19027"</f>
        <v>18-19026  18-19027</v>
      </c>
      <c r="H145">
        <v>200</v>
      </c>
      <c r="I145" t="str">
        <f>"18-19026  18-19027"</f>
        <v>18-19026  18-19027</v>
      </c>
    </row>
    <row r="146" spans="1:9" x14ac:dyDescent="0.3">
      <c r="A146" t="str">
        <f>""</f>
        <v/>
      </c>
      <c r="F146" t="str">
        <f>"201805221143"</f>
        <v>201805221143</v>
      </c>
      <c r="G146" t="str">
        <f>"54 797  54 798  54 945"</f>
        <v>54 797  54 798  54 945</v>
      </c>
      <c r="H146">
        <v>500</v>
      </c>
      <c r="I146" t="str">
        <f>"54 797  54 798  54 945"</f>
        <v>54 797  54 798  54 945</v>
      </c>
    </row>
    <row r="147" spans="1:9" x14ac:dyDescent="0.3">
      <c r="A147" t="str">
        <f>""</f>
        <v/>
      </c>
      <c r="F147" t="str">
        <f>"201805231149"</f>
        <v>201805231149</v>
      </c>
      <c r="G147" t="str">
        <f>"312032016B/301212017A"</f>
        <v>312032016B/301212017A</v>
      </c>
      <c r="H147">
        <v>375</v>
      </c>
      <c r="I147" t="str">
        <f>"312032016B/301212017A"</f>
        <v>312032016B/301212017A</v>
      </c>
    </row>
    <row r="148" spans="1:9" x14ac:dyDescent="0.3">
      <c r="A148" t="str">
        <f>""</f>
        <v/>
      </c>
      <c r="F148" t="str">
        <f>"201805231150"</f>
        <v>201805231150</v>
      </c>
      <c r="G148" t="str">
        <f>"55 721"</f>
        <v>55 721</v>
      </c>
      <c r="H148">
        <v>150</v>
      </c>
      <c r="I148" t="str">
        <f>"55 721"</f>
        <v>55 721</v>
      </c>
    </row>
    <row r="149" spans="1:9" x14ac:dyDescent="0.3">
      <c r="A149" t="str">
        <f>"004902"</f>
        <v>004902</v>
      </c>
      <c r="B149" t="s">
        <v>33</v>
      </c>
      <c r="C149">
        <v>999999</v>
      </c>
      <c r="D149" s="2">
        <v>674.53</v>
      </c>
      <c r="E149" s="1">
        <v>43235</v>
      </c>
      <c r="F149" t="str">
        <f>"201804250464"</f>
        <v>201804250464</v>
      </c>
      <c r="G149" t="str">
        <f>"REIMBURSE-MEALS/LODGING"</f>
        <v>REIMBURSE-MEALS/LODGING</v>
      </c>
      <c r="H149">
        <v>208.79</v>
      </c>
      <c r="I149" t="str">
        <f>"REIMBURSE-MEALS/LODGING"</f>
        <v>REIMBURSE-MEALS/LODGING</v>
      </c>
    </row>
    <row r="150" spans="1:9" x14ac:dyDescent="0.3">
      <c r="A150" t="str">
        <f>""</f>
        <v/>
      </c>
      <c r="F150" t="str">
        <f>"201805030770"</f>
        <v>201805030770</v>
      </c>
      <c r="G150" t="str">
        <f>"REIMBURSE-REGISTRATION/PARKING"</f>
        <v>REIMBURSE-REGISTRATION/PARKING</v>
      </c>
      <c r="H150">
        <v>45</v>
      </c>
      <c r="I150" t="str">
        <f>"REIMBURSE-REGISTRATION/PARKING"</f>
        <v>REIMBURSE-REGISTRATION/PARKING</v>
      </c>
    </row>
    <row r="151" spans="1:9" x14ac:dyDescent="0.3">
      <c r="A151" t="str">
        <f>""</f>
        <v/>
      </c>
      <c r="F151" t="str">
        <f>"201805030771"</f>
        <v>201805030771</v>
      </c>
      <c r="G151" t="str">
        <f>"MILEAGE REIMBURSEMENT"</f>
        <v>MILEAGE REIMBURSEMENT</v>
      </c>
      <c r="H151">
        <v>420.74</v>
      </c>
      <c r="I151" t="str">
        <f>"MILEAGE REIMBURSEMENT"</f>
        <v>MILEAGE REIMBURSEMENT</v>
      </c>
    </row>
    <row r="152" spans="1:9" x14ac:dyDescent="0.3">
      <c r="A152" t="str">
        <f>"AQUAB"</f>
        <v>AQUAB</v>
      </c>
      <c r="B152" t="s">
        <v>34</v>
      </c>
      <c r="C152">
        <v>76544</v>
      </c>
      <c r="D152" s="2">
        <v>951.34</v>
      </c>
      <c r="E152" s="1">
        <v>43234</v>
      </c>
      <c r="F152" t="str">
        <f>"201805030736"</f>
        <v>201805030736</v>
      </c>
      <c r="G152" t="str">
        <f>"ACCT#014737/ANIMAL SERVICE"</f>
        <v>ACCT#014737/ANIMAL SERVICE</v>
      </c>
      <c r="H152">
        <v>105.38</v>
      </c>
      <c r="I152" t="str">
        <f>"ACCT#014737/ANIMAL SERVICE"</f>
        <v>ACCT#014737/ANIMAL SERVICE</v>
      </c>
    </row>
    <row r="153" spans="1:9" x14ac:dyDescent="0.3">
      <c r="A153" t="str">
        <f>""</f>
        <v/>
      </c>
      <c r="F153" t="str">
        <f>"201805030737"</f>
        <v>201805030737</v>
      </c>
      <c r="G153" t="str">
        <f>"ACCT#015538/EMER COMM"</f>
        <v>ACCT#015538/EMER COMM</v>
      </c>
      <c r="H153">
        <v>135.24</v>
      </c>
      <c r="I153" t="str">
        <f>"ACCT#015538/EMER COMM"</f>
        <v>ACCT#015538/EMER COMM</v>
      </c>
    </row>
    <row r="154" spans="1:9" x14ac:dyDescent="0.3">
      <c r="A154" t="str">
        <f>""</f>
        <v/>
      </c>
      <c r="F154" t="str">
        <f>"201805030738"</f>
        <v>201805030738</v>
      </c>
      <c r="G154" t="str">
        <f>"ACCT#010238/GEN SVCS"</f>
        <v>ACCT#010238/GEN SVCS</v>
      </c>
      <c r="H154">
        <v>93.75</v>
      </c>
      <c r="I154" t="str">
        <f>"ACCT#010238/GEN SVCS"</f>
        <v>ACCT#010238/GEN SVCS</v>
      </c>
    </row>
    <row r="155" spans="1:9" x14ac:dyDescent="0.3">
      <c r="A155" t="str">
        <f>""</f>
        <v/>
      </c>
      <c r="F155" t="str">
        <f>"201805030739"</f>
        <v>201805030739</v>
      </c>
      <c r="G155" t="str">
        <f>"ACCT#011280/COUNTY CLERK"</f>
        <v>ACCT#011280/COUNTY CLERK</v>
      </c>
      <c r="H155">
        <v>61.5</v>
      </c>
      <c r="I155" t="str">
        <f>"ACCT#011280/COUNTY CLERK"</f>
        <v>ACCT#011280/COUNTY CLERK</v>
      </c>
    </row>
    <row r="156" spans="1:9" x14ac:dyDescent="0.3">
      <c r="A156" t="str">
        <f>""</f>
        <v/>
      </c>
      <c r="F156" t="str">
        <f>"201805030740"</f>
        <v>201805030740</v>
      </c>
      <c r="G156" t="str">
        <f>"ACCT#010835/PCT#1"</f>
        <v>ACCT#010835/PCT#1</v>
      </c>
      <c r="H156">
        <v>19.489999999999998</v>
      </c>
      <c r="I156" t="str">
        <f>"ACCT#010835/PCT#1"</f>
        <v>ACCT#010835/PCT#1</v>
      </c>
    </row>
    <row r="157" spans="1:9" x14ac:dyDescent="0.3">
      <c r="A157" t="str">
        <f>""</f>
        <v/>
      </c>
      <c r="F157" t="str">
        <f>"201805030764"</f>
        <v>201805030764</v>
      </c>
      <c r="G157" t="str">
        <f>"ACCT#012803/COUNTY JUDGE"</f>
        <v>ACCT#012803/COUNTY JUDGE</v>
      </c>
      <c r="H157">
        <v>9</v>
      </c>
      <c r="I157" t="str">
        <f>"ACCT#012803/COUNTY JUDGE"</f>
        <v>ACCT#012803/COUNTY JUDGE</v>
      </c>
    </row>
    <row r="158" spans="1:9" x14ac:dyDescent="0.3">
      <c r="A158" t="str">
        <f>""</f>
        <v/>
      </c>
      <c r="F158" t="str">
        <f>"201805030765"</f>
        <v>201805030765</v>
      </c>
      <c r="G158" t="str">
        <f>"ACCT#012231/DIST JUDGE OFFICE"</f>
        <v>ACCT#012231/DIST JUDGE OFFICE</v>
      </c>
      <c r="H158">
        <v>10</v>
      </c>
      <c r="I158" t="str">
        <f>"ACCT#012231/DIST JUDGE OFFICE"</f>
        <v>ACCT#012231/DIST JUDGE OFFICE</v>
      </c>
    </row>
    <row r="159" spans="1:9" x14ac:dyDescent="0.3">
      <c r="A159" t="str">
        <f>""</f>
        <v/>
      </c>
      <c r="F159" t="str">
        <f>"201805030766"</f>
        <v>201805030766</v>
      </c>
      <c r="G159" t="str">
        <f>"ACCT#011955/DIST JUDGE"</f>
        <v>ACCT#011955/DIST JUDGE</v>
      </c>
      <c r="H159">
        <v>75</v>
      </c>
      <c r="I159" t="str">
        <f>"ACCT#011955/DIST JUDGE"</f>
        <v>ACCT#011955/DIST JUDGE</v>
      </c>
    </row>
    <row r="160" spans="1:9" x14ac:dyDescent="0.3">
      <c r="A160" t="str">
        <f>""</f>
        <v/>
      </c>
      <c r="F160" t="str">
        <f>"201805030767"</f>
        <v>201805030767</v>
      </c>
      <c r="G160" t="str">
        <f>"ACCT#011474/ELECTIONS"</f>
        <v>ACCT#011474/ELECTIONS</v>
      </c>
      <c r="H160">
        <v>17.5</v>
      </c>
      <c r="I160" t="str">
        <f>"ACCT#011474/ELECTIONS"</f>
        <v>ACCT#011474/ELECTIONS</v>
      </c>
    </row>
    <row r="161" spans="1:9" x14ac:dyDescent="0.3">
      <c r="A161" t="str">
        <f>""</f>
        <v/>
      </c>
      <c r="F161" t="str">
        <f>"201805030768"</f>
        <v>201805030768</v>
      </c>
      <c r="G161" t="str">
        <f>"ACCT#010311/COURT AT LAW"</f>
        <v>ACCT#010311/COURT AT LAW</v>
      </c>
      <c r="H161">
        <v>34.5</v>
      </c>
      <c r="I161" t="str">
        <f>"ACCT#010311/COURT AT LAW"</f>
        <v>ACCT#010311/COURT AT LAW</v>
      </c>
    </row>
    <row r="162" spans="1:9" x14ac:dyDescent="0.3">
      <c r="A162" t="str">
        <f>""</f>
        <v/>
      </c>
      <c r="F162" t="str">
        <f>"201805030769"</f>
        <v>201805030769</v>
      </c>
      <c r="G162" t="str">
        <f>"ACCT#010111/CCAL-BASTROP"</f>
        <v>ACCT#010111/CCAL-BASTROP</v>
      </c>
      <c r="H162">
        <v>13</v>
      </c>
      <c r="I162" t="str">
        <f>"ACCT#010111/CCAL-BASTROP"</f>
        <v>ACCT#010111/CCAL-BASTROP</v>
      </c>
    </row>
    <row r="163" spans="1:9" x14ac:dyDescent="0.3">
      <c r="A163" t="str">
        <f>""</f>
        <v/>
      </c>
      <c r="F163" t="str">
        <f>"201805030772"</f>
        <v>201805030772</v>
      </c>
      <c r="G163" t="str">
        <f>"ACCT#011033/IT DEPT"</f>
        <v>ACCT#011033/IT DEPT</v>
      </c>
      <c r="H163">
        <v>46.5</v>
      </c>
      <c r="I163" t="str">
        <f>"ACCT#011033/IT DEPT"</f>
        <v>ACCT#011033/IT DEPT</v>
      </c>
    </row>
    <row r="164" spans="1:9" x14ac:dyDescent="0.3">
      <c r="A164" t="str">
        <f>""</f>
        <v/>
      </c>
      <c r="F164" t="str">
        <f>"201805040776"</f>
        <v>201805040776</v>
      </c>
      <c r="G164" t="str">
        <f>"ACCT#012259/DIST CLERK"</f>
        <v>ACCT#012259/DIST CLERK</v>
      </c>
      <c r="H164">
        <v>76.5</v>
      </c>
      <c r="I164" t="str">
        <f>"ACCT#012259/DIST CLERK"</f>
        <v>ACCT#012259/DIST CLERK</v>
      </c>
    </row>
    <row r="165" spans="1:9" x14ac:dyDescent="0.3">
      <c r="A165" t="str">
        <f>""</f>
        <v/>
      </c>
      <c r="F165" t="str">
        <f>"201805040778"</f>
        <v>201805040778</v>
      </c>
      <c r="G165" t="str">
        <f>"ACCT#012571/TREASURER"</f>
        <v>ACCT#012571/TREASURER</v>
      </c>
      <c r="H165">
        <v>16.5</v>
      </c>
      <c r="I165" t="str">
        <f>"ACCT#012571/TREASURER"</f>
        <v>ACCT#012571/TREASURER</v>
      </c>
    </row>
    <row r="166" spans="1:9" x14ac:dyDescent="0.3">
      <c r="A166" t="str">
        <f>""</f>
        <v/>
      </c>
      <c r="F166" t="str">
        <f>"201805070857"</f>
        <v>201805070857</v>
      </c>
      <c r="G166" t="str">
        <f>"ACCT#010149/AGRI LIFE EXTENSIO"</f>
        <v>ACCT#010149/AGRI LIFE EXTENSIO</v>
      </c>
      <c r="H166">
        <v>39.99</v>
      </c>
      <c r="I166" t="str">
        <f>"ACCT#010149/AGRI LIFE EXTENSIO"</f>
        <v>ACCT#010149/AGRI LIFE EXTENSIO</v>
      </c>
    </row>
    <row r="167" spans="1:9" x14ac:dyDescent="0.3">
      <c r="A167" t="str">
        <f>""</f>
        <v/>
      </c>
      <c r="F167" t="str">
        <f>"201805070861"</f>
        <v>201805070861</v>
      </c>
      <c r="G167" t="str">
        <f>"ACCT#013393/HUMAN RESOURCES"</f>
        <v>ACCT#013393/HUMAN RESOURCES</v>
      </c>
      <c r="H167">
        <v>40</v>
      </c>
      <c r="I167" t="str">
        <f>"ACCT#013393/HUMAN RESOURCES"</f>
        <v>ACCT#013393/HUMAN RESOURCES</v>
      </c>
    </row>
    <row r="168" spans="1:9" x14ac:dyDescent="0.3">
      <c r="A168" t="str">
        <f>""</f>
        <v/>
      </c>
      <c r="F168" t="str">
        <f>"201805080868"</f>
        <v>201805080868</v>
      </c>
      <c r="G168" t="str">
        <f>"ACCT#012260/DA'S OFFICE"</f>
        <v>ACCT#012260/DA'S OFFICE</v>
      </c>
      <c r="H168">
        <v>60</v>
      </c>
      <c r="I168" t="str">
        <f>"ACCT#012260/DA'S OFFICE"</f>
        <v>ACCT#012260/DA'S OFFICE</v>
      </c>
    </row>
    <row r="169" spans="1:9" x14ac:dyDescent="0.3">
      <c r="A169" t="str">
        <f>""</f>
        <v/>
      </c>
      <c r="F169" t="str">
        <f>"201805080872"</f>
        <v>201805080872</v>
      </c>
      <c r="G169" t="str">
        <f>"ACCT#010602/COMMISSIONER OFF"</f>
        <v>ACCT#010602/COMMISSIONER OFF</v>
      </c>
      <c r="H169">
        <v>54</v>
      </c>
      <c r="I169" t="str">
        <f>"ACCT#010602/COMMISSIONER OFF"</f>
        <v>ACCT#010602/COMMISSIONER OFF</v>
      </c>
    </row>
    <row r="170" spans="1:9" x14ac:dyDescent="0.3">
      <c r="A170" t="str">
        <f>""</f>
        <v/>
      </c>
      <c r="F170" t="str">
        <f>"201805090995"</f>
        <v>201805090995</v>
      </c>
      <c r="G170" t="str">
        <f>"ACCT#015199/JP#1"</f>
        <v>ACCT#015199/JP#1</v>
      </c>
      <c r="H170">
        <v>19.489999999999998</v>
      </c>
      <c r="I170" t="str">
        <f>"ACCT#015199/JP#1"</f>
        <v>ACCT#015199/JP#1</v>
      </c>
    </row>
    <row r="171" spans="1:9" x14ac:dyDescent="0.3">
      <c r="A171" t="str">
        <f>""</f>
        <v/>
      </c>
      <c r="F171" t="str">
        <f>"232427/234588"</f>
        <v>232427/234588</v>
      </c>
      <c r="G171" t="str">
        <f>"ACCT#010057/AUDITOR"</f>
        <v>ACCT#010057/AUDITOR</v>
      </c>
      <c r="H171">
        <v>24</v>
      </c>
      <c r="I171" t="str">
        <f>"ACCT#010057/AUDITOR"</f>
        <v>ACCT#010057/AUDITOR</v>
      </c>
    </row>
    <row r="172" spans="1:9" x14ac:dyDescent="0.3">
      <c r="A172" t="str">
        <f>"AWS"</f>
        <v>AWS</v>
      </c>
      <c r="B172" t="s">
        <v>35</v>
      </c>
      <c r="C172">
        <v>76520</v>
      </c>
      <c r="D172" s="2">
        <v>943.64</v>
      </c>
      <c r="E172" s="1">
        <v>43223</v>
      </c>
      <c r="F172" t="str">
        <f>"201805030742"</f>
        <v>201805030742</v>
      </c>
      <c r="G172" t="str">
        <f>"ACCT#0102120801 / 05012018"</f>
        <v>ACCT#0102120801 / 05012018</v>
      </c>
      <c r="H172">
        <v>38.049999999999997</v>
      </c>
      <c r="I172" t="str">
        <f>"ACCT#0102120801 / 05012018"</f>
        <v>ACCT#0102120801 / 05012018</v>
      </c>
    </row>
    <row r="173" spans="1:9" x14ac:dyDescent="0.3">
      <c r="A173" t="str">
        <f>""</f>
        <v/>
      </c>
      <c r="F173" t="str">
        <f>"201805030743"</f>
        <v>201805030743</v>
      </c>
      <c r="G173" t="str">
        <f>"ACCT#0201855301 / 05012018"</f>
        <v>ACCT#0201855301 / 05012018</v>
      </c>
      <c r="H173">
        <v>31.47</v>
      </c>
      <c r="I173" t="str">
        <f>"ACCT#0201855301 / 05012018"</f>
        <v>ACCT#0201855301 / 05012018</v>
      </c>
    </row>
    <row r="174" spans="1:9" x14ac:dyDescent="0.3">
      <c r="A174" t="str">
        <f>""</f>
        <v/>
      </c>
      <c r="F174" t="str">
        <f>"201805030744"</f>
        <v>201805030744</v>
      </c>
      <c r="G174" t="str">
        <f>"ACCT#0201891401 / 05012018"</f>
        <v>ACCT#0201891401 / 05012018</v>
      </c>
      <c r="H174">
        <v>78.67</v>
      </c>
      <c r="I174" t="str">
        <f>"ACCT#0201891401 / 05012018"</f>
        <v>ACCT#0201891401 / 05012018</v>
      </c>
    </row>
    <row r="175" spans="1:9" x14ac:dyDescent="0.3">
      <c r="A175" t="str">
        <f>""</f>
        <v/>
      </c>
      <c r="F175" t="str">
        <f>"201805030745"</f>
        <v>201805030745</v>
      </c>
      <c r="G175" t="str">
        <f>"ACCT#0400785803 / 05012018"</f>
        <v>ACCT#0400785803 / 05012018</v>
      </c>
      <c r="H175">
        <v>169.43</v>
      </c>
      <c r="I175" t="str">
        <f>"ACCT#0400785803 / 05012018"</f>
        <v>ACCT#0400785803 / 05012018</v>
      </c>
    </row>
    <row r="176" spans="1:9" x14ac:dyDescent="0.3">
      <c r="A176" t="str">
        <f>""</f>
        <v/>
      </c>
      <c r="F176" t="str">
        <f>"201805030746"</f>
        <v>201805030746</v>
      </c>
      <c r="G176" t="str">
        <f>"ACCT#0401408501 / 05012018"</f>
        <v>ACCT#0401408501 / 05012018</v>
      </c>
      <c r="H176">
        <v>494.71</v>
      </c>
      <c r="I176" t="str">
        <f>"ACCT#0401408501 / 05012018"</f>
        <v>ACCT#0401408501 / 05012018</v>
      </c>
    </row>
    <row r="177" spans="1:9" x14ac:dyDescent="0.3">
      <c r="A177" t="str">
        <f>""</f>
        <v/>
      </c>
      <c r="F177" t="str">
        <f>"201805030747"</f>
        <v>201805030747</v>
      </c>
      <c r="G177" t="str">
        <f>"ACCT#0800042801 / 05012018"</f>
        <v>ACCT#0800042801 / 05012018</v>
      </c>
      <c r="H177">
        <v>131.31</v>
      </c>
      <c r="I177" t="str">
        <f>"ACCT#0800042801 / 05012018"</f>
        <v>ACCT#0800042801 / 05012018</v>
      </c>
    </row>
    <row r="178" spans="1:9" x14ac:dyDescent="0.3">
      <c r="A178" t="str">
        <f>"AWS"</f>
        <v>AWS</v>
      </c>
      <c r="B178" t="s">
        <v>35</v>
      </c>
      <c r="C178">
        <v>76545</v>
      </c>
      <c r="D178" s="2">
        <v>30.75</v>
      </c>
      <c r="E178" s="1">
        <v>43234</v>
      </c>
      <c r="F178" t="str">
        <f>"201805070864"</f>
        <v>201805070864</v>
      </c>
      <c r="G178" t="str">
        <f>"ACCT#7700010025/PCT#2"</f>
        <v>ACCT#7700010025/PCT#2</v>
      </c>
      <c r="H178">
        <v>30.75</v>
      </c>
      <c r="I178" t="str">
        <f>"ACCT#7700010025/PCT#2"</f>
        <v>ACCT#7700010025/PCT#2</v>
      </c>
    </row>
    <row r="179" spans="1:9" x14ac:dyDescent="0.3">
      <c r="A179" t="str">
        <f>"AWS"</f>
        <v>AWS</v>
      </c>
      <c r="B179" t="s">
        <v>35</v>
      </c>
      <c r="C179">
        <v>77016</v>
      </c>
      <c r="D179" s="2">
        <v>1054.3699999999999</v>
      </c>
      <c r="E179" s="1">
        <v>43250</v>
      </c>
      <c r="F179" t="str">
        <f>"201805301225"</f>
        <v>201805301225</v>
      </c>
      <c r="G179" t="str">
        <f>"ACCT#0102120801 / 06012018"</f>
        <v>ACCT#0102120801 / 06012018</v>
      </c>
      <c r="H179">
        <v>259.74</v>
      </c>
      <c r="I179" t="str">
        <f>"ACCT#0102120801 / 06012018"</f>
        <v>ACCT#0102120801 / 06012018</v>
      </c>
    </row>
    <row r="180" spans="1:9" x14ac:dyDescent="0.3">
      <c r="A180" t="str">
        <f>""</f>
        <v/>
      </c>
      <c r="F180" t="str">
        <f>"201805301226"</f>
        <v>201805301226</v>
      </c>
      <c r="G180" t="str">
        <f>"ACCT#0201855301 / 06012018"</f>
        <v>ACCT#0201855301 / 06012018</v>
      </c>
      <c r="H180">
        <v>31.08</v>
      </c>
      <c r="I180" t="str">
        <f>"ACCT#0201855301 / 06012018"</f>
        <v>ACCT#0201855301 / 06012018</v>
      </c>
    </row>
    <row r="181" spans="1:9" x14ac:dyDescent="0.3">
      <c r="A181" t="str">
        <f>""</f>
        <v/>
      </c>
      <c r="F181" t="str">
        <f>"201805301227"</f>
        <v>201805301227</v>
      </c>
      <c r="G181" t="str">
        <f>"ACCT#0201891401 / 06012018"</f>
        <v>ACCT#0201891401 / 06012018</v>
      </c>
      <c r="H181">
        <v>25.28</v>
      </c>
      <c r="I181" t="str">
        <f>"ACCT#0201891401 / 06012018"</f>
        <v>ACCT#0201891401 / 06012018</v>
      </c>
    </row>
    <row r="182" spans="1:9" x14ac:dyDescent="0.3">
      <c r="A182" t="str">
        <f>""</f>
        <v/>
      </c>
      <c r="F182" t="str">
        <f>"201805301228"</f>
        <v>201805301228</v>
      </c>
      <c r="G182" t="str">
        <f>"ACCT#0400785803 / 06012018"</f>
        <v>ACCT#0400785803 / 06012018</v>
      </c>
      <c r="H182">
        <v>157.43</v>
      </c>
      <c r="I182" t="str">
        <f>"ACCT#0400785803 / 06012018"</f>
        <v>ACCT#0400785803 / 06012018</v>
      </c>
    </row>
    <row r="183" spans="1:9" x14ac:dyDescent="0.3">
      <c r="A183" t="str">
        <f>""</f>
        <v/>
      </c>
      <c r="F183" t="str">
        <f>"201805301229"</f>
        <v>201805301229</v>
      </c>
      <c r="G183" t="str">
        <f>"ACCT#0401408501 / 06012018"</f>
        <v>ACCT#0401408501 / 06012018</v>
      </c>
      <c r="H183">
        <v>547.83000000000004</v>
      </c>
      <c r="I183" t="str">
        <f>"ACCT#0401408501 / 06012018"</f>
        <v>ACCT#0401408501 / 06012018</v>
      </c>
    </row>
    <row r="184" spans="1:9" x14ac:dyDescent="0.3">
      <c r="A184" t="str">
        <f>""</f>
        <v/>
      </c>
      <c r="F184" t="str">
        <f>"201805301230"</f>
        <v>201805301230</v>
      </c>
      <c r="G184" t="str">
        <f>"ACCT#0800042801 / 06012018"</f>
        <v>ACCT#0800042801 / 06012018</v>
      </c>
      <c r="H184">
        <v>33.01</v>
      </c>
      <c r="I184" t="str">
        <f>"ACCT#0800042801 / 06012018"</f>
        <v>ACCT#0800042801 / 06012018</v>
      </c>
    </row>
    <row r="185" spans="1:9" x14ac:dyDescent="0.3">
      <c r="A185" t="str">
        <f>"000987"</f>
        <v>000987</v>
      </c>
      <c r="B185" t="s">
        <v>36</v>
      </c>
      <c r="C185">
        <v>76546</v>
      </c>
      <c r="D185" s="2">
        <v>333.33</v>
      </c>
      <c r="E185" s="1">
        <v>43234</v>
      </c>
      <c r="F185" t="str">
        <f>"201805090969"</f>
        <v>201805090969</v>
      </c>
      <c r="G185" t="str">
        <f>"INDIGENT HEALTH"</f>
        <v>INDIGENT HEALTH</v>
      </c>
      <c r="H185">
        <v>333.33</v>
      </c>
      <c r="I185" t="str">
        <f>"INDIGENT HEALTH"</f>
        <v>INDIGENT HEALTH</v>
      </c>
    </row>
    <row r="186" spans="1:9" x14ac:dyDescent="0.3">
      <c r="A186" t="str">
        <f>"003672"</f>
        <v>003672</v>
      </c>
      <c r="B186" t="s">
        <v>37</v>
      </c>
      <c r="C186">
        <v>76832</v>
      </c>
      <c r="D186" s="2">
        <v>41245</v>
      </c>
      <c r="E186" s="1">
        <v>43249</v>
      </c>
      <c r="F186" t="str">
        <f>"14670"</f>
        <v>14670</v>
      </c>
      <c r="G186" t="str">
        <f>"SOCIAL MEDIA-MARCH&amp;APRIL"</f>
        <v>SOCIAL MEDIA-MARCH&amp;APRIL</v>
      </c>
      <c r="H186">
        <v>27720</v>
      </c>
      <c r="I186" t="str">
        <f>"SOCIAL MEDIA-MARCH&amp;APRIL"</f>
        <v>SOCIAL MEDIA-MARCH&amp;APRIL</v>
      </c>
    </row>
    <row r="187" spans="1:9" x14ac:dyDescent="0.3">
      <c r="A187" t="str">
        <f>""</f>
        <v/>
      </c>
      <c r="F187" t="str">
        <f>"14671"</f>
        <v>14671</v>
      </c>
      <c r="G187" t="str">
        <f>"CREATIVE DELIVERABLE/WEB DEV"</f>
        <v>CREATIVE DELIVERABLE/WEB DEV</v>
      </c>
      <c r="H187">
        <v>13525</v>
      </c>
      <c r="I187" t="str">
        <f>"CREATIVE DELIVERABLE/WEB DEV"</f>
        <v>CREATIVE DELIVERABLE/WEB DEV</v>
      </c>
    </row>
    <row r="188" spans="1:9" x14ac:dyDescent="0.3">
      <c r="A188" t="str">
        <f>"001533"</f>
        <v>001533</v>
      </c>
      <c r="B188" t="s">
        <v>38</v>
      </c>
      <c r="C188">
        <v>76547</v>
      </c>
      <c r="D188" s="2">
        <v>780.02</v>
      </c>
      <c r="E188" s="1">
        <v>43234</v>
      </c>
      <c r="F188" t="str">
        <f>"C67812"</f>
        <v>C67812</v>
      </c>
      <c r="G188" t="str">
        <f>"CAT SKID / PCT#1"</f>
        <v>CAT SKID / PCT#1</v>
      </c>
      <c r="H188">
        <v>780.02</v>
      </c>
      <c r="I188" t="str">
        <f>"CAT SKID / PCT#1"</f>
        <v>CAT SKID / PCT#1</v>
      </c>
    </row>
    <row r="189" spans="1:9" x14ac:dyDescent="0.3">
      <c r="A189" t="str">
        <f>"003673"</f>
        <v>003673</v>
      </c>
      <c r="B189" t="s">
        <v>39</v>
      </c>
      <c r="C189">
        <v>76548</v>
      </c>
      <c r="D189" s="2">
        <v>5106.7299999999996</v>
      </c>
      <c r="E189" s="1">
        <v>43234</v>
      </c>
      <c r="F189" t="str">
        <f>"201805010480"</f>
        <v>201805010480</v>
      </c>
      <c r="G189" t="str">
        <f>"ACCT#512A49-0048 193 3"</f>
        <v>ACCT#512A49-0048 193 3</v>
      </c>
      <c r="H189">
        <v>4545.16</v>
      </c>
      <c r="I189" t="str">
        <f>"ACCT#512A49-0048 193 3"</f>
        <v>ACCT#512A49-0048 193 3</v>
      </c>
    </row>
    <row r="190" spans="1:9" x14ac:dyDescent="0.3">
      <c r="A190" t="str">
        <f>""</f>
        <v/>
      </c>
      <c r="F190" t="str">
        <f>""</f>
        <v/>
      </c>
      <c r="G190" t="str">
        <f>""</f>
        <v/>
      </c>
      <c r="I190" t="str">
        <f>"ACCT#512A49-0048 193 3"</f>
        <v>ACCT#512A49-0048 193 3</v>
      </c>
    </row>
    <row r="191" spans="1:9" x14ac:dyDescent="0.3">
      <c r="A191" t="str">
        <f>""</f>
        <v/>
      </c>
      <c r="F191" t="str">
        <f>"201805010486"</f>
        <v>201805010486</v>
      </c>
      <c r="G191" t="str">
        <f>"ACCT#512A49-0048 193 3/PCT#4"</f>
        <v>ACCT#512A49-0048 193 3/PCT#4</v>
      </c>
      <c r="H191">
        <v>135.71</v>
      </c>
      <c r="I191" t="str">
        <f>"ACCT#512A49-0048 193 3/PCT#4"</f>
        <v>ACCT#512A49-0048 193 3/PCT#4</v>
      </c>
    </row>
    <row r="192" spans="1:9" x14ac:dyDescent="0.3">
      <c r="A192" t="str">
        <f>""</f>
        <v/>
      </c>
      <c r="F192" t="str">
        <f>"201805010487"</f>
        <v>201805010487</v>
      </c>
      <c r="G192" t="str">
        <f>"ACCT#512A49-0048 193 3/PCT#3"</f>
        <v>ACCT#512A49-0048 193 3/PCT#3</v>
      </c>
      <c r="H192">
        <v>181.12</v>
      </c>
      <c r="I192" t="str">
        <f>"ACCT#512A49-0048 193 3/PCT#3"</f>
        <v>ACCT#512A49-0048 193 3/PCT#3</v>
      </c>
    </row>
    <row r="193" spans="1:9" x14ac:dyDescent="0.3">
      <c r="A193" t="str">
        <f>""</f>
        <v/>
      </c>
      <c r="F193" t="str">
        <f>"201805030731"</f>
        <v>201805030731</v>
      </c>
      <c r="G193" t="str">
        <f>"ACCT#512A49-0048 193 3/PCT#2"</f>
        <v>ACCT#512A49-0048 193 3/PCT#2</v>
      </c>
      <c r="H193">
        <v>244.74</v>
      </c>
      <c r="I193" t="str">
        <f>"ACCT#512A49-0048 193 3/PCT#2"</f>
        <v>ACCT#512A49-0048 193 3/PCT#2</v>
      </c>
    </row>
    <row r="194" spans="1:9" x14ac:dyDescent="0.3">
      <c r="A194" t="str">
        <f>"003673"</f>
        <v>003673</v>
      </c>
      <c r="B194" t="s">
        <v>39</v>
      </c>
      <c r="C194">
        <v>76833</v>
      </c>
      <c r="D194" s="2">
        <v>1794.67</v>
      </c>
      <c r="E194" s="1">
        <v>43249</v>
      </c>
      <c r="F194" t="str">
        <f>"201805231169"</f>
        <v>201805231169</v>
      </c>
      <c r="G194" t="str">
        <f>"ACCT#512 303-1080 238 5/SHERIF"</f>
        <v>ACCT#512 303-1080 238 5/SHERIF</v>
      </c>
      <c r="H194">
        <v>1794.67</v>
      </c>
      <c r="I194" t="str">
        <f>"ACCT#512 303-1080 238 5/SHERIF"</f>
        <v>ACCT#512 303-1080 238 5/SHERIF</v>
      </c>
    </row>
    <row r="195" spans="1:9" x14ac:dyDescent="0.3">
      <c r="A195" t="str">
        <f>"AT&amp;TLO"</f>
        <v>AT&amp;TLO</v>
      </c>
      <c r="B195" t="s">
        <v>40</v>
      </c>
      <c r="C195">
        <v>76549</v>
      </c>
      <c r="D195" s="2">
        <v>5796.84</v>
      </c>
      <c r="E195" s="1">
        <v>43234</v>
      </c>
      <c r="F195" t="str">
        <f>"831-000-7218-923"</f>
        <v>831-000-7218-923</v>
      </c>
      <c r="G195" t="str">
        <f>"ACCT#831-000-7218 923"</f>
        <v>ACCT#831-000-7218 923</v>
      </c>
      <c r="H195">
        <v>1985.26</v>
      </c>
      <c r="I195" t="str">
        <f>"ACCT#831-000-7218 923"</f>
        <v>ACCT#831-000-7218 923</v>
      </c>
    </row>
    <row r="196" spans="1:9" x14ac:dyDescent="0.3">
      <c r="A196" t="str">
        <f>""</f>
        <v/>
      </c>
      <c r="F196" t="str">
        <f>"9584351400"</f>
        <v>9584351400</v>
      </c>
      <c r="G196" t="str">
        <f>"ACCT#831-000-6084-095"</f>
        <v>ACCT#831-000-6084-095</v>
      </c>
      <c r="H196">
        <v>3811.58</v>
      </c>
      <c r="I196" t="str">
        <f>"ACCT#831-000-6084-095"</f>
        <v>ACCT#831-000-6084-095</v>
      </c>
    </row>
    <row r="197" spans="1:9" x14ac:dyDescent="0.3">
      <c r="A197" t="str">
        <f>"T7386"</f>
        <v>T7386</v>
      </c>
      <c r="B197" t="s">
        <v>40</v>
      </c>
      <c r="C197">
        <v>76550</v>
      </c>
      <c r="D197" s="2">
        <v>1794.53</v>
      </c>
      <c r="E197" s="1">
        <v>43234</v>
      </c>
      <c r="F197" t="str">
        <f>"201805020500"</f>
        <v>201805020500</v>
      </c>
      <c r="G197" t="str">
        <f>"ACCT#512 303-1080 238 5"</f>
        <v>ACCT#512 303-1080 238 5</v>
      </c>
      <c r="H197">
        <v>1794.53</v>
      </c>
      <c r="I197" t="str">
        <f>"ACCT#512 303-1080 238 5"</f>
        <v>ACCT#512 303-1080 238 5</v>
      </c>
    </row>
    <row r="198" spans="1:9" x14ac:dyDescent="0.3">
      <c r="A198" t="str">
        <f>"AT&amp;TMO"</f>
        <v>AT&amp;TMO</v>
      </c>
      <c r="B198" t="s">
        <v>41</v>
      </c>
      <c r="C198">
        <v>76834</v>
      </c>
      <c r="D198" s="2">
        <v>1968.9</v>
      </c>
      <c r="E198" s="1">
        <v>43249</v>
      </c>
      <c r="F198" t="str">
        <f>"201805231182"</f>
        <v>201805231182</v>
      </c>
      <c r="G198" t="str">
        <f>"ACCT#287263291654/WIRELESS"</f>
        <v>ACCT#287263291654/WIRELESS</v>
      </c>
      <c r="H198">
        <v>1968.9</v>
      </c>
      <c r="I198" t="str">
        <f t="shared" ref="I198:I215" si="4">"ACCT#287263291654/WIRELESS"</f>
        <v>ACCT#287263291654/WIRELESS</v>
      </c>
    </row>
    <row r="199" spans="1:9" x14ac:dyDescent="0.3">
      <c r="A199" t="str">
        <f>""</f>
        <v/>
      </c>
      <c r="F199" t="str">
        <f>""</f>
        <v/>
      </c>
      <c r="G199" t="str">
        <f>""</f>
        <v/>
      </c>
      <c r="I199" t="str">
        <f t="shared" si="4"/>
        <v>ACCT#287263291654/WIRELESS</v>
      </c>
    </row>
    <row r="200" spans="1:9" x14ac:dyDescent="0.3">
      <c r="A200" t="str">
        <f>""</f>
        <v/>
      </c>
      <c r="F200" t="str">
        <f>""</f>
        <v/>
      </c>
      <c r="G200" t="str">
        <f>""</f>
        <v/>
      </c>
      <c r="I200" t="str">
        <f t="shared" si="4"/>
        <v>ACCT#287263291654/WIRELESS</v>
      </c>
    </row>
    <row r="201" spans="1:9" x14ac:dyDescent="0.3">
      <c r="A201" t="str">
        <f>""</f>
        <v/>
      </c>
      <c r="F201" t="str">
        <f>""</f>
        <v/>
      </c>
      <c r="G201" t="str">
        <f>""</f>
        <v/>
      </c>
      <c r="I201" t="str">
        <f t="shared" si="4"/>
        <v>ACCT#287263291654/WIRELESS</v>
      </c>
    </row>
    <row r="202" spans="1:9" x14ac:dyDescent="0.3">
      <c r="A202" t="str">
        <f>""</f>
        <v/>
      </c>
      <c r="F202" t="str">
        <f>""</f>
        <v/>
      </c>
      <c r="G202" t="str">
        <f>""</f>
        <v/>
      </c>
      <c r="I202" t="str">
        <f t="shared" si="4"/>
        <v>ACCT#287263291654/WIRELESS</v>
      </c>
    </row>
    <row r="203" spans="1:9" x14ac:dyDescent="0.3">
      <c r="A203" t="str">
        <f>""</f>
        <v/>
      </c>
      <c r="F203" t="str">
        <f>""</f>
        <v/>
      </c>
      <c r="G203" t="str">
        <f>""</f>
        <v/>
      </c>
      <c r="I203" t="str">
        <f t="shared" si="4"/>
        <v>ACCT#287263291654/WIRELESS</v>
      </c>
    </row>
    <row r="204" spans="1:9" x14ac:dyDescent="0.3">
      <c r="A204" t="str">
        <f>""</f>
        <v/>
      </c>
      <c r="F204" t="str">
        <f>""</f>
        <v/>
      </c>
      <c r="G204" t="str">
        <f>""</f>
        <v/>
      </c>
      <c r="I204" t="str">
        <f t="shared" si="4"/>
        <v>ACCT#287263291654/WIRELESS</v>
      </c>
    </row>
    <row r="205" spans="1:9" x14ac:dyDescent="0.3">
      <c r="A205" t="str">
        <f>""</f>
        <v/>
      </c>
      <c r="F205" t="str">
        <f>""</f>
        <v/>
      </c>
      <c r="G205" t="str">
        <f>""</f>
        <v/>
      </c>
      <c r="I205" t="str">
        <f t="shared" si="4"/>
        <v>ACCT#287263291654/WIRELESS</v>
      </c>
    </row>
    <row r="206" spans="1:9" x14ac:dyDescent="0.3">
      <c r="A206" t="str">
        <f>""</f>
        <v/>
      </c>
      <c r="F206" t="str">
        <f>""</f>
        <v/>
      </c>
      <c r="G206" t="str">
        <f>""</f>
        <v/>
      </c>
      <c r="I206" t="str">
        <f t="shared" si="4"/>
        <v>ACCT#287263291654/WIRELESS</v>
      </c>
    </row>
    <row r="207" spans="1:9" x14ac:dyDescent="0.3">
      <c r="A207" t="str">
        <f>""</f>
        <v/>
      </c>
      <c r="F207" t="str">
        <f>""</f>
        <v/>
      </c>
      <c r="G207" t="str">
        <f>""</f>
        <v/>
      </c>
      <c r="I207" t="str">
        <f t="shared" si="4"/>
        <v>ACCT#287263291654/WIRELESS</v>
      </c>
    </row>
    <row r="208" spans="1:9" x14ac:dyDescent="0.3">
      <c r="A208" t="str">
        <f>""</f>
        <v/>
      </c>
      <c r="F208" t="str">
        <f>""</f>
        <v/>
      </c>
      <c r="G208" t="str">
        <f>""</f>
        <v/>
      </c>
      <c r="I208" t="str">
        <f t="shared" si="4"/>
        <v>ACCT#287263291654/WIRELESS</v>
      </c>
    </row>
    <row r="209" spans="1:9" x14ac:dyDescent="0.3">
      <c r="A209" t="str">
        <f>""</f>
        <v/>
      </c>
      <c r="F209" t="str">
        <f>""</f>
        <v/>
      </c>
      <c r="G209" t="str">
        <f>""</f>
        <v/>
      </c>
      <c r="I209" t="str">
        <f t="shared" si="4"/>
        <v>ACCT#287263291654/WIRELESS</v>
      </c>
    </row>
    <row r="210" spans="1:9" x14ac:dyDescent="0.3">
      <c r="A210" t="str">
        <f>""</f>
        <v/>
      </c>
      <c r="F210" t="str">
        <f>""</f>
        <v/>
      </c>
      <c r="G210" t="str">
        <f>""</f>
        <v/>
      </c>
      <c r="I210" t="str">
        <f t="shared" si="4"/>
        <v>ACCT#287263291654/WIRELESS</v>
      </c>
    </row>
    <row r="211" spans="1:9" x14ac:dyDescent="0.3">
      <c r="A211" t="str">
        <f>""</f>
        <v/>
      </c>
      <c r="F211" t="str">
        <f>""</f>
        <v/>
      </c>
      <c r="G211" t="str">
        <f>""</f>
        <v/>
      </c>
      <c r="I211" t="str">
        <f t="shared" si="4"/>
        <v>ACCT#287263291654/WIRELESS</v>
      </c>
    </row>
    <row r="212" spans="1:9" x14ac:dyDescent="0.3">
      <c r="A212" t="str">
        <f>""</f>
        <v/>
      </c>
      <c r="F212" t="str">
        <f>""</f>
        <v/>
      </c>
      <c r="G212" t="str">
        <f>""</f>
        <v/>
      </c>
      <c r="I212" t="str">
        <f t="shared" si="4"/>
        <v>ACCT#287263291654/WIRELESS</v>
      </c>
    </row>
    <row r="213" spans="1:9" x14ac:dyDescent="0.3">
      <c r="A213" t="str">
        <f>""</f>
        <v/>
      </c>
      <c r="F213" t="str">
        <f>""</f>
        <v/>
      </c>
      <c r="G213" t="str">
        <f>""</f>
        <v/>
      </c>
      <c r="I213" t="str">
        <f t="shared" si="4"/>
        <v>ACCT#287263291654/WIRELESS</v>
      </c>
    </row>
    <row r="214" spans="1:9" x14ac:dyDescent="0.3">
      <c r="A214" t="str">
        <f>""</f>
        <v/>
      </c>
      <c r="F214" t="str">
        <f>""</f>
        <v/>
      </c>
      <c r="G214" t="str">
        <f>""</f>
        <v/>
      </c>
      <c r="I214" t="str">
        <f t="shared" si="4"/>
        <v>ACCT#287263291654/WIRELESS</v>
      </c>
    </row>
    <row r="215" spans="1:9" x14ac:dyDescent="0.3">
      <c r="A215" t="str">
        <f>""</f>
        <v/>
      </c>
      <c r="F215" t="str">
        <f>""</f>
        <v/>
      </c>
      <c r="G215" t="str">
        <f>""</f>
        <v/>
      </c>
      <c r="I215" t="str">
        <f t="shared" si="4"/>
        <v>ACCT#287263291654/WIRELESS</v>
      </c>
    </row>
    <row r="216" spans="1:9" x14ac:dyDescent="0.3">
      <c r="A216" t="str">
        <f>"AT&amp;T13"</f>
        <v>AT&amp;T13</v>
      </c>
      <c r="B216" t="s">
        <v>42</v>
      </c>
      <c r="C216">
        <v>76551</v>
      </c>
      <c r="D216" s="2">
        <v>291.77999999999997</v>
      </c>
      <c r="E216" s="1">
        <v>43234</v>
      </c>
      <c r="F216" t="str">
        <f>"201804250458"</f>
        <v>201804250458</v>
      </c>
      <c r="G216" t="str">
        <f>"ACCT#826392401/DPS"</f>
        <v>ACCT#826392401/DPS</v>
      </c>
      <c r="H216">
        <v>96.06</v>
      </c>
      <c r="I216" t="str">
        <f>"ACCT#826392401/DPS"</f>
        <v>ACCT#826392401/DPS</v>
      </c>
    </row>
    <row r="217" spans="1:9" x14ac:dyDescent="0.3">
      <c r="A217" t="str">
        <f>""</f>
        <v/>
      </c>
      <c r="F217" t="str">
        <f>"201805040779"</f>
        <v>201805040779</v>
      </c>
      <c r="G217" t="str">
        <f>"ACCT#826392401/DPS"</f>
        <v>ACCT#826392401/DPS</v>
      </c>
      <c r="H217">
        <v>195.72</v>
      </c>
      <c r="I217" t="str">
        <f>"ACCT#826392401/DPS"</f>
        <v>ACCT#826392401/DPS</v>
      </c>
    </row>
    <row r="218" spans="1:9" x14ac:dyDescent="0.3">
      <c r="A218" t="str">
        <f>"004977"</f>
        <v>004977</v>
      </c>
      <c r="B218" t="s">
        <v>43</v>
      </c>
      <c r="C218">
        <v>76552</v>
      </c>
      <c r="D218" s="2">
        <v>722</v>
      </c>
      <c r="E218" s="1">
        <v>43234</v>
      </c>
      <c r="F218" t="str">
        <f>"1136"</f>
        <v>1136</v>
      </c>
      <c r="G218" t="str">
        <f>"Hard Drive Destruction"</f>
        <v>Hard Drive Destruction</v>
      </c>
      <c r="H218">
        <v>722</v>
      </c>
      <c r="I218" t="str">
        <f>"Hard Drive Destruction"</f>
        <v>Hard Drive Destruction</v>
      </c>
    </row>
    <row r="219" spans="1:9" x14ac:dyDescent="0.3">
      <c r="A219" t="str">
        <f>""</f>
        <v/>
      </c>
      <c r="F219" t="str">
        <f>""</f>
        <v/>
      </c>
      <c r="G219" t="str">
        <f>""</f>
        <v/>
      </c>
      <c r="I219" t="str">
        <f>"Tape Destruction"</f>
        <v>Tape Destruction</v>
      </c>
    </row>
    <row r="220" spans="1:9" x14ac:dyDescent="0.3">
      <c r="A220" t="str">
        <f>"ASC"</f>
        <v>ASC</v>
      </c>
      <c r="B220" t="s">
        <v>44</v>
      </c>
      <c r="C220">
        <v>76553</v>
      </c>
      <c r="D220" s="2">
        <v>159.21</v>
      </c>
      <c r="E220" s="1">
        <v>43234</v>
      </c>
      <c r="F220" t="str">
        <f>"91317"</f>
        <v>91317</v>
      </c>
      <c r="G220" t="str">
        <f>"ORD#15547/HOSE ASSY/PCT#4"</f>
        <v>ORD#15547/HOSE ASSY/PCT#4</v>
      </c>
      <c r="H220">
        <v>159.21</v>
      </c>
      <c r="I220" t="str">
        <f>"ORD#15547/HOSE ASSY/PCT#4"</f>
        <v>ORD#15547/HOSE ASSY/PCT#4</v>
      </c>
    </row>
    <row r="221" spans="1:9" x14ac:dyDescent="0.3">
      <c r="A221" t="str">
        <f>"ASC"</f>
        <v>ASC</v>
      </c>
      <c r="B221" t="s">
        <v>44</v>
      </c>
      <c r="C221">
        <v>76835</v>
      </c>
      <c r="D221" s="2">
        <v>1275.27</v>
      </c>
      <c r="E221" s="1">
        <v>43249</v>
      </c>
      <c r="F221" t="str">
        <f>"91400"</f>
        <v>91400</v>
      </c>
      <c r="G221" t="str">
        <f>"WK ORD#15068/PCT#2"</f>
        <v>WK ORD#15068/PCT#2</v>
      </c>
      <c r="H221">
        <v>116.23</v>
      </c>
      <c r="I221" t="str">
        <f>"WK ORD#15068/PCT#2"</f>
        <v>WK ORD#15068/PCT#2</v>
      </c>
    </row>
    <row r="222" spans="1:9" x14ac:dyDescent="0.3">
      <c r="A222" t="str">
        <f>""</f>
        <v/>
      </c>
      <c r="F222" t="str">
        <f>"91413"</f>
        <v>91413</v>
      </c>
      <c r="G222" t="str">
        <f>"WK ORD#15520/PCT#3"</f>
        <v>WK ORD#15520/PCT#3</v>
      </c>
      <c r="H222">
        <v>1159.04</v>
      </c>
      <c r="I222" t="str">
        <f>"WK ORD#15520/PCT#3"</f>
        <v>WK ORD#15520/PCT#3</v>
      </c>
    </row>
    <row r="223" spans="1:9" x14ac:dyDescent="0.3">
      <c r="A223" t="str">
        <f>"003291"</f>
        <v>003291</v>
      </c>
      <c r="B223" t="s">
        <v>45</v>
      </c>
      <c r="C223">
        <v>999999</v>
      </c>
      <c r="D223" s="2">
        <v>794.88</v>
      </c>
      <c r="E223" s="1">
        <v>43235</v>
      </c>
      <c r="F223" t="str">
        <f>"336226"</f>
        <v>336226</v>
      </c>
      <c r="G223" t="str">
        <f>"Ad# 336226 &amp; Ad# 336232"</f>
        <v>Ad# 336226 &amp; Ad# 336232</v>
      </c>
      <c r="H223">
        <v>794.88</v>
      </c>
      <c r="I223" t="str">
        <f>"Ad# 336232"</f>
        <v>Ad# 336232</v>
      </c>
    </row>
    <row r="224" spans="1:9" x14ac:dyDescent="0.3">
      <c r="A224" t="str">
        <f>""</f>
        <v/>
      </c>
      <c r="F224" t="str">
        <f>""</f>
        <v/>
      </c>
      <c r="G224" t="str">
        <f>""</f>
        <v/>
      </c>
      <c r="I224" t="str">
        <f>"Ad# 336226"</f>
        <v>Ad# 336226</v>
      </c>
    </row>
    <row r="225" spans="1:9" x14ac:dyDescent="0.3">
      <c r="A225" t="str">
        <f>"003291"</f>
        <v>003291</v>
      </c>
      <c r="B225" t="s">
        <v>45</v>
      </c>
      <c r="C225">
        <v>999999</v>
      </c>
      <c r="D225" s="2">
        <v>4067.04</v>
      </c>
      <c r="E225" s="1">
        <v>43250</v>
      </c>
      <c r="F225" t="str">
        <f>"343529"</f>
        <v>343529</v>
      </c>
      <c r="G225" t="str">
        <f>"Ad# 343529"</f>
        <v>Ad# 343529</v>
      </c>
      <c r="H225">
        <v>162.1</v>
      </c>
      <c r="I225" t="str">
        <f>"Ad# 343529"</f>
        <v>Ad# 343529</v>
      </c>
    </row>
    <row r="226" spans="1:9" x14ac:dyDescent="0.3">
      <c r="A226" t="str">
        <f>""</f>
        <v/>
      </c>
      <c r="F226" t="str">
        <f>"351617"</f>
        <v>351617</v>
      </c>
      <c r="G226" t="str">
        <f>"Ad# 351617"</f>
        <v>Ad# 351617</v>
      </c>
      <c r="H226">
        <v>354.24</v>
      </c>
      <c r="I226" t="str">
        <f>"Ad# 351617"</f>
        <v>Ad# 351617</v>
      </c>
    </row>
    <row r="227" spans="1:9" x14ac:dyDescent="0.3">
      <c r="A227" t="str">
        <f>""</f>
        <v/>
      </c>
      <c r="F227" t="str">
        <f>""</f>
        <v/>
      </c>
      <c r="G227" t="str">
        <f>""</f>
        <v/>
      </c>
      <c r="I227" t="str">
        <f>"Ad# 351617"</f>
        <v>Ad# 351617</v>
      </c>
    </row>
    <row r="228" spans="1:9" x14ac:dyDescent="0.3">
      <c r="A228" t="str">
        <f>""</f>
        <v/>
      </c>
      <c r="F228" t="str">
        <f>""</f>
        <v/>
      </c>
      <c r="G228" t="str">
        <f>""</f>
        <v/>
      </c>
      <c r="I228" t="str">
        <f>"Ad# 351617"</f>
        <v>Ad# 351617</v>
      </c>
    </row>
    <row r="229" spans="1:9" x14ac:dyDescent="0.3">
      <c r="A229" t="str">
        <f>""</f>
        <v/>
      </c>
      <c r="F229" t="str">
        <f>""</f>
        <v/>
      </c>
      <c r="G229" t="str">
        <f>""</f>
        <v/>
      </c>
      <c r="I229" t="str">
        <f>"Ad# 351617"</f>
        <v>Ad# 351617</v>
      </c>
    </row>
    <row r="230" spans="1:9" x14ac:dyDescent="0.3">
      <c r="A230" t="str">
        <f>""</f>
        <v/>
      </c>
      <c r="F230" t="str">
        <f>"351623"</f>
        <v>351623</v>
      </c>
      <c r="G230" t="str">
        <f>"AD#351623"</f>
        <v>AD#351623</v>
      </c>
      <c r="H230">
        <v>354.24</v>
      </c>
      <c r="I230" t="str">
        <f>"AD#351623"</f>
        <v>AD#351623</v>
      </c>
    </row>
    <row r="231" spans="1:9" x14ac:dyDescent="0.3">
      <c r="A231" t="str">
        <f>""</f>
        <v/>
      </c>
      <c r="F231" t="str">
        <f>""</f>
        <v/>
      </c>
      <c r="G231" t="str">
        <f>""</f>
        <v/>
      </c>
      <c r="I231" t="str">
        <f>"AD#351623"</f>
        <v>AD#351623</v>
      </c>
    </row>
    <row r="232" spans="1:9" x14ac:dyDescent="0.3">
      <c r="A232" t="str">
        <f>""</f>
        <v/>
      </c>
      <c r="F232" t="str">
        <f>""</f>
        <v/>
      </c>
      <c r="G232" t="str">
        <f>""</f>
        <v/>
      </c>
      <c r="I232" t="str">
        <f>"AD#351623"</f>
        <v>AD#351623</v>
      </c>
    </row>
    <row r="233" spans="1:9" x14ac:dyDescent="0.3">
      <c r="A233" t="str">
        <f>""</f>
        <v/>
      </c>
      <c r="F233" t="str">
        <f>""</f>
        <v/>
      </c>
      <c r="G233" t="str">
        <f>""</f>
        <v/>
      </c>
      <c r="I233" t="str">
        <f>"AD#351623"</f>
        <v>AD#351623</v>
      </c>
    </row>
    <row r="234" spans="1:9" x14ac:dyDescent="0.3">
      <c r="A234" t="str">
        <f>""</f>
        <v/>
      </c>
      <c r="F234" t="str">
        <f>"351625"</f>
        <v>351625</v>
      </c>
      <c r="G234" t="str">
        <f>"Ad# 351625"</f>
        <v>Ad# 351625</v>
      </c>
      <c r="H234">
        <v>354.24</v>
      </c>
      <c r="I234" t="str">
        <f>"Ad# 351625"</f>
        <v>Ad# 351625</v>
      </c>
    </row>
    <row r="235" spans="1:9" x14ac:dyDescent="0.3">
      <c r="A235" t="str">
        <f>""</f>
        <v/>
      </c>
      <c r="F235" t="str">
        <f>""</f>
        <v/>
      </c>
      <c r="G235" t="str">
        <f>""</f>
        <v/>
      </c>
      <c r="I235" t="str">
        <f>"Ad# 351625"</f>
        <v>Ad# 351625</v>
      </c>
    </row>
    <row r="236" spans="1:9" x14ac:dyDescent="0.3">
      <c r="A236" t="str">
        <f>""</f>
        <v/>
      </c>
      <c r="F236" t="str">
        <f>""</f>
        <v/>
      </c>
      <c r="G236" t="str">
        <f>""</f>
        <v/>
      </c>
      <c r="I236" t="str">
        <f>"Ad# 351625"</f>
        <v>Ad# 351625</v>
      </c>
    </row>
    <row r="237" spans="1:9" x14ac:dyDescent="0.3">
      <c r="A237" t="str">
        <f>""</f>
        <v/>
      </c>
      <c r="F237" t="str">
        <f>""</f>
        <v/>
      </c>
      <c r="G237" t="str">
        <f>""</f>
        <v/>
      </c>
      <c r="I237" t="str">
        <f>"Ad# 351625"</f>
        <v>Ad# 351625</v>
      </c>
    </row>
    <row r="238" spans="1:9" x14ac:dyDescent="0.3">
      <c r="A238" t="str">
        <f>""</f>
        <v/>
      </c>
      <c r="F238" t="str">
        <f>"351628"</f>
        <v>351628</v>
      </c>
      <c r="G238" t="str">
        <f>"AD# 351628"</f>
        <v>AD# 351628</v>
      </c>
      <c r="H238">
        <v>354.24</v>
      </c>
      <c r="I238" t="str">
        <f>"AD# 351628"</f>
        <v>AD# 351628</v>
      </c>
    </row>
    <row r="239" spans="1:9" x14ac:dyDescent="0.3">
      <c r="A239" t="str">
        <f>""</f>
        <v/>
      </c>
      <c r="F239" t="str">
        <f>""</f>
        <v/>
      </c>
      <c r="G239" t="str">
        <f>""</f>
        <v/>
      </c>
      <c r="I239" t="str">
        <f>"AD# 351628"</f>
        <v>AD# 351628</v>
      </c>
    </row>
    <row r="240" spans="1:9" x14ac:dyDescent="0.3">
      <c r="A240" t="str">
        <f>""</f>
        <v/>
      </c>
      <c r="F240" t="str">
        <f>""</f>
        <v/>
      </c>
      <c r="G240" t="str">
        <f>""</f>
        <v/>
      </c>
      <c r="I240" t="str">
        <f>"AD# 351628"</f>
        <v>AD# 351628</v>
      </c>
    </row>
    <row r="241" spans="1:9" x14ac:dyDescent="0.3">
      <c r="A241" t="str">
        <f>""</f>
        <v/>
      </c>
      <c r="F241" t="str">
        <f>""</f>
        <v/>
      </c>
      <c r="G241" t="str">
        <f>""</f>
        <v/>
      </c>
      <c r="I241" t="str">
        <f>"AD# 351628"</f>
        <v>AD# 351628</v>
      </c>
    </row>
    <row r="242" spans="1:9" x14ac:dyDescent="0.3">
      <c r="A242" t="str">
        <f>""</f>
        <v/>
      </c>
      <c r="F242" t="str">
        <f>"351634"</f>
        <v>351634</v>
      </c>
      <c r="G242" t="str">
        <f>"Ad# 351634"</f>
        <v>Ad# 351634</v>
      </c>
      <c r="H242">
        <v>354.24</v>
      </c>
      <c r="I242" t="str">
        <f>"Ad# 351634"</f>
        <v>Ad# 351634</v>
      </c>
    </row>
    <row r="243" spans="1:9" x14ac:dyDescent="0.3">
      <c r="A243" t="str">
        <f>""</f>
        <v/>
      </c>
      <c r="F243" t="str">
        <f>""</f>
        <v/>
      </c>
      <c r="G243" t="str">
        <f>""</f>
        <v/>
      </c>
      <c r="I243" t="str">
        <f>"Ad# 351634"</f>
        <v>Ad# 351634</v>
      </c>
    </row>
    <row r="244" spans="1:9" x14ac:dyDescent="0.3">
      <c r="A244" t="str">
        <f>""</f>
        <v/>
      </c>
      <c r="F244" t="str">
        <f>""</f>
        <v/>
      </c>
      <c r="G244" t="str">
        <f>""</f>
        <v/>
      </c>
      <c r="I244" t="str">
        <f>"Ad# 351634"</f>
        <v>Ad# 351634</v>
      </c>
    </row>
    <row r="245" spans="1:9" x14ac:dyDescent="0.3">
      <c r="A245" t="str">
        <f>""</f>
        <v/>
      </c>
      <c r="F245" t="str">
        <f>""</f>
        <v/>
      </c>
      <c r="G245" t="str">
        <f>""</f>
        <v/>
      </c>
      <c r="I245" t="str">
        <f>"Ad# 351634"</f>
        <v>Ad# 351634</v>
      </c>
    </row>
    <row r="246" spans="1:9" x14ac:dyDescent="0.3">
      <c r="A246" t="str">
        <f>""</f>
        <v/>
      </c>
      <c r="F246" t="str">
        <f>"351637"</f>
        <v>351637</v>
      </c>
      <c r="G246" t="str">
        <f>"Ad# 351637"</f>
        <v>Ad# 351637</v>
      </c>
      <c r="H246">
        <v>354.24</v>
      </c>
      <c r="I246" t="str">
        <f>"Ad# 351637"</f>
        <v>Ad# 351637</v>
      </c>
    </row>
    <row r="247" spans="1:9" x14ac:dyDescent="0.3">
      <c r="A247" t="str">
        <f>""</f>
        <v/>
      </c>
      <c r="F247" t="str">
        <f>""</f>
        <v/>
      </c>
      <c r="G247" t="str">
        <f>""</f>
        <v/>
      </c>
      <c r="I247" t="str">
        <f>"Ad# 351637"</f>
        <v>Ad# 351637</v>
      </c>
    </row>
    <row r="248" spans="1:9" x14ac:dyDescent="0.3">
      <c r="A248" t="str">
        <f>""</f>
        <v/>
      </c>
      <c r="F248" t="str">
        <f>""</f>
        <v/>
      </c>
      <c r="G248" t="str">
        <f>""</f>
        <v/>
      </c>
      <c r="I248" t="str">
        <f>"Ad# 351637"</f>
        <v>Ad# 351637</v>
      </c>
    </row>
    <row r="249" spans="1:9" x14ac:dyDescent="0.3">
      <c r="A249" t="str">
        <f>""</f>
        <v/>
      </c>
      <c r="F249" t="str">
        <f>""</f>
        <v/>
      </c>
      <c r="G249" t="str">
        <f>""</f>
        <v/>
      </c>
      <c r="I249" t="str">
        <f>"Ad# 351637"</f>
        <v>Ad# 351637</v>
      </c>
    </row>
    <row r="250" spans="1:9" x14ac:dyDescent="0.3">
      <c r="A250" t="str">
        <f>""</f>
        <v/>
      </c>
      <c r="F250" t="str">
        <f>"351640"</f>
        <v>351640</v>
      </c>
      <c r="G250" t="str">
        <f>"Ad# 351640"</f>
        <v>Ad# 351640</v>
      </c>
      <c r="H250">
        <v>354.24</v>
      </c>
      <c r="I250" t="str">
        <f>"Ad# 351640"</f>
        <v>Ad# 351640</v>
      </c>
    </row>
    <row r="251" spans="1:9" x14ac:dyDescent="0.3">
      <c r="A251" t="str">
        <f>""</f>
        <v/>
      </c>
      <c r="F251" t="str">
        <f>""</f>
        <v/>
      </c>
      <c r="G251" t="str">
        <f>""</f>
        <v/>
      </c>
      <c r="I251" t="str">
        <f>"Ad# 351640"</f>
        <v>Ad# 351640</v>
      </c>
    </row>
    <row r="252" spans="1:9" x14ac:dyDescent="0.3">
      <c r="A252" t="str">
        <f>""</f>
        <v/>
      </c>
      <c r="F252" t="str">
        <f>""</f>
        <v/>
      </c>
      <c r="G252" t="str">
        <f>""</f>
        <v/>
      </c>
      <c r="I252" t="str">
        <f>"Ad# 351640"</f>
        <v>Ad# 351640</v>
      </c>
    </row>
    <row r="253" spans="1:9" x14ac:dyDescent="0.3">
      <c r="A253" t="str">
        <f>""</f>
        <v/>
      </c>
      <c r="F253" t="str">
        <f>""</f>
        <v/>
      </c>
      <c r="G253" t="str">
        <f>""</f>
        <v/>
      </c>
      <c r="I253" t="str">
        <f>"Ad# 351640"</f>
        <v>Ad# 351640</v>
      </c>
    </row>
    <row r="254" spans="1:9" x14ac:dyDescent="0.3">
      <c r="A254" t="str">
        <f>""</f>
        <v/>
      </c>
      <c r="F254" t="str">
        <f>"351642"</f>
        <v>351642</v>
      </c>
      <c r="G254" t="str">
        <f>"AD# 351642"</f>
        <v>AD# 351642</v>
      </c>
      <c r="H254">
        <v>354.24</v>
      </c>
      <c r="I254" t="str">
        <f>"AD# 351642"</f>
        <v>AD# 351642</v>
      </c>
    </row>
    <row r="255" spans="1:9" x14ac:dyDescent="0.3">
      <c r="A255" t="str">
        <f>""</f>
        <v/>
      </c>
      <c r="F255" t="str">
        <f>""</f>
        <v/>
      </c>
      <c r="G255" t="str">
        <f>""</f>
        <v/>
      </c>
      <c r="I255" t="str">
        <f>"AD# 351642"</f>
        <v>AD# 351642</v>
      </c>
    </row>
    <row r="256" spans="1:9" x14ac:dyDescent="0.3">
      <c r="A256" t="str">
        <f>""</f>
        <v/>
      </c>
      <c r="F256" t="str">
        <f>""</f>
        <v/>
      </c>
      <c r="G256" t="str">
        <f>""</f>
        <v/>
      </c>
      <c r="I256" t="str">
        <f>"AD# 351642"</f>
        <v>AD# 351642</v>
      </c>
    </row>
    <row r="257" spans="1:9" x14ac:dyDescent="0.3">
      <c r="A257" t="str">
        <f>""</f>
        <v/>
      </c>
      <c r="F257" t="str">
        <f>""</f>
        <v/>
      </c>
      <c r="G257" t="str">
        <f>""</f>
        <v/>
      </c>
      <c r="I257" t="str">
        <f>"AD# 351642"</f>
        <v>AD# 351642</v>
      </c>
    </row>
    <row r="258" spans="1:9" x14ac:dyDescent="0.3">
      <c r="A258" t="str">
        <f>""</f>
        <v/>
      </c>
      <c r="F258" t="str">
        <f>"351647"</f>
        <v>351647</v>
      </c>
      <c r="G258" t="str">
        <f>"AD# 351647"</f>
        <v>AD# 351647</v>
      </c>
      <c r="H258">
        <v>354.24</v>
      </c>
      <c r="I258" t="str">
        <f>"AD# 351647"</f>
        <v>AD# 351647</v>
      </c>
    </row>
    <row r="259" spans="1:9" x14ac:dyDescent="0.3">
      <c r="A259" t="str">
        <f>""</f>
        <v/>
      </c>
      <c r="F259" t="str">
        <f>""</f>
        <v/>
      </c>
      <c r="G259" t="str">
        <f>""</f>
        <v/>
      </c>
      <c r="I259" t="str">
        <f>"AD# 351647"</f>
        <v>AD# 351647</v>
      </c>
    </row>
    <row r="260" spans="1:9" x14ac:dyDescent="0.3">
      <c r="A260" t="str">
        <f>""</f>
        <v/>
      </c>
      <c r="F260" t="str">
        <f>""</f>
        <v/>
      </c>
      <c r="G260" t="str">
        <f>""</f>
        <v/>
      </c>
      <c r="I260" t="str">
        <f>"AD# 351647"</f>
        <v>AD# 351647</v>
      </c>
    </row>
    <row r="261" spans="1:9" x14ac:dyDescent="0.3">
      <c r="A261" t="str">
        <f>""</f>
        <v/>
      </c>
      <c r="F261" t="str">
        <f>""</f>
        <v/>
      </c>
      <c r="G261" t="str">
        <f>""</f>
        <v/>
      </c>
      <c r="I261" t="str">
        <f>"AD# 351647"</f>
        <v>AD# 351647</v>
      </c>
    </row>
    <row r="262" spans="1:9" x14ac:dyDescent="0.3">
      <c r="A262" t="str">
        <f>""</f>
        <v/>
      </c>
      <c r="F262" t="str">
        <f>"353503"</f>
        <v>353503</v>
      </c>
      <c r="G262" t="str">
        <f>"Ad# 353503"</f>
        <v>Ad# 353503</v>
      </c>
      <c r="H262">
        <v>146.54</v>
      </c>
      <c r="I262" t="str">
        <f>"Ad# 353503"</f>
        <v>Ad# 353503</v>
      </c>
    </row>
    <row r="263" spans="1:9" x14ac:dyDescent="0.3">
      <c r="A263" t="str">
        <f>""</f>
        <v/>
      </c>
      <c r="F263" t="str">
        <f>"355459"</f>
        <v>355459</v>
      </c>
      <c r="G263" t="str">
        <f>"Ad# 3355459"</f>
        <v>Ad# 3355459</v>
      </c>
      <c r="H263">
        <v>380.16</v>
      </c>
      <c r="I263" t="str">
        <f>"Ad# 355459"</f>
        <v>Ad# 355459</v>
      </c>
    </row>
    <row r="264" spans="1:9" x14ac:dyDescent="0.3">
      <c r="A264" t="str">
        <f>""</f>
        <v/>
      </c>
      <c r="F264" t="str">
        <f>"AD#344829"</f>
        <v>AD#344829</v>
      </c>
      <c r="G264" t="str">
        <f>"AD# 344829"</f>
        <v>AD# 344829</v>
      </c>
      <c r="H264">
        <v>51.84</v>
      </c>
      <c r="I264" t="str">
        <f>"AD# 344829"</f>
        <v>AD# 344829</v>
      </c>
    </row>
    <row r="265" spans="1:9" x14ac:dyDescent="0.3">
      <c r="A265" t="str">
        <f>""</f>
        <v/>
      </c>
      <c r="F265" t="str">
        <f>"AD#350770"</f>
        <v>AD#350770</v>
      </c>
      <c r="G265" t="str">
        <f>"Ad# 350770"</f>
        <v>Ad# 350770</v>
      </c>
      <c r="H265">
        <v>138.24</v>
      </c>
      <c r="I265" t="str">
        <f>"Ad# 350770"</f>
        <v>Ad# 350770</v>
      </c>
    </row>
    <row r="266" spans="1:9" x14ac:dyDescent="0.3">
      <c r="A266" t="str">
        <f>"AAG"</f>
        <v>AAG</v>
      </c>
      <c r="B266" t="s">
        <v>46</v>
      </c>
      <c r="C266">
        <v>76554</v>
      </c>
      <c r="D266" s="2">
        <v>422.39</v>
      </c>
      <c r="E266" s="1">
        <v>43234</v>
      </c>
      <c r="F266" t="str">
        <f>"201805090970"</f>
        <v>201805090970</v>
      </c>
      <c r="G266" t="str">
        <f>"INDIGENT HEALTH"</f>
        <v>INDIGENT HEALTH</v>
      </c>
      <c r="H266">
        <v>422.39</v>
      </c>
      <c r="I266" t="str">
        <f>"INDIGENT HEALTH"</f>
        <v>INDIGENT HEALTH</v>
      </c>
    </row>
    <row r="267" spans="1:9" x14ac:dyDescent="0.3">
      <c r="A267" t="str">
        <f>"005262"</f>
        <v>005262</v>
      </c>
      <c r="B267" t="s">
        <v>47</v>
      </c>
      <c r="C267">
        <v>76836</v>
      </c>
      <c r="D267" s="2">
        <v>240</v>
      </c>
      <c r="E267" s="1">
        <v>43249</v>
      </c>
      <c r="F267" t="str">
        <f>"805011"</f>
        <v>805011</v>
      </c>
      <c r="G267" t="str">
        <f>"COURT INTERPRETATION/MILEAGE"</f>
        <v>COURT INTERPRETATION/MILEAGE</v>
      </c>
      <c r="H267">
        <v>240</v>
      </c>
      <c r="I267" t="str">
        <f>"COURT INTERPRETATION/MILEAGE"</f>
        <v>COURT INTERPRETATION/MILEAGE</v>
      </c>
    </row>
    <row r="268" spans="1:9" x14ac:dyDescent="0.3">
      <c r="A268" t="str">
        <f>"003805"</f>
        <v>003805</v>
      </c>
      <c r="B268" t="s">
        <v>48</v>
      </c>
      <c r="C268">
        <v>76555</v>
      </c>
      <c r="D268" s="2">
        <v>157.97999999999999</v>
      </c>
      <c r="E268" s="1">
        <v>43234</v>
      </c>
      <c r="F268" t="str">
        <f>"201805090971"</f>
        <v>201805090971</v>
      </c>
      <c r="G268" t="str">
        <f>"INDIGENT HEALTH"</f>
        <v>INDIGENT HEALTH</v>
      </c>
      <c r="H268">
        <v>157.97999999999999</v>
      </c>
      <c r="I268" t="str">
        <f>"INDIGENT HEALTH"</f>
        <v>INDIGENT HEALTH</v>
      </c>
    </row>
    <row r="269" spans="1:9" x14ac:dyDescent="0.3">
      <c r="A269" t="str">
        <f>"T6757"</f>
        <v>T6757</v>
      </c>
      <c r="B269" t="s">
        <v>49</v>
      </c>
      <c r="C269">
        <v>999999</v>
      </c>
      <c r="D269" s="2">
        <v>655.68</v>
      </c>
      <c r="E269" s="1">
        <v>43235</v>
      </c>
      <c r="F269" t="str">
        <f>"201805090973"</f>
        <v>201805090973</v>
      </c>
      <c r="G269" t="str">
        <f>"INDIGENT HEALTH"</f>
        <v>INDIGENT HEALTH</v>
      </c>
      <c r="H269">
        <v>655.68</v>
      </c>
      <c r="I269" t="str">
        <f>"INDIGENT HEALTH"</f>
        <v>INDIGENT HEALTH</v>
      </c>
    </row>
    <row r="270" spans="1:9" x14ac:dyDescent="0.3">
      <c r="A270" t="str">
        <f>"005206"</f>
        <v>005206</v>
      </c>
      <c r="B270" t="s">
        <v>50</v>
      </c>
      <c r="C270">
        <v>76837</v>
      </c>
      <c r="D270" s="2">
        <v>501.8</v>
      </c>
      <c r="E270" s="1">
        <v>43249</v>
      </c>
      <c r="F270" t="str">
        <f>"201805231174"</f>
        <v>201805231174</v>
      </c>
      <c r="G270" t="str">
        <f>"FEMA CONTRACT WORK/MILEAGE"</f>
        <v>FEMA CONTRACT WORK/MILEAGE</v>
      </c>
      <c r="H270">
        <v>501.8</v>
      </c>
      <c r="I270" t="str">
        <f>"FEMA CONTRACT WORK/MILEAGE"</f>
        <v>FEMA CONTRACT WORK/MILEAGE</v>
      </c>
    </row>
    <row r="271" spans="1:9" x14ac:dyDescent="0.3">
      <c r="A271" t="str">
        <f>"T1251"</f>
        <v>T1251</v>
      </c>
      <c r="B271" t="s">
        <v>51</v>
      </c>
      <c r="C271">
        <v>76556</v>
      </c>
      <c r="D271" s="2">
        <v>995.46</v>
      </c>
      <c r="E271" s="1">
        <v>43234</v>
      </c>
      <c r="F271" t="str">
        <f>"201805090975"</f>
        <v>201805090975</v>
      </c>
      <c r="G271" t="str">
        <f>"INDIGENT HEALTH"</f>
        <v>INDIGENT HEALTH</v>
      </c>
      <c r="H271">
        <v>910.18</v>
      </c>
      <c r="I271" t="str">
        <f>"INDIGENT HEALTH"</f>
        <v>INDIGENT HEALTH</v>
      </c>
    </row>
    <row r="272" spans="1:9" x14ac:dyDescent="0.3">
      <c r="A272" t="str">
        <f>""</f>
        <v/>
      </c>
      <c r="F272" t="str">
        <f>""</f>
        <v/>
      </c>
      <c r="G272" t="str">
        <f>""</f>
        <v/>
      </c>
      <c r="I272" t="str">
        <f>"INDIGENT HEALTH"</f>
        <v>INDIGENT HEALTH</v>
      </c>
    </row>
    <row r="273" spans="1:9" x14ac:dyDescent="0.3">
      <c r="A273" t="str">
        <f>""</f>
        <v/>
      </c>
      <c r="F273" t="str">
        <f>"4382*98039*1"</f>
        <v>4382*98039*1</v>
      </c>
      <c r="G273" t="str">
        <f>"JAIL MEDICAL"</f>
        <v>JAIL MEDICAL</v>
      </c>
      <c r="H273">
        <v>85.28</v>
      </c>
      <c r="I273" t="str">
        <f>"JAIL MEDICAL"</f>
        <v>JAIL MEDICAL</v>
      </c>
    </row>
    <row r="274" spans="1:9" x14ac:dyDescent="0.3">
      <c r="A274" t="str">
        <f>"B&amp;B"</f>
        <v>B&amp;B</v>
      </c>
      <c r="B274" t="s">
        <v>52</v>
      </c>
      <c r="C274">
        <v>76557</v>
      </c>
      <c r="D274" s="2">
        <v>3736.49</v>
      </c>
      <c r="E274" s="1">
        <v>43234</v>
      </c>
      <c r="F274" t="str">
        <f>"201805020509"</f>
        <v>201805020509</v>
      </c>
      <c r="G274" t="str">
        <f>"CUST#1650"</f>
        <v>CUST#1650</v>
      </c>
      <c r="H274">
        <v>230.38</v>
      </c>
      <c r="I274" t="str">
        <f>"CUST#1650"</f>
        <v>CUST#1650</v>
      </c>
    </row>
    <row r="275" spans="1:9" x14ac:dyDescent="0.3">
      <c r="A275" t="str">
        <f>""</f>
        <v/>
      </c>
      <c r="F275" t="str">
        <f>""</f>
        <v/>
      </c>
      <c r="G275" t="str">
        <f>""</f>
        <v/>
      </c>
      <c r="I275" t="str">
        <f>"CUST#1650"</f>
        <v>CUST#1650</v>
      </c>
    </row>
    <row r="276" spans="1:9" x14ac:dyDescent="0.3">
      <c r="A276" t="str">
        <f>""</f>
        <v/>
      </c>
      <c r="F276" t="str">
        <f>""</f>
        <v/>
      </c>
      <c r="G276" t="str">
        <f>""</f>
        <v/>
      </c>
      <c r="I276" t="str">
        <f>"CUST#1650"</f>
        <v>CUST#1650</v>
      </c>
    </row>
    <row r="277" spans="1:9" x14ac:dyDescent="0.3">
      <c r="A277" t="str">
        <f>""</f>
        <v/>
      </c>
      <c r="F277" t="str">
        <f>"201805020510"</f>
        <v>201805020510</v>
      </c>
      <c r="G277" t="str">
        <f>"CUST#1650"</f>
        <v>CUST#1650</v>
      </c>
      <c r="H277">
        <v>717.67</v>
      </c>
      <c r="I277" t="str">
        <f>"CUST#1650"</f>
        <v>CUST#1650</v>
      </c>
    </row>
    <row r="278" spans="1:9" x14ac:dyDescent="0.3">
      <c r="A278" t="str">
        <f>""</f>
        <v/>
      </c>
      <c r="F278" t="str">
        <f>"201805020514"</f>
        <v>201805020514</v>
      </c>
      <c r="G278" t="str">
        <f>"CUST#1750/PCT#3"</f>
        <v>CUST#1750/PCT#3</v>
      </c>
      <c r="H278">
        <v>2612.42</v>
      </c>
      <c r="I278" t="str">
        <f>"CUST#1750/PCT#3"</f>
        <v>CUST#1750/PCT#3</v>
      </c>
    </row>
    <row r="279" spans="1:9" x14ac:dyDescent="0.3">
      <c r="A279" t="str">
        <f>""</f>
        <v/>
      </c>
      <c r="F279" t="str">
        <f>"201805020654"</f>
        <v>201805020654</v>
      </c>
      <c r="G279" t="str">
        <f>"CUST#1800/PCT#4"</f>
        <v>CUST#1800/PCT#4</v>
      </c>
      <c r="H279">
        <v>120.2</v>
      </c>
      <c r="I279" t="str">
        <f>"CUST#1800/PCT#4"</f>
        <v>CUST#1800/PCT#4</v>
      </c>
    </row>
    <row r="280" spans="1:9" x14ac:dyDescent="0.3">
      <c r="A280" t="str">
        <f>""</f>
        <v/>
      </c>
      <c r="F280" t="str">
        <f>"201805020655"</f>
        <v>201805020655</v>
      </c>
      <c r="G280" t="str">
        <f>"CUST#1650/PCT#4"</f>
        <v>CUST#1650/PCT#4</v>
      </c>
      <c r="H280">
        <v>48.28</v>
      </c>
      <c r="I280" t="str">
        <f>"CUST#1650/PCT#4"</f>
        <v>CUST#1650/PCT#4</v>
      </c>
    </row>
    <row r="281" spans="1:9" x14ac:dyDescent="0.3">
      <c r="A281" t="str">
        <f>""</f>
        <v/>
      </c>
      <c r="F281" t="str">
        <f>"9205-579390"</f>
        <v>9205-579390</v>
      </c>
      <c r="G281" t="str">
        <f>"INV 9205-579390"</f>
        <v>INV 9205-579390</v>
      </c>
      <c r="H281">
        <v>7.54</v>
      </c>
      <c r="I281" t="str">
        <f>"INV 9205-579390"</f>
        <v>INV 9205-579390</v>
      </c>
    </row>
    <row r="282" spans="1:9" x14ac:dyDescent="0.3">
      <c r="A282" t="str">
        <f>"B&amp;B"</f>
        <v>B&amp;B</v>
      </c>
      <c r="B282" t="s">
        <v>52</v>
      </c>
      <c r="C282">
        <v>76838</v>
      </c>
      <c r="D282" s="2">
        <v>554.13</v>
      </c>
      <c r="E282" s="1">
        <v>43249</v>
      </c>
      <c r="F282" t="str">
        <f>"201805211089"</f>
        <v>201805211089</v>
      </c>
      <c r="G282" t="str">
        <f>"CUST#1650"</f>
        <v>CUST#1650</v>
      </c>
      <c r="H282">
        <v>27.1</v>
      </c>
      <c r="I282" t="str">
        <f>"CUST#1650"</f>
        <v>CUST#1650</v>
      </c>
    </row>
    <row r="283" spans="1:9" x14ac:dyDescent="0.3">
      <c r="A283" t="str">
        <f>""</f>
        <v/>
      </c>
      <c r="F283" t="str">
        <f>"201805211090"</f>
        <v>201805211090</v>
      </c>
      <c r="G283" t="str">
        <f>"ACCT#1650/PCT#1"</f>
        <v>ACCT#1650/PCT#1</v>
      </c>
      <c r="H283">
        <v>527.03</v>
      </c>
      <c r="I283" t="str">
        <f>"ACCT#1650/PCT#1"</f>
        <v>ACCT#1650/PCT#1</v>
      </c>
    </row>
    <row r="284" spans="1:9" x14ac:dyDescent="0.3">
      <c r="A284" t="str">
        <f>""</f>
        <v/>
      </c>
      <c r="F284" t="str">
        <f>""</f>
        <v/>
      </c>
      <c r="G284" t="str">
        <f>""</f>
        <v/>
      </c>
      <c r="I284" t="str">
        <f>"ACCT#1650/PCT#1"</f>
        <v>ACCT#1650/PCT#1</v>
      </c>
    </row>
    <row r="285" spans="1:9" x14ac:dyDescent="0.3">
      <c r="A285" t="str">
        <f>"BTW"</f>
        <v>BTW</v>
      </c>
      <c r="B285" t="s">
        <v>53</v>
      </c>
      <c r="C285">
        <v>76558</v>
      </c>
      <c r="D285" s="2">
        <v>1994.84</v>
      </c>
      <c r="E285" s="1">
        <v>43234</v>
      </c>
      <c r="F285" t="str">
        <f>"201805020511"</f>
        <v>201805020511</v>
      </c>
      <c r="G285" t="str">
        <f>"CUST ID#0009/PCT#1"</f>
        <v>CUST ID#0009/PCT#1</v>
      </c>
      <c r="H285">
        <v>1213.96</v>
      </c>
      <c r="I285" t="str">
        <f>"CUST ID#0009/PCT#1"</f>
        <v>CUST ID#0009/PCT#1</v>
      </c>
    </row>
    <row r="286" spans="1:9" x14ac:dyDescent="0.3">
      <c r="A286" t="str">
        <f>""</f>
        <v/>
      </c>
      <c r="F286" t="str">
        <f>"201805030732"</f>
        <v>201805030732</v>
      </c>
      <c r="G286" t="str">
        <f>"CUST ID#0010/PCT#2"</f>
        <v>CUST ID#0010/PCT#2</v>
      </c>
      <c r="H286">
        <v>211.5</v>
      </c>
      <c r="I286" t="str">
        <f>"CUST ID#0010/PCT#2"</f>
        <v>CUST ID#0010/PCT#2</v>
      </c>
    </row>
    <row r="287" spans="1:9" x14ac:dyDescent="0.3">
      <c r="A287" t="str">
        <f>""</f>
        <v/>
      </c>
      <c r="F287" t="str">
        <f>"201805040774"</f>
        <v>201805040774</v>
      </c>
      <c r="G287" t="str">
        <f>"CUST#0008/ENVIR SVCS"</f>
        <v>CUST#0008/ENVIR SVCS</v>
      </c>
      <c r="H287">
        <v>105.4</v>
      </c>
      <c r="I287" t="str">
        <f>"CUST#0008/ENVIR SVCS"</f>
        <v>CUST#0008/ENVIR SVCS</v>
      </c>
    </row>
    <row r="288" spans="1:9" x14ac:dyDescent="0.3">
      <c r="A288" t="str">
        <f>""</f>
        <v/>
      </c>
      <c r="F288" t="str">
        <f>"349427 349932"</f>
        <v>349427 349932</v>
      </c>
      <c r="G288" t="str">
        <f>"CUST#0011/PCT#3"</f>
        <v>CUST#0011/PCT#3</v>
      </c>
      <c r="H288">
        <v>425.98</v>
      </c>
      <c r="I288" t="str">
        <f>"CUST#0011/PCT#3"</f>
        <v>CUST#0011/PCT#3</v>
      </c>
    </row>
    <row r="289" spans="1:10" x14ac:dyDescent="0.3">
      <c r="A289" t="str">
        <f>""</f>
        <v/>
      </c>
      <c r="F289" t="str">
        <f>"349590"</f>
        <v>349590</v>
      </c>
      <c r="G289" t="str">
        <f>"CUST#0024/2002 FORD/PCT#4"</f>
        <v>CUST#0024/2002 FORD/PCT#4</v>
      </c>
      <c r="H289">
        <v>18</v>
      </c>
      <c r="I289" t="str">
        <f>"CUST#0024/2002 FORD/PCT#4"</f>
        <v>CUST#0024/2002 FORD/PCT#4</v>
      </c>
    </row>
    <row r="290" spans="1:10" x14ac:dyDescent="0.3">
      <c r="A290" t="str">
        <f>""</f>
        <v/>
      </c>
      <c r="F290" t="str">
        <f>"350192"</f>
        <v>350192</v>
      </c>
      <c r="G290" t="str">
        <f>"INV 350192"</f>
        <v>INV 350192</v>
      </c>
      <c r="H290">
        <v>10</v>
      </c>
      <c r="I290" t="str">
        <f>"INV 350192"</f>
        <v>INV 350192</v>
      </c>
    </row>
    <row r="291" spans="1:10" x14ac:dyDescent="0.3">
      <c r="A291" t="str">
        <f>""</f>
        <v/>
      </c>
      <c r="F291" t="str">
        <f>"350210"</f>
        <v>350210</v>
      </c>
      <c r="G291" t="str">
        <f>"INV 350210"</f>
        <v>INV 350210</v>
      </c>
      <c r="H291">
        <v>10</v>
      </c>
      <c r="I291" t="str">
        <f>"INV 350210"</f>
        <v>INV 350210</v>
      </c>
    </row>
    <row r="292" spans="1:10" x14ac:dyDescent="0.3">
      <c r="A292" t="str">
        <f>"001769"</f>
        <v>001769</v>
      </c>
      <c r="B292" t="s">
        <v>54</v>
      </c>
      <c r="C292">
        <v>999999</v>
      </c>
      <c r="D292" s="2">
        <v>8270</v>
      </c>
      <c r="E292" s="1">
        <v>43250</v>
      </c>
      <c r="F292" t="str">
        <f>"1530"</f>
        <v>1530</v>
      </c>
      <c r="G292" t="str">
        <f>"LOVERS LN/LABOR &amp; MATERIAL/P1"</f>
        <v>LOVERS LN/LABOR &amp; MATERIAL/P1</v>
      </c>
      <c r="H292">
        <v>3975</v>
      </c>
      <c r="I292" t="str">
        <f>"LOVERS LN/LABOR &amp; MATERIAL/P1"</f>
        <v>LOVERS LN/LABOR &amp; MATERIAL/P1</v>
      </c>
    </row>
    <row r="293" spans="1:10" x14ac:dyDescent="0.3">
      <c r="A293" t="str">
        <f>""</f>
        <v/>
      </c>
      <c r="F293" t="str">
        <f>"1532"</f>
        <v>1532</v>
      </c>
      <c r="G293" t="str">
        <f>"REMOVE &amp; REBUILD FENCE/PCT#1"</f>
        <v>REMOVE &amp; REBUILD FENCE/PCT#1</v>
      </c>
      <c r="H293">
        <v>3995</v>
      </c>
      <c r="I293" t="str">
        <f>"REMOVE &amp; REBUILD FENCE/PCT#1"</f>
        <v>REMOVE &amp; REBUILD FENCE/PCT#1</v>
      </c>
    </row>
    <row r="294" spans="1:10" x14ac:dyDescent="0.3">
      <c r="A294" t="str">
        <f>""</f>
        <v/>
      </c>
      <c r="F294" t="str">
        <f>"1533"</f>
        <v>1533</v>
      </c>
      <c r="G294" t="str">
        <f>"REMOVED TREE LIMBS/BRUSH/P2"</f>
        <v>REMOVED TREE LIMBS/BRUSH/P2</v>
      </c>
      <c r="H294">
        <v>300</v>
      </c>
      <c r="I294" t="str">
        <f>"REMOVED TREE LIMBS/BRUSH/P2"</f>
        <v>REMOVED TREE LIMBS/BRUSH/P2</v>
      </c>
    </row>
    <row r="295" spans="1:10" x14ac:dyDescent="0.3">
      <c r="A295" t="str">
        <f>"T8883"</f>
        <v>T8883</v>
      </c>
      <c r="B295" t="s">
        <v>55</v>
      </c>
      <c r="C295">
        <v>76839</v>
      </c>
      <c r="D295" s="2">
        <v>550</v>
      </c>
      <c r="E295" s="1">
        <v>43249</v>
      </c>
      <c r="F295" t="str">
        <f>"1100"</f>
        <v>1100</v>
      </c>
      <c r="G295" t="str">
        <f>"INV 1100 / UNIT 1496"</f>
        <v>INV 1100 / UNIT 1496</v>
      </c>
      <c r="H295">
        <v>275</v>
      </c>
      <c r="I295" t="str">
        <f>"INV 1100 / UNIT 1496"</f>
        <v>INV 1100 / UNIT 1496</v>
      </c>
    </row>
    <row r="296" spans="1:10" x14ac:dyDescent="0.3">
      <c r="A296" t="str">
        <f>""</f>
        <v/>
      </c>
      <c r="F296" t="str">
        <f>"1109"</f>
        <v>1109</v>
      </c>
      <c r="G296" t="str">
        <f>"INV 1109 / UNIT 1079"</f>
        <v>INV 1109 / UNIT 1079</v>
      </c>
      <c r="H296">
        <v>275</v>
      </c>
      <c r="I296" t="str">
        <f>"INV 1109 / UNIT 1079"</f>
        <v>INV 1109 / UNIT 1079</v>
      </c>
    </row>
    <row r="297" spans="1:10" x14ac:dyDescent="0.3">
      <c r="A297" t="str">
        <f>"003354"</f>
        <v>003354</v>
      </c>
      <c r="B297" t="s">
        <v>56</v>
      </c>
      <c r="C297">
        <v>76559</v>
      </c>
      <c r="D297" s="2">
        <v>435</v>
      </c>
      <c r="E297" s="1">
        <v>43234</v>
      </c>
      <c r="F297" t="str">
        <f>"201805010483"</f>
        <v>201805010483</v>
      </c>
      <c r="G297" t="str">
        <f>"REFUND COUPONS"</f>
        <v>REFUND COUPONS</v>
      </c>
      <c r="H297">
        <v>390</v>
      </c>
      <c r="I297" t="str">
        <f>"REFUND COUPONS"</f>
        <v>REFUND COUPONS</v>
      </c>
    </row>
    <row r="298" spans="1:10" x14ac:dyDescent="0.3">
      <c r="A298" t="str">
        <f>""</f>
        <v/>
      </c>
      <c r="F298" t="str">
        <f>"201805010498"</f>
        <v>201805010498</v>
      </c>
      <c r="G298" t="str">
        <f>"REFUND COUPONS"</f>
        <v>REFUND COUPONS</v>
      </c>
      <c r="H298">
        <v>45</v>
      </c>
      <c r="I298" t="str">
        <f>"REFUND COUPONS"</f>
        <v>REFUND COUPONS</v>
      </c>
    </row>
    <row r="299" spans="1:10" x14ac:dyDescent="0.3">
      <c r="A299" t="str">
        <f>"005396"</f>
        <v>005396</v>
      </c>
      <c r="B299" t="s">
        <v>57</v>
      </c>
      <c r="C299">
        <v>999999</v>
      </c>
      <c r="D299" s="2">
        <v>1583.33</v>
      </c>
      <c r="E299" s="1">
        <v>43250</v>
      </c>
      <c r="F299" t="str">
        <f>"201805171072"</f>
        <v>201805171072</v>
      </c>
      <c r="G299" t="str">
        <f>"GRANT REIMBURSEMENT"</f>
        <v>GRANT REIMBURSEMENT</v>
      </c>
      <c r="H299">
        <v>1583.33</v>
      </c>
      <c r="I299" t="str">
        <f>"GRANT REIMBURSEMENT"</f>
        <v>GRANT REIMBURSEMENT</v>
      </c>
    </row>
    <row r="300" spans="1:10" x14ac:dyDescent="0.3">
      <c r="A300" t="str">
        <f>"005396"</f>
        <v>005396</v>
      </c>
      <c r="B300" t="s">
        <v>57</v>
      </c>
      <c r="C300">
        <v>999999</v>
      </c>
      <c r="D300" s="2">
        <v>22247.78</v>
      </c>
      <c r="E300" s="1">
        <v>43251</v>
      </c>
      <c r="F300" t="str">
        <f>"201805301203"</f>
        <v>201805301203</v>
      </c>
      <c r="G300" t="str">
        <f>"BASTROP COMMUNITY CARES GRANT"</f>
        <v>BASTROP COMMUNITY CARES GRANT</v>
      </c>
      <c r="H300">
        <v>22247.78</v>
      </c>
      <c r="I300" t="str">
        <f>"BASTROP COMMUNITY CARES GRANT"</f>
        <v>BASTROP COMMUNITY CARES GRANT</v>
      </c>
    </row>
    <row r="301" spans="1:10" x14ac:dyDescent="0.3">
      <c r="A301" t="str">
        <f>"T1636"</f>
        <v>T1636</v>
      </c>
      <c r="B301" t="s">
        <v>58</v>
      </c>
      <c r="C301">
        <v>76524</v>
      </c>
      <c r="D301" s="2">
        <v>278.42</v>
      </c>
      <c r="E301" s="1">
        <v>43224</v>
      </c>
      <c r="F301" t="str">
        <f>"201805040773"</f>
        <v>201805040773</v>
      </c>
      <c r="G301" t="str">
        <f>"ONLINE BID PAYMENT"</f>
        <v>ONLINE BID PAYMENT</v>
      </c>
      <c r="H301">
        <v>278.42</v>
      </c>
      <c r="I301" t="str">
        <f>"ONLINE BID PAYMENT"</f>
        <v>ONLINE BID PAYMENT</v>
      </c>
    </row>
    <row r="302" spans="1:10" x14ac:dyDescent="0.3">
      <c r="A302" t="str">
        <f>"T1636"</f>
        <v>T1636</v>
      </c>
      <c r="B302" t="s">
        <v>58</v>
      </c>
      <c r="C302">
        <v>76525</v>
      </c>
      <c r="D302" s="2">
        <v>4950</v>
      </c>
      <c r="E302" s="1">
        <v>43224</v>
      </c>
      <c r="F302" t="s">
        <v>59</v>
      </c>
      <c r="G302" t="s">
        <v>60</v>
      </c>
      <c r="H302" t="str">
        <f>"SERVICE 02/13/2018"</f>
        <v>SERVICE 02/13/2018</v>
      </c>
      <c r="I302" t="str">
        <f>"995-4110"</f>
        <v>995-4110</v>
      </c>
      <c r="J302" t="str">
        <f>""</f>
        <v/>
      </c>
    </row>
    <row r="303" spans="1:10" x14ac:dyDescent="0.3">
      <c r="A303" t="str">
        <f>""</f>
        <v/>
      </c>
      <c r="F303" t="str">
        <f>"12101 REISSUE"</f>
        <v>12101 REISSUE</v>
      </c>
      <c r="G303" t="str">
        <f>"SERVICE 02/16/2018"</f>
        <v>SERVICE 02/16/2018</v>
      </c>
      <c r="H303">
        <v>75</v>
      </c>
      <c r="I303" t="str">
        <f>"SERVICE 02/16/2018"</f>
        <v>SERVICE 02/16/2018</v>
      </c>
    </row>
    <row r="304" spans="1:10" x14ac:dyDescent="0.3">
      <c r="A304" t="str">
        <f>""</f>
        <v/>
      </c>
      <c r="F304" t="str">
        <f>"12380 REISSUE"</f>
        <v>12380 REISSUE</v>
      </c>
      <c r="G304" t="str">
        <f>"SERVICE 12/08/2017"</f>
        <v>SERVICE 12/08/2017</v>
      </c>
      <c r="H304">
        <v>325</v>
      </c>
      <c r="I304" t="str">
        <f>"SERVICE 12/08/2017"</f>
        <v>SERVICE 12/08/2017</v>
      </c>
    </row>
    <row r="305" spans="1:9" x14ac:dyDescent="0.3">
      <c r="A305" t="str">
        <f>""</f>
        <v/>
      </c>
      <c r="F305" t="str">
        <f>"12536 REISSUE"</f>
        <v>12536 REISSUE</v>
      </c>
      <c r="G305" t="str">
        <f>"SERVICE 12/08/2017"</f>
        <v>SERVICE 12/08/2017</v>
      </c>
      <c r="H305">
        <v>325</v>
      </c>
      <c r="I305" t="str">
        <f>"SERVICE 12/08/2017"</f>
        <v>SERVICE 12/08/2017</v>
      </c>
    </row>
    <row r="306" spans="1:9" x14ac:dyDescent="0.3">
      <c r="A306" t="str">
        <f>""</f>
        <v/>
      </c>
      <c r="F306" t="str">
        <f>"12559 REISSUE"</f>
        <v>12559 REISSUE</v>
      </c>
      <c r="G306" t="str">
        <f>"SERVICE 12/08/2017"</f>
        <v>SERVICE 12/08/2017</v>
      </c>
      <c r="H306">
        <v>250</v>
      </c>
      <c r="I306" t="str">
        <f>"SERVICE 12/08/2017"</f>
        <v>SERVICE 12/08/2017</v>
      </c>
    </row>
    <row r="307" spans="1:9" x14ac:dyDescent="0.3">
      <c r="A307" t="str">
        <f>""</f>
        <v/>
      </c>
      <c r="F307" t="str">
        <f>"12570 REISSUE"</f>
        <v>12570 REISSUE</v>
      </c>
      <c r="G307" t="str">
        <f>"SERVICE 02/22/2018"</f>
        <v>SERVICE 02/22/2018</v>
      </c>
      <c r="H307">
        <v>75</v>
      </c>
      <c r="I307" t="str">
        <f>"SERVICE 02/22/2018"</f>
        <v>SERVICE 02/22/2018</v>
      </c>
    </row>
    <row r="308" spans="1:9" x14ac:dyDescent="0.3">
      <c r="A308" t="str">
        <f>""</f>
        <v/>
      </c>
      <c r="F308" t="str">
        <f>"12581 REISSUE"</f>
        <v>12581 REISSUE</v>
      </c>
      <c r="G308" t="str">
        <f t="shared" ref="G308:G316" si="5">"SERVICE 12/08/2017"</f>
        <v>SERVICE 12/08/2017</v>
      </c>
      <c r="H308">
        <v>325</v>
      </c>
      <c r="I308" t="str">
        <f t="shared" ref="I308:I316" si="6">"SERVICE 12/08/2017"</f>
        <v>SERVICE 12/08/2017</v>
      </c>
    </row>
    <row r="309" spans="1:9" x14ac:dyDescent="0.3">
      <c r="A309" t="str">
        <f>""</f>
        <v/>
      </c>
      <c r="F309" t="str">
        <f>"12605 REISSUE"</f>
        <v>12605 REISSUE</v>
      </c>
      <c r="G309" t="str">
        <f t="shared" si="5"/>
        <v>SERVICE 12/08/2017</v>
      </c>
      <c r="H309">
        <v>775</v>
      </c>
      <c r="I309" t="str">
        <f t="shared" si="6"/>
        <v>SERVICE 12/08/2017</v>
      </c>
    </row>
    <row r="310" spans="1:9" x14ac:dyDescent="0.3">
      <c r="A310" t="str">
        <f>""</f>
        <v/>
      </c>
      <c r="F310" t="str">
        <f>"12635 REISSUE"</f>
        <v>12635 REISSUE</v>
      </c>
      <c r="G310" t="str">
        <f t="shared" si="5"/>
        <v>SERVICE 12/08/2017</v>
      </c>
      <c r="H310">
        <v>325</v>
      </c>
      <c r="I310" t="str">
        <f t="shared" si="6"/>
        <v>SERVICE 12/08/2017</v>
      </c>
    </row>
    <row r="311" spans="1:9" x14ac:dyDescent="0.3">
      <c r="A311" t="str">
        <f>""</f>
        <v/>
      </c>
      <c r="F311" t="str">
        <f>"12640 REISSUE"</f>
        <v>12640 REISSUE</v>
      </c>
      <c r="G311" t="str">
        <f t="shared" si="5"/>
        <v>SERVICE 12/08/2017</v>
      </c>
      <c r="H311">
        <v>325</v>
      </c>
      <c r="I311" t="str">
        <f t="shared" si="6"/>
        <v>SERVICE 12/08/2017</v>
      </c>
    </row>
    <row r="312" spans="1:9" x14ac:dyDescent="0.3">
      <c r="A312" t="str">
        <f>""</f>
        <v/>
      </c>
      <c r="F312" t="str">
        <f>"12676 REISSUE"</f>
        <v>12676 REISSUE</v>
      </c>
      <c r="G312" t="str">
        <f t="shared" si="5"/>
        <v>SERVICE 12/08/2017</v>
      </c>
      <c r="H312">
        <v>250</v>
      </c>
      <c r="I312" t="str">
        <f t="shared" si="6"/>
        <v>SERVICE 12/08/2017</v>
      </c>
    </row>
    <row r="313" spans="1:9" x14ac:dyDescent="0.3">
      <c r="A313" t="str">
        <f>""</f>
        <v/>
      </c>
      <c r="F313" t="str">
        <f>"12691 REISSUE"</f>
        <v>12691 REISSUE</v>
      </c>
      <c r="G313" t="str">
        <f t="shared" si="5"/>
        <v>SERVICE 12/08/2017</v>
      </c>
      <c r="H313">
        <v>325</v>
      </c>
      <c r="I313" t="str">
        <f t="shared" si="6"/>
        <v>SERVICE 12/08/2017</v>
      </c>
    </row>
    <row r="314" spans="1:9" x14ac:dyDescent="0.3">
      <c r="A314" t="str">
        <f>""</f>
        <v/>
      </c>
      <c r="F314" t="str">
        <f>"12693 REISSUE"</f>
        <v>12693 REISSUE</v>
      </c>
      <c r="G314" t="str">
        <f t="shared" si="5"/>
        <v>SERVICE 12/08/2017</v>
      </c>
      <c r="H314">
        <v>325</v>
      </c>
      <c r="I314" t="str">
        <f t="shared" si="6"/>
        <v>SERVICE 12/08/2017</v>
      </c>
    </row>
    <row r="315" spans="1:9" x14ac:dyDescent="0.3">
      <c r="A315" t="str">
        <f>""</f>
        <v/>
      </c>
      <c r="F315" t="str">
        <f>"12696 REISSUE"</f>
        <v>12696 REISSUE</v>
      </c>
      <c r="G315" t="str">
        <f t="shared" si="5"/>
        <v>SERVICE 12/08/2017</v>
      </c>
      <c r="H315">
        <v>250</v>
      </c>
      <c r="I315" t="str">
        <f t="shared" si="6"/>
        <v>SERVICE 12/08/2017</v>
      </c>
    </row>
    <row r="316" spans="1:9" x14ac:dyDescent="0.3">
      <c r="A316" t="str">
        <f>""</f>
        <v/>
      </c>
      <c r="F316" t="str">
        <f>"12717 REISSUE"</f>
        <v>12717 REISSUE</v>
      </c>
      <c r="G316" t="str">
        <f t="shared" si="5"/>
        <v>SERVICE 12/08/2017</v>
      </c>
      <c r="H316">
        <v>250</v>
      </c>
      <c r="I316" t="str">
        <f t="shared" si="6"/>
        <v>SERVICE 12/08/2017</v>
      </c>
    </row>
    <row r="317" spans="1:9" x14ac:dyDescent="0.3">
      <c r="A317" t="str">
        <f>""</f>
        <v/>
      </c>
      <c r="F317" t="str">
        <f>"12739 REISSUE"</f>
        <v>12739 REISSUE</v>
      </c>
      <c r="G317" t="str">
        <f>"SERVICE 02/20/2018"</f>
        <v>SERVICE 02/20/2018</v>
      </c>
      <c r="H317">
        <v>400</v>
      </c>
      <c r="I317" t="str">
        <f>"SERVICE 02/20/2018"</f>
        <v>SERVICE 02/20/2018</v>
      </c>
    </row>
    <row r="318" spans="1:9" x14ac:dyDescent="0.3">
      <c r="A318" t="str">
        <f>"005548"</f>
        <v>005548</v>
      </c>
      <c r="B318" t="s">
        <v>61</v>
      </c>
      <c r="C318">
        <v>76560</v>
      </c>
      <c r="D318" s="2">
        <v>23.13</v>
      </c>
      <c r="E318" s="1">
        <v>43234</v>
      </c>
      <c r="F318" t="str">
        <f>"201805101002"</f>
        <v>201805101002</v>
      </c>
      <c r="G318" t="str">
        <f>"ONLINE BID PAYMENT"</f>
        <v>ONLINE BID PAYMENT</v>
      </c>
      <c r="H318">
        <v>23.13</v>
      </c>
      <c r="I318" t="str">
        <f>"ONLINE BID PAYMENT"</f>
        <v>ONLINE BID PAYMENT</v>
      </c>
    </row>
    <row r="319" spans="1:9" x14ac:dyDescent="0.3">
      <c r="A319" t="str">
        <f>"T1636"</f>
        <v>T1636</v>
      </c>
      <c r="B319" t="s">
        <v>58</v>
      </c>
      <c r="C319">
        <v>76561</v>
      </c>
      <c r="D319" s="2">
        <v>2926</v>
      </c>
      <c r="E319" s="1">
        <v>43234</v>
      </c>
      <c r="F319" t="str">
        <f>"12349"</f>
        <v>12349</v>
      </c>
      <c r="G319" t="str">
        <f>"SERVICE  12/08/17"</f>
        <v>SERVICE  12/08/17</v>
      </c>
      <c r="H319">
        <v>475</v>
      </c>
      <c r="I319" t="str">
        <f>"SERVICE  12/08/17"</f>
        <v>SERVICE  12/08/17</v>
      </c>
    </row>
    <row r="320" spans="1:9" x14ac:dyDescent="0.3">
      <c r="A320" t="str">
        <f>""</f>
        <v/>
      </c>
      <c r="F320" t="str">
        <f>"201805090966"</f>
        <v>201805090966</v>
      </c>
      <c r="G320" t="str">
        <f>"WRIT OF EXECUTION FEE"</f>
        <v>WRIT OF EXECUTION FEE</v>
      </c>
      <c r="H320">
        <v>2451</v>
      </c>
      <c r="I320" t="str">
        <f>"WRIT OF EXECUTION FEE"</f>
        <v>WRIT OF EXECUTION FEE</v>
      </c>
    </row>
    <row r="321" spans="1:9" x14ac:dyDescent="0.3">
      <c r="A321" t="str">
        <f>"T1636"</f>
        <v>T1636</v>
      </c>
      <c r="B321" t="s">
        <v>58</v>
      </c>
      <c r="C321">
        <v>76840</v>
      </c>
      <c r="D321" s="2">
        <v>1673</v>
      </c>
      <c r="E321" s="1">
        <v>43249</v>
      </c>
      <c r="F321" t="str">
        <f>"11007"</f>
        <v>11007</v>
      </c>
      <c r="G321" t="str">
        <f>"SERVICE  03/12/2018"</f>
        <v>SERVICE  03/12/2018</v>
      </c>
      <c r="H321">
        <v>195</v>
      </c>
      <c r="I321" t="str">
        <f>"SERVICE  03/12/2018"</f>
        <v>SERVICE  03/12/2018</v>
      </c>
    </row>
    <row r="322" spans="1:9" x14ac:dyDescent="0.3">
      <c r="A322" t="str">
        <f>""</f>
        <v/>
      </c>
      <c r="F322" t="str">
        <f>"12010"</f>
        <v>12010</v>
      </c>
      <c r="G322" t="str">
        <f>"SERVICE  03/09/2018"</f>
        <v>SERVICE  03/09/2018</v>
      </c>
      <c r="H322">
        <v>3</v>
      </c>
      <c r="I322" t="str">
        <f>"SERVICE  03/09/2018"</f>
        <v>SERVICE  03/09/2018</v>
      </c>
    </row>
    <row r="323" spans="1:9" x14ac:dyDescent="0.3">
      <c r="A323" t="str">
        <f>""</f>
        <v/>
      </c>
      <c r="F323" t="str">
        <f>"12168"</f>
        <v>12168</v>
      </c>
      <c r="G323" t="str">
        <f>"SERVICE  02/27/2018"</f>
        <v>SERVICE  02/27/2018</v>
      </c>
      <c r="H323">
        <v>150</v>
      </c>
      <c r="I323" t="str">
        <f>"SERVICE  02/27/2018"</f>
        <v>SERVICE  02/27/2018</v>
      </c>
    </row>
    <row r="324" spans="1:9" x14ac:dyDescent="0.3">
      <c r="A324" t="str">
        <f>""</f>
        <v/>
      </c>
      <c r="F324" t="str">
        <f>"12491"</f>
        <v>12491</v>
      </c>
      <c r="G324" t="str">
        <f>"SERVICE  03/16/2018"</f>
        <v>SERVICE  03/16/2018</v>
      </c>
      <c r="H324">
        <v>75</v>
      </c>
      <c r="I324" t="str">
        <f>"SERVICE  03/16/2018"</f>
        <v>SERVICE  03/16/2018</v>
      </c>
    </row>
    <row r="325" spans="1:9" x14ac:dyDescent="0.3">
      <c r="A325" t="str">
        <f>""</f>
        <v/>
      </c>
      <c r="F325" t="str">
        <f>"12521  02/26/2018"</f>
        <v>12521  02/26/2018</v>
      </c>
      <c r="G325" t="str">
        <f>"SERVICE  02/26/2018"</f>
        <v>SERVICE  02/26/2018</v>
      </c>
      <c r="H325">
        <v>250</v>
      </c>
      <c r="I325" t="str">
        <f>"SERVICE  02/26/2018"</f>
        <v>SERVICE  02/26/2018</v>
      </c>
    </row>
    <row r="326" spans="1:9" x14ac:dyDescent="0.3">
      <c r="A326" t="str">
        <f>""</f>
        <v/>
      </c>
      <c r="F326" t="str">
        <f>"12608"</f>
        <v>12608</v>
      </c>
      <c r="G326" t="str">
        <f>"SERVICE  03/02/2018"</f>
        <v>SERVICE  03/02/2018</v>
      </c>
      <c r="H326">
        <v>75</v>
      </c>
      <c r="I326" t="str">
        <f>"SERVICE  03/02/2018"</f>
        <v>SERVICE  03/02/2018</v>
      </c>
    </row>
    <row r="327" spans="1:9" x14ac:dyDescent="0.3">
      <c r="A327" t="str">
        <f>""</f>
        <v/>
      </c>
      <c r="F327" t="str">
        <f>"12692"</f>
        <v>12692</v>
      </c>
      <c r="G327" t="str">
        <f>"SERVICE 02/26/2018"</f>
        <v>SERVICE 02/26/2018</v>
      </c>
      <c r="H327">
        <v>150</v>
      </c>
      <c r="I327" t="str">
        <f>"SERVICE 02/26/2018"</f>
        <v>SERVICE 02/26/2018</v>
      </c>
    </row>
    <row r="328" spans="1:9" x14ac:dyDescent="0.3">
      <c r="A328" t="str">
        <f>""</f>
        <v/>
      </c>
      <c r="F328" t="str">
        <f>"12736"</f>
        <v>12736</v>
      </c>
      <c r="G328" t="str">
        <f>"SERVICE  02/28/2018"</f>
        <v>SERVICE  02/28/2018</v>
      </c>
      <c r="H328">
        <v>325</v>
      </c>
      <c r="I328" t="str">
        <f>"SERVICE  02/28/2018"</f>
        <v>SERVICE  02/28/2018</v>
      </c>
    </row>
    <row r="329" spans="1:9" x14ac:dyDescent="0.3">
      <c r="A329" t="str">
        <f>""</f>
        <v/>
      </c>
      <c r="F329" t="str">
        <f>"12824"</f>
        <v>12824</v>
      </c>
      <c r="G329" t="str">
        <f>"SERVICE  02/28/2018"</f>
        <v>SERVICE  02/28/2018</v>
      </c>
      <c r="H329">
        <v>75</v>
      </c>
      <c r="I329" t="str">
        <f>"SERVICE  02/28/2018"</f>
        <v>SERVICE  02/28/2018</v>
      </c>
    </row>
    <row r="330" spans="1:9" x14ac:dyDescent="0.3">
      <c r="A330" t="str">
        <f>""</f>
        <v/>
      </c>
      <c r="F330" t="str">
        <f>"12832"</f>
        <v>12832</v>
      </c>
      <c r="G330" t="str">
        <f>"SERVICE  03/02/2018"</f>
        <v>SERVICE  03/02/2018</v>
      </c>
      <c r="H330">
        <v>75</v>
      </c>
      <c r="I330" t="str">
        <f>"SERVICE  03/02/2018"</f>
        <v>SERVICE  03/02/2018</v>
      </c>
    </row>
    <row r="331" spans="1:9" x14ac:dyDescent="0.3">
      <c r="A331" t="str">
        <f>""</f>
        <v/>
      </c>
      <c r="F331" t="str">
        <f>"12861"</f>
        <v>12861</v>
      </c>
      <c r="G331" t="str">
        <f>"SERVICE  02/28/2018"</f>
        <v>SERVICE  02/28/2018</v>
      </c>
      <c r="H331">
        <v>150</v>
      </c>
      <c r="I331" t="str">
        <f>"SERVICE  02/28/2018"</f>
        <v>SERVICE  02/28/2018</v>
      </c>
    </row>
    <row r="332" spans="1:9" x14ac:dyDescent="0.3">
      <c r="A332" t="str">
        <f>""</f>
        <v/>
      </c>
      <c r="F332" t="str">
        <f>"12904"</f>
        <v>12904</v>
      </c>
      <c r="G332" t="str">
        <f>" SERVICE  03/19/2018"</f>
        <v xml:space="preserve"> SERVICE  03/19/2018</v>
      </c>
      <c r="H332">
        <v>150</v>
      </c>
      <c r="I332" t="str">
        <f>" SERVICE  03/19/2018"</f>
        <v xml:space="preserve"> SERVICE  03/19/2018</v>
      </c>
    </row>
    <row r="333" spans="1:9" x14ac:dyDescent="0.3">
      <c r="A333" t="str">
        <f>"BASCO"</f>
        <v>BASCO</v>
      </c>
      <c r="B333" t="s">
        <v>62</v>
      </c>
      <c r="C333">
        <v>76562</v>
      </c>
      <c r="D333" s="2">
        <v>258.70999999999998</v>
      </c>
      <c r="E333" s="1">
        <v>43234</v>
      </c>
      <c r="F333" t="str">
        <f>"11456 11505 11509"</f>
        <v>11456 11505 11509</v>
      </c>
      <c r="G333" t="str">
        <f>"ACCT#BC01"</f>
        <v>ACCT#BC01</v>
      </c>
      <c r="H333">
        <v>258.70999999999998</v>
      </c>
      <c r="I333" t="str">
        <f>"ACCT#BC01"</f>
        <v>ACCT#BC01</v>
      </c>
    </row>
    <row r="334" spans="1:9" x14ac:dyDescent="0.3">
      <c r="A334" t="str">
        <f>""</f>
        <v/>
      </c>
      <c r="F334" t="str">
        <f>""</f>
        <v/>
      </c>
      <c r="G334" t="str">
        <f>""</f>
        <v/>
      </c>
      <c r="I334" t="str">
        <f>"ACCT#BC01"</f>
        <v>ACCT#BC01</v>
      </c>
    </row>
    <row r="335" spans="1:9" x14ac:dyDescent="0.3">
      <c r="A335" t="str">
        <f>"004714"</f>
        <v>004714</v>
      </c>
      <c r="B335" t="s">
        <v>63</v>
      </c>
      <c r="C335">
        <v>76841</v>
      </c>
      <c r="D335" s="2">
        <v>384.88</v>
      </c>
      <c r="E335" s="1">
        <v>43249</v>
      </c>
      <c r="F335" t="str">
        <f>"2018-0004"</f>
        <v>2018-0004</v>
      </c>
      <c r="G335" t="str">
        <f>"2018 SXSW BOOTH"</f>
        <v>2018 SXSW BOOTH</v>
      </c>
      <c r="H335">
        <v>384.88</v>
      </c>
      <c r="I335" t="str">
        <f>"2018 SXSW BOOTH"</f>
        <v>2018 SXSW BOOTH</v>
      </c>
    </row>
    <row r="336" spans="1:9" x14ac:dyDescent="0.3">
      <c r="A336" t="str">
        <f>"T13544"</f>
        <v>T13544</v>
      </c>
      <c r="B336" t="s">
        <v>64</v>
      </c>
      <c r="C336">
        <v>999999</v>
      </c>
      <c r="D336" s="2">
        <v>149.88</v>
      </c>
      <c r="E336" s="1">
        <v>43235</v>
      </c>
      <c r="F336" t="str">
        <f>"201805090977"</f>
        <v>201805090977</v>
      </c>
      <c r="G336" t="str">
        <f>"INDIGENT HEALTH"</f>
        <v>INDIGENT HEALTH</v>
      </c>
      <c r="H336">
        <v>149.88</v>
      </c>
      <c r="I336" t="str">
        <f>"INDIGENT HEALTH"</f>
        <v>INDIGENT HEALTH</v>
      </c>
    </row>
    <row r="337" spans="1:9" x14ac:dyDescent="0.3">
      <c r="A337" t="str">
        <f>""</f>
        <v/>
      </c>
      <c r="F337" t="str">
        <f>""</f>
        <v/>
      </c>
      <c r="G337" t="str">
        <f>""</f>
        <v/>
      </c>
      <c r="I337" t="str">
        <f>"INDIGENT HEALTH"</f>
        <v>INDIGENT HEALTH</v>
      </c>
    </row>
    <row r="338" spans="1:9" x14ac:dyDescent="0.3">
      <c r="A338" t="str">
        <f>"000719"</f>
        <v>000719</v>
      </c>
      <c r="B338" t="s">
        <v>65</v>
      </c>
      <c r="C338">
        <v>76563</v>
      </c>
      <c r="D338" s="2">
        <v>125.5</v>
      </c>
      <c r="E338" s="1">
        <v>43234</v>
      </c>
      <c r="F338" t="str">
        <f>"201805010477"</f>
        <v>201805010477</v>
      </c>
      <c r="G338" t="str">
        <f>"CHAINS/GEN SVCS"</f>
        <v>CHAINS/GEN SVCS</v>
      </c>
      <c r="H338">
        <v>125.5</v>
      </c>
      <c r="I338" t="str">
        <f>"CHAINS/GEN SVCS"</f>
        <v>CHAINS/GEN SVCS</v>
      </c>
    </row>
    <row r="339" spans="1:9" x14ac:dyDescent="0.3">
      <c r="A339" t="str">
        <f>"BPD"</f>
        <v>BPD</v>
      </c>
      <c r="B339" t="s">
        <v>66</v>
      </c>
      <c r="C339">
        <v>76564</v>
      </c>
      <c r="D339" s="2">
        <v>48</v>
      </c>
      <c r="E339" s="1">
        <v>43234</v>
      </c>
      <c r="F339" t="str">
        <f>"201805090912"</f>
        <v>201805090912</v>
      </c>
      <c r="G339" t="str">
        <f>"OFF DUTY-SHRINER RIDE"</f>
        <v>OFF DUTY-SHRINER RIDE</v>
      </c>
      <c r="H339">
        <v>48</v>
      </c>
      <c r="I339" t="str">
        <f>"OFF DUTY-SHRINER RIDE"</f>
        <v>OFF DUTY-SHRINER RIDE</v>
      </c>
    </row>
    <row r="340" spans="1:9" x14ac:dyDescent="0.3">
      <c r="A340" t="str">
        <f>"001542"</f>
        <v>001542</v>
      </c>
      <c r="B340" t="s">
        <v>67</v>
      </c>
      <c r="C340">
        <v>999999</v>
      </c>
      <c r="D340" s="2">
        <v>1285</v>
      </c>
      <c r="E340" s="1">
        <v>43250</v>
      </c>
      <c r="F340" t="str">
        <f>"2018052"</f>
        <v>2018052</v>
      </c>
      <c r="G340" t="str">
        <f>"TRANSPORT-W.L. SEIDEL"</f>
        <v>TRANSPORT-W.L. SEIDEL</v>
      </c>
      <c r="H340">
        <v>295</v>
      </c>
      <c r="I340" t="str">
        <f>"TRANSPORT-W.L. SEIDEL"</f>
        <v>TRANSPORT-W.L. SEIDEL</v>
      </c>
    </row>
    <row r="341" spans="1:9" x14ac:dyDescent="0.3">
      <c r="A341" t="str">
        <f>""</f>
        <v/>
      </c>
      <c r="F341" t="str">
        <f>"2018053"</f>
        <v>2018053</v>
      </c>
      <c r="G341" t="str">
        <f>"TRANSPORT-A.J AVILES-MARTI"</f>
        <v>TRANSPORT-A.J AVILES-MARTI</v>
      </c>
      <c r="H341">
        <v>495</v>
      </c>
      <c r="I341" t="str">
        <f>"TRANSPORT-A.J AVILES-MARTI"</f>
        <v>TRANSPORT-A.J AVILES-MARTI</v>
      </c>
    </row>
    <row r="342" spans="1:9" x14ac:dyDescent="0.3">
      <c r="A342" t="str">
        <f>""</f>
        <v/>
      </c>
      <c r="F342" t="str">
        <f>"2018060"</f>
        <v>2018060</v>
      </c>
      <c r="G342" t="str">
        <f>"TRANSPORT-T. ZUNIGA-GORDIN"</f>
        <v>TRANSPORT-T. ZUNIGA-GORDIN</v>
      </c>
      <c r="H342">
        <v>495</v>
      </c>
      <c r="I342" t="str">
        <f>"TRANSPORT-T. ZUNIGA-GORDIN"</f>
        <v>TRANSPORT-T. ZUNIGA-GORDIN</v>
      </c>
    </row>
    <row r="343" spans="1:9" x14ac:dyDescent="0.3">
      <c r="A343" t="str">
        <f>"001081"</f>
        <v>001081</v>
      </c>
      <c r="B343" t="s">
        <v>68</v>
      </c>
      <c r="C343">
        <v>76565</v>
      </c>
      <c r="D343" s="2">
        <v>163836.17000000001</v>
      </c>
      <c r="E343" s="1">
        <v>43234</v>
      </c>
      <c r="F343" t="str">
        <f>"201804270469"</f>
        <v>201804270469</v>
      </c>
      <c r="G343" t="str">
        <f>"381 AGREEMENT AD VALOREM 2018"</f>
        <v>381 AGREEMENT AD VALOREM 2018</v>
      </c>
      <c r="H343">
        <v>91087.26</v>
      </c>
      <c r="I343" t="str">
        <f>"381 AGREEMENT AD VALOREM 2018"</f>
        <v>381 AGREEMENT AD VALOREM 2018</v>
      </c>
    </row>
    <row r="344" spans="1:9" x14ac:dyDescent="0.3">
      <c r="A344" t="str">
        <f>""</f>
        <v/>
      </c>
      <c r="F344" t="str">
        <f>"201804270471"</f>
        <v>201804270471</v>
      </c>
      <c r="G344" t="str">
        <f>"381 AGREEMENT AD VALOREM 2018"</f>
        <v>381 AGREEMENT AD VALOREM 2018</v>
      </c>
      <c r="H344">
        <v>4411.71</v>
      </c>
      <c r="I344" t="str">
        <f>"381 AGREEMENT AD VALOREM 2018"</f>
        <v>381 AGREEMENT AD VALOREM 2018</v>
      </c>
    </row>
    <row r="345" spans="1:9" x14ac:dyDescent="0.3">
      <c r="A345" t="str">
        <f>""</f>
        <v/>
      </c>
      <c r="F345" t="str">
        <f>"201804270472"</f>
        <v>201804270472</v>
      </c>
      <c r="G345" t="str">
        <f>"381 AGREEMENT AD VALOREM 2018"</f>
        <v>381 AGREEMENT AD VALOREM 2018</v>
      </c>
      <c r="H345">
        <v>6048.77</v>
      </c>
      <c r="I345" t="str">
        <f>"381 AGREEMENT AD VALOREM 2018"</f>
        <v>381 AGREEMENT AD VALOREM 2018</v>
      </c>
    </row>
    <row r="346" spans="1:9" x14ac:dyDescent="0.3">
      <c r="A346" t="str">
        <f>""</f>
        <v/>
      </c>
      <c r="F346" t="str">
        <f>"201804270473"</f>
        <v>201804270473</v>
      </c>
      <c r="G346" t="str">
        <f>"381 AGREEMENT AD VALOREM 2018"</f>
        <v>381 AGREEMENT AD VALOREM 2018</v>
      </c>
      <c r="H346">
        <v>5647.27</v>
      </c>
      <c r="I346" t="str">
        <f>"381 AGREEMENT AD VALOREM 2018"</f>
        <v>381 AGREEMENT AD VALOREM 2018</v>
      </c>
    </row>
    <row r="347" spans="1:9" x14ac:dyDescent="0.3">
      <c r="A347" t="str">
        <f>""</f>
        <v/>
      </c>
      <c r="F347" t="str">
        <f>"201805030730"</f>
        <v>201805030730</v>
      </c>
      <c r="G347" t="str">
        <f>"381 AGREEMENT AD VALOREM 2018"</f>
        <v>381 AGREEMENT AD VALOREM 2018</v>
      </c>
      <c r="H347">
        <v>7790.99</v>
      </c>
      <c r="I347" t="str">
        <f>"381 AGREEMENT AD VALOREM 2018"</f>
        <v>381 AGREEMENT AD VALOREM 2018</v>
      </c>
    </row>
    <row r="348" spans="1:9" x14ac:dyDescent="0.3">
      <c r="A348" t="str">
        <f>""</f>
        <v/>
      </c>
      <c r="F348" t="str">
        <f>"201805090909"</f>
        <v>201805090909</v>
      </c>
      <c r="G348" t="str">
        <f>"381 AGMNT SALES TAX/2QFY17/18"</f>
        <v>381 AGMNT SALES TAX/2QFY17/18</v>
      </c>
      <c r="H348">
        <v>48850.17</v>
      </c>
      <c r="I348" t="str">
        <f>"381 AGMNT SALES TAX/2QFY17/18"</f>
        <v>381 AGMNT SALES TAX/2QFY17/18</v>
      </c>
    </row>
    <row r="349" spans="1:9" x14ac:dyDescent="0.3">
      <c r="A349" t="str">
        <f>"002504"</f>
        <v>002504</v>
      </c>
      <c r="B349" t="s">
        <v>69</v>
      </c>
      <c r="C349">
        <v>76566</v>
      </c>
      <c r="D349" s="2">
        <v>539.4</v>
      </c>
      <c r="E349" s="1">
        <v>43234</v>
      </c>
      <c r="F349" t="str">
        <f>"5324"</f>
        <v>5324</v>
      </c>
      <c r="G349" t="str">
        <f>"CORRUGATED SIGNS/ELECTIONS DEP"</f>
        <v>CORRUGATED SIGNS/ELECTIONS DEP</v>
      </c>
      <c r="H349">
        <v>539.4</v>
      </c>
      <c r="I349" t="str">
        <f>"CORRUGATED SIGNS/ELECTIONS DEP"</f>
        <v>CORRUGATED SIGNS/ELECTIONS DEP</v>
      </c>
    </row>
    <row r="350" spans="1:9" x14ac:dyDescent="0.3">
      <c r="A350" t="str">
        <f>"000485"</f>
        <v>000485</v>
      </c>
      <c r="B350" t="s">
        <v>70</v>
      </c>
      <c r="C350">
        <v>76842</v>
      </c>
      <c r="D350" s="2">
        <v>425</v>
      </c>
      <c r="E350" s="1">
        <v>43249</v>
      </c>
      <c r="F350" t="str">
        <f>"5176R"</f>
        <v>5176R</v>
      </c>
      <c r="G350" t="str">
        <f>"REMOVE BROKEN LIMB/PCT#1"</f>
        <v>REMOVE BROKEN LIMB/PCT#1</v>
      </c>
      <c r="H350">
        <v>425</v>
      </c>
      <c r="I350" t="str">
        <f>"REMOVE BROKEN LIMB/PCT#1"</f>
        <v>REMOVE BROKEN LIMB/PCT#1</v>
      </c>
    </row>
    <row r="351" spans="1:9" x14ac:dyDescent="0.3">
      <c r="A351" t="str">
        <f>"BVH"</f>
        <v>BVH</v>
      </c>
      <c r="B351" t="s">
        <v>71</v>
      </c>
      <c r="C351">
        <v>76567</v>
      </c>
      <c r="D351" s="2">
        <v>71.5</v>
      </c>
      <c r="E351" s="1">
        <v>43234</v>
      </c>
      <c r="F351" t="str">
        <f>"1107586"</f>
        <v>1107586</v>
      </c>
      <c r="G351" t="str">
        <f>"INV 1107586"</f>
        <v>INV 1107586</v>
      </c>
      <c r="H351">
        <v>71.5</v>
      </c>
      <c r="I351" t="str">
        <f>"INV 1107586"</f>
        <v>INV 1107586</v>
      </c>
    </row>
    <row r="352" spans="1:9" x14ac:dyDescent="0.3">
      <c r="A352" t="str">
        <f>"BVH"</f>
        <v>BVH</v>
      </c>
      <c r="B352" t="s">
        <v>71</v>
      </c>
      <c r="C352">
        <v>76843</v>
      </c>
      <c r="D352" s="2">
        <v>34</v>
      </c>
      <c r="E352" s="1">
        <v>43249</v>
      </c>
      <c r="F352" t="str">
        <f>"1108127"</f>
        <v>1108127</v>
      </c>
      <c r="G352" t="str">
        <f>"INV 1108127"</f>
        <v>INV 1108127</v>
      </c>
      <c r="H352">
        <v>34</v>
      </c>
      <c r="I352" t="str">
        <f>"INV 1108127"</f>
        <v>INV 1108127</v>
      </c>
    </row>
    <row r="353" spans="1:9" x14ac:dyDescent="0.3">
      <c r="A353" t="str">
        <f>"000110"</f>
        <v>000110</v>
      </c>
      <c r="B353" t="s">
        <v>72</v>
      </c>
      <c r="C353">
        <v>999999</v>
      </c>
      <c r="D353" s="2">
        <v>1666.8</v>
      </c>
      <c r="E353" s="1">
        <v>43235</v>
      </c>
      <c r="F353" t="str">
        <f>"201805010491"</f>
        <v>201805010491</v>
      </c>
      <c r="G353" t="str">
        <f>"SERVICES PROVIDED APRIL 2018"</f>
        <v>SERVICES PROVIDED APRIL 2018</v>
      </c>
      <c r="H353">
        <v>494.3</v>
      </c>
      <c r="I353" t="str">
        <f>"SERVICES PROVIDED APRIL 2018"</f>
        <v>SERVICES PROVIDED APRIL 2018</v>
      </c>
    </row>
    <row r="354" spans="1:9" x14ac:dyDescent="0.3">
      <c r="A354" t="str">
        <f>""</f>
        <v/>
      </c>
      <c r="F354" t="str">
        <f>"JAIL/LAW ENFORCEME"</f>
        <v>JAIL/LAW ENFORCEME</v>
      </c>
      <c r="G354" t="str">
        <f>"APRIL SERVICES"</f>
        <v>APRIL SERVICES</v>
      </c>
      <c r="H354">
        <v>1172.5</v>
      </c>
      <c r="I354" t="str">
        <f>"JAIL"</f>
        <v>JAIL</v>
      </c>
    </row>
    <row r="355" spans="1:9" x14ac:dyDescent="0.3">
      <c r="A355" t="str">
        <f>""</f>
        <v/>
      </c>
      <c r="F355" t="str">
        <f>""</f>
        <v/>
      </c>
      <c r="G355" t="str">
        <f>""</f>
        <v/>
      </c>
      <c r="I355" t="str">
        <f>"LAW ENFORCEMENT"</f>
        <v>LAW ENFORCEMENT</v>
      </c>
    </row>
    <row r="356" spans="1:9" x14ac:dyDescent="0.3">
      <c r="A356" t="str">
        <f>"005445"</f>
        <v>005445</v>
      </c>
      <c r="B356" t="s">
        <v>73</v>
      </c>
      <c r="C356">
        <v>76568</v>
      </c>
      <c r="D356" s="2">
        <v>781.81</v>
      </c>
      <c r="E356" s="1">
        <v>43234</v>
      </c>
      <c r="F356" t="str">
        <f>"18302033-01"</f>
        <v>18302033-01</v>
      </c>
      <c r="G356" t="str">
        <f>"INV 18302033-01"</f>
        <v>INV 18302033-01</v>
      </c>
      <c r="H356">
        <v>781.81</v>
      </c>
      <c r="I356" t="str">
        <f>"INV 18302033-01"</f>
        <v>INV 18302033-01</v>
      </c>
    </row>
    <row r="357" spans="1:9" x14ac:dyDescent="0.3">
      <c r="A357" t="str">
        <f>"005445"</f>
        <v>005445</v>
      </c>
      <c r="B357" t="s">
        <v>73</v>
      </c>
      <c r="C357">
        <v>76844</v>
      </c>
      <c r="D357" s="2">
        <v>437.5</v>
      </c>
      <c r="E357" s="1">
        <v>43249</v>
      </c>
      <c r="F357" t="str">
        <f>"18302055-01"</f>
        <v>18302055-01</v>
      </c>
      <c r="G357" t="str">
        <f>"INV 18302055-01"</f>
        <v>INV 18302055-01</v>
      </c>
      <c r="H357">
        <v>437.5</v>
      </c>
      <c r="I357" t="str">
        <f>"INV 18302055-01"</f>
        <v>INV 18302055-01</v>
      </c>
    </row>
    <row r="358" spans="1:9" x14ac:dyDescent="0.3">
      <c r="A358" t="str">
        <f>"KEITH"</f>
        <v>KEITH</v>
      </c>
      <c r="B358" t="s">
        <v>74</v>
      </c>
      <c r="C358">
        <v>76569</v>
      </c>
      <c r="D358" s="2">
        <v>3022.21</v>
      </c>
      <c r="E358" s="1">
        <v>43234</v>
      </c>
      <c r="F358" t="str">
        <f>"74658387 74665822"</f>
        <v>74658387 74665822</v>
      </c>
      <c r="G358" t="str">
        <f>"INV 74658387"</f>
        <v>INV 74658387</v>
      </c>
      <c r="H358">
        <v>3022.21</v>
      </c>
      <c r="I358" t="str">
        <f>"INV 74658387"</f>
        <v>INV 74658387</v>
      </c>
    </row>
    <row r="359" spans="1:9" x14ac:dyDescent="0.3">
      <c r="A359" t="str">
        <f>""</f>
        <v/>
      </c>
      <c r="F359" t="str">
        <f>""</f>
        <v/>
      </c>
      <c r="G359" t="str">
        <f>""</f>
        <v/>
      </c>
      <c r="I359" t="str">
        <f>"INV 74665822"</f>
        <v>INV 74665822</v>
      </c>
    </row>
    <row r="360" spans="1:9" x14ac:dyDescent="0.3">
      <c r="A360" t="str">
        <f>""</f>
        <v/>
      </c>
      <c r="F360" t="str">
        <f>""</f>
        <v/>
      </c>
      <c r="G360" t="str">
        <f>""</f>
        <v/>
      </c>
      <c r="I360" t="str">
        <f>"INV 74673176"</f>
        <v>INV 74673176</v>
      </c>
    </row>
    <row r="361" spans="1:9" x14ac:dyDescent="0.3">
      <c r="A361" t="str">
        <f>"KEITH"</f>
        <v>KEITH</v>
      </c>
      <c r="B361" t="s">
        <v>74</v>
      </c>
      <c r="C361">
        <v>76845</v>
      </c>
      <c r="D361" s="2">
        <v>1922.93</v>
      </c>
      <c r="E361" s="1">
        <v>43249</v>
      </c>
      <c r="F361" t="str">
        <f>"74680967/74688447"</f>
        <v>74680967/74688447</v>
      </c>
      <c r="G361" t="str">
        <f>"INV 74680967"</f>
        <v>INV 74680967</v>
      </c>
      <c r="H361">
        <v>1922.93</v>
      </c>
      <c r="I361" t="str">
        <f>"INV 74680967"</f>
        <v>INV 74680967</v>
      </c>
    </row>
    <row r="362" spans="1:9" x14ac:dyDescent="0.3">
      <c r="A362" t="str">
        <f>""</f>
        <v/>
      </c>
      <c r="F362" t="str">
        <f>""</f>
        <v/>
      </c>
      <c r="G362" t="str">
        <f>""</f>
        <v/>
      </c>
      <c r="I362" t="str">
        <f>"INV 74688447"</f>
        <v>INV 74688447</v>
      </c>
    </row>
    <row r="363" spans="1:9" x14ac:dyDescent="0.3">
      <c r="A363" t="str">
        <f>"001112"</f>
        <v>001112</v>
      </c>
      <c r="B363" t="s">
        <v>75</v>
      </c>
      <c r="C363">
        <v>76846</v>
      </c>
      <c r="D363" s="2">
        <v>24.99</v>
      </c>
      <c r="E363" s="1">
        <v>43249</v>
      </c>
      <c r="F363" t="str">
        <f>"3250887"</f>
        <v>3250887</v>
      </c>
      <c r="G363" t="str">
        <f>"Inv# 3250887"</f>
        <v>Inv# 3250887</v>
      </c>
      <c r="H363">
        <v>24.99</v>
      </c>
      <c r="I363" t="str">
        <f>"Inv# 3250887"</f>
        <v>Inv# 3250887</v>
      </c>
    </row>
    <row r="364" spans="1:9" x14ac:dyDescent="0.3">
      <c r="A364" t="str">
        <f>"002443"</f>
        <v>002443</v>
      </c>
      <c r="B364" t="s">
        <v>76</v>
      </c>
      <c r="C364">
        <v>76570</v>
      </c>
      <c r="D364" s="2">
        <v>850</v>
      </c>
      <c r="E364" s="1">
        <v>43234</v>
      </c>
      <c r="F364" t="str">
        <f>"12349"</f>
        <v>12349</v>
      </c>
      <c r="G364" t="str">
        <f>"SERVICE  12/08/17"</f>
        <v>SERVICE  12/08/17</v>
      </c>
      <c r="H364">
        <v>850</v>
      </c>
      <c r="I364" t="str">
        <f>"SERVICE  12/08/17"</f>
        <v>SERVICE  12/08/17</v>
      </c>
    </row>
    <row r="365" spans="1:9" x14ac:dyDescent="0.3">
      <c r="A365" t="str">
        <f>"002443"</f>
        <v>002443</v>
      </c>
      <c r="B365" t="s">
        <v>76</v>
      </c>
      <c r="C365">
        <v>76847</v>
      </c>
      <c r="D365" s="2">
        <v>150</v>
      </c>
      <c r="E365" s="1">
        <v>43249</v>
      </c>
      <c r="F365" t="str">
        <f>"12760"</f>
        <v>12760</v>
      </c>
      <c r="G365" t="str">
        <f>"SERVICE  03/16/2018"</f>
        <v>SERVICE  03/16/2018</v>
      </c>
      <c r="H365">
        <v>150</v>
      </c>
      <c r="I365" t="str">
        <f>"SERVICE  03/16/2018"</f>
        <v>SERVICE  03/16/2018</v>
      </c>
    </row>
    <row r="366" spans="1:9" x14ac:dyDescent="0.3">
      <c r="A366" t="str">
        <f>"T2043"</f>
        <v>T2043</v>
      </c>
      <c r="B366" t="s">
        <v>77</v>
      </c>
      <c r="C366">
        <v>999999</v>
      </c>
      <c r="D366" s="2">
        <v>2035.99</v>
      </c>
      <c r="E366" s="1">
        <v>43235</v>
      </c>
      <c r="F366" t="str">
        <f>"106425"</f>
        <v>106425</v>
      </c>
      <c r="G366" t="str">
        <f>"CLIENT#001309/PROF SVCS"</f>
        <v>CLIENT#001309/PROF SVCS</v>
      </c>
      <c r="H366">
        <v>80</v>
      </c>
      <c r="I366" t="str">
        <f>"CLIENT#001309/PROF SVCS"</f>
        <v>CLIENT#001309/PROF SVCS</v>
      </c>
    </row>
    <row r="367" spans="1:9" x14ac:dyDescent="0.3">
      <c r="A367" t="str">
        <f>""</f>
        <v/>
      </c>
      <c r="F367" t="str">
        <f>"106426"</f>
        <v>106426</v>
      </c>
      <c r="G367" t="str">
        <f>"CLIENT#001309/APPEAL TCEQ"</f>
        <v>CLIENT#001309/APPEAL TCEQ</v>
      </c>
      <c r="H367">
        <v>1955.99</v>
      </c>
      <c r="I367" t="str">
        <f>"CLIENT#001309/APPEAL TCEQ"</f>
        <v>CLIENT#001309/APPEAL TCEQ</v>
      </c>
    </row>
    <row r="368" spans="1:9" x14ac:dyDescent="0.3">
      <c r="A368" t="str">
        <f>"004147"</f>
        <v>004147</v>
      </c>
      <c r="B368" t="s">
        <v>78</v>
      </c>
      <c r="C368">
        <v>999999</v>
      </c>
      <c r="D368" s="2">
        <v>988.57</v>
      </c>
      <c r="E368" s="1">
        <v>43235</v>
      </c>
      <c r="F368" t="str">
        <f>"4583"</f>
        <v>4583</v>
      </c>
      <c r="G368" t="str">
        <f>"2006 FORD F350/PCT#4"</f>
        <v>2006 FORD F350/PCT#4</v>
      </c>
      <c r="H368">
        <v>413.36</v>
      </c>
      <c r="I368" t="str">
        <f>"2006 FORD F350/PCT#4"</f>
        <v>2006 FORD F350/PCT#4</v>
      </c>
    </row>
    <row r="369" spans="1:10" x14ac:dyDescent="0.3">
      <c r="A369" t="str">
        <f>""</f>
        <v/>
      </c>
      <c r="F369" t="str">
        <f>"4604"</f>
        <v>4604</v>
      </c>
      <c r="G369" t="str">
        <f>"DUMP TRUCK/PCT#4"</f>
        <v>DUMP TRUCK/PCT#4</v>
      </c>
      <c r="H369">
        <v>575.21</v>
      </c>
      <c r="I369" t="str">
        <f>"DUMP TRUCK/PCT#4"</f>
        <v>DUMP TRUCK/PCT#4</v>
      </c>
    </row>
    <row r="370" spans="1:10" x14ac:dyDescent="0.3">
      <c r="A370" t="str">
        <f>"T11932"</f>
        <v>T11932</v>
      </c>
      <c r="B370" t="s">
        <v>79</v>
      </c>
      <c r="C370">
        <v>999999</v>
      </c>
      <c r="D370" s="2">
        <v>40</v>
      </c>
      <c r="E370" s="1">
        <v>43250</v>
      </c>
      <c r="F370" t="str">
        <f>"35547"</f>
        <v>35547</v>
      </c>
      <c r="G370" t="str">
        <f>"DOT INSPECTION/PCT#3"</f>
        <v>DOT INSPECTION/PCT#3</v>
      </c>
      <c r="H370">
        <v>40</v>
      </c>
      <c r="I370" t="str">
        <f>"DOT INSPECTION/PCT#3"</f>
        <v>DOT INSPECTION/PCT#3</v>
      </c>
    </row>
    <row r="371" spans="1:10" x14ac:dyDescent="0.3">
      <c r="A371" t="str">
        <f>"000593"</f>
        <v>000593</v>
      </c>
      <c r="B371" t="s">
        <v>80</v>
      </c>
      <c r="C371">
        <v>76571</v>
      </c>
      <c r="D371" s="2">
        <v>869.48</v>
      </c>
      <c r="E371" s="1">
        <v>43234</v>
      </c>
      <c r="F371" t="str">
        <f>"84078932659 840789"</f>
        <v>84078932659 840789</v>
      </c>
      <c r="G371" t="str">
        <f>"INV 84078932659"</f>
        <v>INV 84078932659</v>
      </c>
      <c r="H371">
        <v>869.48</v>
      </c>
      <c r="I371" t="str">
        <f>"INV 84078932659"</f>
        <v>INV 84078932659</v>
      </c>
    </row>
    <row r="372" spans="1:10" x14ac:dyDescent="0.3">
      <c r="A372" t="str">
        <f>""</f>
        <v/>
      </c>
      <c r="F372" t="str">
        <f>""</f>
        <v/>
      </c>
      <c r="G372" t="str">
        <f>""</f>
        <v/>
      </c>
      <c r="I372" t="str">
        <f>"INV 84078932751"</f>
        <v>INV 84078932751</v>
      </c>
    </row>
    <row r="373" spans="1:10" x14ac:dyDescent="0.3">
      <c r="A373" t="str">
        <f>""</f>
        <v/>
      </c>
      <c r="F373" t="str">
        <f>""</f>
        <v/>
      </c>
      <c r="G373" t="str">
        <f>""</f>
        <v/>
      </c>
      <c r="I373" t="str">
        <f>"INV 84078932835"</f>
        <v>INV 84078932835</v>
      </c>
    </row>
    <row r="374" spans="1:10" x14ac:dyDescent="0.3">
      <c r="A374" t="str">
        <f>"000593"</f>
        <v>000593</v>
      </c>
      <c r="B374" t="s">
        <v>80</v>
      </c>
      <c r="C374">
        <v>76848</v>
      </c>
      <c r="D374" s="2">
        <v>626</v>
      </c>
      <c r="E374" s="1">
        <v>43249</v>
      </c>
      <c r="F374" t="str">
        <f>"84078932915/840789"</f>
        <v>84078932915/840789</v>
      </c>
      <c r="G374" t="str">
        <f>"INV 84078932915"</f>
        <v>INV 84078932915</v>
      </c>
      <c r="H374">
        <v>626</v>
      </c>
      <c r="I374" t="str">
        <f>"INV 84078932915"</f>
        <v>INV 84078932915</v>
      </c>
    </row>
    <row r="375" spans="1:10" x14ac:dyDescent="0.3">
      <c r="A375" t="str">
        <f>""</f>
        <v/>
      </c>
      <c r="F375" t="str">
        <f>""</f>
        <v/>
      </c>
      <c r="G375" t="str">
        <f>""</f>
        <v/>
      </c>
      <c r="I375" t="str">
        <f>"INV 84078933023"</f>
        <v>INV 84078933023</v>
      </c>
    </row>
    <row r="376" spans="1:10" x14ac:dyDescent="0.3">
      <c r="A376" t="str">
        <f>"003732"</f>
        <v>003732</v>
      </c>
      <c r="B376" t="s">
        <v>81</v>
      </c>
      <c r="C376">
        <v>999999</v>
      </c>
      <c r="D376" s="2">
        <v>1050</v>
      </c>
      <c r="E376" s="1">
        <v>43235</v>
      </c>
      <c r="F376" t="str">
        <f>"201805040792"</f>
        <v>201805040792</v>
      </c>
      <c r="G376" t="str">
        <f>"J-3130 /J-3121/J-3106/J-3138"</f>
        <v>J-3130 /J-3121/J-3106/J-3138</v>
      </c>
      <c r="H376">
        <v>625</v>
      </c>
      <c r="I376" t="str">
        <f>"J-3130 /J-3121/J-3106/J-3138"</f>
        <v>J-3130 /J-3121/J-3106/J-3138</v>
      </c>
    </row>
    <row r="377" spans="1:10" x14ac:dyDescent="0.3">
      <c r="A377" t="str">
        <f>""</f>
        <v/>
      </c>
      <c r="F377" t="str">
        <f>"201805090942"</f>
        <v>201805090942</v>
      </c>
      <c r="G377" t="str">
        <f>"17-18757"</f>
        <v>17-18757</v>
      </c>
      <c r="H377">
        <v>75</v>
      </c>
      <c r="I377" t="str">
        <f>"17-18757"</f>
        <v>17-18757</v>
      </c>
    </row>
    <row r="378" spans="1:10" x14ac:dyDescent="0.3">
      <c r="A378" t="str">
        <f>""</f>
        <v/>
      </c>
      <c r="F378" t="str">
        <f>"201805090943"</f>
        <v>201805090943</v>
      </c>
      <c r="G378" t="str">
        <f>"JUVENILE DETENTION HEARING"</f>
        <v>JUVENILE DETENTION HEARING</v>
      </c>
      <c r="H378">
        <v>100</v>
      </c>
      <c r="I378" t="str">
        <f>"JUVENILE DETENTION HEARING"</f>
        <v>JUVENILE DETENTION HEARING</v>
      </c>
    </row>
    <row r="379" spans="1:10" x14ac:dyDescent="0.3">
      <c r="A379" t="str">
        <f>""</f>
        <v/>
      </c>
      <c r="F379" t="str">
        <f>"201805090944"</f>
        <v>201805090944</v>
      </c>
      <c r="G379" t="str">
        <f>"J-3131"</f>
        <v>J-3131</v>
      </c>
      <c r="H379">
        <v>250</v>
      </c>
      <c r="I379" t="str">
        <f>"J-3131"</f>
        <v>J-3131</v>
      </c>
    </row>
    <row r="380" spans="1:10" x14ac:dyDescent="0.3">
      <c r="A380" t="str">
        <f>"003732"</f>
        <v>003732</v>
      </c>
      <c r="B380" t="s">
        <v>81</v>
      </c>
      <c r="C380">
        <v>999999</v>
      </c>
      <c r="D380" s="2">
        <v>500</v>
      </c>
      <c r="E380" s="1">
        <v>43250</v>
      </c>
      <c r="F380" t="str">
        <f>"201805231166"</f>
        <v>201805231166</v>
      </c>
      <c r="G380" t="str">
        <f>"54 631"</f>
        <v>54 631</v>
      </c>
      <c r="H380">
        <v>250</v>
      </c>
      <c r="I380" t="str">
        <f>"54 631"</f>
        <v>54 631</v>
      </c>
    </row>
    <row r="381" spans="1:10" x14ac:dyDescent="0.3">
      <c r="A381" t="str">
        <f>""</f>
        <v/>
      </c>
      <c r="F381" t="str">
        <f>"201805231167"</f>
        <v>201805231167</v>
      </c>
      <c r="G381" t="str">
        <f>"54 754"</f>
        <v>54 754</v>
      </c>
      <c r="H381">
        <v>250</v>
      </c>
      <c r="I381" t="str">
        <f>"54 754"</f>
        <v>54 754</v>
      </c>
    </row>
    <row r="382" spans="1:10" x14ac:dyDescent="0.3">
      <c r="A382" t="str">
        <f>"001135"</f>
        <v>001135</v>
      </c>
      <c r="B382" t="s">
        <v>82</v>
      </c>
      <c r="C382">
        <v>76572</v>
      </c>
      <c r="D382" s="2">
        <v>414.21</v>
      </c>
      <c r="E382" s="1">
        <v>43234</v>
      </c>
      <c r="F382" t="str">
        <f>"201805010482"</f>
        <v>201805010482</v>
      </c>
      <c r="G382" t="str">
        <f>"CRIMESTOPPER FEES FOR MARCH"</f>
        <v>CRIMESTOPPER FEES FOR MARCH</v>
      </c>
      <c r="H382">
        <v>414.21</v>
      </c>
      <c r="I382" t="str">
        <f>"CRIMESTOPPER FEES FOR MARCH"</f>
        <v>CRIMESTOPPER FEES FOR MARCH</v>
      </c>
    </row>
    <row r="383" spans="1:10" x14ac:dyDescent="0.3">
      <c r="A383" t="str">
        <f>"001135"</f>
        <v>001135</v>
      </c>
      <c r="B383" t="s">
        <v>82</v>
      </c>
      <c r="C383">
        <v>76849</v>
      </c>
      <c r="D383" s="2">
        <v>306.22000000000003</v>
      </c>
      <c r="E383" s="1">
        <v>43249</v>
      </c>
      <c r="F383" t="str">
        <f>"201805161028"</f>
        <v>201805161028</v>
      </c>
      <c r="G383" t="str">
        <f>"CRIME STOPPER FEES APRIL 2018"</f>
        <v>CRIME STOPPER FEES APRIL 2018</v>
      </c>
      <c r="H383">
        <v>306.22000000000003</v>
      </c>
      <c r="I383" t="str">
        <f>"CRIME STOPPER FEES APRIL 2018"</f>
        <v>CRIME STOPPER FEES APRIL 2018</v>
      </c>
    </row>
    <row r="384" spans="1:10" x14ac:dyDescent="0.3">
      <c r="A384" t="str">
        <f>"005029"</f>
        <v>005029</v>
      </c>
      <c r="B384" t="s">
        <v>83</v>
      </c>
      <c r="C384">
        <v>76573</v>
      </c>
      <c r="D384" s="2">
        <v>40</v>
      </c>
      <c r="E384" s="1">
        <v>43234</v>
      </c>
      <c r="F384" t="s">
        <v>24</v>
      </c>
      <c r="G384" t="s">
        <v>84</v>
      </c>
      <c r="H384" t="str">
        <f>"RESTITUTION-P. BOATMAN"</f>
        <v>RESTITUTION-P. BOATMAN</v>
      </c>
      <c r="I384" t="str">
        <f>"210-0000"</f>
        <v>210-0000</v>
      </c>
      <c r="J384" t="str">
        <f>""</f>
        <v/>
      </c>
    </row>
    <row r="385" spans="1:9" x14ac:dyDescent="0.3">
      <c r="A385" t="str">
        <f>"BEC"</f>
        <v>BEC</v>
      </c>
      <c r="B385" t="s">
        <v>85</v>
      </c>
      <c r="C385">
        <v>76818</v>
      </c>
      <c r="D385" s="2">
        <v>2079.1999999999998</v>
      </c>
      <c r="E385" s="1">
        <v>43237</v>
      </c>
      <c r="F385" t="str">
        <f>"201805171070"</f>
        <v>201805171070</v>
      </c>
      <c r="G385" t="str">
        <f>"ACCT#5000057374 / 05/02/2018"</f>
        <v>ACCT#5000057374 / 05/02/2018</v>
      </c>
      <c r="H385">
        <v>2079.1999999999998</v>
      </c>
      <c r="I385" t="str">
        <f>"ACCT#5000057374 / 05/02/2018"</f>
        <v>ACCT#5000057374 / 05/02/2018</v>
      </c>
    </row>
    <row r="386" spans="1:9" x14ac:dyDescent="0.3">
      <c r="A386" t="str">
        <f>""</f>
        <v/>
      </c>
      <c r="F386" t="str">
        <f>""</f>
        <v/>
      </c>
      <c r="G386" t="str">
        <f>""</f>
        <v/>
      </c>
      <c r="I386" t="str">
        <f>"ACCT#5000057374 / 05/02/2018"</f>
        <v>ACCT#5000057374 / 05/02/2018</v>
      </c>
    </row>
    <row r="387" spans="1:9" x14ac:dyDescent="0.3">
      <c r="A387" t="str">
        <f>""</f>
        <v/>
      </c>
      <c r="F387" t="str">
        <f>""</f>
        <v/>
      </c>
      <c r="G387" t="str">
        <f>""</f>
        <v/>
      </c>
      <c r="I387" t="str">
        <f>"ACCT#5000057374 / 05/02/2018"</f>
        <v>ACCT#5000057374 / 05/02/2018</v>
      </c>
    </row>
    <row r="388" spans="1:9" x14ac:dyDescent="0.3">
      <c r="A388" t="str">
        <f>""</f>
        <v/>
      </c>
      <c r="F388" t="str">
        <f>""</f>
        <v/>
      </c>
      <c r="G388" t="str">
        <f>""</f>
        <v/>
      </c>
      <c r="I388" t="str">
        <f>"ACCT#5000057374 / 05/02/2018"</f>
        <v>ACCT#5000057374 / 05/02/2018</v>
      </c>
    </row>
    <row r="389" spans="1:9" x14ac:dyDescent="0.3">
      <c r="A389" t="str">
        <f>"001367"</f>
        <v>001367</v>
      </c>
      <c r="B389" t="s">
        <v>86</v>
      </c>
      <c r="C389">
        <v>76574</v>
      </c>
      <c r="D389" s="2">
        <v>6912.41</v>
      </c>
      <c r="E389" s="1">
        <v>43234</v>
      </c>
      <c r="F389" t="str">
        <f>"7604"</f>
        <v>7604</v>
      </c>
      <c r="G389" t="str">
        <f>"INV 7604 / UNIT 0126"</f>
        <v>INV 7604 / UNIT 0126</v>
      </c>
      <c r="H389">
        <v>427.69</v>
      </c>
      <c r="I389" t="str">
        <f>"INV 7604 / UNIT 0126"</f>
        <v>INV 7604 / UNIT 0126</v>
      </c>
    </row>
    <row r="390" spans="1:9" x14ac:dyDescent="0.3">
      <c r="A390" t="str">
        <f>""</f>
        <v/>
      </c>
      <c r="F390" t="str">
        <f>"7642"</f>
        <v>7642</v>
      </c>
      <c r="G390" t="str">
        <f>"INV 7642 / UNIT 0127"</f>
        <v>INV 7642 / UNIT 0127</v>
      </c>
      <c r="H390">
        <v>389.01</v>
      </c>
      <c r="I390" t="str">
        <f>"INV 7642 / UNIT 0127"</f>
        <v>INV 7642 / UNIT 0127</v>
      </c>
    </row>
    <row r="391" spans="1:9" x14ac:dyDescent="0.3">
      <c r="A391" t="str">
        <f>""</f>
        <v/>
      </c>
      <c r="F391" t="str">
        <f>"7653"</f>
        <v>7653</v>
      </c>
      <c r="G391" t="str">
        <f>"INV 7653 / UNIT 0116"</f>
        <v>INV 7653 / UNIT 0116</v>
      </c>
      <c r="H391">
        <v>128.69999999999999</v>
      </c>
      <c r="I391" t="str">
        <f>"INV 7653 / UNIT 0116"</f>
        <v>INV 7653 / UNIT 0116</v>
      </c>
    </row>
    <row r="392" spans="1:9" x14ac:dyDescent="0.3">
      <c r="A392" t="str">
        <f>""</f>
        <v/>
      </c>
      <c r="F392" t="str">
        <f>"7675"</f>
        <v>7675</v>
      </c>
      <c r="G392" t="str">
        <f>"INV 7675 / UNIT 0118"</f>
        <v>INV 7675 / UNIT 0118</v>
      </c>
      <c r="H392">
        <v>496.81</v>
      </c>
      <c r="I392" t="str">
        <f>"INV 7675 / UNIT 0118"</f>
        <v>INV 7675 / UNIT 0118</v>
      </c>
    </row>
    <row r="393" spans="1:9" x14ac:dyDescent="0.3">
      <c r="A393" t="str">
        <f>""</f>
        <v/>
      </c>
      <c r="F393" t="str">
        <f>"7682"</f>
        <v>7682</v>
      </c>
      <c r="G393" t="str">
        <f>"INV 7682 / UNIT 80"</f>
        <v>INV 7682 / UNIT 80</v>
      </c>
      <c r="H393">
        <v>86.48</v>
      </c>
      <c r="I393" t="str">
        <f>"INV 7682 / UNIT 80"</f>
        <v>INV 7682 / UNIT 80</v>
      </c>
    </row>
    <row r="394" spans="1:9" x14ac:dyDescent="0.3">
      <c r="A394" t="str">
        <f>""</f>
        <v/>
      </c>
      <c r="F394" t="str">
        <f>"7694"</f>
        <v>7694</v>
      </c>
      <c r="G394" t="str">
        <f>"INV 7694 / UNIT 125"</f>
        <v>INV 7694 / UNIT 125</v>
      </c>
      <c r="H394">
        <v>128.69999999999999</v>
      </c>
      <c r="I394" t="str">
        <f>"INV 7694 / UNIT 125"</f>
        <v>INV 7694 / UNIT 125</v>
      </c>
    </row>
    <row r="395" spans="1:9" x14ac:dyDescent="0.3">
      <c r="A395" t="str">
        <f>""</f>
        <v/>
      </c>
      <c r="F395" t="str">
        <f>"7697"</f>
        <v>7697</v>
      </c>
      <c r="G395" t="str">
        <f>"INV 7697"</f>
        <v>INV 7697</v>
      </c>
      <c r="H395">
        <v>447.41</v>
      </c>
      <c r="I395" t="str">
        <f>"INV 7697"</f>
        <v>INV 7697</v>
      </c>
    </row>
    <row r="396" spans="1:9" x14ac:dyDescent="0.3">
      <c r="A396" t="str">
        <f>""</f>
        <v/>
      </c>
      <c r="F396" t="str">
        <f>"7698"</f>
        <v>7698</v>
      </c>
      <c r="G396" t="str">
        <f>"INV 7698 / UNIT 0125"</f>
        <v>INV 7698 / UNIT 0125</v>
      </c>
      <c r="H396">
        <v>369.77</v>
      </c>
      <c r="I396" t="str">
        <f>"INV 7698 / UNIT 0125"</f>
        <v>INV 7698 / UNIT 0125</v>
      </c>
    </row>
    <row r="397" spans="1:9" x14ac:dyDescent="0.3">
      <c r="A397" t="str">
        <f>""</f>
        <v/>
      </c>
      <c r="F397" t="str">
        <f>"7699"</f>
        <v>7699</v>
      </c>
      <c r="G397" t="str">
        <f>"INV 7699 / UNIT 125"</f>
        <v>INV 7699 / UNIT 125</v>
      </c>
      <c r="H397">
        <v>999.42</v>
      </c>
      <c r="I397" t="str">
        <f>"INV 7699 / UNIT 125"</f>
        <v>INV 7699 / UNIT 125</v>
      </c>
    </row>
    <row r="398" spans="1:9" x14ac:dyDescent="0.3">
      <c r="A398" t="str">
        <f>""</f>
        <v/>
      </c>
      <c r="F398" t="str">
        <f>"7700"</f>
        <v>7700</v>
      </c>
      <c r="G398" t="str">
        <f>"INV 7700 / UNIT 125"</f>
        <v>INV 7700 / UNIT 125</v>
      </c>
      <c r="H398">
        <v>429.46</v>
      </c>
      <c r="I398" t="str">
        <f>"INV 7700 / UNIT 125"</f>
        <v>INV 7700 / UNIT 125</v>
      </c>
    </row>
    <row r="399" spans="1:9" x14ac:dyDescent="0.3">
      <c r="A399" t="str">
        <f>""</f>
        <v/>
      </c>
      <c r="F399" t="str">
        <f>"7734/UNIT3102"</f>
        <v>7734/UNIT3102</v>
      </c>
      <c r="G399" t="str">
        <f>"INV 7734 / UNIT 3102"</f>
        <v>INV 7734 / UNIT 3102</v>
      </c>
      <c r="H399">
        <v>128.69999999999999</v>
      </c>
      <c r="I399" t="str">
        <f>"INV 7734 / UNIT 3102"</f>
        <v>INV 7734 / UNIT 3102</v>
      </c>
    </row>
    <row r="400" spans="1:9" x14ac:dyDescent="0.3">
      <c r="A400" t="str">
        <f>""</f>
        <v/>
      </c>
      <c r="F400" t="str">
        <f>"7752"</f>
        <v>7752</v>
      </c>
      <c r="G400" t="str">
        <f>"2003 FORD F150/GEN SVCS"</f>
        <v>2003 FORD F150/GEN SVCS</v>
      </c>
      <c r="H400">
        <v>347.56</v>
      </c>
      <c r="I400" t="str">
        <f>"2003 FORD F150/GEN SVCS"</f>
        <v>2003 FORD F150/GEN SVCS</v>
      </c>
    </row>
    <row r="401" spans="1:9" x14ac:dyDescent="0.3">
      <c r="A401" t="str">
        <f>""</f>
        <v/>
      </c>
      <c r="F401" t="str">
        <f>"7792"</f>
        <v>7792</v>
      </c>
      <c r="G401" t="str">
        <f>"INV 7792 / UNIT 1669"</f>
        <v>INV 7792 / UNIT 1669</v>
      </c>
      <c r="H401">
        <v>593.52</v>
      </c>
      <c r="I401" t="str">
        <f>"INV 7792 / UNIT 1669"</f>
        <v>INV 7792 / UNIT 1669</v>
      </c>
    </row>
    <row r="402" spans="1:9" x14ac:dyDescent="0.3">
      <c r="A402" t="str">
        <f>""</f>
        <v/>
      </c>
      <c r="F402" t="str">
        <f>"7806"</f>
        <v>7806</v>
      </c>
      <c r="G402" t="str">
        <f>"INV 7806 / UNIT 6539"</f>
        <v>INV 7806 / UNIT 6539</v>
      </c>
      <c r="H402">
        <v>382.07</v>
      </c>
      <c r="I402" t="str">
        <f>"INV 7806 / UNIT 6539"</f>
        <v>INV 7806 / UNIT 6539</v>
      </c>
    </row>
    <row r="403" spans="1:9" x14ac:dyDescent="0.3">
      <c r="A403" t="str">
        <f>""</f>
        <v/>
      </c>
      <c r="F403" t="str">
        <f>"7807"</f>
        <v>7807</v>
      </c>
      <c r="G403" t="str">
        <f>"INV 7807 / UNIT 6550"</f>
        <v>INV 7807 / UNIT 6550</v>
      </c>
      <c r="H403">
        <v>382.07</v>
      </c>
      <c r="I403" t="str">
        <f>"INV 7807 / UNIT 6550"</f>
        <v>INV 7807 / UNIT 6550</v>
      </c>
    </row>
    <row r="404" spans="1:9" x14ac:dyDescent="0.3">
      <c r="A404" t="str">
        <f>""</f>
        <v/>
      </c>
      <c r="F404" t="str">
        <f>"BLANKET PO VEH MAN"</f>
        <v>BLANKET PO VEH MAN</v>
      </c>
      <c r="G404" t="str">
        <f>"INV 7658/ UNIT 4720"</f>
        <v>INV 7658/ UNIT 4720</v>
      </c>
      <c r="H404">
        <v>665.65</v>
      </c>
      <c r="I404" t="str">
        <f>"INV 7658/ UNIT 4720"</f>
        <v>INV 7658/ UNIT 4720</v>
      </c>
    </row>
    <row r="405" spans="1:9" x14ac:dyDescent="0.3">
      <c r="A405" t="str">
        <f>""</f>
        <v/>
      </c>
      <c r="F405" t="str">
        <f>""</f>
        <v/>
      </c>
      <c r="G405" t="str">
        <f>""</f>
        <v/>
      </c>
      <c r="I405" t="str">
        <f>"INV 7670 / UNIT 4716"</f>
        <v>INV 7670 / UNIT 4716</v>
      </c>
    </row>
    <row r="406" spans="1:9" x14ac:dyDescent="0.3">
      <c r="A406" t="str">
        <f>""</f>
        <v/>
      </c>
      <c r="F406" t="str">
        <f>""</f>
        <v/>
      </c>
      <c r="G406" t="str">
        <f>""</f>
        <v/>
      </c>
      <c r="I406" t="str">
        <f>"INV 7671 / UNIT 4718"</f>
        <v>INV 7671 / UNIT 4718</v>
      </c>
    </row>
    <row r="407" spans="1:9" x14ac:dyDescent="0.3">
      <c r="A407" t="str">
        <f>""</f>
        <v/>
      </c>
      <c r="F407" t="str">
        <f>""</f>
        <v/>
      </c>
      <c r="G407" t="str">
        <f>""</f>
        <v/>
      </c>
      <c r="I407" t="str">
        <f>"INV 7674 / UNIT 0118"</f>
        <v>INV 7674 / UNIT 0118</v>
      </c>
    </row>
    <row r="408" spans="1:9" x14ac:dyDescent="0.3">
      <c r="A408" t="str">
        <f>""</f>
        <v/>
      </c>
      <c r="F408" t="str">
        <f>""</f>
        <v/>
      </c>
      <c r="G408" t="str">
        <f>""</f>
        <v/>
      </c>
      <c r="I408" t="str">
        <f>"INV 7684 / UNIT 4718"</f>
        <v>INV 7684 / UNIT 4718</v>
      </c>
    </row>
    <row r="409" spans="1:9" x14ac:dyDescent="0.3">
      <c r="A409" t="str">
        <f>""</f>
        <v/>
      </c>
      <c r="F409" t="str">
        <f>""</f>
        <v/>
      </c>
      <c r="G409" t="str">
        <f>""</f>
        <v/>
      </c>
      <c r="I409" t="str">
        <f>"INV 7680 / UNIT 0125"</f>
        <v>INV 7680 / UNIT 0125</v>
      </c>
    </row>
    <row r="410" spans="1:9" x14ac:dyDescent="0.3">
      <c r="A410" t="str">
        <f>""</f>
        <v/>
      </c>
      <c r="F410" t="str">
        <f>""</f>
        <v/>
      </c>
      <c r="G410" t="str">
        <f>""</f>
        <v/>
      </c>
      <c r="I410" t="str">
        <f>"INV 7681 / UNIT 4362"</f>
        <v>INV 7681 / UNIT 4362</v>
      </c>
    </row>
    <row r="411" spans="1:9" x14ac:dyDescent="0.3">
      <c r="A411" t="str">
        <f>""</f>
        <v/>
      </c>
      <c r="F411" t="str">
        <f>""</f>
        <v/>
      </c>
      <c r="G411" t="str">
        <f>""</f>
        <v/>
      </c>
      <c r="I411" t="str">
        <f>"INV 7693 / UNIT 125"</f>
        <v>INV 7693 / UNIT 125</v>
      </c>
    </row>
    <row r="412" spans="1:9" x14ac:dyDescent="0.3">
      <c r="A412" t="str">
        <f>""</f>
        <v/>
      </c>
      <c r="F412" t="str">
        <f>""</f>
        <v/>
      </c>
      <c r="G412" t="str">
        <f>""</f>
        <v/>
      </c>
      <c r="I412" t="str">
        <f>"INV 7711 / 6535"</f>
        <v>INV 7711 / 6535</v>
      </c>
    </row>
    <row r="413" spans="1:9" x14ac:dyDescent="0.3">
      <c r="A413" t="str">
        <f>""</f>
        <v/>
      </c>
      <c r="F413" t="str">
        <f>""</f>
        <v/>
      </c>
      <c r="G413" t="str">
        <f>""</f>
        <v/>
      </c>
      <c r="I413" t="str">
        <f>"INV 7716 / UNIT 7278"</f>
        <v>INV 7716 / UNIT 7278</v>
      </c>
    </row>
    <row r="414" spans="1:9" x14ac:dyDescent="0.3">
      <c r="A414" t="str">
        <f>""</f>
        <v/>
      </c>
      <c r="F414" t="str">
        <f>""</f>
        <v/>
      </c>
      <c r="G414" t="str">
        <f>""</f>
        <v/>
      </c>
      <c r="I414" t="str">
        <f>"INV 7723 / UNIT 0120"</f>
        <v>INV 7723 / UNIT 0120</v>
      </c>
    </row>
    <row r="415" spans="1:9" x14ac:dyDescent="0.3">
      <c r="A415" t="str">
        <f>""</f>
        <v/>
      </c>
      <c r="F415" t="str">
        <f>""</f>
        <v/>
      </c>
      <c r="G415" t="str">
        <f>""</f>
        <v/>
      </c>
      <c r="I415" t="str">
        <f>"INV 7737 / UNIT 6554"</f>
        <v>INV 7737 / UNIT 6554</v>
      </c>
    </row>
    <row r="416" spans="1:9" x14ac:dyDescent="0.3">
      <c r="A416" t="str">
        <f>""</f>
        <v/>
      </c>
      <c r="F416" t="str">
        <f>""</f>
        <v/>
      </c>
      <c r="G416" t="str">
        <f>""</f>
        <v/>
      </c>
      <c r="I416" t="str">
        <f>"INV 7747 / UNIT 0122"</f>
        <v>INV 7747 / UNIT 0122</v>
      </c>
    </row>
    <row r="417" spans="1:9" x14ac:dyDescent="0.3">
      <c r="A417" t="str">
        <f>""</f>
        <v/>
      </c>
      <c r="F417" t="str">
        <f>""</f>
        <v/>
      </c>
      <c r="G417" t="str">
        <f>""</f>
        <v/>
      </c>
      <c r="I417" t="str">
        <f>"INV 7764 / UNIT 8153"</f>
        <v>INV 7764 / UNIT 8153</v>
      </c>
    </row>
    <row r="418" spans="1:9" x14ac:dyDescent="0.3">
      <c r="A418" t="str">
        <f>""</f>
        <v/>
      </c>
      <c r="F418" t="str">
        <f>"REF#7748"</f>
        <v>REF#7748</v>
      </c>
      <c r="G418" t="str">
        <f>"2015 FORD OIL CHANGE"</f>
        <v>2015 FORD OIL CHANGE</v>
      </c>
      <c r="H418">
        <v>37.200000000000003</v>
      </c>
      <c r="I418" t="str">
        <f>"2015 FORD OIL CHANGE"</f>
        <v>2015 FORD OIL CHANGE</v>
      </c>
    </row>
    <row r="419" spans="1:9" x14ac:dyDescent="0.3">
      <c r="A419" t="str">
        <f>""</f>
        <v/>
      </c>
      <c r="F419" t="str">
        <f>"SHERIFF-VEHICLE MA"</f>
        <v>SHERIFF-VEHICLE MA</v>
      </c>
      <c r="G419" t="str">
        <f>"INV 7768 / UNIT 80"</f>
        <v>INV 7768 / UNIT 80</v>
      </c>
      <c r="H419">
        <v>472.19</v>
      </c>
      <c r="I419" t="str">
        <f>"INV 7768 / UNIT 80"</f>
        <v>INV 7768 / UNIT 80</v>
      </c>
    </row>
    <row r="420" spans="1:9" x14ac:dyDescent="0.3">
      <c r="A420" t="str">
        <f>""</f>
        <v/>
      </c>
      <c r="F420" t="str">
        <f>""</f>
        <v/>
      </c>
      <c r="G420" t="str">
        <f>""</f>
        <v/>
      </c>
      <c r="I420" t="str">
        <f>"INV 7770 / UNIT 4045"</f>
        <v>INV 7770 / UNIT 4045</v>
      </c>
    </row>
    <row r="421" spans="1:9" x14ac:dyDescent="0.3">
      <c r="A421" t="str">
        <f>""</f>
        <v/>
      </c>
      <c r="F421" t="str">
        <f>""</f>
        <v/>
      </c>
      <c r="G421" t="str">
        <f>""</f>
        <v/>
      </c>
      <c r="I421" t="str">
        <f>"INV 7773 / UNIT 0126"</f>
        <v>INV 7773 / UNIT 0126</v>
      </c>
    </row>
    <row r="422" spans="1:9" x14ac:dyDescent="0.3">
      <c r="A422" t="str">
        <f>""</f>
        <v/>
      </c>
      <c r="F422" t="str">
        <f>""</f>
        <v/>
      </c>
      <c r="G422" t="str">
        <f>""</f>
        <v/>
      </c>
      <c r="I422" t="str">
        <f>"INV 7774 / UNIT 6486"</f>
        <v>INV 7774 / UNIT 6486</v>
      </c>
    </row>
    <row r="423" spans="1:9" x14ac:dyDescent="0.3">
      <c r="A423" t="str">
        <f>""</f>
        <v/>
      </c>
      <c r="F423" t="str">
        <f>""</f>
        <v/>
      </c>
      <c r="G423" t="str">
        <f>""</f>
        <v/>
      </c>
      <c r="I423" t="str">
        <f>"INV 7776 / UNIT 8968"</f>
        <v>INV 7776 / UNIT 8968</v>
      </c>
    </row>
    <row r="424" spans="1:9" x14ac:dyDescent="0.3">
      <c r="A424" t="str">
        <f>""</f>
        <v/>
      </c>
      <c r="F424" t="str">
        <f>""</f>
        <v/>
      </c>
      <c r="G424" t="str">
        <f>""</f>
        <v/>
      </c>
      <c r="I424" t="str">
        <f>"INV 7782 / UNIT 7280"</f>
        <v>INV 7782 / UNIT 7280</v>
      </c>
    </row>
    <row r="425" spans="1:9" x14ac:dyDescent="0.3">
      <c r="A425" t="str">
        <f>""</f>
        <v/>
      </c>
      <c r="F425" t="str">
        <f>""</f>
        <v/>
      </c>
      <c r="G425" t="str">
        <f>""</f>
        <v/>
      </c>
      <c r="I425" t="str">
        <f>"INV 7783 / UNIT 3805"</f>
        <v>INV 7783 / UNIT 3805</v>
      </c>
    </row>
    <row r="426" spans="1:9" x14ac:dyDescent="0.3">
      <c r="A426" t="str">
        <f>""</f>
        <v/>
      </c>
      <c r="F426" t="str">
        <f>""</f>
        <v/>
      </c>
      <c r="G426" t="str">
        <f>""</f>
        <v/>
      </c>
      <c r="I426" t="str">
        <f>"INV 7789 / UNIT 4717"</f>
        <v>INV 7789 / UNIT 4717</v>
      </c>
    </row>
    <row r="427" spans="1:9" x14ac:dyDescent="0.3">
      <c r="A427" t="str">
        <f>""</f>
        <v/>
      </c>
      <c r="F427" t="str">
        <f>""</f>
        <v/>
      </c>
      <c r="G427" t="str">
        <f>""</f>
        <v/>
      </c>
      <c r="I427" t="str">
        <f>"INV 7794 / UNIT 4716"</f>
        <v>INV 7794 / UNIT 4716</v>
      </c>
    </row>
    <row r="428" spans="1:9" x14ac:dyDescent="0.3">
      <c r="A428" t="str">
        <f>""</f>
        <v/>
      </c>
      <c r="F428" t="str">
        <f>""</f>
        <v/>
      </c>
      <c r="G428" t="str">
        <f>""</f>
        <v/>
      </c>
      <c r="I428" t="str">
        <f>"INV 7796 / UNIT 6539"</f>
        <v>INV 7796 / UNIT 6539</v>
      </c>
    </row>
    <row r="429" spans="1:9" x14ac:dyDescent="0.3">
      <c r="A429" t="str">
        <f>""</f>
        <v/>
      </c>
      <c r="F429" t="str">
        <f>""</f>
        <v/>
      </c>
      <c r="G429" t="str">
        <f>""</f>
        <v/>
      </c>
      <c r="I429" t="str">
        <f>"INV 7797 / UNIT 1666"</f>
        <v>INV 7797 / UNIT 1666</v>
      </c>
    </row>
    <row r="430" spans="1:9" x14ac:dyDescent="0.3">
      <c r="A430" t="str">
        <f>"001367"</f>
        <v>001367</v>
      </c>
      <c r="B430" t="s">
        <v>86</v>
      </c>
      <c r="C430">
        <v>76850</v>
      </c>
      <c r="D430" s="2">
        <v>5141.3</v>
      </c>
      <c r="E430" s="1">
        <v>43249</v>
      </c>
      <c r="F430" t="str">
        <f>"7769"</f>
        <v>7769</v>
      </c>
      <c r="G430" t="str">
        <f>"INV 7769 / UNIT 1673"</f>
        <v>INV 7769 / UNIT 1673</v>
      </c>
      <c r="H430">
        <v>937.09</v>
      </c>
      <c r="I430" t="str">
        <f>"INV 7769 / UNIT 1673"</f>
        <v>INV 7769 / UNIT 1673</v>
      </c>
    </row>
    <row r="431" spans="1:9" x14ac:dyDescent="0.3">
      <c r="A431" t="str">
        <f>""</f>
        <v/>
      </c>
      <c r="F431" t="str">
        <f>"7804"</f>
        <v>7804</v>
      </c>
      <c r="G431" t="str">
        <f>"INV 7804 / UNIT 4784"</f>
        <v>INV 7804 / UNIT 4784</v>
      </c>
      <c r="H431">
        <v>403.98</v>
      </c>
      <c r="I431" t="str">
        <f>"INV 7804 / UNIT 4784"</f>
        <v>INV 7804 / UNIT 4784</v>
      </c>
    </row>
    <row r="432" spans="1:9" x14ac:dyDescent="0.3">
      <c r="A432" t="str">
        <f>""</f>
        <v/>
      </c>
      <c r="F432" t="str">
        <f>"7805"</f>
        <v>7805</v>
      </c>
      <c r="G432" t="str">
        <f>"INV 7805 / UNIT 4784"</f>
        <v>INV 7805 / UNIT 4784</v>
      </c>
      <c r="H432">
        <v>233.93</v>
      </c>
      <c r="I432" t="str">
        <f>"INV 7805 / UNIT 4784"</f>
        <v>INV 7805 / UNIT 4784</v>
      </c>
    </row>
    <row r="433" spans="1:9" x14ac:dyDescent="0.3">
      <c r="A433" t="str">
        <f>""</f>
        <v/>
      </c>
      <c r="F433" t="str">
        <f>""</f>
        <v/>
      </c>
      <c r="G433" t="str">
        <f>""</f>
        <v/>
      </c>
      <c r="I433" t="str">
        <f>"SHOP SUPPLIES"</f>
        <v>SHOP SUPPLIES</v>
      </c>
    </row>
    <row r="434" spans="1:9" x14ac:dyDescent="0.3">
      <c r="A434" t="str">
        <f>""</f>
        <v/>
      </c>
      <c r="F434" t="str">
        <f>"7818"</f>
        <v>7818</v>
      </c>
      <c r="G434" t="str">
        <f>"INV 7818 / UNIT 0120"</f>
        <v>INV 7818 / UNIT 0120</v>
      </c>
      <c r="H434">
        <v>382.07</v>
      </c>
      <c r="I434" t="str">
        <f>"INV 7818 / UNIT 0120"</f>
        <v>INV 7818 / UNIT 0120</v>
      </c>
    </row>
    <row r="435" spans="1:9" x14ac:dyDescent="0.3">
      <c r="A435" t="str">
        <f>""</f>
        <v/>
      </c>
      <c r="F435" t="str">
        <f>"7826"</f>
        <v>7826</v>
      </c>
      <c r="G435" t="str">
        <f>"INV 7826 / UNIT 1629"</f>
        <v>INV 7826 / UNIT 1629</v>
      </c>
      <c r="H435">
        <v>190.5</v>
      </c>
      <c r="I435" t="str">
        <f>"INV 7826 / UNIT 1629"</f>
        <v>INV 7826 / UNIT 1629</v>
      </c>
    </row>
    <row r="436" spans="1:9" x14ac:dyDescent="0.3">
      <c r="A436" t="str">
        <f>""</f>
        <v/>
      </c>
      <c r="F436" t="str">
        <f>"7833"</f>
        <v>7833</v>
      </c>
      <c r="G436" t="str">
        <f>"INV 7833 / UNIT 1673"</f>
        <v>INV 7833 / UNIT 1673</v>
      </c>
      <c r="H436">
        <v>738.45</v>
      </c>
      <c r="I436" t="str">
        <f>"INV 7833 / UNIT 1673"</f>
        <v>INV 7833 / UNIT 1673</v>
      </c>
    </row>
    <row r="437" spans="1:9" x14ac:dyDescent="0.3">
      <c r="A437" t="str">
        <f>""</f>
        <v/>
      </c>
      <c r="F437" t="str">
        <f>"7850"</f>
        <v>7850</v>
      </c>
      <c r="G437" t="str">
        <f>"2010 DODGE RAM/PCT#1"</f>
        <v>2010 DODGE RAM/PCT#1</v>
      </c>
      <c r="H437">
        <v>1829.06</v>
      </c>
      <c r="I437" t="str">
        <f>"2010 DODGE RAM/PCT#1"</f>
        <v>2010 DODGE RAM/PCT#1</v>
      </c>
    </row>
    <row r="438" spans="1:9" x14ac:dyDescent="0.3">
      <c r="A438" t="str">
        <f>""</f>
        <v/>
      </c>
      <c r="F438" t="str">
        <f>"VEHICLE MAIN-SO"</f>
        <v>VEHICLE MAIN-SO</v>
      </c>
      <c r="G438" t="str">
        <f>"INV 7808 / UNIT 1665"</f>
        <v>INV 7808 / UNIT 1665</v>
      </c>
      <c r="H438">
        <v>426.22</v>
      </c>
      <c r="I438" t="str">
        <f>"INV 7808 / UNIT 1665"</f>
        <v>INV 7808 / UNIT 1665</v>
      </c>
    </row>
    <row r="439" spans="1:9" x14ac:dyDescent="0.3">
      <c r="A439" t="str">
        <f>""</f>
        <v/>
      </c>
      <c r="F439" t="str">
        <f>""</f>
        <v/>
      </c>
      <c r="G439" t="str">
        <f>""</f>
        <v/>
      </c>
      <c r="I439" t="str">
        <f>"INV 7809 / UNIT 0121"</f>
        <v>INV 7809 / UNIT 0121</v>
      </c>
    </row>
    <row r="440" spans="1:9" x14ac:dyDescent="0.3">
      <c r="A440" t="str">
        <f>""</f>
        <v/>
      </c>
      <c r="F440" t="str">
        <f>""</f>
        <v/>
      </c>
      <c r="G440" t="str">
        <f>""</f>
        <v/>
      </c>
      <c r="I440" t="str">
        <f>"INV 4814 / UNIT 4431"</f>
        <v>INV 4814 / UNIT 4431</v>
      </c>
    </row>
    <row r="441" spans="1:9" x14ac:dyDescent="0.3">
      <c r="A441" t="str">
        <f>""</f>
        <v/>
      </c>
      <c r="F441" t="str">
        <f>""</f>
        <v/>
      </c>
      <c r="G441" t="str">
        <f>""</f>
        <v/>
      </c>
      <c r="I441" t="str">
        <f>"INV 7816 / UNIT 9458"</f>
        <v>INV 7816 / UNIT 9458</v>
      </c>
    </row>
    <row r="442" spans="1:9" x14ac:dyDescent="0.3">
      <c r="A442" t="str">
        <f>""</f>
        <v/>
      </c>
      <c r="F442" t="str">
        <f>""</f>
        <v/>
      </c>
      <c r="G442" t="str">
        <f>""</f>
        <v/>
      </c>
      <c r="I442" t="str">
        <f>"INV 7817 / UNIT 0120"</f>
        <v>INV 7817 / UNIT 0120</v>
      </c>
    </row>
    <row r="443" spans="1:9" x14ac:dyDescent="0.3">
      <c r="A443" t="str">
        <f>""</f>
        <v/>
      </c>
      <c r="F443" t="str">
        <f>""</f>
        <v/>
      </c>
      <c r="G443" t="str">
        <f>""</f>
        <v/>
      </c>
      <c r="I443" t="str">
        <f>"INV 7825 / UNIT 1629"</f>
        <v>INV 7825 / UNIT 1629</v>
      </c>
    </row>
    <row r="444" spans="1:9" x14ac:dyDescent="0.3">
      <c r="A444" t="str">
        <f>""</f>
        <v/>
      </c>
      <c r="F444" t="str">
        <f>""</f>
        <v/>
      </c>
      <c r="G444" t="str">
        <f>""</f>
        <v/>
      </c>
      <c r="I444" t="str">
        <f>"INV 7828 / UNIT 4719"</f>
        <v>INV 7828 / UNIT 4719</v>
      </c>
    </row>
    <row r="445" spans="1:9" x14ac:dyDescent="0.3">
      <c r="A445" t="str">
        <f>""</f>
        <v/>
      </c>
      <c r="F445" t="str">
        <f>""</f>
        <v/>
      </c>
      <c r="G445" t="str">
        <f>""</f>
        <v/>
      </c>
      <c r="I445" t="str">
        <f>"INV 7829 / UNIT 0122"</f>
        <v>INV 7829 / UNIT 0122</v>
      </c>
    </row>
    <row r="446" spans="1:9" x14ac:dyDescent="0.3">
      <c r="A446" t="str">
        <f>""</f>
        <v/>
      </c>
      <c r="F446" t="str">
        <f>""</f>
        <v/>
      </c>
      <c r="G446" t="str">
        <f>""</f>
        <v/>
      </c>
      <c r="I446" t="str">
        <f>"INV 7849 / UNIT 0312"</f>
        <v>INV 7849 / UNIT 0312</v>
      </c>
    </row>
    <row r="447" spans="1:9" x14ac:dyDescent="0.3">
      <c r="A447" t="str">
        <f>""</f>
        <v/>
      </c>
      <c r="F447" t="str">
        <f>""</f>
        <v/>
      </c>
      <c r="G447" t="str">
        <f>""</f>
        <v/>
      </c>
      <c r="I447" t="str">
        <f>"INV 7862 / UNIT 167"</f>
        <v>INV 7862 / UNIT 167</v>
      </c>
    </row>
    <row r="448" spans="1:9" x14ac:dyDescent="0.3">
      <c r="A448" t="str">
        <f>"005505"</f>
        <v>005505</v>
      </c>
      <c r="B448" t="s">
        <v>87</v>
      </c>
      <c r="C448">
        <v>76851</v>
      </c>
      <c r="D448" s="2">
        <v>560.4</v>
      </c>
      <c r="E448" s="1">
        <v>43249</v>
      </c>
      <c r="F448" t="str">
        <f>"201805221117"</f>
        <v>201805221117</v>
      </c>
      <c r="G448" t="str">
        <f>"REIMBURSE HOTEL CHARGES"</f>
        <v>REIMBURSE HOTEL CHARGES</v>
      </c>
      <c r="H448">
        <v>560.4</v>
      </c>
      <c r="I448" t="str">
        <f>"REIMBURSE HOTEL CHARGES"</f>
        <v>REIMBURSE HOTEL CHARGES</v>
      </c>
    </row>
    <row r="449" spans="1:9" x14ac:dyDescent="0.3">
      <c r="A449" t="str">
        <f>"005531"</f>
        <v>005531</v>
      </c>
      <c r="B449" t="s">
        <v>88</v>
      </c>
      <c r="C449">
        <v>76575</v>
      </c>
      <c r="D449" s="2">
        <v>8762.3799999999992</v>
      </c>
      <c r="E449" s="1">
        <v>43234</v>
      </c>
      <c r="F449" t="str">
        <f>"171"</f>
        <v>171</v>
      </c>
      <c r="G449" t="str">
        <f>"PSYCHOLOGICAL CONSULTING"</f>
        <v>PSYCHOLOGICAL CONSULTING</v>
      </c>
      <c r="H449">
        <v>8762.3799999999992</v>
      </c>
      <c r="I449" t="str">
        <f>"PSYCHOLOGICAL CONSULTING"</f>
        <v>PSYCHOLOGICAL CONSULTING</v>
      </c>
    </row>
    <row r="450" spans="1:9" x14ac:dyDescent="0.3">
      <c r="A450" t="str">
        <f>"004033"</f>
        <v>004033</v>
      </c>
      <c r="B450" t="s">
        <v>89</v>
      </c>
      <c r="C450">
        <v>76576</v>
      </c>
      <c r="D450" s="2">
        <v>32.46</v>
      </c>
      <c r="E450" s="1">
        <v>43234</v>
      </c>
      <c r="F450" t="str">
        <f>"201805090957"</f>
        <v>201805090957</v>
      </c>
      <c r="G450" t="str">
        <f>"REIMBURSEMENT-PARKING"</f>
        <v>REIMBURSEMENT-PARKING</v>
      </c>
      <c r="H450">
        <v>32.46</v>
      </c>
      <c r="I450" t="str">
        <f>"REIMBURSEMENT-PARKING"</f>
        <v>REIMBURSEMENT-PARKING</v>
      </c>
    </row>
    <row r="451" spans="1:9" x14ac:dyDescent="0.3">
      <c r="A451" t="str">
        <f>"004069"</f>
        <v>004069</v>
      </c>
      <c r="B451" t="s">
        <v>90</v>
      </c>
      <c r="C451">
        <v>76577</v>
      </c>
      <c r="D451" s="2">
        <v>7629.76</v>
      </c>
      <c r="E451" s="1">
        <v>43234</v>
      </c>
      <c r="F451" t="str">
        <f>"93120"</f>
        <v>93120</v>
      </c>
      <c r="G451" t="str">
        <f t="shared" ref="G451:G457" si="7">"ACCT#1268/PCT#3"</f>
        <v>ACCT#1268/PCT#3</v>
      </c>
      <c r="H451">
        <v>1466.15</v>
      </c>
      <c r="I451" t="str">
        <f t="shared" ref="I451:I457" si="8">"ACCT#1268/PCT#3"</f>
        <v>ACCT#1268/PCT#3</v>
      </c>
    </row>
    <row r="452" spans="1:9" x14ac:dyDescent="0.3">
      <c r="A452" t="str">
        <f>""</f>
        <v/>
      </c>
      <c r="F452" t="str">
        <f>"93288"</f>
        <v>93288</v>
      </c>
      <c r="G452" t="str">
        <f t="shared" si="7"/>
        <v>ACCT#1268/PCT#3</v>
      </c>
      <c r="H452">
        <v>4046.55</v>
      </c>
      <c r="I452" t="str">
        <f t="shared" si="8"/>
        <v>ACCT#1268/PCT#3</v>
      </c>
    </row>
    <row r="453" spans="1:9" x14ac:dyDescent="0.3">
      <c r="A453" t="str">
        <f>""</f>
        <v/>
      </c>
      <c r="F453" t="str">
        <f>"93449"</f>
        <v>93449</v>
      </c>
      <c r="G453" t="str">
        <f t="shared" si="7"/>
        <v>ACCT#1268/PCT#3</v>
      </c>
      <c r="H453">
        <v>2117.06</v>
      </c>
      <c r="I453" t="str">
        <f t="shared" si="8"/>
        <v>ACCT#1268/PCT#3</v>
      </c>
    </row>
    <row r="454" spans="1:9" x14ac:dyDescent="0.3">
      <c r="A454" t="str">
        <f>"004069"</f>
        <v>004069</v>
      </c>
      <c r="B454" t="s">
        <v>90</v>
      </c>
      <c r="C454">
        <v>76852</v>
      </c>
      <c r="D454" s="2">
        <v>110012.26</v>
      </c>
      <c r="E454" s="1">
        <v>43249</v>
      </c>
      <c r="F454" t="str">
        <f>"93566"</f>
        <v>93566</v>
      </c>
      <c r="G454" t="str">
        <f t="shared" si="7"/>
        <v>ACCT#1268/PCT#3</v>
      </c>
      <c r="H454">
        <v>3603.56</v>
      </c>
      <c r="I454" t="str">
        <f t="shared" si="8"/>
        <v>ACCT#1268/PCT#3</v>
      </c>
    </row>
    <row r="455" spans="1:9" x14ac:dyDescent="0.3">
      <c r="A455" t="str">
        <f>""</f>
        <v/>
      </c>
      <c r="F455" t="str">
        <f>"93567"</f>
        <v>93567</v>
      </c>
      <c r="G455" t="str">
        <f t="shared" si="7"/>
        <v>ACCT#1268/PCT#3</v>
      </c>
      <c r="H455">
        <v>81416.160000000003</v>
      </c>
      <c r="I455" t="str">
        <f t="shared" si="8"/>
        <v>ACCT#1268/PCT#3</v>
      </c>
    </row>
    <row r="456" spans="1:9" x14ac:dyDescent="0.3">
      <c r="A456" t="str">
        <f>""</f>
        <v/>
      </c>
      <c r="F456" t="str">
        <f>"93709"</f>
        <v>93709</v>
      </c>
      <c r="G456" t="str">
        <f t="shared" si="7"/>
        <v>ACCT#1268/PCT#3</v>
      </c>
      <c r="H456">
        <v>2672.14</v>
      </c>
      <c r="I456" t="str">
        <f t="shared" si="8"/>
        <v>ACCT#1268/PCT#3</v>
      </c>
    </row>
    <row r="457" spans="1:9" x14ac:dyDescent="0.3">
      <c r="A457" t="str">
        <f>""</f>
        <v/>
      </c>
      <c r="F457" t="str">
        <f>"93710"</f>
        <v>93710</v>
      </c>
      <c r="G457" t="str">
        <f t="shared" si="7"/>
        <v>ACCT#1268/PCT#3</v>
      </c>
      <c r="H457">
        <v>22320.400000000001</v>
      </c>
      <c r="I457" t="str">
        <f t="shared" si="8"/>
        <v>ACCT#1268/PCT#3</v>
      </c>
    </row>
    <row r="458" spans="1:9" x14ac:dyDescent="0.3">
      <c r="A458" t="str">
        <f>"T14544"</f>
        <v>T14544</v>
      </c>
      <c r="B458" t="s">
        <v>91</v>
      </c>
      <c r="C458">
        <v>999999</v>
      </c>
      <c r="D458" s="2">
        <v>20</v>
      </c>
      <c r="E458" s="1">
        <v>43250</v>
      </c>
      <c r="F458" t="str">
        <f>"201805171057"</f>
        <v>201805171057</v>
      </c>
      <c r="G458" t="str">
        <f>"REIMBURSE FACEBOOK AD"</f>
        <v>REIMBURSE FACEBOOK AD</v>
      </c>
      <c r="H458">
        <v>20</v>
      </c>
      <c r="I458" t="str">
        <f>"REIMBURSE FACEBOOK AD"</f>
        <v>REIMBURSE FACEBOOK AD</v>
      </c>
    </row>
    <row r="459" spans="1:9" x14ac:dyDescent="0.3">
      <c r="A459" t="str">
        <f>"005536"</f>
        <v>005536</v>
      </c>
      <c r="B459" t="s">
        <v>92</v>
      </c>
      <c r="C459">
        <v>76578</v>
      </c>
      <c r="D459" s="2">
        <v>1750</v>
      </c>
      <c r="E459" s="1">
        <v>43234</v>
      </c>
      <c r="F459" t="str">
        <f>"201805020512"</f>
        <v>201805020512</v>
      </c>
      <c r="G459" t="str">
        <f>"STUMP GRINDING-GOTIER TRACE/P2"</f>
        <v>STUMP GRINDING-GOTIER TRACE/P2</v>
      </c>
      <c r="H459">
        <v>1750</v>
      </c>
      <c r="I459" t="str">
        <f>"STUMP GRINDING-GOTIER TRACE/P2"</f>
        <v>STUMP GRINDING-GOTIER TRACE/P2</v>
      </c>
    </row>
    <row r="460" spans="1:9" x14ac:dyDescent="0.3">
      <c r="A460" t="str">
        <f>"T9216"</f>
        <v>T9216</v>
      </c>
      <c r="B460" t="s">
        <v>93</v>
      </c>
      <c r="C460">
        <v>76579</v>
      </c>
      <c r="D460" s="2">
        <v>875</v>
      </c>
      <c r="E460" s="1">
        <v>43234</v>
      </c>
      <c r="F460" t="str">
        <f>"201805040793"</f>
        <v>201805040793</v>
      </c>
      <c r="G460" t="str">
        <f>"46 621"</f>
        <v>46 621</v>
      </c>
      <c r="H460">
        <v>250</v>
      </c>
      <c r="I460" t="str">
        <f>"46 621"</f>
        <v>46 621</v>
      </c>
    </row>
    <row r="461" spans="1:9" x14ac:dyDescent="0.3">
      <c r="A461" t="str">
        <f>""</f>
        <v/>
      </c>
      <c r="F461" t="str">
        <f>"201805040794"</f>
        <v>201805040794</v>
      </c>
      <c r="G461" t="str">
        <f>"55 177"</f>
        <v>55 177</v>
      </c>
      <c r="H461">
        <v>250</v>
      </c>
      <c r="I461" t="str">
        <f>"55 177"</f>
        <v>55 177</v>
      </c>
    </row>
    <row r="462" spans="1:9" x14ac:dyDescent="0.3">
      <c r="A462" t="str">
        <f>""</f>
        <v/>
      </c>
      <c r="F462" t="str">
        <f>"201805040795"</f>
        <v>201805040795</v>
      </c>
      <c r="G462" t="str">
        <f>"55 874  30322216B"</f>
        <v>55 874  30322216B</v>
      </c>
      <c r="H462">
        <v>375</v>
      </c>
      <c r="I462" t="str">
        <f>"55 874  30322216B"</f>
        <v>55 874  30322216B</v>
      </c>
    </row>
    <row r="463" spans="1:9" x14ac:dyDescent="0.3">
      <c r="A463" t="str">
        <f>"T9216"</f>
        <v>T9216</v>
      </c>
      <c r="B463" t="s">
        <v>93</v>
      </c>
      <c r="C463">
        <v>76853</v>
      </c>
      <c r="D463" s="2">
        <v>750</v>
      </c>
      <c r="E463" s="1">
        <v>43249</v>
      </c>
      <c r="F463" t="str">
        <f>"201805231151"</f>
        <v>201805231151</v>
      </c>
      <c r="G463" t="str">
        <f>"55 764"</f>
        <v>55 764</v>
      </c>
      <c r="H463">
        <v>250</v>
      </c>
      <c r="I463" t="str">
        <f>"55 764"</f>
        <v>55 764</v>
      </c>
    </row>
    <row r="464" spans="1:9" x14ac:dyDescent="0.3">
      <c r="A464" t="str">
        <f>""</f>
        <v/>
      </c>
      <c r="F464" t="str">
        <f>"201805231153"</f>
        <v>201805231153</v>
      </c>
      <c r="G464" t="str">
        <f>"CH-20170831-C/LEA NO. 20171032"</f>
        <v>CH-20170831-C/LEA NO. 20171032</v>
      </c>
      <c r="H464">
        <v>250</v>
      </c>
      <c r="I464" t="str">
        <f>"CH-20170831-C/LEA NO. 20171032"</f>
        <v>CH-20170831-C/LEA NO. 20171032</v>
      </c>
    </row>
    <row r="465" spans="1:9" x14ac:dyDescent="0.3">
      <c r="A465" t="str">
        <f>""</f>
        <v/>
      </c>
      <c r="F465" t="str">
        <f>"201805231154"</f>
        <v>201805231154</v>
      </c>
      <c r="G465" t="str">
        <f>"55 620"</f>
        <v>55 620</v>
      </c>
      <c r="H465">
        <v>250</v>
      </c>
      <c r="I465" t="str">
        <f>"55 620"</f>
        <v>55 620</v>
      </c>
    </row>
    <row r="466" spans="1:9" x14ac:dyDescent="0.3">
      <c r="A466" t="str">
        <f>"000205"</f>
        <v>000205</v>
      </c>
      <c r="B466" t="s">
        <v>94</v>
      </c>
      <c r="C466">
        <v>999999</v>
      </c>
      <c r="D466" s="2">
        <v>111</v>
      </c>
      <c r="E466" s="1">
        <v>43235</v>
      </c>
      <c r="F466" t="str">
        <f>"90028184"</f>
        <v>90028184</v>
      </c>
      <c r="G466" t="str">
        <f>"ACCT#24890"</f>
        <v>ACCT#24890</v>
      </c>
      <c r="H466">
        <v>111</v>
      </c>
      <c r="I466" t="str">
        <f>"ACCT#24890"</f>
        <v>ACCT#24890</v>
      </c>
    </row>
    <row r="467" spans="1:9" x14ac:dyDescent="0.3">
      <c r="A467" t="str">
        <f>"002356"</f>
        <v>002356</v>
      </c>
      <c r="B467" t="s">
        <v>95</v>
      </c>
      <c r="C467">
        <v>76581</v>
      </c>
      <c r="D467" s="2">
        <v>45</v>
      </c>
      <c r="E467" s="1">
        <v>43234</v>
      </c>
      <c r="F467" t="str">
        <f>"18-18988"</f>
        <v>18-18988</v>
      </c>
      <c r="G467" t="str">
        <f>"CENTRAL ADOPTION REGISTRY FUND"</f>
        <v>CENTRAL ADOPTION REGISTRY FUND</v>
      </c>
      <c r="H467">
        <v>15</v>
      </c>
      <c r="I467" t="str">
        <f>"CENTRAL ADOPTION REGISTRY FUND"</f>
        <v>CENTRAL ADOPTION REGISTRY FUND</v>
      </c>
    </row>
    <row r="468" spans="1:9" x14ac:dyDescent="0.3">
      <c r="A468" t="str">
        <f>""</f>
        <v/>
      </c>
      <c r="F468" t="str">
        <f>"18-19018"</f>
        <v>18-19018</v>
      </c>
      <c r="G468" t="str">
        <f>"CENTRAL ADOPTION REGISTRY FUND"</f>
        <v>CENTRAL ADOPTION REGISTRY FUND</v>
      </c>
      <c r="H468">
        <v>15</v>
      </c>
      <c r="I468" t="str">
        <f>"CENTRAL ADOPTION REGISTRY FUND"</f>
        <v>CENTRAL ADOPTION REGISTRY FUND</v>
      </c>
    </row>
    <row r="469" spans="1:9" x14ac:dyDescent="0.3">
      <c r="A469" t="str">
        <f>""</f>
        <v/>
      </c>
      <c r="F469" t="str">
        <f>"18-19025"</f>
        <v>18-19025</v>
      </c>
      <c r="G469" t="str">
        <f>"CENTRAL ADOPTION REGISTRY FUND"</f>
        <v>CENTRAL ADOPTION REGISTRY FUND</v>
      </c>
      <c r="H469">
        <v>15</v>
      </c>
      <c r="I469" t="str">
        <f>"CENTRAL ADOPTION REGISTRY FUND"</f>
        <v>CENTRAL ADOPTION REGISTRY FUND</v>
      </c>
    </row>
    <row r="470" spans="1:9" x14ac:dyDescent="0.3">
      <c r="A470" t="str">
        <f>"002356"</f>
        <v>002356</v>
      </c>
      <c r="B470" t="s">
        <v>95</v>
      </c>
      <c r="C470">
        <v>76855</v>
      </c>
      <c r="D470" s="2">
        <v>60</v>
      </c>
      <c r="E470" s="1">
        <v>43249</v>
      </c>
      <c r="F470" t="str">
        <f>"18-19006"</f>
        <v>18-19006</v>
      </c>
      <c r="G470" t="str">
        <f>"CENT ADOPT REGISTRY FUND 04/26"</f>
        <v>CENT ADOPT REGISTRY FUND 04/26</v>
      </c>
      <c r="H470">
        <v>15</v>
      </c>
      <c r="I470" t="str">
        <f>"CENT ADOPT REGISTRY FUND 04/26"</f>
        <v>CENT ADOPT REGISTRY FUND 04/26</v>
      </c>
    </row>
    <row r="471" spans="1:9" x14ac:dyDescent="0.3">
      <c r="A471" t="str">
        <f>""</f>
        <v/>
      </c>
      <c r="F471" t="str">
        <f>"18-19032"</f>
        <v>18-19032</v>
      </c>
      <c r="G471" t="str">
        <f>"CENT ADOPT REG FUND 05/07/18"</f>
        <v>CENT ADOPT REG FUND 05/07/18</v>
      </c>
      <c r="H471">
        <v>15</v>
      </c>
      <c r="I471" t="str">
        <f>"CENT ADOPT REG FUND 05/07/18"</f>
        <v>CENT ADOPT REG FUND 05/07/18</v>
      </c>
    </row>
    <row r="472" spans="1:9" x14ac:dyDescent="0.3">
      <c r="A472" t="str">
        <f>""</f>
        <v/>
      </c>
      <c r="F472" t="str">
        <f>"18-19044"</f>
        <v>18-19044</v>
      </c>
      <c r="G472" t="str">
        <f>"CAR FUND 05/16/18"</f>
        <v>CAR FUND 05/16/18</v>
      </c>
      <c r="H472">
        <v>15</v>
      </c>
      <c r="I472" t="str">
        <f>"CAR FUND 05/16/18"</f>
        <v>CAR FUND 05/16/18</v>
      </c>
    </row>
    <row r="473" spans="1:9" x14ac:dyDescent="0.3">
      <c r="A473" t="str">
        <f>""</f>
        <v/>
      </c>
      <c r="F473" t="str">
        <f>"423-5715"</f>
        <v>423-5715</v>
      </c>
      <c r="G473" t="str">
        <f>"CENT ADOPT REG FUND 05/11/18"</f>
        <v>CENT ADOPT REG FUND 05/11/18</v>
      </c>
      <c r="H473">
        <v>15</v>
      </c>
      <c r="I473" t="str">
        <f>"CENT ADOPT REG FUND 05/11/18"</f>
        <v>CENT ADOPT REG FUND 05/11/18</v>
      </c>
    </row>
    <row r="474" spans="1:9" x14ac:dyDescent="0.3">
      <c r="A474" t="str">
        <f>"000673"</f>
        <v>000673</v>
      </c>
      <c r="B474" t="s">
        <v>96</v>
      </c>
      <c r="C474">
        <v>76856</v>
      </c>
      <c r="D474" s="2">
        <v>480.2</v>
      </c>
      <c r="E474" s="1">
        <v>43249</v>
      </c>
      <c r="F474" t="str">
        <f>"2447207"</f>
        <v>2447207</v>
      </c>
      <c r="G474" t="str">
        <f>"Flash Drive"</f>
        <v>Flash Drive</v>
      </c>
      <c r="H474">
        <v>480.2</v>
      </c>
      <c r="I474" t="str">
        <f>"442078854"</f>
        <v>442078854</v>
      </c>
    </row>
    <row r="475" spans="1:9" x14ac:dyDescent="0.3">
      <c r="A475" t="str">
        <f>"T12518"</f>
        <v>T12518</v>
      </c>
      <c r="B475" t="s">
        <v>97</v>
      </c>
      <c r="C475">
        <v>76857</v>
      </c>
      <c r="D475" s="2">
        <v>576</v>
      </c>
      <c r="E475" s="1">
        <v>43249</v>
      </c>
      <c r="F475" t="str">
        <f>"H.TUCKER/D.DORIS"</f>
        <v>H.TUCKER/D.DORIS</v>
      </c>
      <c r="G475" t="str">
        <f>"H. TUCKER / D. DORRIS"</f>
        <v>H. TUCKER / D. DORRIS</v>
      </c>
      <c r="H475">
        <v>576</v>
      </c>
      <c r="I475" t="str">
        <f>"H. TUCKER  ID10153"</f>
        <v>H. TUCKER  ID10153</v>
      </c>
    </row>
    <row r="476" spans="1:9" x14ac:dyDescent="0.3">
      <c r="A476" t="str">
        <f>""</f>
        <v/>
      </c>
      <c r="F476" t="str">
        <f>""</f>
        <v/>
      </c>
      <c r="G476" t="str">
        <f>""</f>
        <v/>
      </c>
      <c r="I476" t="str">
        <f>"D. DORRIS ID 10146"</f>
        <v>D. DORRIS ID 10146</v>
      </c>
    </row>
    <row r="477" spans="1:9" x14ac:dyDescent="0.3">
      <c r="A477" t="str">
        <f>"002726"</f>
        <v>002726</v>
      </c>
      <c r="B477" t="s">
        <v>98</v>
      </c>
      <c r="C477">
        <v>0</v>
      </c>
      <c r="D477" s="2">
        <v>5762.33</v>
      </c>
      <c r="E477" s="1">
        <v>43234</v>
      </c>
      <c r="F477" t="str">
        <f>"STMNT ACCT#0058"</f>
        <v>STMNT ACCT#0058</v>
      </c>
      <c r="G477" t="str">
        <f>"Acct# 0058"</f>
        <v>Acct# 0058</v>
      </c>
      <c r="H477">
        <v>5762.33</v>
      </c>
      <c r="I477" t="str">
        <f>"Moody Gardens"</f>
        <v>Moody Gardens</v>
      </c>
    </row>
    <row r="478" spans="1:9" x14ac:dyDescent="0.3">
      <c r="A478" t="str">
        <f>""</f>
        <v/>
      </c>
      <c r="F478" t="str">
        <f>""</f>
        <v/>
      </c>
      <c r="G478" t="str">
        <f>""</f>
        <v/>
      </c>
      <c r="I478" t="str">
        <f>"Moody Gardens"</f>
        <v>Moody Gardens</v>
      </c>
    </row>
    <row r="479" spans="1:9" x14ac:dyDescent="0.3">
      <c r="A479" t="str">
        <f>""</f>
        <v/>
      </c>
      <c r="F479" t="str">
        <f>""</f>
        <v/>
      </c>
      <c r="G479" t="str">
        <f>""</f>
        <v/>
      </c>
      <c r="I479" t="str">
        <f>"Active 911"</f>
        <v>Active 911</v>
      </c>
    </row>
    <row r="480" spans="1:9" x14ac:dyDescent="0.3">
      <c r="A480" t="str">
        <f>""</f>
        <v/>
      </c>
      <c r="F480" t="str">
        <f>""</f>
        <v/>
      </c>
      <c r="G480" t="str">
        <f>""</f>
        <v/>
      </c>
      <c r="I480" t="str">
        <f>"TagIT"</f>
        <v>TagIT</v>
      </c>
    </row>
    <row r="481" spans="1:9" x14ac:dyDescent="0.3">
      <c r="A481" t="str">
        <f>""</f>
        <v/>
      </c>
      <c r="F481" t="str">
        <f>""</f>
        <v/>
      </c>
      <c r="G481" t="str">
        <f>""</f>
        <v/>
      </c>
      <c r="I481" t="str">
        <f>"Country Homes"</f>
        <v>Country Homes</v>
      </c>
    </row>
    <row r="482" spans="1:9" x14ac:dyDescent="0.3">
      <c r="A482" t="str">
        <f>""</f>
        <v/>
      </c>
      <c r="F482" t="str">
        <f>""</f>
        <v/>
      </c>
      <c r="G482" t="str">
        <f>""</f>
        <v/>
      </c>
      <c r="I482" t="str">
        <f>"HEB"</f>
        <v>HEB</v>
      </c>
    </row>
    <row r="483" spans="1:9" x14ac:dyDescent="0.3">
      <c r="A483" t="str">
        <f>""</f>
        <v/>
      </c>
      <c r="F483" t="str">
        <f>""</f>
        <v/>
      </c>
      <c r="G483" t="str">
        <f>""</f>
        <v/>
      </c>
      <c r="I483" t="str">
        <f>"Kully"</f>
        <v>Kully</v>
      </c>
    </row>
    <row r="484" spans="1:9" x14ac:dyDescent="0.3">
      <c r="A484" t="str">
        <f>""</f>
        <v/>
      </c>
      <c r="F484" t="str">
        <f>""</f>
        <v/>
      </c>
      <c r="G484" t="str">
        <f>""</f>
        <v/>
      </c>
      <c r="I484" t="str">
        <f>"Country Homes"</f>
        <v>Country Homes</v>
      </c>
    </row>
    <row r="485" spans="1:9" x14ac:dyDescent="0.3">
      <c r="A485" t="str">
        <f>""</f>
        <v/>
      </c>
      <c r="F485" t="str">
        <f>""</f>
        <v/>
      </c>
      <c r="G485" t="str">
        <f>""</f>
        <v/>
      </c>
      <c r="I485" t="str">
        <f>"Digital Intelligence"</f>
        <v>Digital Intelligence</v>
      </c>
    </row>
    <row r="486" spans="1:9" x14ac:dyDescent="0.3">
      <c r="A486" t="str">
        <f>""</f>
        <v/>
      </c>
      <c r="F486" t="str">
        <f>""</f>
        <v/>
      </c>
      <c r="G486" t="str">
        <f>""</f>
        <v/>
      </c>
      <c r="I486" t="str">
        <f>"Charles Adams"</f>
        <v>Charles Adams</v>
      </c>
    </row>
    <row r="487" spans="1:9" x14ac:dyDescent="0.3">
      <c r="A487" t="str">
        <f>""</f>
        <v/>
      </c>
      <c r="F487" t="str">
        <f>""</f>
        <v/>
      </c>
      <c r="G487" t="str">
        <f>""</f>
        <v/>
      </c>
      <c r="I487" t="str">
        <f>"Erika DeJesus"</f>
        <v>Erika DeJesus</v>
      </c>
    </row>
    <row r="488" spans="1:9" x14ac:dyDescent="0.3">
      <c r="A488" t="str">
        <f>""</f>
        <v/>
      </c>
      <c r="F488" t="str">
        <f>""</f>
        <v/>
      </c>
      <c r="G488" t="str">
        <f>""</f>
        <v/>
      </c>
      <c r="I488" t="str">
        <f>"Rosanna Garza"</f>
        <v>Rosanna Garza</v>
      </c>
    </row>
    <row r="489" spans="1:9" x14ac:dyDescent="0.3">
      <c r="A489" t="str">
        <f>""</f>
        <v/>
      </c>
      <c r="F489" t="str">
        <f>""</f>
        <v/>
      </c>
      <c r="G489" t="str">
        <f>""</f>
        <v/>
      </c>
      <c r="I489" t="str">
        <f>"Robert bennet"</f>
        <v>Robert bennet</v>
      </c>
    </row>
    <row r="490" spans="1:9" x14ac:dyDescent="0.3">
      <c r="A490" t="str">
        <f>""</f>
        <v/>
      </c>
      <c r="F490" t="str">
        <f>""</f>
        <v/>
      </c>
      <c r="G490" t="str">
        <f>""</f>
        <v/>
      </c>
      <c r="I490" t="str">
        <f>"Annette Murley"</f>
        <v>Annette Murley</v>
      </c>
    </row>
    <row r="491" spans="1:9" x14ac:dyDescent="0.3">
      <c r="A491" t="str">
        <f>""</f>
        <v/>
      </c>
      <c r="F491" t="str">
        <f>""</f>
        <v/>
      </c>
      <c r="G491" t="str">
        <f>""</f>
        <v/>
      </c>
      <c r="I491" t="str">
        <f>"Kenneth Leatherwood"</f>
        <v>Kenneth Leatherwood</v>
      </c>
    </row>
    <row r="492" spans="1:9" x14ac:dyDescent="0.3">
      <c r="A492" t="str">
        <f>""</f>
        <v/>
      </c>
      <c r="F492" t="str">
        <f>""</f>
        <v/>
      </c>
      <c r="G492" t="str">
        <f>""</f>
        <v/>
      </c>
      <c r="I492" t="str">
        <f>"Sears"</f>
        <v>Sears</v>
      </c>
    </row>
    <row r="493" spans="1:9" x14ac:dyDescent="0.3">
      <c r="A493" t="str">
        <f>""</f>
        <v/>
      </c>
      <c r="F493" t="str">
        <f>""</f>
        <v/>
      </c>
      <c r="G493" t="str">
        <f>""</f>
        <v/>
      </c>
      <c r="I493" t="str">
        <f>"W Hotels"</f>
        <v>W Hotels</v>
      </c>
    </row>
    <row r="494" spans="1:9" x14ac:dyDescent="0.3">
      <c r="A494" t="str">
        <f>""</f>
        <v/>
      </c>
      <c r="F494" t="str">
        <f>""</f>
        <v/>
      </c>
      <c r="G494" t="str">
        <f>""</f>
        <v/>
      </c>
      <c r="I494" t="str">
        <f>"Game Guard"</f>
        <v>Game Guard</v>
      </c>
    </row>
    <row r="495" spans="1:9" x14ac:dyDescent="0.3">
      <c r="A495" t="str">
        <f>""</f>
        <v/>
      </c>
      <c r="F495" t="str">
        <f>""</f>
        <v/>
      </c>
      <c r="G495" t="str">
        <f>""</f>
        <v/>
      </c>
      <c r="I495" t="str">
        <f>"Game Guard"</f>
        <v>Game Guard</v>
      </c>
    </row>
    <row r="496" spans="1:9" x14ac:dyDescent="0.3">
      <c r="A496" t="str">
        <f>""</f>
        <v/>
      </c>
      <c r="F496" t="str">
        <f>""</f>
        <v/>
      </c>
      <c r="G496" t="str">
        <f>""</f>
        <v/>
      </c>
      <c r="I496" t="str">
        <f>"Game Guard"</f>
        <v>Game Guard</v>
      </c>
    </row>
    <row r="497" spans="1:9" x14ac:dyDescent="0.3">
      <c r="A497" t="str">
        <f>""</f>
        <v/>
      </c>
      <c r="F497" t="str">
        <f>""</f>
        <v/>
      </c>
      <c r="G497" t="str">
        <f>""</f>
        <v/>
      </c>
      <c r="I497" t="str">
        <f>"Tessco"</f>
        <v>Tessco</v>
      </c>
    </row>
    <row r="498" spans="1:9" x14ac:dyDescent="0.3">
      <c r="A498" t="str">
        <f>""</f>
        <v/>
      </c>
      <c r="F498" t="str">
        <f>""</f>
        <v/>
      </c>
      <c r="G498" t="str">
        <f>""</f>
        <v/>
      </c>
      <c r="I498" t="str">
        <f>"Game Guard"</f>
        <v>Game Guard</v>
      </c>
    </row>
    <row r="499" spans="1:9" x14ac:dyDescent="0.3">
      <c r="A499" t="str">
        <f>""</f>
        <v/>
      </c>
      <c r="F499" t="str">
        <f>""</f>
        <v/>
      </c>
      <c r="G499" t="str">
        <f>""</f>
        <v/>
      </c>
      <c r="I499" t="str">
        <f>"Game guard"</f>
        <v>Game guard</v>
      </c>
    </row>
    <row r="500" spans="1:9" x14ac:dyDescent="0.3">
      <c r="A500" t="str">
        <f>"CARD"</f>
        <v>CARD</v>
      </c>
      <c r="B500" t="s">
        <v>98</v>
      </c>
      <c r="C500">
        <v>0</v>
      </c>
      <c r="D500" s="2">
        <v>367.21</v>
      </c>
      <c r="E500" s="1">
        <v>43234</v>
      </c>
      <c r="F500" t="str">
        <f>"STMNT 03/24-04/22"</f>
        <v>STMNT 03/24-04/22</v>
      </c>
      <c r="G500" t="str">
        <f>"STATEMENT 03/24-04/22/18"</f>
        <v>STATEMENT 03/24-04/22/18</v>
      </c>
      <c r="H500">
        <v>367.21</v>
      </c>
      <c r="I500" t="str">
        <f>"INTEREST"</f>
        <v>INTEREST</v>
      </c>
    </row>
    <row r="501" spans="1:9" x14ac:dyDescent="0.3">
      <c r="A501" t="str">
        <f>""</f>
        <v/>
      </c>
      <c r="F501" t="str">
        <f>""</f>
        <v/>
      </c>
      <c r="G501" t="str">
        <f>""</f>
        <v/>
      </c>
      <c r="I501" t="str">
        <f>"LATE FEE"</f>
        <v>LATE FEE</v>
      </c>
    </row>
    <row r="502" spans="1:9" x14ac:dyDescent="0.3">
      <c r="A502" t="str">
        <f>""</f>
        <v/>
      </c>
      <c r="F502" t="str">
        <f>""</f>
        <v/>
      </c>
      <c r="G502" t="str">
        <f>""</f>
        <v/>
      </c>
      <c r="I502" t="str">
        <f>"SAN LUIS - CREDIT"</f>
        <v>SAN LUIS - CREDIT</v>
      </c>
    </row>
    <row r="503" spans="1:9" x14ac:dyDescent="0.3">
      <c r="A503" t="str">
        <f>""</f>
        <v/>
      </c>
      <c r="F503" t="str">
        <f>""</f>
        <v/>
      </c>
      <c r="G503" t="str">
        <f>""</f>
        <v/>
      </c>
      <c r="I503" t="str">
        <f>"SAN LUIS"</f>
        <v>SAN LUIS</v>
      </c>
    </row>
    <row r="504" spans="1:9" x14ac:dyDescent="0.3">
      <c r="A504" t="str">
        <f>""</f>
        <v/>
      </c>
      <c r="F504" t="str">
        <f>""</f>
        <v/>
      </c>
      <c r="G504" t="str">
        <f>""</f>
        <v/>
      </c>
      <c r="I504" t="str">
        <f>"USPS"</f>
        <v>USPS</v>
      </c>
    </row>
    <row r="505" spans="1:9" x14ac:dyDescent="0.3">
      <c r="A505" t="str">
        <f>""</f>
        <v/>
      </c>
      <c r="F505" t="str">
        <f>""</f>
        <v/>
      </c>
      <c r="G505" t="str">
        <f>""</f>
        <v/>
      </c>
      <c r="I505" t="str">
        <f>"BOSCH SECURITY SYSTE"</f>
        <v>BOSCH SECURITY SYSTE</v>
      </c>
    </row>
    <row r="506" spans="1:9" x14ac:dyDescent="0.3">
      <c r="A506" t="str">
        <f>"T5196"</f>
        <v>T5196</v>
      </c>
      <c r="B506" t="s">
        <v>99</v>
      </c>
      <c r="C506">
        <v>76582</v>
      </c>
      <c r="D506" s="2">
        <v>10000</v>
      </c>
      <c r="E506" s="1">
        <v>43234</v>
      </c>
      <c r="F506" t="str">
        <f>"201805010492"</f>
        <v>201805010492</v>
      </c>
      <c r="G506" t="str">
        <f>"FISCAL YEAR 2018"</f>
        <v>FISCAL YEAR 2018</v>
      </c>
      <c r="H506">
        <v>10000</v>
      </c>
      <c r="I506" t="str">
        <f>"FISCAL YEAR 2018"</f>
        <v>FISCAL YEAR 2018</v>
      </c>
    </row>
    <row r="507" spans="1:9" x14ac:dyDescent="0.3">
      <c r="A507" t="str">
        <f>"T4871"</f>
        <v>T4871</v>
      </c>
      <c r="B507" t="s">
        <v>100</v>
      </c>
      <c r="C507">
        <v>999999</v>
      </c>
      <c r="D507" s="2">
        <v>1086.9000000000001</v>
      </c>
      <c r="E507" s="1">
        <v>43250</v>
      </c>
      <c r="F507" t="str">
        <f>"MTB3704"</f>
        <v>MTB3704</v>
      </c>
      <c r="G507" t="str">
        <f>"Ithaca POSjet 1500"</f>
        <v>Ithaca POSjet 1500</v>
      </c>
      <c r="H507">
        <v>1086.9000000000001</v>
      </c>
      <c r="I507" t="str">
        <f>"Ithaca POSjet 1500"</f>
        <v>Ithaca POSjet 1500</v>
      </c>
    </row>
    <row r="508" spans="1:9" x14ac:dyDescent="0.3">
      <c r="A508" t="str">
        <f>"CTRPNT"</f>
        <v>CTRPNT</v>
      </c>
      <c r="B508" t="s">
        <v>101</v>
      </c>
      <c r="C508">
        <v>76825</v>
      </c>
      <c r="D508" s="2">
        <v>2042.04</v>
      </c>
      <c r="E508" s="1">
        <v>43244</v>
      </c>
      <c r="F508" t="str">
        <f>"201805241190"</f>
        <v>201805241190</v>
      </c>
      <c r="G508" t="str">
        <f>"ACCT#8000081165-5/05172018"</f>
        <v>ACCT#8000081165-5/05172018</v>
      </c>
      <c r="H508">
        <v>2042.04</v>
      </c>
      <c r="I508" t="str">
        <f>"ACCT#8000081165-5/05172018"</f>
        <v>ACCT#8000081165-5/05172018</v>
      </c>
    </row>
    <row r="509" spans="1:9" x14ac:dyDescent="0.3">
      <c r="A509" t="str">
        <f>""</f>
        <v/>
      </c>
      <c r="F509" t="str">
        <f>""</f>
        <v/>
      </c>
      <c r="G509" t="str">
        <f>""</f>
        <v/>
      </c>
      <c r="I509" t="str">
        <f>"ACCT#8000081165-5/05172018"</f>
        <v>ACCT#8000081165-5/05172018</v>
      </c>
    </row>
    <row r="510" spans="1:9" x14ac:dyDescent="0.3">
      <c r="A510" t="str">
        <f>"T12897"</f>
        <v>T12897</v>
      </c>
      <c r="B510" t="s">
        <v>102</v>
      </c>
      <c r="C510">
        <v>76583</v>
      </c>
      <c r="D510" s="2">
        <v>1404</v>
      </c>
      <c r="E510" s="1">
        <v>43234</v>
      </c>
      <c r="F510" t="str">
        <f>"CID2238579"</f>
        <v>CID2238579</v>
      </c>
      <c r="G510" t="str">
        <f>"ACCT#238567/ORD#CID2285742"</f>
        <v>ACCT#238567/ORD#CID2285742</v>
      </c>
      <c r="H510">
        <v>1404</v>
      </c>
      <c r="I510" t="str">
        <f>"ACCT#238567/ORD#CID2285742"</f>
        <v>ACCT#238567/ORD#CID2285742</v>
      </c>
    </row>
    <row r="511" spans="1:9" x14ac:dyDescent="0.3">
      <c r="A511" t="str">
        <f>"CENTEX"</f>
        <v>CENTEX</v>
      </c>
      <c r="B511" t="s">
        <v>103</v>
      </c>
      <c r="C511">
        <v>76584</v>
      </c>
      <c r="D511" s="2">
        <v>29532.48</v>
      </c>
      <c r="E511" s="1">
        <v>43234</v>
      </c>
      <c r="F511" t="str">
        <f>"30125094"</f>
        <v>30125094</v>
      </c>
      <c r="G511" t="str">
        <f>"CUST#BASPCT1/ORD#37-19558/PCT1"</f>
        <v>CUST#BASPCT1/ORD#37-19558/PCT1</v>
      </c>
      <c r="H511">
        <v>416.67</v>
      </c>
      <c r="I511" t="str">
        <f>"CUST#BASPCT1/ORD#37-19558/PCT1"</f>
        <v>CUST#BASPCT1/ORD#37-19558/PCT1</v>
      </c>
    </row>
    <row r="512" spans="1:9" x14ac:dyDescent="0.3">
      <c r="A512" t="str">
        <f>""</f>
        <v/>
      </c>
      <c r="F512" t="str">
        <f>"30125095"</f>
        <v>30125095</v>
      </c>
      <c r="G512" t="str">
        <f>"CUST#BASPCT4/ORD#37-19552/PCT4"</f>
        <v>CUST#BASPCT4/ORD#37-19552/PCT4</v>
      </c>
      <c r="H512">
        <v>1953.56</v>
      </c>
      <c r="I512" t="str">
        <f>"CUST#BASPCT4/ORD#37-19552/PCT4"</f>
        <v>CUST#BASPCT4/ORD#37-19552/PCT4</v>
      </c>
    </row>
    <row r="513" spans="1:9" x14ac:dyDescent="0.3">
      <c r="A513" t="str">
        <f>""</f>
        <v/>
      </c>
      <c r="F513" t="str">
        <f>"30125128"</f>
        <v>30125128</v>
      </c>
      <c r="G513" t="str">
        <f>"CUST#BASPCT1/ORD#37-19558/PCT1"</f>
        <v>CUST#BASPCT1/ORD#37-19558/PCT1</v>
      </c>
      <c r="H513">
        <v>823.47</v>
      </c>
      <c r="I513" t="str">
        <f>"CUST#BASPCT1/ORD#37-19558/PCT1"</f>
        <v>CUST#BASPCT1/ORD#37-19558/PCT1</v>
      </c>
    </row>
    <row r="514" spans="1:9" x14ac:dyDescent="0.3">
      <c r="A514" t="str">
        <f>""</f>
        <v/>
      </c>
      <c r="F514" t="str">
        <f>"30125129"</f>
        <v>30125129</v>
      </c>
      <c r="G514" t="str">
        <f>"CUST#BASPCT4/ORD#37-19552/PCT4"</f>
        <v>CUST#BASPCT4/ORD#37-19552/PCT4</v>
      </c>
      <c r="H514">
        <v>1760.42</v>
      </c>
      <c r="I514" t="str">
        <f>"CUST#BASPCT4/ORD#37-19552/PCT4"</f>
        <v>CUST#BASPCT4/ORD#37-19552/PCT4</v>
      </c>
    </row>
    <row r="515" spans="1:9" x14ac:dyDescent="0.3">
      <c r="A515" t="str">
        <f>""</f>
        <v/>
      </c>
      <c r="F515" t="str">
        <f>"30125163"</f>
        <v>30125163</v>
      </c>
      <c r="G515" t="str">
        <f>"CUST#BASPCT4/ORD#37-19552/PCT4"</f>
        <v>CUST#BASPCT4/ORD#37-19552/PCT4</v>
      </c>
      <c r="H515">
        <v>2413.27</v>
      </c>
      <c r="I515" t="str">
        <f>"CUST#BASPCT4/ORD#37-19552/PCT4"</f>
        <v>CUST#BASPCT4/ORD#37-19552/PCT4</v>
      </c>
    </row>
    <row r="516" spans="1:9" x14ac:dyDescent="0.3">
      <c r="A516" t="str">
        <f>""</f>
        <v/>
      </c>
      <c r="F516" t="str">
        <f>"30125186"</f>
        <v>30125186</v>
      </c>
      <c r="G516" t="str">
        <f>"CUST#BASPCT4/ORD#37-19552/PCT4"</f>
        <v>CUST#BASPCT4/ORD#37-19552/PCT4</v>
      </c>
      <c r="H516">
        <v>1401.5</v>
      </c>
      <c r="I516" t="str">
        <f>"CUST#BASPCT4/ORD#37-19552/PCT4"</f>
        <v>CUST#BASPCT4/ORD#37-19552/PCT4</v>
      </c>
    </row>
    <row r="517" spans="1:9" x14ac:dyDescent="0.3">
      <c r="A517" t="str">
        <f>""</f>
        <v/>
      </c>
      <c r="F517" t="str">
        <f>"30125223"</f>
        <v>30125223</v>
      </c>
      <c r="G517" t="str">
        <f>"CUST#BASPCT4/ORD#37-19552/PCT4"</f>
        <v>CUST#BASPCT4/ORD#37-19552/PCT4</v>
      </c>
      <c r="H517">
        <v>1629.88</v>
      </c>
      <c r="I517" t="str">
        <f>"CUST#BASPCT4/ORD#37-19552/PCT4"</f>
        <v>CUST#BASPCT4/ORD#37-19552/PCT4</v>
      </c>
    </row>
    <row r="518" spans="1:9" x14ac:dyDescent="0.3">
      <c r="A518" t="str">
        <f>""</f>
        <v/>
      </c>
      <c r="F518" t="str">
        <f>"30125252"</f>
        <v>30125252</v>
      </c>
      <c r="G518" t="str">
        <f>"CUST#BASPCT4/ORD#37-19552/PCT4"</f>
        <v>CUST#BASPCT4/ORD#37-19552/PCT4</v>
      </c>
      <c r="H518">
        <v>1814.85</v>
      </c>
      <c r="I518" t="str">
        <f>"CUST#BASPCT4/ORD#37-19552/PCT4"</f>
        <v>CUST#BASPCT4/ORD#37-19552/PCT4</v>
      </c>
    </row>
    <row r="519" spans="1:9" x14ac:dyDescent="0.3">
      <c r="A519" t="str">
        <f>""</f>
        <v/>
      </c>
      <c r="F519" t="str">
        <f>"30125278"</f>
        <v>30125278</v>
      </c>
      <c r="G519" t="str">
        <f>"ORD#37-19552/CUST#BASPCT4/P4"</f>
        <v>ORD#37-19552/CUST#BASPCT4/P4</v>
      </c>
      <c r="H519">
        <v>2390.89</v>
      </c>
      <c r="I519" t="str">
        <f>"ORD#37-19552/CUST#BASPCT4/P4"</f>
        <v>ORD#37-19552/CUST#BASPCT4/P4</v>
      </c>
    </row>
    <row r="520" spans="1:9" x14ac:dyDescent="0.3">
      <c r="A520" t="str">
        <f>""</f>
        <v/>
      </c>
      <c r="F520" t="str">
        <f>"30125341"</f>
        <v>30125341</v>
      </c>
      <c r="G520" t="str">
        <f>"CUST#BASPCT1/ORD#37-19558/PCT1"</f>
        <v>CUST#BASPCT1/ORD#37-19558/PCT1</v>
      </c>
      <c r="H520">
        <v>207.9</v>
      </c>
      <c r="I520" t="str">
        <f>"CUST#BASPCT1/ORD#37-19558/PCT1"</f>
        <v>CUST#BASPCT1/ORD#37-19558/PCT1</v>
      </c>
    </row>
    <row r="521" spans="1:9" x14ac:dyDescent="0.3">
      <c r="A521" t="str">
        <f>""</f>
        <v/>
      </c>
      <c r="F521" t="str">
        <f>"30125342"</f>
        <v>30125342</v>
      </c>
      <c r="G521" t="str">
        <f>"CUST#BASPCT4/ORD#37-19552/PCT4"</f>
        <v>CUST#BASPCT4/ORD#37-19552/PCT4</v>
      </c>
      <c r="H521">
        <v>1367.03</v>
      </c>
      <c r="I521" t="str">
        <f>"CUST#BASPCT4/ORD#37-19552/PCT4"</f>
        <v>CUST#BASPCT4/ORD#37-19552/PCT4</v>
      </c>
    </row>
    <row r="522" spans="1:9" x14ac:dyDescent="0.3">
      <c r="A522" t="str">
        <f>""</f>
        <v/>
      </c>
      <c r="F522" t="str">
        <f>"30125423"</f>
        <v>30125423</v>
      </c>
      <c r="G522" t="str">
        <f>"CUST#BASPCT1/ORD#37-19558/PCT1"</f>
        <v>CUST#BASPCT1/ORD#37-19558/PCT1</v>
      </c>
      <c r="H522">
        <v>420.26</v>
      </c>
      <c r="I522" t="str">
        <f>"CUST#BASPCT1/ORD#37-19558/PCT1"</f>
        <v>CUST#BASPCT1/ORD#37-19558/PCT1</v>
      </c>
    </row>
    <row r="523" spans="1:9" x14ac:dyDescent="0.3">
      <c r="A523" t="str">
        <f>""</f>
        <v/>
      </c>
      <c r="F523" t="str">
        <f>"30125424"</f>
        <v>30125424</v>
      </c>
      <c r="G523" t="str">
        <f>"CUST#BASPCT4/ORD#37-19552/PCT4"</f>
        <v>CUST#BASPCT4/ORD#37-19552/PCT4</v>
      </c>
      <c r="H523">
        <v>1976.55</v>
      </c>
      <c r="I523" t="str">
        <f>"CUST#BASPCT4/ORD#37-19552/PCT4"</f>
        <v>CUST#BASPCT4/ORD#37-19552/PCT4</v>
      </c>
    </row>
    <row r="524" spans="1:9" x14ac:dyDescent="0.3">
      <c r="A524" t="str">
        <f>""</f>
        <v/>
      </c>
      <c r="F524" t="str">
        <f>"30125464"</f>
        <v>30125464</v>
      </c>
      <c r="G524" t="str">
        <f>"CUST#BASPCT4/ORD#37-19552/PCT4"</f>
        <v>CUST#BASPCT4/ORD#37-19552/PCT4</v>
      </c>
      <c r="H524">
        <v>1787.72</v>
      </c>
      <c r="I524" t="str">
        <f>"CUST#BASPCT4/ORD#37-19552/PCT4"</f>
        <v>CUST#BASPCT4/ORD#37-19552/PCT4</v>
      </c>
    </row>
    <row r="525" spans="1:9" x14ac:dyDescent="0.3">
      <c r="A525" t="str">
        <f>""</f>
        <v/>
      </c>
      <c r="F525" t="str">
        <f>"30125497"</f>
        <v>30125497</v>
      </c>
      <c r="G525" t="str">
        <f>"CUST#BASPCT4/ORD#37-19552/PCT4"</f>
        <v>CUST#BASPCT4/ORD#37-19552/PCT4</v>
      </c>
      <c r="H525">
        <v>1771.02</v>
      </c>
      <c r="I525" t="str">
        <f>"CUST#BASPCT4/ORD#37-19552/PCT4"</f>
        <v>CUST#BASPCT4/ORD#37-19552/PCT4</v>
      </c>
    </row>
    <row r="526" spans="1:9" x14ac:dyDescent="0.3">
      <c r="A526" t="str">
        <f>""</f>
        <v/>
      </c>
      <c r="F526" t="str">
        <f>"30125526"</f>
        <v>30125526</v>
      </c>
      <c r="G526" t="str">
        <f>"CUST#BASPCT4/ORD#30125526/PCT4"</f>
        <v>CUST#BASPCT4/ORD#30125526/PCT4</v>
      </c>
      <c r="H526">
        <v>1758.86</v>
      </c>
      <c r="I526" t="str">
        <f>"CUST#BASPCT4/ORD#30125526/PCT4"</f>
        <v>CUST#BASPCT4/ORD#30125526/PCT4</v>
      </c>
    </row>
    <row r="527" spans="1:9" x14ac:dyDescent="0.3">
      <c r="A527" t="str">
        <f>""</f>
        <v/>
      </c>
      <c r="F527" t="str">
        <f>"30125592"</f>
        <v>30125592</v>
      </c>
      <c r="G527" t="str">
        <f>"CUST#BASPCT4/ORD#37-19552/P4"</f>
        <v>CUST#BASPCT4/ORD#37-19552/P4</v>
      </c>
      <c r="H527">
        <v>1333.7</v>
      </c>
      <c r="I527" t="str">
        <f>"CUST#BASPCT4/ORD#37-19552/P4"</f>
        <v>CUST#BASPCT4/ORD#37-19552/P4</v>
      </c>
    </row>
    <row r="528" spans="1:9" x14ac:dyDescent="0.3">
      <c r="A528" t="str">
        <f>""</f>
        <v/>
      </c>
      <c r="F528" t="str">
        <f>"30125632"</f>
        <v>30125632</v>
      </c>
      <c r="G528" t="str">
        <f>"CUST#BASPCT4/ORD#37-19552/PCT4"</f>
        <v>CUST#BASPCT4/ORD#37-19552/PCT4</v>
      </c>
      <c r="H528">
        <v>1154.6600000000001</v>
      </c>
      <c r="I528" t="str">
        <f>"CUST#BASPCT4/ORD#37-19552/PCT4"</f>
        <v>CUST#BASPCT4/ORD#37-19552/PCT4</v>
      </c>
    </row>
    <row r="529" spans="1:9" x14ac:dyDescent="0.3">
      <c r="A529" t="str">
        <f>""</f>
        <v/>
      </c>
      <c r="F529" t="str">
        <f>"30125662"</f>
        <v>30125662</v>
      </c>
      <c r="G529" t="str">
        <f>"CUST#BASPCT4/ORD#37-19552/PCT4"</f>
        <v>CUST#BASPCT4/ORD#37-19552/PCT4</v>
      </c>
      <c r="H529">
        <v>1348.03</v>
      </c>
      <c r="I529" t="str">
        <f>"CUST#BASPCT4/ORD#37-19552/PCT4"</f>
        <v>CUST#BASPCT4/ORD#37-19552/PCT4</v>
      </c>
    </row>
    <row r="530" spans="1:9" x14ac:dyDescent="0.3">
      <c r="A530" t="str">
        <f>""</f>
        <v/>
      </c>
      <c r="F530" t="str">
        <f>"30125688"</f>
        <v>30125688</v>
      </c>
      <c r="G530" t="str">
        <f>"CUST#BASPCT1/ORD37-19558/PCT1"</f>
        <v>CUST#BASPCT1/ORD37-19558/PCT1</v>
      </c>
      <c r="H530">
        <v>403.9</v>
      </c>
      <c r="I530" t="str">
        <f>"CUST#BASPCT1/ORD37-19558/PCT1"</f>
        <v>CUST#BASPCT1/ORD37-19558/PCT1</v>
      </c>
    </row>
    <row r="531" spans="1:9" x14ac:dyDescent="0.3">
      <c r="A531" t="str">
        <f>""</f>
        <v/>
      </c>
      <c r="F531" t="str">
        <f>"30125689"</f>
        <v>30125689</v>
      </c>
      <c r="G531" t="str">
        <f>"CUST#BASPCT4/ORD#37-19552/PCT4"</f>
        <v>CUST#BASPCT4/ORD#37-19552/PCT4</v>
      </c>
      <c r="H531">
        <v>1398.34</v>
      </c>
      <c r="I531" t="str">
        <f>"CUST#BASPCT4/ORD#37-19552/PCT4"</f>
        <v>CUST#BASPCT4/ORD#37-19552/PCT4</v>
      </c>
    </row>
    <row r="532" spans="1:9" x14ac:dyDescent="0.3">
      <c r="A532" t="str">
        <f>"CENTEX"</f>
        <v>CENTEX</v>
      </c>
      <c r="B532" t="s">
        <v>103</v>
      </c>
      <c r="C532">
        <v>76858</v>
      </c>
      <c r="D532" s="2">
        <v>8740.52</v>
      </c>
      <c r="E532" s="1">
        <v>43249</v>
      </c>
      <c r="F532" t="str">
        <f>"30125734"</f>
        <v>30125734</v>
      </c>
      <c r="G532" t="str">
        <f>"CUST#BASPCT1/ORD#37-19558/PCT1"</f>
        <v>CUST#BASPCT1/ORD#37-19558/PCT1</v>
      </c>
      <c r="H532">
        <v>415.02</v>
      </c>
      <c r="I532" t="str">
        <f>"CUST#BASPCT1/ORD#37-19558/PCT1"</f>
        <v>CUST#BASPCT1/ORD#37-19558/PCT1</v>
      </c>
    </row>
    <row r="533" spans="1:9" x14ac:dyDescent="0.3">
      <c r="A533" t="str">
        <f>""</f>
        <v/>
      </c>
      <c r="F533" t="str">
        <f>"30125735"</f>
        <v>30125735</v>
      </c>
      <c r="G533" t="str">
        <f>"CUST#BASPCT/ORD#37-19552/PCT#4"</f>
        <v>CUST#BASPCT/ORD#37-19552/PCT#4</v>
      </c>
      <c r="H533">
        <v>1967.7</v>
      </c>
      <c r="I533" t="str">
        <f>"CUST#BASPCT/ORD#37-19552/PCT#4"</f>
        <v>CUST#BASPCT/ORD#37-19552/PCT#4</v>
      </c>
    </row>
    <row r="534" spans="1:9" x14ac:dyDescent="0.3">
      <c r="A534" t="str">
        <f>""</f>
        <v/>
      </c>
      <c r="F534" t="str">
        <f>"30125766"</f>
        <v>30125766</v>
      </c>
      <c r="G534" t="str">
        <f>"ORD#37-19558/CUST#BASPCT1/PCT1"</f>
        <v>ORD#37-19558/CUST#BASPCT1/PCT1</v>
      </c>
      <c r="H534">
        <v>413.7</v>
      </c>
      <c r="I534" t="str">
        <f>"ORD#37-19558/CUST#BASPCT1/PCT1"</f>
        <v>ORD#37-19558/CUST#BASPCT1/PCT1</v>
      </c>
    </row>
    <row r="535" spans="1:9" x14ac:dyDescent="0.3">
      <c r="A535" t="str">
        <f>""</f>
        <v/>
      </c>
      <c r="F535" t="str">
        <f>"30125767"</f>
        <v>30125767</v>
      </c>
      <c r="G535" t="str">
        <f>"CUST#BASPCT4/ORD#37-19552/PCT4"</f>
        <v>CUST#BASPCT4/ORD#37-19552/PCT4</v>
      </c>
      <c r="H535">
        <v>1356.17</v>
      </c>
      <c r="I535" t="str">
        <f>"CUST#BASPCT4/ORD#37-19552/PCT4"</f>
        <v>CUST#BASPCT4/ORD#37-19552/PCT4</v>
      </c>
    </row>
    <row r="536" spans="1:9" x14ac:dyDescent="0.3">
      <c r="A536" t="str">
        <f>""</f>
        <v/>
      </c>
      <c r="F536" t="str">
        <f>"30125804"</f>
        <v>30125804</v>
      </c>
      <c r="G536" t="str">
        <f>"CUST#BASPCT4/ORD#37-19552/PCT4"</f>
        <v>CUST#BASPCT4/ORD#37-19552/PCT4</v>
      </c>
      <c r="H536">
        <v>1786.58</v>
      </c>
      <c r="I536" t="str">
        <f>"CUST#BASPCT4/ORD#37-19552/PCT4"</f>
        <v>CUST#BASPCT4/ORD#37-19552/PCT4</v>
      </c>
    </row>
    <row r="537" spans="1:9" x14ac:dyDescent="0.3">
      <c r="A537" t="str">
        <f>""</f>
        <v/>
      </c>
      <c r="F537" t="str">
        <f>"30125837"</f>
        <v>30125837</v>
      </c>
      <c r="G537" t="str">
        <f>"CUST#BASPCT4/ORD#37-19552/PCT4"</f>
        <v>CUST#BASPCT4/ORD#37-19552/PCT4</v>
      </c>
      <c r="H537">
        <v>760.03</v>
      </c>
      <c r="I537" t="str">
        <f>"CUST#BASPCT4/ORD#37-19552/PCT4"</f>
        <v>CUST#BASPCT4/ORD#37-19552/PCT4</v>
      </c>
    </row>
    <row r="538" spans="1:9" x14ac:dyDescent="0.3">
      <c r="A538" t="str">
        <f>""</f>
        <v/>
      </c>
      <c r="F538" t="str">
        <f>"30125947"</f>
        <v>30125947</v>
      </c>
      <c r="G538" t="str">
        <f>"CUST#BASPCT4/ORD#37-19552/PCT4"</f>
        <v>CUST#BASPCT4/ORD#37-19552/PCT4</v>
      </c>
      <c r="H538">
        <v>1229.22</v>
      </c>
      <c r="I538" t="str">
        <f>"CUST#BASPCT4/ORD#37-19552/PCT4"</f>
        <v>CUST#BASPCT4/ORD#37-19552/PCT4</v>
      </c>
    </row>
    <row r="539" spans="1:9" x14ac:dyDescent="0.3">
      <c r="A539" t="str">
        <f>""</f>
        <v/>
      </c>
      <c r="F539" t="str">
        <f>"30125985"</f>
        <v>30125985</v>
      </c>
      <c r="G539" t="str">
        <f>"CUST#BASPCT4/ORD#37-19552/PCT4"</f>
        <v>CUST#BASPCT4/ORD#37-19552/PCT4</v>
      </c>
      <c r="H539">
        <v>812.1</v>
      </c>
      <c r="I539" t="str">
        <f>"CUST#BASPCT4/ORD#37-19552/PCT4"</f>
        <v>CUST#BASPCT4/ORD#37-19552/PCT4</v>
      </c>
    </row>
    <row r="540" spans="1:9" x14ac:dyDescent="0.3">
      <c r="A540" t="str">
        <f>"T11963"</f>
        <v>T11963</v>
      </c>
      <c r="B540" t="s">
        <v>104</v>
      </c>
      <c r="C540">
        <v>76585</v>
      </c>
      <c r="D540" s="2">
        <v>195</v>
      </c>
      <c r="E540" s="1">
        <v>43234</v>
      </c>
      <c r="F540" t="str">
        <f>"BC2#007"</f>
        <v>BC2#007</v>
      </c>
      <c r="G540" t="str">
        <f>"WATER BARRIERS/PCT#2"</f>
        <v>WATER BARRIERS/PCT#2</v>
      </c>
      <c r="H540">
        <v>195</v>
      </c>
      <c r="I540" t="str">
        <f>"WATER BARRIERS/PCT#2"</f>
        <v>WATER BARRIERS/PCT#2</v>
      </c>
    </row>
    <row r="541" spans="1:9" x14ac:dyDescent="0.3">
      <c r="A541" t="str">
        <f>"T11963"</f>
        <v>T11963</v>
      </c>
      <c r="B541" t="s">
        <v>104</v>
      </c>
      <c r="C541">
        <v>76859</v>
      </c>
      <c r="D541" s="2">
        <v>260</v>
      </c>
      <c r="E541" s="1">
        <v>43249</v>
      </c>
      <c r="F541" t="str">
        <f>"BC2#008"</f>
        <v>BC2#008</v>
      </c>
      <c r="G541" t="str">
        <f>"WATER BARRIERS/MAY7-JUNE7/PCT2"</f>
        <v>WATER BARRIERS/MAY7-JUNE7/PCT2</v>
      </c>
      <c r="H541">
        <v>260</v>
      </c>
      <c r="I541" t="str">
        <f>"WATER BARRIERS/MAY7-JUNE7/PCT2"</f>
        <v>WATER BARRIERS/MAY7-JUNE7/PCT2</v>
      </c>
    </row>
    <row r="542" spans="1:9" x14ac:dyDescent="0.3">
      <c r="A542" t="str">
        <f>"002795"</f>
        <v>002795</v>
      </c>
      <c r="B542" t="s">
        <v>105</v>
      </c>
      <c r="C542">
        <v>76586</v>
      </c>
      <c r="D542" s="2">
        <v>4200</v>
      </c>
      <c r="E542" s="1">
        <v>43234</v>
      </c>
      <c r="F542" t="str">
        <f>"12275"</f>
        <v>12275</v>
      </c>
      <c r="G542" t="str">
        <f>"CTA 451-17 D.L. FRERICH"</f>
        <v>CTA 451-17 D.L. FRERICH</v>
      </c>
      <c r="H542">
        <v>2100</v>
      </c>
      <c r="I542" t="str">
        <f>"CTA 451-17 D.L. FRERICH"</f>
        <v>CTA 451-17 D.L. FRERICH</v>
      </c>
    </row>
    <row r="543" spans="1:9" x14ac:dyDescent="0.3">
      <c r="A543" t="str">
        <f>""</f>
        <v/>
      </c>
      <c r="F543" t="str">
        <f>"12277"</f>
        <v>12277</v>
      </c>
      <c r="G543" t="str">
        <f>"CTA 007-18 K.W. HAZARD"</f>
        <v>CTA 007-18 K.W. HAZARD</v>
      </c>
      <c r="H543">
        <v>2100</v>
      </c>
      <c r="I543" t="str">
        <f>"CTA 007-18 K.W. HAZARD"</f>
        <v>CTA 007-18 K.W. HAZARD</v>
      </c>
    </row>
    <row r="544" spans="1:9" x14ac:dyDescent="0.3">
      <c r="A544" t="str">
        <f>"T11831"</f>
        <v>T11831</v>
      </c>
      <c r="B544" t="s">
        <v>106</v>
      </c>
      <c r="C544">
        <v>76587</v>
      </c>
      <c r="D544" s="2">
        <v>379.5</v>
      </c>
      <c r="E544" s="1">
        <v>43234</v>
      </c>
      <c r="F544" t="str">
        <f>"0162304-IN"</f>
        <v>0162304-IN</v>
      </c>
      <c r="G544" t="str">
        <f>"INV 0162304-IN"</f>
        <v>INV 0162304-IN</v>
      </c>
      <c r="H544">
        <v>379.5</v>
      </c>
      <c r="I544" t="str">
        <f>"INV 0162304-IN"</f>
        <v>INV 0162304-IN</v>
      </c>
    </row>
    <row r="545" spans="1:9" x14ac:dyDescent="0.3">
      <c r="A545" t="str">
        <f>"005561"</f>
        <v>005561</v>
      </c>
      <c r="B545" t="s">
        <v>107</v>
      </c>
      <c r="C545">
        <v>76860</v>
      </c>
      <c r="D545" s="2">
        <v>826.5</v>
      </c>
      <c r="E545" s="1">
        <v>43249</v>
      </c>
      <c r="F545" t="str">
        <f>"201805241188"</f>
        <v>201805241188</v>
      </c>
      <c r="G545" t="str">
        <f>"UNIT 190 - JUN 18 THRU DEC 18"</f>
        <v>UNIT 190 - JUN 18 THRU DEC 18</v>
      </c>
      <c r="H545">
        <v>826.5</v>
      </c>
      <c r="I545" t="str">
        <f>"UNIT 190 - JUN 18 THRU DEC 18"</f>
        <v>UNIT 190 - JUN 18 THRU DEC 18</v>
      </c>
    </row>
    <row r="546" spans="1:9" x14ac:dyDescent="0.3">
      <c r="A546" t="str">
        <f>"005503"</f>
        <v>005503</v>
      </c>
      <c r="B546" t="s">
        <v>108</v>
      </c>
      <c r="C546">
        <v>999999</v>
      </c>
      <c r="D546" s="2">
        <v>658.72</v>
      </c>
      <c r="E546" s="1">
        <v>43250</v>
      </c>
      <c r="F546" t="str">
        <f>"201805211094"</f>
        <v>201805211094</v>
      </c>
      <c r="G546" t="str">
        <f>"REIMBURSEMENT-HOTEL CHARGES"</f>
        <v>REIMBURSEMENT-HOTEL CHARGES</v>
      </c>
      <c r="H546">
        <v>560.4</v>
      </c>
      <c r="I546" t="str">
        <f>"REIMBURSEMENT-HOTEL CHARGES"</f>
        <v>REIMBURSEMENT-HOTEL CHARGES</v>
      </c>
    </row>
    <row r="547" spans="1:9" x14ac:dyDescent="0.3">
      <c r="A547" t="str">
        <f>""</f>
        <v/>
      </c>
      <c r="F547" t="str">
        <f>"201805211095"</f>
        <v>201805211095</v>
      </c>
      <c r="G547" t="str">
        <f>"MILEAGE REIMBURSEMENT"</f>
        <v>MILEAGE REIMBURSEMENT</v>
      </c>
      <c r="H547">
        <v>98.32</v>
      </c>
      <c r="I547" t="str">
        <f>"MILEAGE REIMBURSEMENT"</f>
        <v>MILEAGE REIMBURSEMENT</v>
      </c>
    </row>
    <row r="548" spans="1:9" x14ac:dyDescent="0.3">
      <c r="A548" t="str">
        <f>"T9145"</f>
        <v>T9145</v>
      </c>
      <c r="B548" t="s">
        <v>109</v>
      </c>
      <c r="C548">
        <v>999999</v>
      </c>
      <c r="D548" s="2">
        <v>1850</v>
      </c>
      <c r="E548" s="1">
        <v>43235</v>
      </c>
      <c r="F548" t="str">
        <f>"201805040796"</f>
        <v>201805040796</v>
      </c>
      <c r="G548" t="str">
        <f>"54 670"</f>
        <v>54 670</v>
      </c>
      <c r="H548">
        <v>250</v>
      </c>
      <c r="I548" t="str">
        <f>"54 670"</f>
        <v>54 670</v>
      </c>
    </row>
    <row r="549" spans="1:9" x14ac:dyDescent="0.3">
      <c r="A549" t="str">
        <f>""</f>
        <v/>
      </c>
      <c r="F549" t="str">
        <f>"201805040797"</f>
        <v>201805040797</v>
      </c>
      <c r="G549" t="str">
        <f>"55 476  55477 554809"</f>
        <v>55 476  55477 554809</v>
      </c>
      <c r="H549">
        <v>500</v>
      </c>
      <c r="I549" t="str">
        <f>"55 476  55477 554809"</f>
        <v>55 476  55477 554809</v>
      </c>
    </row>
    <row r="550" spans="1:9" x14ac:dyDescent="0.3">
      <c r="A550" t="str">
        <f>""</f>
        <v/>
      </c>
      <c r="F550" t="str">
        <f>"201805040798"</f>
        <v>201805040798</v>
      </c>
      <c r="G550" t="str">
        <f>"18-18996"</f>
        <v>18-18996</v>
      </c>
      <c r="H550">
        <v>175</v>
      </c>
      <c r="I550" t="str">
        <f>"18-18996"</f>
        <v>18-18996</v>
      </c>
    </row>
    <row r="551" spans="1:9" x14ac:dyDescent="0.3">
      <c r="A551" t="str">
        <f>""</f>
        <v/>
      </c>
      <c r="F551" t="str">
        <f>"201805040799"</f>
        <v>201805040799</v>
      </c>
      <c r="G551" t="str">
        <f>"17-18119"</f>
        <v>17-18119</v>
      </c>
      <c r="H551">
        <v>925</v>
      </c>
      <c r="I551" t="str">
        <f>"17-18119"</f>
        <v>17-18119</v>
      </c>
    </row>
    <row r="552" spans="1:9" x14ac:dyDescent="0.3">
      <c r="A552" t="str">
        <f>"T9145"</f>
        <v>T9145</v>
      </c>
      <c r="B552" t="s">
        <v>109</v>
      </c>
      <c r="C552">
        <v>999999</v>
      </c>
      <c r="D552" s="2">
        <v>3500</v>
      </c>
      <c r="E552" s="1">
        <v>43250</v>
      </c>
      <c r="F552" t="str">
        <f>"201805211080"</f>
        <v>201805211080</v>
      </c>
      <c r="G552" t="str">
        <f>"AC2017-0716/AC2017-0716A/B"</f>
        <v>AC2017-0716/AC2017-0716A/B</v>
      </c>
      <c r="H552">
        <v>800</v>
      </c>
      <c r="I552" t="str">
        <f>"AC2017-0716/AC2017-0716A/B"</f>
        <v>AC2017-0716/AC2017-0716A/B</v>
      </c>
    </row>
    <row r="553" spans="1:9" x14ac:dyDescent="0.3">
      <c r="A553" t="str">
        <f>""</f>
        <v/>
      </c>
      <c r="F553" t="str">
        <f>"201805211081"</f>
        <v>201805211081</v>
      </c>
      <c r="G553" t="str">
        <f>"2017 0396 A"</f>
        <v>2017 0396 A</v>
      </c>
      <c r="H553">
        <v>400</v>
      </c>
      <c r="I553" t="str">
        <f>"2017 0396 A/20170396A"</f>
        <v>2017 0396 A/20170396A</v>
      </c>
    </row>
    <row r="554" spans="1:9" x14ac:dyDescent="0.3">
      <c r="A554" t="str">
        <f>""</f>
        <v/>
      </c>
      <c r="F554" t="str">
        <f>"201805221112"</f>
        <v>201805221112</v>
      </c>
      <c r="G554" t="str">
        <f>"16 439"</f>
        <v>16 439</v>
      </c>
      <c r="H554">
        <v>400</v>
      </c>
      <c r="I554" t="str">
        <f>"16 439"</f>
        <v>16 439</v>
      </c>
    </row>
    <row r="555" spans="1:9" x14ac:dyDescent="0.3">
      <c r="A555" t="str">
        <f>""</f>
        <v/>
      </c>
      <c r="F555" t="str">
        <f>"201805221113"</f>
        <v>201805221113</v>
      </c>
      <c r="G555" t="str">
        <f>"02.111.6.1"</f>
        <v>02.111.6.1</v>
      </c>
      <c r="H555">
        <v>400</v>
      </c>
      <c r="I555" t="str">
        <f>"02.111.6.1"</f>
        <v>02.111.6.1</v>
      </c>
    </row>
    <row r="556" spans="1:9" x14ac:dyDescent="0.3">
      <c r="A556" t="str">
        <f>""</f>
        <v/>
      </c>
      <c r="F556" t="str">
        <f>"201805221114"</f>
        <v>201805221114</v>
      </c>
      <c r="G556" t="str">
        <f>"16 457 16 458 16 335 C170017"</f>
        <v>16 457 16 458 16 335 C170017</v>
      </c>
      <c r="H556">
        <v>1000</v>
      </c>
      <c r="I556" t="str">
        <f>"16 457 16 458 16 335 C170017"</f>
        <v>16 457 16 458 16 335 C170017</v>
      </c>
    </row>
    <row r="557" spans="1:9" x14ac:dyDescent="0.3">
      <c r="A557" t="str">
        <f>""</f>
        <v/>
      </c>
      <c r="F557" t="str">
        <f>"201805221115"</f>
        <v>201805221115</v>
      </c>
      <c r="G557" t="str">
        <f>"16 469"</f>
        <v>16 469</v>
      </c>
      <c r="H557">
        <v>400</v>
      </c>
      <c r="I557" t="str">
        <f>"16 469"</f>
        <v>16 469</v>
      </c>
    </row>
    <row r="558" spans="1:9" x14ac:dyDescent="0.3">
      <c r="A558" t="str">
        <f>""</f>
        <v/>
      </c>
      <c r="F558" t="str">
        <f>"201805221132"</f>
        <v>201805221132</v>
      </c>
      <c r="G558" t="str">
        <f>"17-18578"</f>
        <v>17-18578</v>
      </c>
      <c r="H558">
        <v>100</v>
      </c>
      <c r="I558" t="str">
        <f>"17-18578"</f>
        <v>17-18578</v>
      </c>
    </row>
    <row r="559" spans="1:9" x14ac:dyDescent="0.3">
      <c r="A559" t="str">
        <f>"004690"</f>
        <v>004690</v>
      </c>
      <c r="B559" t="s">
        <v>110</v>
      </c>
      <c r="C559">
        <v>76588</v>
      </c>
      <c r="D559" s="2">
        <v>60.05</v>
      </c>
      <c r="E559" s="1">
        <v>43234</v>
      </c>
      <c r="F559" t="str">
        <f>"REIMBURSEMENT"</f>
        <v>REIMBURSEMENT</v>
      </c>
      <c r="G559" t="str">
        <f>"REIMBURSEMENT"</f>
        <v>REIMBURSEMENT</v>
      </c>
      <c r="H559">
        <v>60.05</v>
      </c>
      <c r="I559" t="str">
        <f>"REIMBURSEMENT"</f>
        <v>REIMBURSEMENT</v>
      </c>
    </row>
    <row r="560" spans="1:9" x14ac:dyDescent="0.3">
      <c r="A560" t="str">
        <f>"000694"</f>
        <v>000694</v>
      </c>
      <c r="B560" t="s">
        <v>111</v>
      </c>
      <c r="C560">
        <v>76861</v>
      </c>
      <c r="D560" s="2">
        <v>1974</v>
      </c>
      <c r="E560" s="1">
        <v>43249</v>
      </c>
      <c r="F560" t="str">
        <f>"3682"</f>
        <v>3682</v>
      </c>
      <c r="G560" t="str">
        <f>"DOCUCLASS MAINT/HR"</f>
        <v>DOCUCLASS MAINT/HR</v>
      </c>
      <c r="H560">
        <v>1974</v>
      </c>
      <c r="I560" t="str">
        <f>"DOCUCLASS MAINT/HR"</f>
        <v>DOCUCLASS MAINT/HR</v>
      </c>
    </row>
    <row r="561" spans="1:9" x14ac:dyDescent="0.3">
      <c r="A561" t="str">
        <f>"004228"</f>
        <v>004228</v>
      </c>
      <c r="B561" t="s">
        <v>112</v>
      </c>
      <c r="C561">
        <v>999999</v>
      </c>
      <c r="D561" s="2">
        <v>827.23</v>
      </c>
      <c r="E561" s="1">
        <v>43235</v>
      </c>
      <c r="F561" t="str">
        <f>"201805080878"</f>
        <v>201805080878</v>
      </c>
      <c r="G561" t="str">
        <f>"MILEAGE REIMBURSEMENT"</f>
        <v>MILEAGE REIMBURSEMENT</v>
      </c>
      <c r="H561">
        <v>223.45</v>
      </c>
      <c r="I561" t="str">
        <f>"MILEAGE REIMBURSEMENT"</f>
        <v>MILEAGE REIMBURSEMENT</v>
      </c>
    </row>
    <row r="562" spans="1:9" x14ac:dyDescent="0.3">
      <c r="A562" t="str">
        <f>""</f>
        <v/>
      </c>
      <c r="F562" t="str">
        <f>"201805080879"</f>
        <v>201805080879</v>
      </c>
      <c r="G562" t="str">
        <f>"REIMBURSE HOTEL CHARGES"</f>
        <v>REIMBURSE HOTEL CHARGES</v>
      </c>
      <c r="H562">
        <v>138</v>
      </c>
      <c r="I562" t="str">
        <f>"REIMBURSE HOTEL CHARGES"</f>
        <v>REIMBURSE HOTEL CHARGES</v>
      </c>
    </row>
    <row r="563" spans="1:9" x14ac:dyDescent="0.3">
      <c r="A563" t="str">
        <f>""</f>
        <v/>
      </c>
      <c r="F563" t="str">
        <f>"201805080880"</f>
        <v>201805080880</v>
      </c>
      <c r="G563" t="str">
        <f>"REIMBURSE HOTEL CHARGES"</f>
        <v>REIMBURSE HOTEL CHARGES</v>
      </c>
      <c r="H563">
        <v>383.81</v>
      </c>
      <c r="I563" t="str">
        <f>"REIMBURSE HOTEL CHARGES"</f>
        <v>REIMBURSE HOTEL CHARGES</v>
      </c>
    </row>
    <row r="564" spans="1:9" x14ac:dyDescent="0.3">
      <c r="A564" t="str">
        <f>""</f>
        <v/>
      </c>
      <c r="F564" t="str">
        <f>"201805080881"</f>
        <v>201805080881</v>
      </c>
      <c r="G564" t="str">
        <f>"REIMBURSE-MILEAGE"</f>
        <v>REIMBURSE-MILEAGE</v>
      </c>
      <c r="H564">
        <v>81.97</v>
      </c>
      <c r="I564" t="str">
        <f>"REIMBURSE-MILEAGE"</f>
        <v>REIMBURSE-MILEAGE</v>
      </c>
    </row>
    <row r="565" spans="1:9" x14ac:dyDescent="0.3">
      <c r="A565" t="str">
        <f>"005120"</f>
        <v>005120</v>
      </c>
      <c r="B565" t="s">
        <v>113</v>
      </c>
      <c r="C565">
        <v>76589</v>
      </c>
      <c r="D565" s="2">
        <v>98.04</v>
      </c>
      <c r="E565" s="1">
        <v>43234</v>
      </c>
      <c r="F565" t="str">
        <f>"5010606630"</f>
        <v>5010606630</v>
      </c>
      <c r="G565" t="str">
        <f>"CUST#0011167190/PCT#1"</f>
        <v>CUST#0011167190/PCT#1</v>
      </c>
      <c r="H565">
        <v>98.04</v>
      </c>
      <c r="I565" t="str">
        <f>"CUST#0011167190/PCT#1"</f>
        <v>CUST#0011167190/PCT#1</v>
      </c>
    </row>
    <row r="566" spans="1:9" x14ac:dyDescent="0.3">
      <c r="A566" t="str">
        <f>"005120"</f>
        <v>005120</v>
      </c>
      <c r="B566" t="s">
        <v>113</v>
      </c>
      <c r="C566">
        <v>76862</v>
      </c>
      <c r="D566" s="2">
        <v>86.3</v>
      </c>
      <c r="E566" s="1">
        <v>43249</v>
      </c>
      <c r="F566" t="str">
        <f>"5010867402"</f>
        <v>5010867402</v>
      </c>
      <c r="G566" t="str">
        <f>"CUST#0011167190/PCT#1"</f>
        <v>CUST#0011167190/PCT#1</v>
      </c>
      <c r="H566">
        <v>86.3</v>
      </c>
      <c r="I566" t="str">
        <f>"CUST#0011167190/PCT#1"</f>
        <v>CUST#0011167190/PCT#1</v>
      </c>
    </row>
    <row r="567" spans="1:9" x14ac:dyDescent="0.3">
      <c r="A567" t="str">
        <f>"005132"</f>
        <v>005132</v>
      </c>
      <c r="B567" t="s">
        <v>114</v>
      </c>
      <c r="C567">
        <v>76590</v>
      </c>
      <c r="D567" s="2">
        <v>286.45999999999998</v>
      </c>
      <c r="E567" s="1">
        <v>43234</v>
      </c>
      <c r="F567" t="str">
        <f>"8403617767"</f>
        <v>8403617767</v>
      </c>
      <c r="G567" t="str">
        <f>"CUST#10377368/PCT#2"</f>
        <v>CUST#10377368/PCT#2</v>
      </c>
      <c r="H567">
        <v>69.56</v>
      </c>
      <c r="I567" t="str">
        <f>"CUST#10377368/PCT#2"</f>
        <v>CUST#10377368/PCT#2</v>
      </c>
    </row>
    <row r="568" spans="1:9" x14ac:dyDescent="0.3">
      <c r="A568" t="str">
        <f>""</f>
        <v/>
      </c>
      <c r="F568" t="str">
        <f>"8403624697"</f>
        <v>8403624697</v>
      </c>
      <c r="G568" t="str">
        <f>"CUST#10377368/PCT#3"</f>
        <v>CUST#10377368/PCT#3</v>
      </c>
      <c r="H568">
        <v>216.9</v>
      </c>
      <c r="I568" t="str">
        <f>"CUST#10377368/PCT#3"</f>
        <v>CUST#10377368/PCT#3</v>
      </c>
    </row>
    <row r="569" spans="1:9" x14ac:dyDescent="0.3">
      <c r="A569" t="str">
        <f>"004728"</f>
        <v>004728</v>
      </c>
      <c r="B569" t="s">
        <v>115</v>
      </c>
      <c r="C569">
        <v>76591</v>
      </c>
      <c r="D569" s="2">
        <v>3958.18</v>
      </c>
      <c r="E569" s="1">
        <v>43234</v>
      </c>
      <c r="F569" t="str">
        <f>"201805070859"</f>
        <v>201805070859</v>
      </c>
      <c r="G569" t="str">
        <f>"ACCT#086-11458/ANIMAL SHELTER"</f>
        <v>ACCT#086-11458/ANIMAL SHELTER</v>
      </c>
      <c r="H569">
        <v>187.08</v>
      </c>
      <c r="I569" t="str">
        <f>"ACCT#086-11458/ANIMAL SHELTER"</f>
        <v>ACCT#086-11458/ANIMAL SHELTER</v>
      </c>
    </row>
    <row r="570" spans="1:9" x14ac:dyDescent="0.3">
      <c r="A570" t="str">
        <f>""</f>
        <v/>
      </c>
      <c r="F570" t="str">
        <f>"201805070860"</f>
        <v>201805070860</v>
      </c>
      <c r="G570" t="str">
        <f>"ACCT#086/GENERAL SVCS"</f>
        <v>ACCT#086/GENERAL SVCS</v>
      </c>
      <c r="H570">
        <v>1012.69</v>
      </c>
      <c r="I570" t="str">
        <f>"ACCT#086/GENERAL SVCS"</f>
        <v>ACCT#086/GENERAL SVCS</v>
      </c>
    </row>
    <row r="571" spans="1:9" x14ac:dyDescent="0.3">
      <c r="A571" t="str">
        <f>""</f>
        <v/>
      </c>
      <c r="F571" t="str">
        <f>"201805070862"</f>
        <v>201805070862</v>
      </c>
      <c r="G571" t="str">
        <f>"ACCT#086-11451/PCT#1"</f>
        <v>ACCT#086-11451/PCT#1</v>
      </c>
      <c r="H571">
        <v>683.59</v>
      </c>
      <c r="I571" t="str">
        <f>"ACCT#086-11451/PCT#1"</f>
        <v>ACCT#086-11451/PCT#1</v>
      </c>
    </row>
    <row r="572" spans="1:9" x14ac:dyDescent="0.3">
      <c r="A572" t="str">
        <f>""</f>
        <v/>
      </c>
      <c r="F572" t="str">
        <f>"201805070863"</f>
        <v>201805070863</v>
      </c>
      <c r="G572" t="str">
        <f>"ACCT#086-11375/PCT#2"</f>
        <v>ACCT#086-11375/PCT#2</v>
      </c>
      <c r="H572">
        <v>757.28</v>
      </c>
      <c r="I572" t="str">
        <f>"ACCT#086-11375/PCT#2"</f>
        <v>ACCT#086-11375/PCT#2</v>
      </c>
    </row>
    <row r="573" spans="1:9" x14ac:dyDescent="0.3">
      <c r="A573" t="str">
        <f>""</f>
        <v/>
      </c>
      <c r="F573" t="str">
        <f>"201805070865"</f>
        <v>201805070865</v>
      </c>
      <c r="G573" t="str">
        <f>"ACCT#086-11386/PCT#4"</f>
        <v>ACCT#086-11386/PCT#4</v>
      </c>
      <c r="H573">
        <v>1275.98</v>
      </c>
      <c r="I573" t="str">
        <f>"ACCT#086-11386/PCT#4"</f>
        <v>ACCT#086-11386/PCT#4</v>
      </c>
    </row>
    <row r="574" spans="1:9" x14ac:dyDescent="0.3">
      <c r="A574" t="str">
        <f>""</f>
        <v/>
      </c>
      <c r="F574" t="str">
        <f>"201805080867"</f>
        <v>201805080867</v>
      </c>
      <c r="G574" t="str">
        <f>"ACCT#086-11451"</f>
        <v>ACCT#086-11451</v>
      </c>
      <c r="H574">
        <v>41.56</v>
      </c>
      <c r="I574" t="str">
        <f>"ACCT#086-11451"</f>
        <v>ACCT#086-11451</v>
      </c>
    </row>
    <row r="575" spans="1:9" x14ac:dyDescent="0.3">
      <c r="A575" t="str">
        <f>"005132"</f>
        <v>005132</v>
      </c>
      <c r="B575" t="s">
        <v>114</v>
      </c>
      <c r="C575">
        <v>76863</v>
      </c>
      <c r="D575" s="2">
        <v>135.97999999999999</v>
      </c>
      <c r="E575" s="1">
        <v>43249</v>
      </c>
      <c r="F575" t="str">
        <f>"8403646852"</f>
        <v>8403646852</v>
      </c>
      <c r="G575" t="str">
        <f>"CUST#10377368/PCT#2"</f>
        <v>CUST#10377368/PCT#2</v>
      </c>
      <c r="H575">
        <v>135.97999999999999</v>
      </c>
      <c r="I575" t="str">
        <f>"CUST#10377368/PCT#2"</f>
        <v>CUST#10377368/PCT#2</v>
      </c>
    </row>
    <row r="576" spans="1:9" x14ac:dyDescent="0.3">
      <c r="A576" t="str">
        <f>"BCO"</f>
        <v>BCO</v>
      </c>
      <c r="B576" t="s">
        <v>116</v>
      </c>
      <c r="C576">
        <v>76527</v>
      </c>
      <c r="D576" s="2">
        <v>47345.279999999999</v>
      </c>
      <c r="E576" s="1">
        <v>43231</v>
      </c>
      <c r="F576" t="str">
        <f>"201805111005"</f>
        <v>201805111005</v>
      </c>
      <c r="G576" t="str">
        <f>"ACCT #02-2083-04 / 04292018"</f>
        <v>ACCT #02-2083-04 / 04292018</v>
      </c>
      <c r="H576">
        <v>602.39</v>
      </c>
      <c r="I576" t="str">
        <f>"ACCT #02-2083-04 / 04292018"</f>
        <v>ACCT #02-2083-04 / 04292018</v>
      </c>
    </row>
    <row r="577" spans="1:9" x14ac:dyDescent="0.3">
      <c r="A577" t="str">
        <f>""</f>
        <v/>
      </c>
      <c r="F577" t="str">
        <f>"201805111006"</f>
        <v>201805111006</v>
      </c>
      <c r="G577" t="str">
        <f>"COUNTY DEVELOPMENT CENTER"</f>
        <v>COUNTY DEVELOPMENT CENTER</v>
      </c>
      <c r="H577">
        <v>2354.5500000000002</v>
      </c>
      <c r="I577" t="str">
        <f>"COUNTY DEVELOPMENT CENTER"</f>
        <v>COUNTY DEVELOPMENT CENTER</v>
      </c>
    </row>
    <row r="578" spans="1:9" x14ac:dyDescent="0.3">
      <c r="A578" t="str">
        <f>""</f>
        <v/>
      </c>
      <c r="F578" t="str">
        <f>"201805111007"</f>
        <v>201805111007</v>
      </c>
      <c r="G578" t="str">
        <f>"LAW ENFORCEMENT CENTER"</f>
        <v>LAW ENFORCEMENT CENTER</v>
      </c>
      <c r="H578">
        <v>28478.11</v>
      </c>
      <c r="I578" t="str">
        <f>"LAW ENFORCEMENT CENTER"</f>
        <v>LAW ENFORCEMENT CENTER</v>
      </c>
    </row>
    <row r="579" spans="1:9" x14ac:dyDescent="0.3">
      <c r="A579" t="str">
        <f>""</f>
        <v/>
      </c>
      <c r="F579" t="str">
        <f>"201805111008"</f>
        <v>201805111008</v>
      </c>
      <c r="G579" t="str">
        <f>"BASTROP COUNTY COURTHOUSE"</f>
        <v>BASTROP COUNTY COURTHOUSE</v>
      </c>
      <c r="H579">
        <v>15910.23</v>
      </c>
      <c r="I579" t="str">
        <f>"BASTROP COUNTY COURTHOUSE"</f>
        <v>BASTROP COUNTY COURTHOUSE</v>
      </c>
    </row>
    <row r="580" spans="1:9" x14ac:dyDescent="0.3">
      <c r="A580" t="str">
        <f>"COB"</f>
        <v>COB</v>
      </c>
      <c r="B580" t="s">
        <v>116</v>
      </c>
      <c r="C580">
        <v>76864</v>
      </c>
      <c r="D580" s="2">
        <v>500</v>
      </c>
      <c r="E580" s="1">
        <v>43249</v>
      </c>
      <c r="F580" t="str">
        <f>"201805161029"</f>
        <v>201805161029</v>
      </c>
      <c r="G580" t="str">
        <f>"RENTAL-PARKING LOT"</f>
        <v>RENTAL-PARKING LOT</v>
      </c>
      <c r="H580">
        <v>500</v>
      </c>
      <c r="I580" t="str">
        <f>"RENTAL-PARKING LOT"</f>
        <v>RENTAL-PARKING LOT</v>
      </c>
    </row>
    <row r="581" spans="1:9" x14ac:dyDescent="0.3">
      <c r="A581" t="str">
        <f>"SCO"</f>
        <v>SCO</v>
      </c>
      <c r="B581" t="s">
        <v>117</v>
      </c>
      <c r="C581">
        <v>76521</v>
      </c>
      <c r="D581" s="2">
        <v>1349.71</v>
      </c>
      <c r="E581" s="1">
        <v>43223</v>
      </c>
      <c r="F581" t="str">
        <f>"201805030748"</f>
        <v>201805030748</v>
      </c>
      <c r="G581" t="str">
        <f>"ACCT#007-0000388-000/04242018"</f>
        <v>ACCT#007-0000388-000/04242018</v>
      </c>
      <c r="H581">
        <v>556.17999999999995</v>
      </c>
      <c r="I581" t="str">
        <f>"ACCT#007-0000388-000/04242018"</f>
        <v>ACCT#007-0000388-000/04242018</v>
      </c>
    </row>
    <row r="582" spans="1:9" x14ac:dyDescent="0.3">
      <c r="A582" t="str">
        <f>""</f>
        <v/>
      </c>
      <c r="F582" t="str">
        <f>"201805030749"</f>
        <v>201805030749</v>
      </c>
      <c r="G582" t="str">
        <f>"ACCT#007-0000389-000/04242018"</f>
        <v>ACCT#007-0000389-000/04242018</v>
      </c>
      <c r="H582">
        <v>17.11</v>
      </c>
      <c r="I582" t="str">
        <f>"ACCT#007-0000389-000/04242018"</f>
        <v>ACCT#007-0000389-000/04242018</v>
      </c>
    </row>
    <row r="583" spans="1:9" x14ac:dyDescent="0.3">
      <c r="A583" t="str">
        <f>""</f>
        <v/>
      </c>
      <c r="F583" t="str">
        <f>"201805030750"</f>
        <v>201805030750</v>
      </c>
      <c r="G583" t="str">
        <f>"ACCT#044-0001240-000/04242018"</f>
        <v>ACCT#044-0001240-000/04242018</v>
      </c>
      <c r="H583">
        <v>290.58</v>
      </c>
      <c r="I583" t="str">
        <f>"ACCT#044-0001240-000/04242018"</f>
        <v>ACCT#044-0001240-000/04242018</v>
      </c>
    </row>
    <row r="584" spans="1:9" x14ac:dyDescent="0.3">
      <c r="A584" t="str">
        <f>""</f>
        <v/>
      </c>
      <c r="F584" t="str">
        <f>"201805030751"</f>
        <v>201805030751</v>
      </c>
      <c r="G584" t="str">
        <f>"ACCT#044-0001250-000/04242018"</f>
        <v>ACCT#044-0001250-000/04242018</v>
      </c>
      <c r="H584">
        <v>138.21</v>
      </c>
      <c r="I584" t="str">
        <f>"ACCT#044-0001250-000/04242018"</f>
        <v>ACCT#044-0001250-000/04242018</v>
      </c>
    </row>
    <row r="585" spans="1:9" x14ac:dyDescent="0.3">
      <c r="A585" t="str">
        <f>""</f>
        <v/>
      </c>
      <c r="F585" t="str">
        <f>"201805030752"</f>
        <v>201805030752</v>
      </c>
      <c r="G585" t="str">
        <f>"ACCT#044-0001252-000/04242018"</f>
        <v>ACCT#044-0001252-000/04242018</v>
      </c>
      <c r="H585">
        <v>7.82</v>
      </c>
      <c r="I585" t="str">
        <f>"ACCT#044-0001252-000/04242018"</f>
        <v>ACCT#044-0001252-000/04242018</v>
      </c>
    </row>
    <row r="586" spans="1:9" x14ac:dyDescent="0.3">
      <c r="A586" t="str">
        <f>""</f>
        <v/>
      </c>
      <c r="F586" t="str">
        <f>"201805030753"</f>
        <v>201805030753</v>
      </c>
      <c r="G586" t="str">
        <f>"ACCT#044-0001253-000/04242018"</f>
        <v>ACCT#044-0001253-000/04242018</v>
      </c>
      <c r="H586">
        <v>339.81</v>
      </c>
      <c r="I586" t="str">
        <f>"ACCT#044-0001253-000/04242018"</f>
        <v>ACCT#044-0001253-000/04242018</v>
      </c>
    </row>
    <row r="587" spans="1:9" x14ac:dyDescent="0.3">
      <c r="A587" t="str">
        <f>"CSCT"</f>
        <v>CSCT</v>
      </c>
      <c r="B587" t="s">
        <v>118</v>
      </c>
      <c r="C587">
        <v>76592</v>
      </c>
      <c r="D587" s="2">
        <v>500</v>
      </c>
      <c r="E587" s="1">
        <v>43234</v>
      </c>
      <c r="F587" t="str">
        <f>"201805090965"</f>
        <v>201805090965</v>
      </c>
      <c r="G587" t="str">
        <f>"2018-2019 MBRSHP-MBENTON ESKEW"</f>
        <v>2018-2019 MBRSHP-MBENTON ESKEW</v>
      </c>
      <c r="H587">
        <v>265</v>
      </c>
      <c r="I587" t="str">
        <f>"2018-2019 MBRSHP-MBENTON ESKEW"</f>
        <v>2018-2019 MBRSHP-MBENTON ESKEW</v>
      </c>
    </row>
    <row r="588" spans="1:9" x14ac:dyDescent="0.3">
      <c r="A588" t="str">
        <f>""</f>
        <v/>
      </c>
      <c r="F588" t="str">
        <f>"201805111004"</f>
        <v>201805111004</v>
      </c>
      <c r="G588" t="str">
        <f>"STATE BAR DUES-C. D. DUGGAN"</f>
        <v>STATE BAR DUES-C. D. DUGGAN</v>
      </c>
      <c r="H588">
        <v>235</v>
      </c>
      <c r="I588" t="str">
        <f>"STATE BAR DUES-C. D. DUGGAN"</f>
        <v>STATE BAR DUES-C. D. DUGGAN</v>
      </c>
    </row>
    <row r="589" spans="1:9" x14ac:dyDescent="0.3">
      <c r="A589" t="str">
        <f>"002198"</f>
        <v>002198</v>
      </c>
      <c r="B589" t="s">
        <v>119</v>
      </c>
      <c r="C589">
        <v>999999</v>
      </c>
      <c r="D589" s="2">
        <v>1218.4000000000001</v>
      </c>
      <c r="E589" s="1">
        <v>43250</v>
      </c>
      <c r="F589" t="str">
        <f>"SVC-0071289"</f>
        <v>SVC-0071289</v>
      </c>
      <c r="G589" t="str">
        <f>"INV SVC-0071289"</f>
        <v>INV SVC-0071289</v>
      </c>
      <c r="H589">
        <v>1218.4000000000001</v>
      </c>
      <c r="I589" t="str">
        <f>"INV SVC-0071289"</f>
        <v>INV SVC-0071289</v>
      </c>
    </row>
    <row r="590" spans="1:9" x14ac:dyDescent="0.3">
      <c r="A590" t="str">
        <f>"CPA"</f>
        <v>CPA</v>
      </c>
      <c r="B590" t="s">
        <v>120</v>
      </c>
      <c r="C590">
        <v>76593</v>
      </c>
      <c r="D590" s="2">
        <v>120.29</v>
      </c>
      <c r="E590" s="1">
        <v>43234</v>
      </c>
      <c r="F590" t="str">
        <f>"201805090978"</f>
        <v>201805090978</v>
      </c>
      <c r="G590" t="str">
        <f>"INDIGENT HEALTH"</f>
        <v>INDIGENT HEALTH</v>
      </c>
      <c r="H590">
        <v>120.29</v>
      </c>
      <c r="I590" t="str">
        <f>"INDIGENT HEALTH"</f>
        <v>INDIGENT HEALTH</v>
      </c>
    </row>
    <row r="591" spans="1:9" x14ac:dyDescent="0.3">
      <c r="A591" t="str">
        <f>""</f>
        <v/>
      </c>
      <c r="F591" t="str">
        <f>""</f>
        <v/>
      </c>
      <c r="G591" t="str">
        <f>""</f>
        <v/>
      </c>
      <c r="I591" t="str">
        <f>"INDIGENT HEALTH"</f>
        <v>INDIGENT HEALTH</v>
      </c>
    </row>
    <row r="592" spans="1:9" x14ac:dyDescent="0.3">
      <c r="A592" t="str">
        <f>"CLINIC"</f>
        <v>CLINIC</v>
      </c>
      <c r="B592" t="s">
        <v>121</v>
      </c>
      <c r="C592">
        <v>999999</v>
      </c>
      <c r="D592" s="2">
        <v>903.81</v>
      </c>
      <c r="E592" s="1">
        <v>43235</v>
      </c>
      <c r="F592" t="str">
        <f>"201805090980"</f>
        <v>201805090980</v>
      </c>
      <c r="G592" t="str">
        <f>"INDIGENT HEALTH"</f>
        <v>INDIGENT HEALTH</v>
      </c>
      <c r="H592">
        <v>903.81</v>
      </c>
      <c r="I592" t="str">
        <f>"INDIGENT HEALTH"</f>
        <v>INDIGENT HEALTH</v>
      </c>
    </row>
    <row r="593" spans="1:10" x14ac:dyDescent="0.3">
      <c r="A593" t="str">
        <f>"CLINIC"</f>
        <v>CLINIC</v>
      </c>
      <c r="B593" t="s">
        <v>121</v>
      </c>
      <c r="C593">
        <v>999999</v>
      </c>
      <c r="D593" s="2">
        <v>110.69</v>
      </c>
      <c r="E593" s="1">
        <v>43250</v>
      </c>
      <c r="F593" t="str">
        <f>"201804-0"</f>
        <v>201804-0</v>
      </c>
      <c r="G593" t="str">
        <f>"INV 201804-0"</f>
        <v>INV 201804-0</v>
      </c>
      <c r="H593">
        <v>110.69</v>
      </c>
      <c r="I593" t="str">
        <f>"INV 201804-0"</f>
        <v>INV 201804-0</v>
      </c>
    </row>
    <row r="594" spans="1:10" x14ac:dyDescent="0.3">
      <c r="A594" t="str">
        <f>"005334"</f>
        <v>005334</v>
      </c>
      <c r="B594" t="s">
        <v>122</v>
      </c>
      <c r="C594">
        <v>76594</v>
      </c>
      <c r="D594" s="2">
        <v>265.12</v>
      </c>
      <c r="E594" s="1">
        <v>43234</v>
      </c>
      <c r="F594" t="str">
        <f>"INVC0086225"</f>
        <v>INVC0086225</v>
      </c>
      <c r="G594" t="str">
        <f>"INVC0086225"</f>
        <v>INVC0086225</v>
      </c>
      <c r="H594">
        <v>265.12</v>
      </c>
      <c r="I594" t="str">
        <f>"INVC0086225"</f>
        <v>INVC0086225</v>
      </c>
    </row>
    <row r="595" spans="1:10" x14ac:dyDescent="0.3">
      <c r="A595" t="str">
        <f>"002480"</f>
        <v>002480</v>
      </c>
      <c r="B595" t="s">
        <v>123</v>
      </c>
      <c r="C595">
        <v>76595</v>
      </c>
      <c r="D595" s="2">
        <v>65</v>
      </c>
      <c r="E595" s="1">
        <v>43234</v>
      </c>
      <c r="F595" t="str">
        <f>"12349"</f>
        <v>12349</v>
      </c>
      <c r="G595" t="str">
        <f>"SERVICE  12/08/17"</f>
        <v>SERVICE  12/08/17</v>
      </c>
      <c r="H595">
        <v>65</v>
      </c>
      <c r="I595" t="str">
        <f>"SERVICE  12/08/17"</f>
        <v>SERVICE  12/08/17</v>
      </c>
    </row>
    <row r="596" spans="1:10" x14ac:dyDescent="0.3">
      <c r="A596" t="str">
        <f>"002480"</f>
        <v>002480</v>
      </c>
      <c r="B596" t="s">
        <v>123</v>
      </c>
      <c r="C596">
        <v>76865</v>
      </c>
      <c r="D596" s="2">
        <v>65</v>
      </c>
      <c r="E596" s="1">
        <v>43249</v>
      </c>
      <c r="F596" t="str">
        <f>"11007"</f>
        <v>11007</v>
      </c>
      <c r="G596" t="str">
        <f>"SERVICE  03/12/2018"</f>
        <v>SERVICE  03/12/2018</v>
      </c>
      <c r="H596">
        <v>65</v>
      </c>
      <c r="I596" t="str">
        <f>"SERVICE  03/12/2018"</f>
        <v>SERVICE  03/12/2018</v>
      </c>
    </row>
    <row r="597" spans="1:10" x14ac:dyDescent="0.3">
      <c r="A597" t="str">
        <f>"004682"</f>
        <v>004682</v>
      </c>
      <c r="B597" t="s">
        <v>124</v>
      </c>
      <c r="C597">
        <v>76596</v>
      </c>
      <c r="D597" s="2">
        <v>3378.4</v>
      </c>
      <c r="E597" s="1">
        <v>43234</v>
      </c>
      <c r="F597" t="str">
        <f>"92384627"</f>
        <v>92384627</v>
      </c>
      <c r="G597" t="str">
        <f>"CUST#3040601/STEEL/PCT#3"</f>
        <v>CUST#3040601/STEEL/PCT#3</v>
      </c>
      <c r="H597">
        <v>3378.4</v>
      </c>
      <c r="I597" t="str">
        <f>"CUST#3040601/STEEL/PCT#3"</f>
        <v>CUST#3040601/STEEL/PCT#3</v>
      </c>
    </row>
    <row r="598" spans="1:10" x14ac:dyDescent="0.3">
      <c r="A598" t="str">
        <f>"002809"</f>
        <v>002809</v>
      </c>
      <c r="B598" t="s">
        <v>125</v>
      </c>
      <c r="C598">
        <v>76866</v>
      </c>
      <c r="D598" s="2">
        <v>462</v>
      </c>
      <c r="E598" s="1">
        <v>43249</v>
      </c>
      <c r="F598" t="str">
        <f>"12457813786"</f>
        <v>12457813786</v>
      </c>
      <c r="G598" t="str">
        <f>"INV 12457813786"</f>
        <v>INV 12457813786</v>
      </c>
      <c r="H598">
        <v>462</v>
      </c>
      <c r="I598" t="str">
        <f>"INV 12457813786"</f>
        <v>INV 12457813786</v>
      </c>
    </row>
    <row r="599" spans="1:10" x14ac:dyDescent="0.3">
      <c r="A599" t="str">
        <f>"003939"</f>
        <v>003939</v>
      </c>
      <c r="B599" t="s">
        <v>126</v>
      </c>
      <c r="C599">
        <v>999999</v>
      </c>
      <c r="D599" s="2">
        <v>966.4</v>
      </c>
      <c r="E599" s="1">
        <v>43243</v>
      </c>
      <c r="F599" t="str">
        <f>"201805221110"</f>
        <v>201805221110</v>
      </c>
      <c r="G599" t="str">
        <f>"INDIGENT HEALTH"</f>
        <v>INDIGENT HEALTH</v>
      </c>
      <c r="H599">
        <v>966.4</v>
      </c>
      <c r="I599" t="str">
        <f>"INDIGENT HEALTH"</f>
        <v>INDIGENT HEALTH</v>
      </c>
    </row>
    <row r="600" spans="1:10" x14ac:dyDescent="0.3">
      <c r="A600" t="str">
        <f>""</f>
        <v/>
      </c>
      <c r="F600" t="str">
        <f>""</f>
        <v/>
      </c>
      <c r="G600" t="str">
        <f>""</f>
        <v/>
      </c>
      <c r="I600" t="str">
        <f>"INDIGENT HEALTH"</f>
        <v>INDIGENT HEALTH</v>
      </c>
    </row>
    <row r="601" spans="1:10" x14ac:dyDescent="0.3">
      <c r="A601" t="str">
        <f>"000266"</f>
        <v>000266</v>
      </c>
      <c r="B601" t="s">
        <v>127</v>
      </c>
      <c r="C601">
        <v>76597</v>
      </c>
      <c r="D601" s="2">
        <v>12.5</v>
      </c>
      <c r="E601" s="1">
        <v>43234</v>
      </c>
      <c r="F601" t="s">
        <v>128</v>
      </c>
      <c r="G601" t="s">
        <v>129</v>
      </c>
      <c r="H601" t="str">
        <f>"RESTITUTION-K. PURCELL"</f>
        <v>RESTITUTION-K. PURCELL</v>
      </c>
      <c r="I601" t="str">
        <f>"210-0000"</f>
        <v>210-0000</v>
      </c>
      <c r="J601" t="str">
        <f>""</f>
        <v/>
      </c>
    </row>
    <row r="602" spans="1:10" x14ac:dyDescent="0.3">
      <c r="A602" t="str">
        <f>"004778"</f>
        <v>004778</v>
      </c>
      <c r="B602" t="s">
        <v>130</v>
      </c>
      <c r="C602">
        <v>76867</v>
      </c>
      <c r="D602" s="2">
        <v>50</v>
      </c>
      <c r="E602" s="1">
        <v>43249</v>
      </c>
      <c r="F602" t="str">
        <f>"C.BROWN-PER DIEM"</f>
        <v>C.BROWN-PER DIEM</v>
      </c>
      <c r="G602" t="str">
        <f>"PER DIEM"</f>
        <v>PER DIEM</v>
      </c>
      <c r="H602">
        <v>50</v>
      </c>
      <c r="I602" t="str">
        <f>"PER DIEM"</f>
        <v>PER DIEM</v>
      </c>
    </row>
    <row r="603" spans="1:10" x14ac:dyDescent="0.3">
      <c r="A603" t="str">
        <f>"CONTEC"</f>
        <v>CONTEC</v>
      </c>
      <c r="B603" t="s">
        <v>131</v>
      </c>
      <c r="C603">
        <v>76598</v>
      </c>
      <c r="D603" s="2">
        <v>11760</v>
      </c>
      <c r="E603" s="1">
        <v>43234</v>
      </c>
      <c r="F603" t="str">
        <f>"16501727"</f>
        <v>16501727</v>
      </c>
      <c r="G603" t="str">
        <f>"ACCT#434304/PCT#2"</f>
        <v>ACCT#434304/PCT#2</v>
      </c>
      <c r="H603">
        <v>11760</v>
      </c>
      <c r="I603" t="str">
        <f>"ACCT#434304/PCT#2"</f>
        <v>ACCT#434304/PCT#2</v>
      </c>
    </row>
    <row r="604" spans="1:10" x14ac:dyDescent="0.3">
      <c r="A604" t="str">
        <f>"CONTEC"</f>
        <v>CONTEC</v>
      </c>
      <c r="B604" t="s">
        <v>131</v>
      </c>
      <c r="C604">
        <v>76868</v>
      </c>
      <c r="D604" s="2">
        <v>1350</v>
      </c>
      <c r="E604" s="1">
        <v>43249</v>
      </c>
      <c r="F604" t="str">
        <f>"16679642"</f>
        <v>16679642</v>
      </c>
      <c r="G604" t="str">
        <f>"ACCT#434304/PCT#3"</f>
        <v>ACCT#434304/PCT#3</v>
      </c>
      <c r="H604">
        <v>1350</v>
      </c>
      <c r="I604" t="str">
        <f>"ACCT#434304/PCT#3"</f>
        <v>ACCT#434304/PCT#3</v>
      </c>
    </row>
    <row r="605" spans="1:10" x14ac:dyDescent="0.3">
      <c r="A605" t="str">
        <f>"005539"</f>
        <v>005539</v>
      </c>
      <c r="B605" t="s">
        <v>132</v>
      </c>
      <c r="C605">
        <v>76599</v>
      </c>
      <c r="D605" s="2">
        <v>650</v>
      </c>
      <c r="E605" s="1">
        <v>43234</v>
      </c>
      <c r="F605" t="str">
        <f>"FENCE DAMAGE"</f>
        <v>FENCE DAMAGE</v>
      </c>
      <c r="G605" t="str">
        <f>"Fence Damage"</f>
        <v>Fence Damage</v>
      </c>
      <c r="H605">
        <v>650</v>
      </c>
      <c r="I605" t="str">
        <f>"Fence Damage"</f>
        <v>Fence Damage</v>
      </c>
    </row>
    <row r="606" spans="1:10" x14ac:dyDescent="0.3">
      <c r="A606" t="str">
        <f>"005557"</f>
        <v>005557</v>
      </c>
      <c r="B606" t="s">
        <v>133</v>
      </c>
      <c r="C606">
        <v>76869</v>
      </c>
      <c r="D606" s="2">
        <v>2700</v>
      </c>
      <c r="E606" s="1">
        <v>43249</v>
      </c>
      <c r="F606" t="str">
        <f>"201805221145"</f>
        <v>201805221145</v>
      </c>
      <c r="G606" t="str">
        <f>"16-041/RISK ASSESSMENT/REPORT"</f>
        <v>16-041/RISK ASSESSMENT/REPORT</v>
      </c>
      <c r="H606">
        <v>2700</v>
      </c>
      <c r="I606" t="str">
        <f>"16-041/RISK ASSESSMENT/REPORT"</f>
        <v>16-041/RISK ASSESSMENT/REPORT</v>
      </c>
    </row>
    <row r="607" spans="1:10" x14ac:dyDescent="0.3">
      <c r="A607" t="str">
        <f>"001457"</f>
        <v>001457</v>
      </c>
      <c r="B607" t="s">
        <v>134</v>
      </c>
      <c r="C607">
        <v>76600</v>
      </c>
      <c r="D607" s="2">
        <v>742</v>
      </c>
      <c r="E607" s="1">
        <v>43234</v>
      </c>
      <c r="F607" t="str">
        <f>"17133"</f>
        <v>17133</v>
      </c>
      <c r="G607" t="str">
        <f>"KEY SVCS/TAX OFFICE"</f>
        <v>KEY SVCS/TAX OFFICE</v>
      </c>
      <c r="H607">
        <v>742</v>
      </c>
      <c r="I607" t="str">
        <f>"KEY SVCS/TAX OFFICE"</f>
        <v>KEY SVCS/TAX OFFICE</v>
      </c>
    </row>
    <row r="608" spans="1:10" x14ac:dyDescent="0.3">
      <c r="A608" t="str">
        <f>"001457"</f>
        <v>001457</v>
      </c>
      <c r="B608" t="s">
        <v>134</v>
      </c>
      <c r="C608">
        <v>76870</v>
      </c>
      <c r="D608" s="2">
        <v>340</v>
      </c>
      <c r="E608" s="1">
        <v>43249</v>
      </c>
      <c r="F608" t="str">
        <f>"17101"</f>
        <v>17101</v>
      </c>
      <c r="G608" t="str">
        <f>"CUST#2449/SVC CALL"</f>
        <v>CUST#2449/SVC CALL</v>
      </c>
      <c r="H608">
        <v>340</v>
      </c>
      <c r="I608" t="str">
        <f>"CUST#2449/SVC CALL"</f>
        <v>CUST#2449/SVC CALL</v>
      </c>
    </row>
    <row r="609" spans="1:9" x14ac:dyDescent="0.3">
      <c r="A609" t="str">
        <f>"CCO"</f>
        <v>CCO</v>
      </c>
      <c r="B609" t="s">
        <v>135</v>
      </c>
      <c r="C609">
        <v>999999</v>
      </c>
      <c r="D609" s="2">
        <v>39.9</v>
      </c>
      <c r="E609" s="1">
        <v>43235</v>
      </c>
      <c r="F609" t="str">
        <f>"227505"</f>
        <v>227505</v>
      </c>
      <c r="G609" t="str">
        <f>"CUST#4011/PART/PCT#3"</f>
        <v>CUST#4011/PART/PCT#3</v>
      </c>
      <c r="H609">
        <v>39.9</v>
      </c>
      <c r="I609" t="str">
        <f>"CUST#4011/PART/PCT#3"</f>
        <v>CUST#4011/PART/PCT#3</v>
      </c>
    </row>
    <row r="610" spans="1:9" x14ac:dyDescent="0.3">
      <c r="A610" t="str">
        <f>"CCO"</f>
        <v>CCO</v>
      </c>
      <c r="B610" t="s">
        <v>135</v>
      </c>
      <c r="C610">
        <v>999999</v>
      </c>
      <c r="D610" s="2">
        <v>119.6</v>
      </c>
      <c r="E610" s="1">
        <v>43250</v>
      </c>
      <c r="F610" t="str">
        <f>"CTCS501058"</f>
        <v>CTCS501058</v>
      </c>
      <c r="G610" t="str">
        <f>"VEHICLE REPAIRS"</f>
        <v>VEHICLE REPAIRS</v>
      </c>
      <c r="H610">
        <v>119.6</v>
      </c>
      <c r="I610" t="str">
        <f>"VEHICLE REPAIRS"</f>
        <v>VEHICLE REPAIRS</v>
      </c>
    </row>
    <row r="611" spans="1:9" x14ac:dyDescent="0.3">
      <c r="A611" t="str">
        <f>"004106"</f>
        <v>004106</v>
      </c>
      <c r="B611" t="s">
        <v>136</v>
      </c>
      <c r="C611">
        <v>76602</v>
      </c>
      <c r="D611" s="2">
        <v>750</v>
      </c>
      <c r="E611" s="1">
        <v>43234</v>
      </c>
      <c r="F611" t="str">
        <f>"APRIL INVOICE"</f>
        <v>APRIL INVOICE</v>
      </c>
      <c r="G611" t="str">
        <f>"APRIL INVOICE"</f>
        <v>APRIL INVOICE</v>
      </c>
      <c r="H611">
        <v>750</v>
      </c>
      <c r="I611" t="str">
        <f>"APRIL INVOICE"</f>
        <v>APRIL INVOICE</v>
      </c>
    </row>
    <row r="612" spans="1:9" x14ac:dyDescent="0.3">
      <c r="A612" t="str">
        <f>"005421"</f>
        <v>005421</v>
      </c>
      <c r="B612" t="s">
        <v>137</v>
      </c>
      <c r="C612">
        <v>76603</v>
      </c>
      <c r="D612" s="2">
        <v>290</v>
      </c>
      <c r="E612" s="1">
        <v>43234</v>
      </c>
      <c r="F612" t="str">
        <f>"161000068-1"</f>
        <v>161000068-1</v>
      </c>
      <c r="G612" t="str">
        <f>"CUST#1610000100/PCT#4"</f>
        <v>CUST#1610000100/PCT#4</v>
      </c>
      <c r="H612">
        <v>290</v>
      </c>
      <c r="I612" t="str">
        <f>"CUST#1610000100/PCT#4"</f>
        <v>CUST#1610000100/PCT#4</v>
      </c>
    </row>
    <row r="613" spans="1:9" x14ac:dyDescent="0.3">
      <c r="A613" t="str">
        <f>"005421"</f>
        <v>005421</v>
      </c>
      <c r="B613" t="s">
        <v>137</v>
      </c>
      <c r="C613">
        <v>76872</v>
      </c>
      <c r="D613" s="2">
        <v>500</v>
      </c>
      <c r="E613" s="1">
        <v>43249</v>
      </c>
      <c r="F613" t="str">
        <f>"161000073-1"</f>
        <v>161000073-1</v>
      </c>
      <c r="G613" t="str">
        <f>"CUST#1610000100/PCT#2"</f>
        <v>CUST#1610000100/PCT#2</v>
      </c>
      <c r="H613">
        <v>250</v>
      </c>
      <c r="I613" t="str">
        <f>"CUST#1610000100/PCT#2"</f>
        <v>CUST#1610000100/PCT#2</v>
      </c>
    </row>
    <row r="614" spans="1:9" x14ac:dyDescent="0.3">
      <c r="A614" t="str">
        <f>""</f>
        <v/>
      </c>
      <c r="F614" t="str">
        <f>"161000074-1"</f>
        <v>161000074-1</v>
      </c>
      <c r="G614" t="str">
        <f>"CUST#1610000100/PCT#2"</f>
        <v>CUST#1610000100/PCT#2</v>
      </c>
      <c r="H614">
        <v>250</v>
      </c>
      <c r="I614" t="str">
        <f>"CUST#1610000100/PCT#2"</f>
        <v>CUST#1610000100/PCT#2</v>
      </c>
    </row>
    <row r="615" spans="1:9" x14ac:dyDescent="0.3">
      <c r="A615" t="str">
        <f>"T11708"</f>
        <v>T11708</v>
      </c>
      <c r="B615" t="s">
        <v>138</v>
      </c>
      <c r="C615">
        <v>76604</v>
      </c>
      <c r="D615" s="2">
        <v>150</v>
      </c>
      <c r="E615" s="1">
        <v>43234</v>
      </c>
      <c r="F615" t="str">
        <f>"201805030733"</f>
        <v>201805030733</v>
      </c>
      <c r="G615" t="str">
        <f>"CLEANING-APRIL 6TH &amp; 2OTH/PCT2"</f>
        <v>CLEANING-APRIL 6TH &amp; 2OTH/PCT2</v>
      </c>
      <c r="H615">
        <v>150</v>
      </c>
      <c r="I615" t="str">
        <f>"CLEANING-APRIL 6TH &amp; 2OTH/PCT2"</f>
        <v>CLEANING-APRIL 6TH &amp; 2OTH/PCT2</v>
      </c>
    </row>
    <row r="616" spans="1:9" x14ac:dyDescent="0.3">
      <c r="A616" t="str">
        <f>"T11708"</f>
        <v>T11708</v>
      </c>
      <c r="B616" t="s">
        <v>138</v>
      </c>
      <c r="C616">
        <v>76873</v>
      </c>
      <c r="D616" s="2">
        <v>150</v>
      </c>
      <c r="E616" s="1">
        <v>43249</v>
      </c>
      <c r="F616" t="str">
        <f>"201805231176"</f>
        <v>201805231176</v>
      </c>
      <c r="G616" t="str">
        <f>"CLEANING SVCS 05/04 &amp; 05/18/P2"</f>
        <v>CLEANING SVCS 05/04 &amp; 05/18/P2</v>
      </c>
      <c r="H616">
        <v>150</v>
      </c>
      <c r="I616" t="str">
        <f>"CLEANING SVCS 05/04 &amp; 05/18/P2"</f>
        <v>CLEANING SVCS 05/04 &amp; 05/18/P2</v>
      </c>
    </row>
    <row r="617" spans="1:9" x14ac:dyDescent="0.3">
      <c r="A617" t="str">
        <f>"003136"</f>
        <v>003136</v>
      </c>
      <c r="B617" t="s">
        <v>139</v>
      </c>
      <c r="C617">
        <v>76605</v>
      </c>
      <c r="D617" s="2">
        <v>8.43</v>
      </c>
      <c r="E617" s="1">
        <v>43234</v>
      </c>
      <c r="F617" t="str">
        <f>"WSM629"</f>
        <v>WSM629</v>
      </c>
      <c r="G617" t="str">
        <f>"LICENSE PLATE#1369134/ENVIRONM"</f>
        <v>LICENSE PLATE#1369134/ENVIRONM</v>
      </c>
      <c r="H617">
        <v>2.19</v>
      </c>
      <c r="I617" t="str">
        <f>"LICENSE PLATE#1369134/ENVIRONM"</f>
        <v>LICENSE PLATE#1369134/ENVIRONM</v>
      </c>
    </row>
    <row r="618" spans="1:9" x14ac:dyDescent="0.3">
      <c r="A618" t="str">
        <f>""</f>
        <v/>
      </c>
      <c r="F618" t="str">
        <f>"XAF533"</f>
        <v>XAF533</v>
      </c>
      <c r="G618" t="str">
        <f>"Ref# XAF533"</f>
        <v>Ref# XAF533</v>
      </c>
      <c r="H618">
        <v>2.19</v>
      </c>
      <c r="I618" t="str">
        <f>"Payment"</f>
        <v>Payment</v>
      </c>
    </row>
    <row r="619" spans="1:9" x14ac:dyDescent="0.3">
      <c r="A619" t="str">
        <f>""</f>
        <v/>
      </c>
      <c r="F619" t="str">
        <f>"XDH901"</f>
        <v>XDH901</v>
      </c>
      <c r="G619" t="str">
        <f>"PLATE#1262197/PCT#4"</f>
        <v>PLATE#1262197/PCT#4</v>
      </c>
      <c r="H619">
        <v>4.05</v>
      </c>
      <c r="I619" t="str">
        <f>"PLATE#1262197/PCT#4"</f>
        <v>PLATE#1262197/PCT#4</v>
      </c>
    </row>
    <row r="620" spans="1:9" x14ac:dyDescent="0.3">
      <c r="A620" t="str">
        <f>"003136"</f>
        <v>003136</v>
      </c>
      <c r="B620" t="s">
        <v>139</v>
      </c>
      <c r="C620">
        <v>76874</v>
      </c>
      <c r="D620" s="2">
        <v>27.69</v>
      </c>
      <c r="E620" s="1">
        <v>43249</v>
      </c>
      <c r="F620" t="str">
        <f>"XCB525"</f>
        <v>XCB525</v>
      </c>
      <c r="G620" t="str">
        <f>"LICENSE#1369129/REF ID#XCB525"</f>
        <v>LICENSE#1369129/REF ID#XCB525</v>
      </c>
      <c r="H620">
        <v>9.48</v>
      </c>
      <c r="I620" t="str">
        <f>"LICENSE#1369129/REF ID#XCB525"</f>
        <v>LICENSE#1369129/REF ID#XCB525</v>
      </c>
    </row>
    <row r="621" spans="1:9" x14ac:dyDescent="0.3">
      <c r="A621" t="str">
        <f>""</f>
        <v/>
      </c>
      <c r="F621" t="str">
        <f>"XIK762"</f>
        <v>XIK762</v>
      </c>
      <c r="G621" t="str">
        <f>"LICENSE#1194229/REF ID#XIK762"</f>
        <v>LICENSE#1194229/REF ID#XIK762</v>
      </c>
      <c r="H621">
        <v>18.21</v>
      </c>
      <c r="I621" t="str">
        <f>"LICENSE#1194229/REF ID#XIK762"</f>
        <v>LICENSE#1194229/REF ID#XIK762</v>
      </c>
    </row>
    <row r="622" spans="1:9" x14ac:dyDescent="0.3">
      <c r="A622" t="str">
        <f>"T14390"</f>
        <v>T14390</v>
      </c>
      <c r="B622" t="s">
        <v>140</v>
      </c>
      <c r="C622">
        <v>76875</v>
      </c>
      <c r="D622" s="2">
        <v>1536.01</v>
      </c>
      <c r="E622" s="1">
        <v>43249</v>
      </c>
      <c r="F622" t="str">
        <f>"5157 1813 5195 445"</f>
        <v>5157 1813 5195 445</v>
      </c>
      <c r="G622" t="str">
        <f>"CONT#042-1434-2/ADMIN/RECORDKE"</f>
        <v>CONT#042-1434-2/ADMIN/RECORDKE</v>
      </c>
      <c r="H622">
        <v>1536.01</v>
      </c>
      <c r="I622" t="str">
        <f>"CONT#042-1434-2/ADMIN/RECORDKE"</f>
        <v>CONT#042-1434-2/ADMIN/RECORDKE</v>
      </c>
    </row>
    <row r="623" spans="1:9" x14ac:dyDescent="0.3">
      <c r="A623" t="str">
        <f>"T13909"</f>
        <v>T13909</v>
      </c>
      <c r="B623" t="s">
        <v>141</v>
      </c>
      <c r="C623">
        <v>76606</v>
      </c>
      <c r="D623" s="2">
        <v>6750</v>
      </c>
      <c r="E623" s="1">
        <v>43234</v>
      </c>
      <c r="F623" t="str">
        <f>"1166"</f>
        <v>1166</v>
      </c>
      <c r="G623" t="str">
        <f>"Inv# 1166"</f>
        <v>Inv# 1166</v>
      </c>
      <c r="H623">
        <v>3500</v>
      </c>
      <c r="I623" t="str">
        <f>"Inv# 1166"</f>
        <v>Inv# 1166</v>
      </c>
    </row>
    <row r="624" spans="1:9" x14ac:dyDescent="0.3">
      <c r="A624" t="str">
        <f>""</f>
        <v/>
      </c>
      <c r="F624" t="str">
        <f>"1167"</f>
        <v>1167</v>
      </c>
      <c r="G624" t="str">
        <f>"Inv# 1167"</f>
        <v>Inv# 1167</v>
      </c>
      <c r="H624">
        <v>3250</v>
      </c>
      <c r="I624" t="str">
        <f>"Inv# 1167"</f>
        <v>Inv# 1167</v>
      </c>
    </row>
    <row r="625" spans="1:9" x14ac:dyDescent="0.3">
      <c r="A625" t="str">
        <f>"T13909"</f>
        <v>T13909</v>
      </c>
      <c r="B625" t="s">
        <v>141</v>
      </c>
      <c r="C625">
        <v>76876</v>
      </c>
      <c r="D625" s="2">
        <v>12008</v>
      </c>
      <c r="E625" s="1">
        <v>43249</v>
      </c>
      <c r="F625" t="str">
        <f>"1168"</f>
        <v>1168</v>
      </c>
      <c r="G625" t="str">
        <f>"Inv# 1168"</f>
        <v>Inv# 1168</v>
      </c>
      <c r="H625">
        <v>5000</v>
      </c>
      <c r="I625" t="str">
        <f>"Inv# 1168"</f>
        <v>Inv# 1168</v>
      </c>
    </row>
    <row r="626" spans="1:9" x14ac:dyDescent="0.3">
      <c r="A626" t="str">
        <f>""</f>
        <v/>
      </c>
      <c r="F626" t="str">
        <f>"1171"</f>
        <v>1171</v>
      </c>
      <c r="G626" t="str">
        <f>"BULLDOZER/EXCAVATOR/MATERIAL"</f>
        <v>BULLDOZER/EXCAVATOR/MATERIAL</v>
      </c>
      <c r="H626">
        <v>7008</v>
      </c>
      <c r="I626" t="str">
        <f>"BULLDOZER/EXCAVATOR/MATERIAL"</f>
        <v>BULLDOZER/EXCAVATOR/MATERIAL</v>
      </c>
    </row>
    <row r="627" spans="1:9" x14ac:dyDescent="0.3">
      <c r="A627" t="str">
        <f>"T9280"</f>
        <v>T9280</v>
      </c>
      <c r="B627" t="s">
        <v>142</v>
      </c>
      <c r="C627">
        <v>76607</v>
      </c>
      <c r="D627" s="2">
        <v>3760</v>
      </c>
      <c r="E627" s="1">
        <v>43234</v>
      </c>
      <c r="F627" t="str">
        <f>"BA080HYE0408D"</f>
        <v>BA080HYE0408D</v>
      </c>
      <c r="G627" t="str">
        <f>"Dileneators"</f>
        <v>Dileneators</v>
      </c>
      <c r="H627">
        <v>3760</v>
      </c>
      <c r="I627" t="str">
        <f>"BA080HYE0408D"</f>
        <v>BA080HYE0408D</v>
      </c>
    </row>
    <row r="628" spans="1:9" x14ac:dyDescent="0.3">
      <c r="A628" t="str">
        <f>"004072"</f>
        <v>004072</v>
      </c>
      <c r="B628" t="s">
        <v>143</v>
      </c>
      <c r="C628">
        <v>76877</v>
      </c>
      <c r="D628" s="2">
        <v>258.89999999999998</v>
      </c>
      <c r="E628" s="1">
        <v>43249</v>
      </c>
      <c r="F628" t="str">
        <f>"IN1613573"</f>
        <v>IN1613573</v>
      </c>
      <c r="G628" t="str">
        <f>"ACCT#BC113:40R756/CONT#CN11583"</f>
        <v>ACCT#BC113:40R756/CONT#CN11583</v>
      </c>
      <c r="H628">
        <v>258.89999999999998</v>
      </c>
      <c r="I628" t="str">
        <f>"ACCT#BC113:40R756/CONT#CN11583"</f>
        <v>ACCT#BC113:40R756/CONT#CN11583</v>
      </c>
    </row>
    <row r="629" spans="1:9" x14ac:dyDescent="0.3">
      <c r="A629" t="str">
        <f>"T7935"</f>
        <v>T7935</v>
      </c>
      <c r="B629" t="s">
        <v>144</v>
      </c>
      <c r="C629">
        <v>76608</v>
      </c>
      <c r="D629" s="2">
        <v>140.32</v>
      </c>
      <c r="E629" s="1">
        <v>43234</v>
      </c>
      <c r="F629" t="str">
        <f>"31512381 - 58"</f>
        <v>31512381 - 58</v>
      </c>
      <c r="G629" t="str">
        <f>"COPIER LEASE/PURCHASING"</f>
        <v>COPIER LEASE/PURCHASING</v>
      </c>
      <c r="H629">
        <v>140.32</v>
      </c>
      <c r="I629" t="str">
        <f>"COPIER LEASE/PURCHASING"</f>
        <v>COPIER LEASE/PURCHASING</v>
      </c>
    </row>
    <row r="630" spans="1:9" x14ac:dyDescent="0.3">
      <c r="A630" t="str">
        <f>"DOS"</f>
        <v>DOS</v>
      </c>
      <c r="B630" t="s">
        <v>145</v>
      </c>
      <c r="C630">
        <v>76878</v>
      </c>
      <c r="D630" s="2">
        <v>800</v>
      </c>
      <c r="E630" s="1">
        <v>43249</v>
      </c>
      <c r="F630" t="str">
        <f>"18-380-18"</f>
        <v>18-380-18</v>
      </c>
      <c r="G630" t="str">
        <f>"SURVEYING SVCS/PCT#3"</f>
        <v>SURVEYING SVCS/PCT#3</v>
      </c>
      <c r="H630">
        <v>800</v>
      </c>
      <c r="I630" t="str">
        <f>"SURVEYING SVCS/PCT#3"</f>
        <v>SURVEYING SVCS/PCT#3</v>
      </c>
    </row>
    <row r="631" spans="1:9" x14ac:dyDescent="0.3">
      <c r="A631" t="str">
        <f>"002352"</f>
        <v>002352</v>
      </c>
      <c r="B631" t="s">
        <v>146</v>
      </c>
      <c r="C631">
        <v>76609</v>
      </c>
      <c r="D631" s="2">
        <v>160</v>
      </c>
      <c r="E631" s="1">
        <v>43234</v>
      </c>
      <c r="F631" t="str">
        <f>"12349"</f>
        <v>12349</v>
      </c>
      <c r="G631" t="str">
        <f>"SERVICE  12/08/17"</f>
        <v>SERVICE  12/08/17</v>
      </c>
      <c r="H631">
        <v>160</v>
      </c>
      <c r="I631" t="str">
        <f>"SERVICE  12/08/17"</f>
        <v>SERVICE  12/08/17</v>
      </c>
    </row>
    <row r="632" spans="1:9" x14ac:dyDescent="0.3">
      <c r="A632" t="str">
        <f>"002352"</f>
        <v>002352</v>
      </c>
      <c r="B632" t="s">
        <v>146</v>
      </c>
      <c r="C632">
        <v>76879</v>
      </c>
      <c r="D632" s="2">
        <v>400</v>
      </c>
      <c r="E632" s="1">
        <v>43249</v>
      </c>
      <c r="F632" t="str">
        <f>"12491"</f>
        <v>12491</v>
      </c>
      <c r="G632" t="str">
        <f>"SERVICE  03/16/2018"</f>
        <v>SERVICE  03/16/2018</v>
      </c>
      <c r="H632">
        <v>80</v>
      </c>
      <c r="I632" t="str">
        <f>"SERVICE  03/16/2018"</f>
        <v>SERVICE  03/16/2018</v>
      </c>
    </row>
    <row r="633" spans="1:9" x14ac:dyDescent="0.3">
      <c r="A633" t="str">
        <f>""</f>
        <v/>
      </c>
      <c r="F633" t="str">
        <f>"12608"</f>
        <v>12608</v>
      </c>
      <c r="G633" t="str">
        <f>"SERVICE  03/02/2018"</f>
        <v>SERVICE  03/02/2018</v>
      </c>
      <c r="H633">
        <v>80</v>
      </c>
      <c r="I633" t="str">
        <f>"SERVICE  03/02/2018"</f>
        <v>SERVICE  03/02/2018</v>
      </c>
    </row>
    <row r="634" spans="1:9" x14ac:dyDescent="0.3">
      <c r="A634" t="str">
        <f>""</f>
        <v/>
      </c>
      <c r="F634" t="str">
        <f>"12692"</f>
        <v>12692</v>
      </c>
      <c r="G634" t="str">
        <f>"SERVICE  02/26/2018"</f>
        <v>SERVICE  02/26/2018</v>
      </c>
      <c r="H634">
        <v>80</v>
      </c>
      <c r="I634" t="str">
        <f>"SERVICE  02/26/2018"</f>
        <v>SERVICE  02/26/2018</v>
      </c>
    </row>
    <row r="635" spans="1:9" x14ac:dyDescent="0.3">
      <c r="A635" t="str">
        <f>""</f>
        <v/>
      </c>
      <c r="F635" t="str">
        <f>"12861"</f>
        <v>12861</v>
      </c>
      <c r="G635" t="str">
        <f>"SERVICE  02/28/18"</f>
        <v>SERVICE  02/28/18</v>
      </c>
      <c r="H635">
        <v>80</v>
      </c>
      <c r="I635" t="str">
        <f>"SERVICE  02/28/18"</f>
        <v>SERVICE  02/28/18</v>
      </c>
    </row>
    <row r="636" spans="1:9" x14ac:dyDescent="0.3">
      <c r="A636" t="str">
        <f>""</f>
        <v/>
      </c>
      <c r="F636" t="str">
        <f>"12904"</f>
        <v>12904</v>
      </c>
      <c r="G636" t="str">
        <f>"SERVICE  03/19/2018"</f>
        <v>SERVICE  03/19/2018</v>
      </c>
      <c r="H636">
        <v>80</v>
      </c>
      <c r="I636" t="str">
        <f>"SERVICE  03/19/2018"</f>
        <v>SERVICE  03/19/2018</v>
      </c>
    </row>
    <row r="637" spans="1:9" x14ac:dyDescent="0.3">
      <c r="A637" t="str">
        <f>"BROOKS"</f>
        <v>BROOKS</v>
      </c>
      <c r="B637" t="s">
        <v>147</v>
      </c>
      <c r="C637">
        <v>76610</v>
      </c>
      <c r="D637" s="2">
        <v>100</v>
      </c>
      <c r="E637" s="1">
        <v>43234</v>
      </c>
      <c r="F637" t="str">
        <f>"201805020508"</f>
        <v>201805020508</v>
      </c>
      <c r="G637" t="str">
        <f>"LEGAL CONSULT SVCS-APRIL 2018"</f>
        <v>LEGAL CONSULT SVCS-APRIL 2018</v>
      </c>
      <c r="H637">
        <v>100</v>
      </c>
      <c r="I637" t="str">
        <f>"LEGAL CONSULT SVCS-APRIL 2018"</f>
        <v>LEGAL CONSULT SVCS-APRIL 2018</v>
      </c>
    </row>
    <row r="638" spans="1:9" x14ac:dyDescent="0.3">
      <c r="A638" t="str">
        <f>"004966"</f>
        <v>004966</v>
      </c>
      <c r="B638" t="s">
        <v>148</v>
      </c>
      <c r="C638">
        <v>76611</v>
      </c>
      <c r="D638" s="2">
        <v>632.75</v>
      </c>
      <c r="E638" s="1">
        <v>43234</v>
      </c>
      <c r="F638" t="str">
        <f>"201805090981"</f>
        <v>201805090981</v>
      </c>
      <c r="G638" t="str">
        <f>"INDIGENT HEALTH"</f>
        <v>INDIGENT HEALTH</v>
      </c>
      <c r="H638">
        <v>632.75</v>
      </c>
      <c r="I638" t="str">
        <f>"INDIGENT HEALTH"</f>
        <v>INDIGENT HEALTH</v>
      </c>
    </row>
    <row r="639" spans="1:9" x14ac:dyDescent="0.3">
      <c r="A639" t="str">
        <f>"003335"</f>
        <v>003335</v>
      </c>
      <c r="B639" t="s">
        <v>149</v>
      </c>
      <c r="C639">
        <v>999999</v>
      </c>
      <c r="D639" s="2">
        <v>430</v>
      </c>
      <c r="E639" s="1">
        <v>43235</v>
      </c>
      <c r="F639" t="str">
        <f>"201805040800"</f>
        <v>201805040800</v>
      </c>
      <c r="G639" t="str">
        <f>"18-18877"</f>
        <v>18-18877</v>
      </c>
      <c r="H639">
        <v>430</v>
      </c>
      <c r="I639" t="str">
        <f>"18-18877"</f>
        <v>18-18877</v>
      </c>
    </row>
    <row r="640" spans="1:9" x14ac:dyDescent="0.3">
      <c r="A640" t="str">
        <f>"003335"</f>
        <v>003335</v>
      </c>
      <c r="B640" t="s">
        <v>149</v>
      </c>
      <c r="C640">
        <v>999999</v>
      </c>
      <c r="D640" s="2">
        <v>557.5</v>
      </c>
      <c r="E640" s="1">
        <v>43250</v>
      </c>
      <c r="F640" t="str">
        <f>"201805221135"</f>
        <v>201805221135</v>
      </c>
      <c r="G640" t="str">
        <f>"17-18754"</f>
        <v>17-18754</v>
      </c>
      <c r="H640">
        <v>112.5</v>
      </c>
      <c r="I640" t="str">
        <f>"17-18754"</f>
        <v>17-18754</v>
      </c>
    </row>
    <row r="641" spans="1:9" x14ac:dyDescent="0.3">
      <c r="A641" t="str">
        <f>""</f>
        <v/>
      </c>
      <c r="F641" t="str">
        <f>"201805221136"</f>
        <v>201805221136</v>
      </c>
      <c r="G641" t="str">
        <f>"16-17591"</f>
        <v>16-17591</v>
      </c>
      <c r="H641">
        <v>82.5</v>
      </c>
      <c r="I641" t="str">
        <f>"16-17591"</f>
        <v>16-17591</v>
      </c>
    </row>
    <row r="642" spans="1:9" x14ac:dyDescent="0.3">
      <c r="A642" t="str">
        <f>""</f>
        <v/>
      </c>
      <c r="F642" t="str">
        <f>"201805221137"</f>
        <v>201805221137</v>
      </c>
      <c r="G642" t="str">
        <f>"16-17819"</f>
        <v>16-17819</v>
      </c>
      <c r="H642">
        <v>67.5</v>
      </c>
      <c r="I642" t="str">
        <f>"16-17819"</f>
        <v>16-17819</v>
      </c>
    </row>
    <row r="643" spans="1:9" x14ac:dyDescent="0.3">
      <c r="A643" t="str">
        <f>""</f>
        <v/>
      </c>
      <c r="F643" t="str">
        <f>"201805221138"</f>
        <v>201805221138</v>
      </c>
      <c r="G643" t="str">
        <f>"18-18941"</f>
        <v>18-18941</v>
      </c>
      <c r="H643">
        <v>115</v>
      </c>
      <c r="I643" t="str">
        <f>"18-18941"</f>
        <v>18-18941</v>
      </c>
    </row>
    <row r="644" spans="1:9" x14ac:dyDescent="0.3">
      <c r="A644" t="str">
        <f>""</f>
        <v/>
      </c>
      <c r="F644" t="str">
        <f>"201805221139"</f>
        <v>201805221139</v>
      </c>
      <c r="G644" t="str">
        <f>"16-18043"</f>
        <v>16-18043</v>
      </c>
      <c r="H644">
        <v>180</v>
      </c>
      <c r="I644" t="str">
        <f>"16-18043"</f>
        <v>16-18043</v>
      </c>
    </row>
    <row r="645" spans="1:9" x14ac:dyDescent="0.3">
      <c r="A645" t="str">
        <f>"DELL"</f>
        <v>DELL</v>
      </c>
      <c r="B645" t="s">
        <v>150</v>
      </c>
      <c r="C645">
        <v>76612</v>
      </c>
      <c r="D645" s="2">
        <v>13199.46</v>
      </c>
      <c r="E645" s="1">
        <v>43234</v>
      </c>
      <c r="F645" t="str">
        <f>"1022859157516"</f>
        <v>1022859157516</v>
      </c>
      <c r="G645" t="str">
        <f>"MONITOR"</f>
        <v>MONITOR</v>
      </c>
      <c r="H645">
        <v>197.59</v>
      </c>
      <c r="I645" t="str">
        <f>"MONITOR"</f>
        <v>MONITOR</v>
      </c>
    </row>
    <row r="646" spans="1:9" x14ac:dyDescent="0.3">
      <c r="A646" t="str">
        <f>""</f>
        <v/>
      </c>
      <c r="F646" t="str">
        <f>"10236604501"</f>
        <v>10236604501</v>
      </c>
      <c r="G646" t="str">
        <f>"Micro and Monitor"</f>
        <v>Micro and Monitor</v>
      </c>
      <c r="H646">
        <v>1011.38</v>
      </c>
      <c r="I646" t="str">
        <f>"OptiPlex 7050 MFF"</f>
        <v>OptiPlex 7050 MFF</v>
      </c>
    </row>
    <row r="647" spans="1:9" x14ac:dyDescent="0.3">
      <c r="A647" t="str">
        <f>""</f>
        <v/>
      </c>
      <c r="F647" t="str">
        <f>""</f>
        <v/>
      </c>
      <c r="G647" t="str">
        <f>""</f>
        <v/>
      </c>
      <c r="I647" t="str">
        <f>"Premier Discount"</f>
        <v>Premier Discount</v>
      </c>
    </row>
    <row r="648" spans="1:9" x14ac:dyDescent="0.3">
      <c r="A648" t="str">
        <f>""</f>
        <v/>
      </c>
      <c r="F648" t="str">
        <f>""</f>
        <v/>
      </c>
      <c r="G648" t="str">
        <f>""</f>
        <v/>
      </c>
      <c r="I648" t="str">
        <f>"Dell UltraSharp 24"</f>
        <v>Dell UltraSharp 24</v>
      </c>
    </row>
    <row r="649" spans="1:9" x14ac:dyDescent="0.3">
      <c r="A649" t="str">
        <f>""</f>
        <v/>
      </c>
      <c r="F649" t="str">
        <f>""</f>
        <v/>
      </c>
      <c r="G649" t="str">
        <f>""</f>
        <v/>
      </c>
      <c r="I649" t="str">
        <f>"Premier Discount"</f>
        <v>Premier Discount</v>
      </c>
    </row>
    <row r="650" spans="1:9" x14ac:dyDescent="0.3">
      <c r="A650" t="str">
        <f>""</f>
        <v/>
      </c>
      <c r="F650" t="str">
        <f>"10238291036"</f>
        <v>10238291036</v>
      </c>
      <c r="G650" t="str">
        <f>"MONITORS FOR XPS LAPTOPS"</f>
        <v>MONITORS FOR XPS LAPTOPS</v>
      </c>
      <c r="H650">
        <v>1595.94</v>
      </c>
      <c r="I650" t="str">
        <f>"MONITORS - XPS"</f>
        <v>MONITORS - XPS</v>
      </c>
    </row>
    <row r="651" spans="1:9" x14ac:dyDescent="0.3">
      <c r="A651" t="str">
        <f>""</f>
        <v/>
      </c>
      <c r="F651" t="str">
        <f>"10239084403"</f>
        <v>10239084403</v>
      </c>
      <c r="G651" t="str">
        <f>"XPS COMPUTERS"</f>
        <v>XPS COMPUTERS</v>
      </c>
      <c r="H651">
        <v>4683.78</v>
      </c>
      <c r="I651" t="str">
        <f>"XPS 13 SILVER TOUCH"</f>
        <v>XPS 13 SILVER TOUCH</v>
      </c>
    </row>
    <row r="652" spans="1:9" x14ac:dyDescent="0.3">
      <c r="A652" t="str">
        <f>""</f>
        <v/>
      </c>
      <c r="F652" t="str">
        <f>""</f>
        <v/>
      </c>
      <c r="G652" t="str">
        <f>""</f>
        <v/>
      </c>
      <c r="I652" t="str">
        <f>"THUNDERBOLT DOCK"</f>
        <v>THUNDERBOLT DOCK</v>
      </c>
    </row>
    <row r="653" spans="1:9" x14ac:dyDescent="0.3">
      <c r="A653" t="str">
        <f>""</f>
        <v/>
      </c>
      <c r="F653" t="str">
        <f>"10239673444"</f>
        <v>10239673444</v>
      </c>
      <c r="G653" t="str">
        <f>"Election Computers"</f>
        <v>Election Computers</v>
      </c>
      <c r="H653">
        <v>5710.77</v>
      </c>
      <c r="I653" t="str">
        <f>"Optiplex 7050 SFF"</f>
        <v>Optiplex 7050 SFF</v>
      </c>
    </row>
    <row r="654" spans="1:9" x14ac:dyDescent="0.3">
      <c r="A654" t="str">
        <f>""</f>
        <v/>
      </c>
      <c r="F654" t="str">
        <f>""</f>
        <v/>
      </c>
      <c r="G654" t="str">
        <f>""</f>
        <v/>
      </c>
      <c r="I654" t="str">
        <f>"Dual Monitor Stand"</f>
        <v>Dual Monitor Stand</v>
      </c>
    </row>
    <row r="655" spans="1:9" x14ac:dyDescent="0.3">
      <c r="A655" t="str">
        <f>""</f>
        <v/>
      </c>
      <c r="F655" t="str">
        <f>""</f>
        <v/>
      </c>
      <c r="G655" t="str">
        <f>""</f>
        <v/>
      </c>
      <c r="I655" t="str">
        <f>"Monitor-P2717H"</f>
        <v>Monitor-P2717H</v>
      </c>
    </row>
    <row r="656" spans="1:9" x14ac:dyDescent="0.3">
      <c r="A656" t="str">
        <f>""</f>
        <v/>
      </c>
      <c r="F656" t="str">
        <f>""</f>
        <v/>
      </c>
      <c r="G656" t="str">
        <f>""</f>
        <v/>
      </c>
      <c r="I656" t="str">
        <f>"Sound Bar-AE515"</f>
        <v>Sound Bar-AE515</v>
      </c>
    </row>
    <row r="657" spans="1:10" x14ac:dyDescent="0.3">
      <c r="A657" t="str">
        <f>"DELL"</f>
        <v>DELL</v>
      </c>
      <c r="B657" t="s">
        <v>150</v>
      </c>
      <c r="C657">
        <v>76880</v>
      </c>
      <c r="D657" s="2">
        <v>859.2</v>
      </c>
      <c r="E657" s="1">
        <v>43249</v>
      </c>
      <c r="F657" t="str">
        <f>"10236375385"</f>
        <v>10236375385</v>
      </c>
      <c r="G657" t="str">
        <f>"2 docking stations USB"</f>
        <v>2 docking stations USB</v>
      </c>
      <c r="H657">
        <v>290.68</v>
      </c>
      <c r="I657" t="str">
        <f>"Dell Docking Station"</f>
        <v>Dell Docking Station</v>
      </c>
    </row>
    <row r="658" spans="1:10" x14ac:dyDescent="0.3">
      <c r="A658" t="str">
        <f>""</f>
        <v/>
      </c>
      <c r="F658" t="str">
        <f>""</f>
        <v/>
      </c>
      <c r="G658" t="str">
        <f>""</f>
        <v/>
      </c>
      <c r="I658" t="str">
        <f>"Premier Discount"</f>
        <v>Premier Discount</v>
      </c>
    </row>
    <row r="659" spans="1:10" x14ac:dyDescent="0.3">
      <c r="A659" t="str">
        <f>""</f>
        <v/>
      </c>
      <c r="F659" t="str">
        <f>"10240760289"</f>
        <v>10240760289</v>
      </c>
      <c r="G659" t="str">
        <f>"IT Accessories"</f>
        <v>IT Accessories</v>
      </c>
      <c r="H659">
        <v>568.52</v>
      </c>
      <c r="I659" t="str">
        <f>" Part# : VK905"</f>
        <v xml:space="preserve"> Part# : VK905</v>
      </c>
    </row>
    <row r="660" spans="1:10" x14ac:dyDescent="0.3">
      <c r="A660" t="str">
        <f>""</f>
        <v/>
      </c>
      <c r="F660" t="str">
        <f>""</f>
        <v/>
      </c>
      <c r="G660" t="str">
        <f>""</f>
        <v/>
      </c>
      <c r="I660" t="str">
        <f>"Part# : H24R2"</f>
        <v>Part# : H24R2</v>
      </c>
    </row>
    <row r="661" spans="1:10" x14ac:dyDescent="0.3">
      <c r="A661" t="str">
        <f>""</f>
        <v/>
      </c>
      <c r="F661" t="str">
        <f>""</f>
        <v/>
      </c>
      <c r="G661" t="str">
        <f>""</f>
        <v/>
      </c>
      <c r="I661" t="str">
        <f>"Part# : 5TPP7"</f>
        <v>Part# : 5TPP7</v>
      </c>
    </row>
    <row r="662" spans="1:10" x14ac:dyDescent="0.3">
      <c r="A662" t="str">
        <f>"DENTRU"</f>
        <v>DENTRU</v>
      </c>
      <c r="B662" t="s">
        <v>151</v>
      </c>
      <c r="C662">
        <v>999999</v>
      </c>
      <c r="D662" s="2">
        <v>2265</v>
      </c>
      <c r="E662" s="1">
        <v>43250</v>
      </c>
      <c r="F662" t="str">
        <f>"18-20115"</f>
        <v>18-20115</v>
      </c>
      <c r="G662" t="str">
        <f>"INV BATX015366"</f>
        <v>INV BATX015366</v>
      </c>
      <c r="H662">
        <v>2265</v>
      </c>
      <c r="I662" t="str">
        <f>"INV BATX015366"</f>
        <v>INV BATX015366</v>
      </c>
    </row>
    <row r="663" spans="1:10" x14ac:dyDescent="0.3">
      <c r="A663" t="str">
        <f>"T5686"</f>
        <v>T5686</v>
      </c>
      <c r="B663" t="s">
        <v>152</v>
      </c>
      <c r="C663">
        <v>76613</v>
      </c>
      <c r="D663" s="2">
        <v>178.65</v>
      </c>
      <c r="E663" s="1">
        <v>43234</v>
      </c>
      <c r="F663" t="str">
        <f>"24392"</f>
        <v>24392</v>
      </c>
      <c r="G663" t="str">
        <f>"DUPLICATE KEYS/GEN SVCS"</f>
        <v>DUPLICATE KEYS/GEN SVCS</v>
      </c>
      <c r="H663">
        <v>50</v>
      </c>
      <c r="I663" t="str">
        <f>"DUPLICATE KEYS/GEN SVCS"</f>
        <v>DUPLICATE KEYS/GEN SVCS</v>
      </c>
    </row>
    <row r="664" spans="1:10" x14ac:dyDescent="0.3">
      <c r="A664" t="str">
        <f>""</f>
        <v/>
      </c>
      <c r="F664" t="str">
        <f>"24414"</f>
        <v>24414</v>
      </c>
      <c r="G664" t="str">
        <f>"KEY RINGS/BELT CLIP/GEN SVCS"</f>
        <v>KEY RINGS/BELT CLIP/GEN SVCS</v>
      </c>
      <c r="H664">
        <v>33.65</v>
      </c>
      <c r="I664" t="str">
        <f>"KEY RINGS/BELT CLIP/GEN SVCS"</f>
        <v>KEY RINGS/BELT CLIP/GEN SVCS</v>
      </c>
    </row>
    <row r="665" spans="1:10" x14ac:dyDescent="0.3">
      <c r="A665" t="str">
        <f>""</f>
        <v/>
      </c>
      <c r="F665" t="str">
        <f>"24427"</f>
        <v>24427</v>
      </c>
      <c r="G665" t="str">
        <f>"DUPLICATE KEYS/PCT#1"</f>
        <v>DUPLICATE KEYS/PCT#1</v>
      </c>
      <c r="H665">
        <v>75</v>
      </c>
      <c r="I665" t="str">
        <f>"DUPLICATE KEYS/PCT#1"</f>
        <v>DUPLICATE KEYS/PCT#1</v>
      </c>
    </row>
    <row r="666" spans="1:10" x14ac:dyDescent="0.3">
      <c r="A666" t="str">
        <f>""</f>
        <v/>
      </c>
      <c r="F666" t="str">
        <f>"24440"</f>
        <v>24440</v>
      </c>
      <c r="G666" t="str">
        <f>"INV 24440"</f>
        <v>INV 24440</v>
      </c>
      <c r="H666">
        <v>20</v>
      </c>
      <c r="I666" t="str">
        <f>"INV 24440"</f>
        <v>INV 24440</v>
      </c>
    </row>
    <row r="667" spans="1:10" x14ac:dyDescent="0.3">
      <c r="A667" t="str">
        <f>"002606"</f>
        <v>002606</v>
      </c>
      <c r="B667" t="s">
        <v>153</v>
      </c>
      <c r="C667">
        <v>76881</v>
      </c>
      <c r="D667" s="2">
        <v>75</v>
      </c>
      <c r="E667" s="1">
        <v>43249</v>
      </c>
      <c r="F667" t="s">
        <v>59</v>
      </c>
      <c r="G667" t="s">
        <v>154</v>
      </c>
      <c r="H667" t="str">
        <f>"SERVICE  03/28/18"</f>
        <v>SERVICE  03/28/18</v>
      </c>
      <c r="I667" t="str">
        <f>"995-4110"</f>
        <v>995-4110</v>
      </c>
      <c r="J667" t="str">
        <f>""</f>
        <v/>
      </c>
    </row>
    <row r="668" spans="1:10" x14ac:dyDescent="0.3">
      <c r="A668" t="str">
        <f>"001911"</f>
        <v>001911</v>
      </c>
      <c r="B668" t="s">
        <v>155</v>
      </c>
      <c r="C668">
        <v>76614</v>
      </c>
      <c r="D668" s="2">
        <v>2394.7600000000002</v>
      </c>
      <c r="E668" s="1">
        <v>43234</v>
      </c>
      <c r="F668" t="str">
        <f>"18031120N"</f>
        <v>18031120N</v>
      </c>
      <c r="G668" t="str">
        <f>"PAYEE#33133133133000/PKE5000"</f>
        <v>PAYEE#33133133133000/PKE5000</v>
      </c>
      <c r="H668">
        <v>2394.7600000000002</v>
      </c>
      <c r="I668" t="str">
        <f>"PAYEE#33133133133000/PKE5000"</f>
        <v>PAYEE#33133133133000/PKE5000</v>
      </c>
    </row>
    <row r="669" spans="1:10" x14ac:dyDescent="0.3">
      <c r="A669" t="str">
        <f>""</f>
        <v/>
      </c>
      <c r="F669" t="str">
        <f>""</f>
        <v/>
      </c>
      <c r="G669" t="str">
        <f>""</f>
        <v/>
      </c>
      <c r="I669" t="str">
        <f>"PAYEE#33133133133000/PKE5000"</f>
        <v>PAYEE#33133133133000/PKE5000</v>
      </c>
    </row>
    <row r="670" spans="1:10" x14ac:dyDescent="0.3">
      <c r="A670" t="str">
        <f>"001911"</f>
        <v>001911</v>
      </c>
      <c r="B670" t="s">
        <v>155</v>
      </c>
      <c r="C670">
        <v>76882</v>
      </c>
      <c r="D670" s="2">
        <v>2245.11</v>
      </c>
      <c r="E670" s="1">
        <v>43249</v>
      </c>
      <c r="F670" t="str">
        <f>"18041120N"</f>
        <v>18041120N</v>
      </c>
      <c r="G670" t="str">
        <f>"CUST#PKE5000/4/01-4/30"</f>
        <v>CUST#PKE5000/4/01-4/30</v>
      </c>
      <c r="H670">
        <v>2245.11</v>
      </c>
      <c r="I670" t="str">
        <f>"CUST#PKE5000/4/01-4/30"</f>
        <v>CUST#PKE5000/4/01-4/30</v>
      </c>
    </row>
    <row r="671" spans="1:10" x14ac:dyDescent="0.3">
      <c r="A671" t="str">
        <f>""</f>
        <v/>
      </c>
      <c r="F671" t="str">
        <f>""</f>
        <v/>
      </c>
      <c r="G671" t="str">
        <f>""</f>
        <v/>
      </c>
      <c r="I671" t="str">
        <f>"CUST#PKE5000/4/01-4/30"</f>
        <v>CUST#PKE5000/4/01-4/30</v>
      </c>
    </row>
    <row r="672" spans="1:10" x14ac:dyDescent="0.3">
      <c r="A672" t="str">
        <f>"000573"</f>
        <v>000573</v>
      </c>
      <c r="B672" t="s">
        <v>156</v>
      </c>
      <c r="C672">
        <v>76615</v>
      </c>
      <c r="D672" s="2">
        <v>121.9</v>
      </c>
      <c r="E672" s="1">
        <v>43234</v>
      </c>
      <c r="F672" t="str">
        <f>"97052"</f>
        <v>97052</v>
      </c>
      <c r="G672" t="str">
        <f>"FLAT BAR/ANGLE/PCT#3"</f>
        <v>FLAT BAR/ANGLE/PCT#3</v>
      </c>
      <c r="H672">
        <v>121.9</v>
      </c>
      <c r="I672" t="str">
        <f>"FLAT BAR/ANGLE/PCT#3"</f>
        <v>FLAT BAR/ANGLE/PCT#3</v>
      </c>
    </row>
    <row r="673" spans="1:9" x14ac:dyDescent="0.3">
      <c r="A673" t="str">
        <f>"002218"</f>
        <v>002218</v>
      </c>
      <c r="B673" t="s">
        <v>157</v>
      </c>
      <c r="C673">
        <v>76616</v>
      </c>
      <c r="D673" s="2">
        <v>90</v>
      </c>
      <c r="E673" s="1">
        <v>43234</v>
      </c>
      <c r="F673" t="str">
        <f>"201804250456"</f>
        <v>201804250456</v>
      </c>
      <c r="G673" t="str">
        <f>"PER DIEM"</f>
        <v>PER DIEM</v>
      </c>
      <c r="H673">
        <v>90</v>
      </c>
      <c r="I673" t="str">
        <f>"PER DIEM"</f>
        <v>PER DIEM</v>
      </c>
    </row>
    <row r="674" spans="1:9" x14ac:dyDescent="0.3">
      <c r="A674" t="str">
        <f>"002218"</f>
        <v>002218</v>
      </c>
      <c r="B674" t="s">
        <v>157</v>
      </c>
      <c r="C674">
        <v>76883</v>
      </c>
      <c r="D674" s="2">
        <v>135.16</v>
      </c>
      <c r="E674" s="1">
        <v>43249</v>
      </c>
      <c r="F674" t="str">
        <f>"201805211096"</f>
        <v>201805211096</v>
      </c>
      <c r="G674" t="str">
        <f>"REIMBURSE HOTEL CHARGES"</f>
        <v>REIMBURSE HOTEL CHARGES</v>
      </c>
      <c r="H674">
        <v>135.16</v>
      </c>
      <c r="I674" t="str">
        <f>"REIMBURSE HOTEL CHARGES"</f>
        <v>REIMBURSE HOTEL CHARGES</v>
      </c>
    </row>
    <row r="675" spans="1:9" x14ac:dyDescent="0.3">
      <c r="A675" t="str">
        <f>"004924"</f>
        <v>004924</v>
      </c>
      <c r="B675" t="s">
        <v>158</v>
      </c>
      <c r="C675">
        <v>76826</v>
      </c>
      <c r="D675" s="2">
        <v>2248.1999999999998</v>
      </c>
      <c r="E675" s="1">
        <v>43244</v>
      </c>
      <c r="F675" t="str">
        <f>"201805241191"</f>
        <v>201805241191</v>
      </c>
      <c r="G675" t="str">
        <f>"ACCT#405900029213/06302018"</f>
        <v>ACCT#405900029213/06302018</v>
      </c>
      <c r="H675">
        <v>1124.0999999999999</v>
      </c>
      <c r="I675" t="str">
        <f>"ACCT#405900029213/06302018"</f>
        <v>ACCT#405900029213/06302018</v>
      </c>
    </row>
    <row r="676" spans="1:9" x14ac:dyDescent="0.3">
      <c r="A676" t="str">
        <f>""</f>
        <v/>
      </c>
      <c r="F676" t="str">
        <f>"201805241192"</f>
        <v>201805241192</v>
      </c>
      <c r="G676" t="str">
        <f>"ACCT#405900029225/06302018"</f>
        <v>ACCT#405900029225/06302018</v>
      </c>
      <c r="H676">
        <v>562.04999999999995</v>
      </c>
      <c r="I676" t="str">
        <f>"ACCT#405900029225/06302018"</f>
        <v>ACCT#405900029225/06302018</v>
      </c>
    </row>
    <row r="677" spans="1:9" x14ac:dyDescent="0.3">
      <c r="A677" t="str">
        <f>""</f>
        <v/>
      </c>
      <c r="F677" t="str">
        <f>"201805241193"</f>
        <v>201805241193</v>
      </c>
      <c r="G677" t="str">
        <f>"ACCT#405900028789/06302018"</f>
        <v>ACCT#405900028789/06302018</v>
      </c>
      <c r="H677">
        <v>562.04999999999995</v>
      </c>
      <c r="I677" t="str">
        <f>"ACCT#405900028789/06302018"</f>
        <v>ACCT#405900028789/06302018</v>
      </c>
    </row>
    <row r="678" spans="1:9" x14ac:dyDescent="0.3">
      <c r="A678" t="str">
        <f>"005299"</f>
        <v>005299</v>
      </c>
      <c r="B678" t="s">
        <v>159</v>
      </c>
      <c r="C678">
        <v>76884</v>
      </c>
      <c r="D678" s="2">
        <v>1159</v>
      </c>
      <c r="E678" s="1">
        <v>43249</v>
      </c>
      <c r="F678" t="str">
        <f>"28201A"</f>
        <v>28201A</v>
      </c>
      <c r="G678" t="str">
        <f>"INV 28201A"</f>
        <v>INV 28201A</v>
      </c>
      <c r="H678">
        <v>1159</v>
      </c>
      <c r="I678" t="str">
        <f>"INV 28201A"</f>
        <v>INV 28201A</v>
      </c>
    </row>
    <row r="679" spans="1:9" x14ac:dyDescent="0.3">
      <c r="A679" t="str">
        <f>"T9323"</f>
        <v>T9323</v>
      </c>
      <c r="B679" t="s">
        <v>160</v>
      </c>
      <c r="C679">
        <v>999999</v>
      </c>
      <c r="D679" s="2">
        <v>5574</v>
      </c>
      <c r="E679" s="1">
        <v>43235</v>
      </c>
      <c r="F679" t="str">
        <f>"201804250446"</f>
        <v>201804250446</v>
      </c>
      <c r="G679" t="str">
        <f>"423-2529"</f>
        <v>423-2529</v>
      </c>
      <c r="H679">
        <v>150</v>
      </c>
      <c r="I679" t="str">
        <f>"423-2529"</f>
        <v>423-2529</v>
      </c>
    </row>
    <row r="680" spans="1:9" x14ac:dyDescent="0.3">
      <c r="A680" t="str">
        <f>""</f>
        <v/>
      </c>
      <c r="F680" t="str">
        <f>"201804250447"</f>
        <v>201804250447</v>
      </c>
      <c r="G680" t="str">
        <f>"423 767"</f>
        <v>423 767</v>
      </c>
      <c r="H680">
        <v>100</v>
      </c>
      <c r="I680" t="str">
        <f>"423 767"</f>
        <v>423 767</v>
      </c>
    </row>
    <row r="681" spans="1:9" x14ac:dyDescent="0.3">
      <c r="A681" t="str">
        <f>""</f>
        <v/>
      </c>
      <c r="F681" t="str">
        <f>"201804250448"</f>
        <v>201804250448</v>
      </c>
      <c r="G681" t="str">
        <f>"423-3547"</f>
        <v>423-3547</v>
      </c>
      <c r="H681">
        <v>100</v>
      </c>
      <c r="I681" t="str">
        <f>"423-3547"</f>
        <v>423-3547</v>
      </c>
    </row>
    <row r="682" spans="1:9" x14ac:dyDescent="0.3">
      <c r="A682" t="str">
        <f>""</f>
        <v/>
      </c>
      <c r="F682" t="str">
        <f>"201804250449"</f>
        <v>201804250449</v>
      </c>
      <c r="G682" t="str">
        <f>"15349"</f>
        <v>15349</v>
      </c>
      <c r="H682">
        <v>400</v>
      </c>
      <c r="I682" t="str">
        <f>"15349"</f>
        <v>15349</v>
      </c>
    </row>
    <row r="683" spans="1:9" x14ac:dyDescent="0.3">
      <c r="A683" t="str">
        <f>""</f>
        <v/>
      </c>
      <c r="F683" t="str">
        <f>"201804250450"</f>
        <v>201804250450</v>
      </c>
      <c r="G683" t="str">
        <f>"749-335"</f>
        <v>749-335</v>
      </c>
      <c r="H683">
        <v>100</v>
      </c>
      <c r="I683" t="str">
        <f>"749-335"</f>
        <v>749-335</v>
      </c>
    </row>
    <row r="684" spans="1:9" x14ac:dyDescent="0.3">
      <c r="A684" t="str">
        <f>""</f>
        <v/>
      </c>
      <c r="F684" t="str">
        <f>"201804250451"</f>
        <v>201804250451</v>
      </c>
      <c r="G684" t="str">
        <f>"15702"</f>
        <v>15702</v>
      </c>
      <c r="H684">
        <v>400</v>
      </c>
      <c r="I684" t="str">
        <f>"15702"</f>
        <v>15702</v>
      </c>
    </row>
    <row r="685" spans="1:9" x14ac:dyDescent="0.3">
      <c r="A685" t="str">
        <f>""</f>
        <v/>
      </c>
      <c r="F685" t="str">
        <f>"201804250452"</f>
        <v>201804250452</v>
      </c>
      <c r="G685" t="str">
        <f>"16230"</f>
        <v>16230</v>
      </c>
      <c r="H685">
        <v>200</v>
      </c>
      <c r="I685" t="str">
        <f>"16230"</f>
        <v>16230</v>
      </c>
    </row>
    <row r="686" spans="1:9" x14ac:dyDescent="0.3">
      <c r="A686" t="str">
        <f>""</f>
        <v/>
      </c>
      <c r="F686" t="str">
        <f>"201804250453"</f>
        <v>201804250453</v>
      </c>
      <c r="G686" t="str">
        <f>"16079"</f>
        <v>16079</v>
      </c>
      <c r="H686">
        <v>600</v>
      </c>
      <c r="I686" t="str">
        <f>"16079"</f>
        <v>16079</v>
      </c>
    </row>
    <row r="687" spans="1:9" x14ac:dyDescent="0.3">
      <c r="A687" t="str">
        <f>""</f>
        <v/>
      </c>
      <c r="F687" t="str">
        <f>"201804250454"</f>
        <v>201804250454</v>
      </c>
      <c r="G687" t="str">
        <f>"423-5657"</f>
        <v>423-5657</v>
      </c>
      <c r="H687">
        <v>100</v>
      </c>
      <c r="I687" t="str">
        <f>"423-5657"</f>
        <v>423-5657</v>
      </c>
    </row>
    <row r="688" spans="1:9" x14ac:dyDescent="0.3">
      <c r="A688" t="str">
        <f>""</f>
        <v/>
      </c>
      <c r="F688" t="str">
        <f>"201804250455"</f>
        <v>201804250455</v>
      </c>
      <c r="G688" t="str">
        <f>"753-21 423-5656 752-21 751-21"</f>
        <v>753-21 423-5656 752-21 751-21</v>
      </c>
      <c r="H688">
        <v>500</v>
      </c>
      <c r="I688" t="str">
        <f>"753-21 423-5656 752-21 751-21"</f>
        <v>753-21 423-5656 752-21 751-21</v>
      </c>
    </row>
    <row r="689" spans="1:9" x14ac:dyDescent="0.3">
      <c r="A689" t="str">
        <f>""</f>
        <v/>
      </c>
      <c r="F689" t="str">
        <f>"201805040815"</f>
        <v>201805040815</v>
      </c>
      <c r="G689" t="str">
        <f>"18-18924"</f>
        <v>18-18924</v>
      </c>
      <c r="H689">
        <v>75</v>
      </c>
      <c r="I689" t="str">
        <f>"18-18924"</f>
        <v>18-18924</v>
      </c>
    </row>
    <row r="690" spans="1:9" x14ac:dyDescent="0.3">
      <c r="A690" t="str">
        <f>""</f>
        <v/>
      </c>
      <c r="F690" t="str">
        <f>"201805040816"</f>
        <v>201805040816</v>
      </c>
      <c r="G690" t="str">
        <f>"04-8662"</f>
        <v>04-8662</v>
      </c>
      <c r="H690">
        <v>100</v>
      </c>
      <c r="I690" t="str">
        <f>"04-8662"</f>
        <v>04-8662</v>
      </c>
    </row>
    <row r="691" spans="1:9" x14ac:dyDescent="0.3">
      <c r="A691" t="str">
        <f>""</f>
        <v/>
      </c>
      <c r="F691" t="str">
        <f>"201805040817"</f>
        <v>201805040817</v>
      </c>
      <c r="G691" t="str">
        <f>"06-10870"</f>
        <v>06-10870</v>
      </c>
      <c r="H691">
        <v>100</v>
      </c>
      <c r="I691" t="str">
        <f>"06-10870"</f>
        <v>06-10870</v>
      </c>
    </row>
    <row r="692" spans="1:9" x14ac:dyDescent="0.3">
      <c r="A692" t="str">
        <f>""</f>
        <v/>
      </c>
      <c r="F692" t="str">
        <f>"201805040818"</f>
        <v>201805040818</v>
      </c>
      <c r="G692" t="str">
        <f>"16-18053"</f>
        <v>16-18053</v>
      </c>
      <c r="H692">
        <v>100</v>
      </c>
      <c r="I692" t="str">
        <f>"16-18053"</f>
        <v>16-18053</v>
      </c>
    </row>
    <row r="693" spans="1:9" x14ac:dyDescent="0.3">
      <c r="A693" t="str">
        <f>""</f>
        <v/>
      </c>
      <c r="F693" t="str">
        <f>"201805040819"</f>
        <v>201805040819</v>
      </c>
      <c r="G693" t="str">
        <f>"310232017B  312232017C"</f>
        <v>310232017B  312232017C</v>
      </c>
      <c r="H693">
        <v>375</v>
      </c>
      <c r="I693" t="str">
        <f>"310232017B  312232017C"</f>
        <v>310232017B  312232017C</v>
      </c>
    </row>
    <row r="694" spans="1:9" x14ac:dyDescent="0.3">
      <c r="A694" t="str">
        <f>""</f>
        <v/>
      </c>
      <c r="F694" t="str">
        <f>"201805040820"</f>
        <v>201805040820</v>
      </c>
      <c r="G694" t="str">
        <f>"1JP13117C"</f>
        <v>1JP13117C</v>
      </c>
      <c r="H694">
        <v>250</v>
      </c>
      <c r="I694" t="str">
        <f>"1JP13117C"</f>
        <v>1JP13117C</v>
      </c>
    </row>
    <row r="695" spans="1:9" x14ac:dyDescent="0.3">
      <c r="A695" t="str">
        <f>""</f>
        <v/>
      </c>
      <c r="F695" t="str">
        <f>"201805040821"</f>
        <v>201805040821</v>
      </c>
      <c r="G695" t="str">
        <f>"55805"</f>
        <v>55805</v>
      </c>
      <c r="H695">
        <v>250</v>
      </c>
      <c r="I695" t="str">
        <f>"55805"</f>
        <v>55805</v>
      </c>
    </row>
    <row r="696" spans="1:9" x14ac:dyDescent="0.3">
      <c r="A696" t="str">
        <f>""</f>
        <v/>
      </c>
      <c r="F696" t="str">
        <f>"201805040822"</f>
        <v>201805040822</v>
      </c>
      <c r="G696" t="str">
        <f>"17-18617"</f>
        <v>17-18617</v>
      </c>
      <c r="H696">
        <v>175</v>
      </c>
      <c r="I696" t="str">
        <f>"17-18617"</f>
        <v>17-18617</v>
      </c>
    </row>
    <row r="697" spans="1:9" x14ac:dyDescent="0.3">
      <c r="A697" t="str">
        <f>""</f>
        <v/>
      </c>
      <c r="F697" t="str">
        <f>"201805040823"</f>
        <v>201805040823</v>
      </c>
      <c r="G697" t="str">
        <f>"18-18924"</f>
        <v>18-18924</v>
      </c>
      <c r="H697">
        <v>212</v>
      </c>
      <c r="I697" t="str">
        <f>"18-18924"</f>
        <v>18-18924</v>
      </c>
    </row>
    <row r="698" spans="1:9" x14ac:dyDescent="0.3">
      <c r="A698" t="str">
        <f>""</f>
        <v/>
      </c>
      <c r="F698" t="str">
        <f>"201805040824"</f>
        <v>201805040824</v>
      </c>
      <c r="G698" t="str">
        <f>"18-18854"</f>
        <v>18-18854</v>
      </c>
      <c r="H698">
        <v>250</v>
      </c>
      <c r="I698" t="str">
        <f>"18-18854"</f>
        <v>18-18854</v>
      </c>
    </row>
    <row r="699" spans="1:9" x14ac:dyDescent="0.3">
      <c r="A699" t="str">
        <f>""</f>
        <v/>
      </c>
      <c r="F699" t="str">
        <f>"201805040825"</f>
        <v>201805040825</v>
      </c>
      <c r="G699" t="str">
        <f>"60-13856"</f>
        <v>60-13856</v>
      </c>
      <c r="H699">
        <v>250</v>
      </c>
      <c r="I699" t="str">
        <f>"60-13856"</f>
        <v>60-13856</v>
      </c>
    </row>
    <row r="700" spans="1:9" x14ac:dyDescent="0.3">
      <c r="A700" t="str">
        <f>""</f>
        <v/>
      </c>
      <c r="F700" t="str">
        <f>"201805090940"</f>
        <v>201805090940</v>
      </c>
      <c r="G700" t="str">
        <f>"12-15082"</f>
        <v>12-15082</v>
      </c>
      <c r="H700">
        <v>362</v>
      </c>
      <c r="I700" t="str">
        <f>"12-15082"</f>
        <v>12-15082</v>
      </c>
    </row>
    <row r="701" spans="1:9" x14ac:dyDescent="0.3">
      <c r="A701" t="str">
        <f>""</f>
        <v/>
      </c>
      <c r="F701" t="str">
        <f>"201805090941"</f>
        <v>201805090941</v>
      </c>
      <c r="G701" t="str">
        <f>"J-3137"</f>
        <v>J-3137</v>
      </c>
      <c r="H701">
        <v>250</v>
      </c>
      <c r="I701" t="str">
        <f>"J-3137"</f>
        <v>J-3137</v>
      </c>
    </row>
    <row r="702" spans="1:9" x14ac:dyDescent="0.3">
      <c r="A702" t="str">
        <f>""</f>
        <v/>
      </c>
      <c r="F702" t="str">
        <f>"201805090947"</f>
        <v>201805090947</v>
      </c>
      <c r="G702" t="str">
        <f>"17-18493"</f>
        <v>17-18493</v>
      </c>
      <c r="H702">
        <v>175</v>
      </c>
      <c r="I702" t="str">
        <f>"17-18493"</f>
        <v>17-18493</v>
      </c>
    </row>
    <row r="703" spans="1:9" x14ac:dyDescent="0.3">
      <c r="A703" t="str">
        <f>"T9323"</f>
        <v>T9323</v>
      </c>
      <c r="B703" t="s">
        <v>160</v>
      </c>
      <c r="C703">
        <v>999999</v>
      </c>
      <c r="D703" s="2">
        <v>4775</v>
      </c>
      <c r="E703" s="1">
        <v>43250</v>
      </c>
      <c r="F703" t="str">
        <f>"201805161044"</f>
        <v>201805161044</v>
      </c>
      <c r="G703" t="str">
        <f>"16001"</f>
        <v>16001</v>
      </c>
      <c r="H703">
        <v>1150</v>
      </c>
      <c r="I703" t="str">
        <f>"16001"</f>
        <v>16001</v>
      </c>
    </row>
    <row r="704" spans="1:9" x14ac:dyDescent="0.3">
      <c r="A704" t="str">
        <f>""</f>
        <v/>
      </c>
      <c r="F704" t="str">
        <f>"201805161045"</f>
        <v>201805161045</v>
      </c>
      <c r="G704" t="str">
        <f>"16481"</f>
        <v>16481</v>
      </c>
      <c r="H704">
        <v>1250</v>
      </c>
      <c r="I704" t="str">
        <f>"16481"</f>
        <v>16481</v>
      </c>
    </row>
    <row r="705" spans="1:9" x14ac:dyDescent="0.3">
      <c r="A705" t="str">
        <f>""</f>
        <v/>
      </c>
      <c r="F705" t="str">
        <f>"201805171059"</f>
        <v>201805171059</v>
      </c>
      <c r="G705" t="str">
        <f>"16424"</f>
        <v>16424</v>
      </c>
      <c r="H705">
        <v>400</v>
      </c>
      <c r="I705" t="str">
        <f>"16424"</f>
        <v>16424</v>
      </c>
    </row>
    <row r="706" spans="1:9" x14ac:dyDescent="0.3">
      <c r="A706" t="str">
        <f>""</f>
        <v/>
      </c>
      <c r="F706" t="str">
        <f>"201805171060"</f>
        <v>201805171060</v>
      </c>
      <c r="G706" t="str">
        <f>"16497/302072018A"</f>
        <v>16497/302072018A</v>
      </c>
      <c r="H706">
        <v>600</v>
      </c>
      <c r="I706" t="str">
        <f>"16497/302072018A"</f>
        <v>16497/302072018A</v>
      </c>
    </row>
    <row r="707" spans="1:9" x14ac:dyDescent="0.3">
      <c r="A707" t="str">
        <f>""</f>
        <v/>
      </c>
      <c r="F707" t="str">
        <f>"201805231155"</f>
        <v>201805231155</v>
      </c>
      <c r="G707" t="str">
        <f>"302072018B  55937"</f>
        <v>302072018B  55937</v>
      </c>
      <c r="H707">
        <v>375</v>
      </c>
      <c r="I707" t="str">
        <f>"302072018B  55937"</f>
        <v>302072018B  55937</v>
      </c>
    </row>
    <row r="708" spans="1:9" x14ac:dyDescent="0.3">
      <c r="A708" t="str">
        <f>""</f>
        <v/>
      </c>
      <c r="F708" t="str">
        <f>"201805231156"</f>
        <v>201805231156</v>
      </c>
      <c r="G708" t="str">
        <f>"02-0406-3"</f>
        <v>02-0406-3</v>
      </c>
      <c r="H708">
        <v>250</v>
      </c>
      <c r="I708" t="str">
        <f>"02-0406-3"</f>
        <v>02-0406-3</v>
      </c>
    </row>
    <row r="709" spans="1:9" x14ac:dyDescent="0.3">
      <c r="A709" t="str">
        <f>""</f>
        <v/>
      </c>
      <c r="F709" t="str">
        <f>"201805231162"</f>
        <v>201805231162</v>
      </c>
      <c r="G709" t="str">
        <f>"55936"</f>
        <v>55936</v>
      </c>
      <c r="H709">
        <v>250</v>
      </c>
      <c r="I709" t="str">
        <f>"55936"</f>
        <v>55936</v>
      </c>
    </row>
    <row r="710" spans="1:9" x14ac:dyDescent="0.3">
      <c r="A710" t="str">
        <f>""</f>
        <v/>
      </c>
      <c r="F710" t="str">
        <f>"201805231163"</f>
        <v>201805231163</v>
      </c>
      <c r="G710" t="str">
        <f>"56043"</f>
        <v>56043</v>
      </c>
      <c r="H710">
        <v>250</v>
      </c>
      <c r="I710" t="str">
        <f>"56043"</f>
        <v>56043</v>
      </c>
    </row>
    <row r="711" spans="1:9" x14ac:dyDescent="0.3">
      <c r="A711" t="str">
        <f>""</f>
        <v/>
      </c>
      <c r="F711" t="str">
        <f>"201805231164"</f>
        <v>201805231164</v>
      </c>
      <c r="G711" t="str">
        <f>"55701"</f>
        <v>55701</v>
      </c>
      <c r="H711">
        <v>250</v>
      </c>
      <c r="I711" t="str">
        <f>"55701"</f>
        <v>55701</v>
      </c>
    </row>
    <row r="712" spans="1:9" x14ac:dyDescent="0.3">
      <c r="A712" t="str">
        <f>"DURAN"</f>
        <v>DURAN</v>
      </c>
      <c r="B712" t="s">
        <v>161</v>
      </c>
      <c r="C712">
        <v>76885</v>
      </c>
      <c r="D712" s="2">
        <v>2616</v>
      </c>
      <c r="E712" s="1">
        <v>43249</v>
      </c>
      <c r="F712" t="str">
        <f>"15-1063"</f>
        <v>15-1063</v>
      </c>
      <c r="G712" t="str">
        <f>"YD ROAD BASE/PCT#3"</f>
        <v>YD ROAD BASE/PCT#3</v>
      </c>
      <c r="H712">
        <v>2616</v>
      </c>
      <c r="I712" t="str">
        <f>"YD ROAD BASE/PCT#3"</f>
        <v>YD ROAD BASE/PCT#3</v>
      </c>
    </row>
    <row r="713" spans="1:9" x14ac:dyDescent="0.3">
      <c r="A713" t="str">
        <f>"005477"</f>
        <v>005477</v>
      </c>
      <c r="B713" t="s">
        <v>162</v>
      </c>
      <c r="C713">
        <v>76886</v>
      </c>
      <c r="D713" s="2">
        <v>400</v>
      </c>
      <c r="E713" s="1">
        <v>43249</v>
      </c>
      <c r="F713" t="str">
        <f>"201805241189"</f>
        <v>201805241189</v>
      </c>
      <c r="G713" t="str">
        <f>"2019 EARTHx EXHIBITOR - GOV"</f>
        <v>2019 EARTHx EXHIBITOR - GOV</v>
      </c>
      <c r="H713">
        <v>400</v>
      </c>
      <c r="I713" t="str">
        <f>"2019 EARTHx EXHIBITOR - GOV"</f>
        <v>2019 EARTHx EXHIBITOR - GOV</v>
      </c>
    </row>
    <row r="714" spans="1:9" x14ac:dyDescent="0.3">
      <c r="A714" t="str">
        <f>"ECOLAB"</f>
        <v>ECOLAB</v>
      </c>
      <c r="B714" t="s">
        <v>163</v>
      </c>
      <c r="C714">
        <v>999999</v>
      </c>
      <c r="D714" s="2">
        <v>596.88</v>
      </c>
      <c r="E714" s="1">
        <v>43235</v>
      </c>
      <c r="F714" t="str">
        <f>"9232652"</f>
        <v>9232652</v>
      </c>
      <c r="G714" t="str">
        <f>"INV 9232652"</f>
        <v>INV 9232652</v>
      </c>
      <c r="H714">
        <v>596.88</v>
      </c>
      <c r="I714" t="str">
        <f>"INV 9232652"</f>
        <v>INV 9232652</v>
      </c>
    </row>
    <row r="715" spans="1:9" x14ac:dyDescent="0.3">
      <c r="A715" t="str">
        <f>"ECOLAB"</f>
        <v>ECOLAB</v>
      </c>
      <c r="B715" t="s">
        <v>163</v>
      </c>
      <c r="C715">
        <v>999999</v>
      </c>
      <c r="D715" s="2">
        <v>1143.52</v>
      </c>
      <c r="E715" s="1">
        <v>43250</v>
      </c>
      <c r="F715" t="str">
        <f>"9588472"</f>
        <v>9588472</v>
      </c>
      <c r="G715" t="str">
        <f>"INV 9588472"</f>
        <v>INV 9588472</v>
      </c>
      <c r="H715">
        <v>1143.52</v>
      </c>
      <c r="I715" t="str">
        <f>"INV 9588472"</f>
        <v>INV 9588472</v>
      </c>
    </row>
    <row r="716" spans="1:9" x14ac:dyDescent="0.3">
      <c r="A716" t="str">
        <f>"T6190"</f>
        <v>T6190</v>
      </c>
      <c r="B716" t="s">
        <v>164</v>
      </c>
      <c r="C716">
        <v>76617</v>
      </c>
      <c r="D716" s="2">
        <v>2116.2600000000002</v>
      </c>
      <c r="E716" s="1">
        <v>43234</v>
      </c>
      <c r="F716" t="str">
        <f>"1040813"</f>
        <v>1040813</v>
      </c>
      <c r="G716" t="str">
        <f>"ACCT#B06875/ELECTIONS DEPT"</f>
        <v>ACCT#B06875/ELECTIONS DEPT</v>
      </c>
      <c r="H716">
        <v>2116.2600000000002</v>
      </c>
      <c r="I716" t="str">
        <f>"ACCT#B06875/ELECTIONS DEPT"</f>
        <v>ACCT#B06875/ELECTIONS DEPT</v>
      </c>
    </row>
    <row r="717" spans="1:9" x14ac:dyDescent="0.3">
      <c r="A717" t="str">
        <f>"T6190"</f>
        <v>T6190</v>
      </c>
      <c r="B717" t="s">
        <v>164</v>
      </c>
      <c r="C717">
        <v>76887</v>
      </c>
      <c r="D717" s="2">
        <v>7154.65</v>
      </c>
      <c r="E717" s="1">
        <v>43249</v>
      </c>
      <c r="F717" t="str">
        <f>"1043076"</f>
        <v>1043076</v>
      </c>
      <c r="G717" t="str">
        <f>"ACCT#B06875/ORD#1142504/ELECT"</f>
        <v>ACCT#B06875/ORD#1142504/ELECT</v>
      </c>
      <c r="H717">
        <v>147</v>
      </c>
      <c r="I717" t="str">
        <f>"ACCT#B06875/ORD#1142504/ELECT"</f>
        <v>ACCT#B06875/ORD#1142504/ELECT</v>
      </c>
    </row>
    <row r="718" spans="1:9" x14ac:dyDescent="0.3">
      <c r="A718" t="str">
        <f>""</f>
        <v/>
      </c>
      <c r="F718" t="str">
        <f>"1043425"</f>
        <v>1043425</v>
      </c>
      <c r="G718" t="str">
        <f>"ACCT#B06875/ORD#1142893/ELECT"</f>
        <v>ACCT#B06875/ORD#1142893/ELECT</v>
      </c>
      <c r="H718">
        <v>2541.11</v>
      </c>
      <c r="I718" t="str">
        <f>"ACCT#B06875/ORD#1142893/ELECT"</f>
        <v>ACCT#B06875/ORD#1142893/ELECT</v>
      </c>
    </row>
    <row r="719" spans="1:9" x14ac:dyDescent="0.3">
      <c r="A719" t="str">
        <f>""</f>
        <v/>
      </c>
      <c r="F719" t="str">
        <f>"1043540"</f>
        <v>1043540</v>
      </c>
      <c r="G719" t="str">
        <f>"ACCT#B06875/BALLOTS"</f>
        <v>ACCT#B06875/BALLOTS</v>
      </c>
      <c r="H719">
        <v>502.81</v>
      </c>
      <c r="I719" t="str">
        <f>"ACCT#B06875/BALLOTS"</f>
        <v>ACCT#B06875/BALLOTS</v>
      </c>
    </row>
    <row r="720" spans="1:9" x14ac:dyDescent="0.3">
      <c r="A720" t="str">
        <f>""</f>
        <v/>
      </c>
      <c r="F720" t="str">
        <f>"1043541"</f>
        <v>1043541</v>
      </c>
      <c r="G720" t="str">
        <f>"ACCT#B06875/ELECT DAY BALLOTS"</f>
        <v>ACCT#B06875/ELECT DAY BALLOTS</v>
      </c>
      <c r="H720">
        <v>368.46</v>
      </c>
      <c r="I720" t="str">
        <f>"ACCT#B06875/ELECT DAY BALLOTS"</f>
        <v>ACCT#B06875/ELECT DAY BALLOTS</v>
      </c>
    </row>
    <row r="721" spans="1:9" x14ac:dyDescent="0.3">
      <c r="A721" t="str">
        <f>""</f>
        <v/>
      </c>
      <c r="F721" t="str">
        <f>"1043542"</f>
        <v>1043542</v>
      </c>
      <c r="G721" t="str">
        <f>"ACCT#B06875/ABSENTEE BALLOTS"</f>
        <v>ACCT#B06875/ABSENTEE BALLOTS</v>
      </c>
      <c r="H721">
        <v>503.18</v>
      </c>
      <c r="I721" t="str">
        <f>"ACCT#B06875/ABSENTEE BALLOTS"</f>
        <v>ACCT#B06875/ABSENTEE BALLOTS</v>
      </c>
    </row>
    <row r="722" spans="1:9" x14ac:dyDescent="0.3">
      <c r="A722" t="str">
        <f>""</f>
        <v/>
      </c>
      <c r="F722" t="str">
        <f>"1043543"</f>
        <v>1043543</v>
      </c>
      <c r="G722" t="str">
        <f>"ACCT#B06875/ELECTION DAY BALLO"</f>
        <v>ACCT#B06875/ELECTION DAY BALLO</v>
      </c>
      <c r="H722">
        <v>320.98</v>
      </c>
      <c r="I722" t="str">
        <f>"ACCT#B06875/ELECTION DAY BALLO"</f>
        <v>ACCT#B06875/ELECTION DAY BALLO</v>
      </c>
    </row>
    <row r="723" spans="1:9" x14ac:dyDescent="0.3">
      <c r="A723" t="str">
        <f>""</f>
        <v/>
      </c>
      <c r="F723" t="str">
        <f>"1043546"</f>
        <v>1043546</v>
      </c>
      <c r="G723" t="str">
        <f>"ACCT#B06875/ELECTION DAY BALLO"</f>
        <v>ACCT#B06875/ELECTION DAY BALLO</v>
      </c>
      <c r="H723">
        <v>114.28</v>
      </c>
      <c r="I723" t="str">
        <f>"ACCT#B06875/ELECTION DAY BALLO"</f>
        <v>ACCT#B06875/ELECTION DAY BALLO</v>
      </c>
    </row>
    <row r="724" spans="1:9" x14ac:dyDescent="0.3">
      <c r="A724" t="str">
        <f>""</f>
        <v/>
      </c>
      <c r="F724" t="str">
        <f>"1043700"</f>
        <v>1043700</v>
      </c>
      <c r="G724" t="str">
        <f>"ACCT#B06875/ABSENTEE BALLOTS"</f>
        <v>ACCT#B06875/ABSENTEE BALLOTS</v>
      </c>
      <c r="H724">
        <v>160.18</v>
      </c>
      <c r="I724" t="str">
        <f>"ACCT#B06875/ABSENTEE BALLOTS"</f>
        <v>ACCT#B06875/ABSENTEE BALLOTS</v>
      </c>
    </row>
    <row r="725" spans="1:9" x14ac:dyDescent="0.3">
      <c r="A725" t="str">
        <f>""</f>
        <v/>
      </c>
      <c r="F725" t="str">
        <f>"1044353"</f>
        <v>1044353</v>
      </c>
      <c r="G725" t="str">
        <f>"ACCT#B06875/BALLOTS/ELECTIONS"</f>
        <v>ACCT#B06875/BALLOTS/ELECTIONS</v>
      </c>
      <c r="H725">
        <v>2253.67</v>
      </c>
      <c r="I725" t="str">
        <f>"ACCT#B06875/BALLOTS/ELECTIONS"</f>
        <v>ACCT#B06875/BALLOTS/ELECTIONS</v>
      </c>
    </row>
    <row r="726" spans="1:9" x14ac:dyDescent="0.3">
      <c r="A726" t="str">
        <f>""</f>
        <v/>
      </c>
      <c r="F726" t="str">
        <f>"1044874"</f>
        <v>1044874</v>
      </c>
      <c r="G726" t="str">
        <f>"ACCT#B06875/THUMB DRIVE/ELECT"</f>
        <v>ACCT#B06875/THUMB DRIVE/ELECT</v>
      </c>
      <c r="H726">
        <v>242.98</v>
      </c>
      <c r="I726" t="str">
        <f>"ACCT#B06875/THUMB DRIVE/ELECT"</f>
        <v>ACCT#B06875/THUMB DRIVE/ELECT</v>
      </c>
    </row>
    <row r="727" spans="1:9" x14ac:dyDescent="0.3">
      <c r="A727" t="str">
        <f>"T6830"</f>
        <v>T6830</v>
      </c>
      <c r="B727" t="s">
        <v>165</v>
      </c>
      <c r="C727">
        <v>76618</v>
      </c>
      <c r="D727" s="2">
        <v>8500</v>
      </c>
      <c r="E727" s="1">
        <v>43234</v>
      </c>
      <c r="F727" t="str">
        <f>"201804250463"</f>
        <v>201804250463</v>
      </c>
      <c r="G727" t="str">
        <f>"FISCAL YEAR 2018"</f>
        <v>FISCAL YEAR 2018</v>
      </c>
      <c r="H727">
        <v>8500</v>
      </c>
      <c r="I727" t="str">
        <f>"FISCAL YEAR 2018"</f>
        <v>FISCAL YEAR 2018</v>
      </c>
    </row>
    <row r="728" spans="1:9" x14ac:dyDescent="0.3">
      <c r="A728" t="str">
        <f>"004061"</f>
        <v>004061</v>
      </c>
      <c r="B728" t="s">
        <v>166</v>
      </c>
      <c r="C728">
        <v>76888</v>
      </c>
      <c r="D728" s="2">
        <v>84963.1</v>
      </c>
      <c r="E728" s="1">
        <v>43249</v>
      </c>
      <c r="F728" t="str">
        <f>"201805221111"</f>
        <v>201805221111</v>
      </c>
      <c r="G728" t="str">
        <f>"ELGIN TIF AD VALOREM FY 17/18"</f>
        <v>ELGIN TIF AD VALOREM FY 17/18</v>
      </c>
      <c r="H728">
        <v>84963.1</v>
      </c>
      <c r="I728" t="str">
        <f>"ELGIN TIF AD VALOREM FY 17/18"</f>
        <v>ELGIN TIF AD VALOREM FY 17/18</v>
      </c>
    </row>
    <row r="729" spans="1:9" x14ac:dyDescent="0.3">
      <c r="A729" t="str">
        <f>"EU"</f>
        <v>EU</v>
      </c>
      <c r="B729" t="s">
        <v>167</v>
      </c>
      <c r="C729">
        <v>76522</v>
      </c>
      <c r="D729" s="2">
        <v>1229.3399999999999</v>
      </c>
      <c r="E729" s="1">
        <v>43223</v>
      </c>
      <c r="F729" t="str">
        <f>"201805030754"</f>
        <v>201805030754</v>
      </c>
      <c r="G729" t="str">
        <f>"ACCT#007-0008410-002/04302018"</f>
        <v>ACCT#007-0008410-002/04302018</v>
      </c>
      <c r="H729">
        <v>150.93</v>
      </c>
      <c r="I729" t="str">
        <f>"ACCT#007-0008410-002/04302018"</f>
        <v>ACCT#007-0008410-002/04302018</v>
      </c>
    </row>
    <row r="730" spans="1:9" x14ac:dyDescent="0.3">
      <c r="A730" t="str">
        <f>""</f>
        <v/>
      </c>
      <c r="F730" t="str">
        <f>"201805030755"</f>
        <v>201805030755</v>
      </c>
      <c r="G730" t="str">
        <f>"ACCT#007-0011501-000/04302018"</f>
        <v>ACCT#007-0011501-000/04302018</v>
      </c>
      <c r="H730">
        <v>93.76</v>
      </c>
      <c r="I730" t="str">
        <f>"ACCT#007-0011501-000/04302018"</f>
        <v>ACCT#007-0011501-000/04302018</v>
      </c>
    </row>
    <row r="731" spans="1:9" x14ac:dyDescent="0.3">
      <c r="A731" t="str">
        <f>""</f>
        <v/>
      </c>
      <c r="F731" t="str">
        <f>"201805030756"</f>
        <v>201805030756</v>
      </c>
      <c r="G731" t="str">
        <f>"ACCT#007-0011510-000/04302018"</f>
        <v>ACCT#007-0011510-000/04302018</v>
      </c>
      <c r="H731">
        <v>248.5</v>
      </c>
      <c r="I731" t="str">
        <f>"ACCT#007-0011510-000/04302018"</f>
        <v>ACCT#007-0011510-000/04302018</v>
      </c>
    </row>
    <row r="732" spans="1:9" x14ac:dyDescent="0.3">
      <c r="A732" t="str">
        <f>""</f>
        <v/>
      </c>
      <c r="F732" t="str">
        <f>"201805030757"</f>
        <v>201805030757</v>
      </c>
      <c r="G732" t="str">
        <f>"ACCT#007-0011530-000/04302018"</f>
        <v>ACCT#007-0011530-000/04302018</v>
      </c>
      <c r="H732">
        <v>96.86</v>
      </c>
      <c r="I732" t="str">
        <f>"ACCT#007-0011530-000/04302018"</f>
        <v>ACCT#007-0011530-000/04302018</v>
      </c>
    </row>
    <row r="733" spans="1:9" x14ac:dyDescent="0.3">
      <c r="A733" t="str">
        <f>""</f>
        <v/>
      </c>
      <c r="F733" t="str">
        <f>"201805030758"</f>
        <v>201805030758</v>
      </c>
      <c r="G733" t="str">
        <f>"ACCT#007-0011534-001"</f>
        <v>ACCT#007-0011534-001</v>
      </c>
      <c r="H733">
        <v>155.09</v>
      </c>
      <c r="I733" t="str">
        <f>"ACCT#007-0011534-001"</f>
        <v>ACCT#007-0011534-001</v>
      </c>
    </row>
    <row r="734" spans="1:9" x14ac:dyDescent="0.3">
      <c r="A734" t="str">
        <f>""</f>
        <v/>
      </c>
      <c r="F734" t="str">
        <f>"201805030759"</f>
        <v>201805030759</v>
      </c>
      <c r="G734" t="str">
        <f>"ACCT#007-0011535-000/04302018"</f>
        <v>ACCT#007-0011535-000/04302018</v>
      </c>
      <c r="H734">
        <v>369.54</v>
      </c>
      <c r="I734" t="str">
        <f>"ACCT#007-0011535-000/04302018"</f>
        <v>ACCT#007-0011535-000/04302018</v>
      </c>
    </row>
    <row r="735" spans="1:9" x14ac:dyDescent="0.3">
      <c r="A735" t="str">
        <f>""</f>
        <v/>
      </c>
      <c r="F735" t="str">
        <f>"201805030760"</f>
        <v>201805030760</v>
      </c>
      <c r="G735" t="str">
        <f>"ACCT#007-0011544-001/04302018"</f>
        <v>ACCT#007-0011544-001/04302018</v>
      </c>
      <c r="H735">
        <v>110.65</v>
      </c>
      <c r="I735" t="str">
        <f>"ACCT#007-0011544-001/04302018"</f>
        <v>ACCT#007-0011544-001/04302018</v>
      </c>
    </row>
    <row r="736" spans="1:9" x14ac:dyDescent="0.3">
      <c r="A736" t="str">
        <f>""</f>
        <v/>
      </c>
      <c r="F736" t="str">
        <f>"201805030761"</f>
        <v>201805030761</v>
      </c>
      <c r="G736" t="str">
        <f>"ACCT#007-0071128-001/04302018"</f>
        <v>ACCT#007-0071128-001/04302018</v>
      </c>
      <c r="H736">
        <v>4.01</v>
      </c>
      <c r="I736" t="str">
        <f>"ACCT#007-0071128-001/04302018"</f>
        <v>ACCT#007-0071128-001/04302018</v>
      </c>
    </row>
    <row r="737" spans="1:9" x14ac:dyDescent="0.3">
      <c r="A737" t="str">
        <f>"003027"</f>
        <v>003027</v>
      </c>
      <c r="B737" t="s">
        <v>168</v>
      </c>
      <c r="C737">
        <v>76619</v>
      </c>
      <c r="D737" s="2">
        <v>1678.38</v>
      </c>
      <c r="E737" s="1">
        <v>43234</v>
      </c>
      <c r="F737" t="str">
        <f>"145-17422-01"</f>
        <v>145-17422-01</v>
      </c>
      <c r="G737" t="str">
        <f>"ACCT#0888336/ANIMAL SHELTER"</f>
        <v>ACCT#0888336/ANIMAL SHELTER</v>
      </c>
      <c r="H737">
        <v>145.88</v>
      </c>
      <c r="I737" t="str">
        <f>"ACCT#0888336/ANIMAL SHELTER"</f>
        <v>ACCT#0888336/ANIMAL SHELTER</v>
      </c>
    </row>
    <row r="738" spans="1:9" x14ac:dyDescent="0.3">
      <c r="A738" t="str">
        <f>""</f>
        <v/>
      </c>
      <c r="F738" t="str">
        <f>"201805010478"</f>
        <v>201805010478</v>
      </c>
      <c r="G738" t="str">
        <f>"CUST ID#0888336"</f>
        <v>CUST ID#0888336</v>
      </c>
      <c r="H738">
        <v>1532.5</v>
      </c>
      <c r="I738" t="str">
        <f>"CUST ID#0888336"</f>
        <v>CUST ID#0888336</v>
      </c>
    </row>
    <row r="739" spans="1:9" x14ac:dyDescent="0.3">
      <c r="A739" t="str">
        <f>"003027"</f>
        <v>003027</v>
      </c>
      <c r="B739" t="s">
        <v>168</v>
      </c>
      <c r="C739">
        <v>76889</v>
      </c>
      <c r="D739" s="2">
        <v>1607.3</v>
      </c>
      <c r="E739" s="1">
        <v>43249</v>
      </c>
      <c r="F739" t="str">
        <f>"145-17511-01"</f>
        <v>145-17511-01</v>
      </c>
      <c r="G739" t="str">
        <f>"INV 145-17511-01"</f>
        <v>INV 145-17511-01</v>
      </c>
      <c r="H739">
        <v>107.76</v>
      </c>
      <c r="I739" t="str">
        <f>"INV 145-17511-01"</f>
        <v>INV 145-17511-01</v>
      </c>
    </row>
    <row r="740" spans="1:9" x14ac:dyDescent="0.3">
      <c r="A740" t="str">
        <f>""</f>
        <v/>
      </c>
      <c r="F740" t="str">
        <f>"145-17731-01"</f>
        <v>145-17731-01</v>
      </c>
      <c r="G740" t="str">
        <f>"CUST#0888336/GENERAL SERVICES"</f>
        <v>CUST#0888336/GENERAL SERVICES</v>
      </c>
      <c r="H740">
        <v>289.5</v>
      </c>
      <c r="I740" t="str">
        <f>"CUST#0888336/GENERAL SERVICES"</f>
        <v>CUST#0888336/GENERAL SERVICES</v>
      </c>
    </row>
    <row r="741" spans="1:9" x14ac:dyDescent="0.3">
      <c r="A741" t="str">
        <f>""</f>
        <v/>
      </c>
      <c r="F741" t="str">
        <f>"145-17768-01"</f>
        <v>145-17768-01</v>
      </c>
      <c r="G741" t="str">
        <f>"CUST#0888336/GENERAL SERVICES"</f>
        <v>CUST#0888336/GENERAL SERVICES</v>
      </c>
      <c r="H741">
        <v>618.95000000000005</v>
      </c>
      <c r="I741" t="str">
        <f>"CUST#0888336/GENERAL SERVICES"</f>
        <v>CUST#0888336/GENERAL SERVICES</v>
      </c>
    </row>
    <row r="742" spans="1:9" x14ac:dyDescent="0.3">
      <c r="A742" t="str">
        <f>""</f>
        <v/>
      </c>
      <c r="F742" t="str">
        <f>"145-17869-01"</f>
        <v>145-17869-01</v>
      </c>
      <c r="G742" t="str">
        <f>"CUST#0888336/GEN SVCS"</f>
        <v>CUST#0888336/GEN SVCS</v>
      </c>
      <c r="H742">
        <v>591.09</v>
      </c>
      <c r="I742" t="str">
        <f>"CUST#0888336/GEN SVCS"</f>
        <v>CUST#0888336/GEN SVCS</v>
      </c>
    </row>
    <row r="743" spans="1:9" x14ac:dyDescent="0.3">
      <c r="A743" t="str">
        <f>"003920"</f>
        <v>003920</v>
      </c>
      <c r="B743" t="s">
        <v>169</v>
      </c>
      <c r="C743">
        <v>76890</v>
      </c>
      <c r="D743" s="2">
        <v>104.5</v>
      </c>
      <c r="E743" s="1">
        <v>43249</v>
      </c>
      <c r="F743" t="str">
        <f>"201805161025"</f>
        <v>201805161025</v>
      </c>
      <c r="G743" t="str">
        <f>"LODGING-JOSEFINA C RODRIGUEZ"</f>
        <v>LODGING-JOSEFINA C RODRIGUEZ</v>
      </c>
      <c r="H743">
        <v>104.5</v>
      </c>
      <c r="I743" t="str">
        <f>"LODGING-JOSEFINA C RODRIGUEZ"</f>
        <v>LODGING-JOSEFINA C RODRIGUEZ</v>
      </c>
    </row>
    <row r="744" spans="1:9" x14ac:dyDescent="0.3">
      <c r="A744" t="str">
        <f>"005218"</f>
        <v>005218</v>
      </c>
      <c r="B744" t="s">
        <v>170</v>
      </c>
      <c r="C744">
        <v>999999</v>
      </c>
      <c r="D744" s="2">
        <v>756.94</v>
      </c>
      <c r="E744" s="1">
        <v>43235</v>
      </c>
      <c r="F744" t="str">
        <f>"201805010488"</f>
        <v>201805010488</v>
      </c>
      <c r="G744" t="str">
        <f>"4/18/18 DISTRICT COURT"</f>
        <v>4/18/18 DISTRICT COURT</v>
      </c>
      <c r="H744">
        <v>368.98</v>
      </c>
      <c r="I744" t="str">
        <f>"4/18/18 DISTRICT COURT"</f>
        <v>4/18/18 DISTRICT COURT</v>
      </c>
    </row>
    <row r="745" spans="1:9" x14ac:dyDescent="0.3">
      <c r="A745" t="str">
        <f>""</f>
        <v/>
      </c>
      <c r="F745" t="str">
        <f>"201805040801"</f>
        <v>201805040801</v>
      </c>
      <c r="G745" t="str">
        <f>"NO CAUSE #"</f>
        <v>NO CAUSE #</v>
      </c>
      <c r="H745">
        <v>193.98</v>
      </c>
      <c r="I745" t="str">
        <f>"NO CAUSE #"</f>
        <v>NO CAUSE #</v>
      </c>
    </row>
    <row r="746" spans="1:9" x14ac:dyDescent="0.3">
      <c r="A746" t="str">
        <f>""</f>
        <v/>
      </c>
      <c r="F746" t="str">
        <f>"201805080884"</f>
        <v>201805080884</v>
      </c>
      <c r="G746" t="str">
        <f>"423-5075"</f>
        <v>423-5075</v>
      </c>
      <c r="H746">
        <v>193.98</v>
      </c>
      <c r="I746" t="str">
        <f>"423-5075"</f>
        <v>423-5075</v>
      </c>
    </row>
    <row r="747" spans="1:9" x14ac:dyDescent="0.3">
      <c r="A747" t="str">
        <f>"004901"</f>
        <v>004901</v>
      </c>
      <c r="B747" t="s">
        <v>171</v>
      </c>
      <c r="C747">
        <v>76620</v>
      </c>
      <c r="D747" s="2">
        <v>189</v>
      </c>
      <c r="E747" s="1">
        <v>43234</v>
      </c>
      <c r="F747" t="str">
        <f>"201805080870"</f>
        <v>201805080870</v>
      </c>
      <c r="G747" t="str">
        <f>"ENVIRON TRAINING-C. HERNANDEZ"</f>
        <v>ENVIRON TRAINING-C. HERNANDEZ</v>
      </c>
      <c r="H747">
        <v>189</v>
      </c>
      <c r="I747" t="str">
        <f>"ENVIRON TRAINING-C. HERNANDEZ"</f>
        <v>ENVIRON TRAINING-C. HERNANDEZ</v>
      </c>
    </row>
    <row r="748" spans="1:9" x14ac:dyDescent="0.3">
      <c r="A748" t="str">
        <f>"000589"</f>
        <v>000589</v>
      </c>
      <c r="B748" t="s">
        <v>172</v>
      </c>
      <c r="C748">
        <v>76621</v>
      </c>
      <c r="D748" s="2">
        <v>49166.92</v>
      </c>
      <c r="E748" s="1">
        <v>43234</v>
      </c>
      <c r="F748" t="str">
        <f>"9401822339"</f>
        <v>9401822339</v>
      </c>
      <c r="G748" t="str">
        <f>"ACCT#912897/BOL#22167/PCT#3"</f>
        <v>ACCT#912897/BOL#22167/PCT#3</v>
      </c>
      <c r="H748">
        <v>10532.91</v>
      </c>
      <c r="I748" t="str">
        <f>"ACCT#912897/BOL#22167/PCT#3"</f>
        <v>ACCT#912897/BOL#22167/PCT#3</v>
      </c>
    </row>
    <row r="749" spans="1:9" x14ac:dyDescent="0.3">
      <c r="A749" t="str">
        <f>""</f>
        <v/>
      </c>
      <c r="F749" t="str">
        <f>"9401825188"</f>
        <v>9401825188</v>
      </c>
      <c r="G749" t="str">
        <f>"ACCT#912922/BOL#22196/PCT#1"</f>
        <v>ACCT#912922/BOL#22196/PCT#1</v>
      </c>
      <c r="H749">
        <v>1668.4</v>
      </c>
      <c r="I749" t="str">
        <f>"ACCT#912922/BOL#22196/PCT#1"</f>
        <v>ACCT#912922/BOL#22196/PCT#1</v>
      </c>
    </row>
    <row r="750" spans="1:9" x14ac:dyDescent="0.3">
      <c r="A750" t="str">
        <f>""</f>
        <v/>
      </c>
      <c r="F750" t="str">
        <f>"9401828858"</f>
        <v>9401828858</v>
      </c>
      <c r="G750" t="str">
        <f>"ACCT#912922/BOL#22234/PCT#1"</f>
        <v>ACCT#912922/BOL#22234/PCT#1</v>
      </c>
      <c r="H750">
        <v>12428.68</v>
      </c>
      <c r="I750" t="str">
        <f>"ACCT#912922/BOL#22234/PCT#1"</f>
        <v>ACCT#912922/BOL#22234/PCT#1</v>
      </c>
    </row>
    <row r="751" spans="1:9" x14ac:dyDescent="0.3">
      <c r="A751" t="str">
        <f>""</f>
        <v/>
      </c>
      <c r="F751" t="str">
        <f>"9401828859"</f>
        <v>9401828859</v>
      </c>
      <c r="G751" t="str">
        <f>"ACCT#912922/BOL#22236/PCT#1"</f>
        <v>ACCT#912922/BOL#22236/PCT#1</v>
      </c>
      <c r="H751">
        <v>12251.22</v>
      </c>
      <c r="I751" t="str">
        <f>"ACCT#912922/BOL#22236/PCT#1"</f>
        <v>ACCT#912922/BOL#22236/PCT#1</v>
      </c>
    </row>
    <row r="752" spans="1:9" x14ac:dyDescent="0.3">
      <c r="A752" t="str">
        <f>""</f>
        <v/>
      </c>
      <c r="F752" t="str">
        <f>"9401830710"</f>
        <v>9401830710</v>
      </c>
      <c r="G752" t="str">
        <f>"ACCT#912922/BOL#22258/PCT1"</f>
        <v>ACCT#912922/BOL#22258/PCT1</v>
      </c>
      <c r="H752">
        <v>12285.71</v>
      </c>
      <c r="I752" t="str">
        <f>"ACCT#912922/BOL#22258/PCT1"</f>
        <v>ACCT#912922/BOL#22258/PCT1</v>
      </c>
    </row>
    <row r="753" spans="1:9" x14ac:dyDescent="0.3">
      <c r="A753" t="str">
        <f>"000589"</f>
        <v>000589</v>
      </c>
      <c r="B753" t="s">
        <v>172</v>
      </c>
      <c r="C753">
        <v>76822</v>
      </c>
      <c r="D753" s="2">
        <v>13846.26</v>
      </c>
      <c r="E753" s="1">
        <v>43242</v>
      </c>
      <c r="F753" t="str">
        <f>"9401796500-Reissue"</f>
        <v>9401796500-Reissue</v>
      </c>
      <c r="G753" t="str">
        <f>"ACCT#912904/BOL#21815/PCT#2"</f>
        <v>ACCT#912904/BOL#21815/PCT#2</v>
      </c>
      <c r="H753">
        <v>9399.91</v>
      </c>
      <c r="I753" t="str">
        <f>"ACCT#912904/BOL#21815/PCT#2"</f>
        <v>ACCT#912904/BOL#21815/PCT#2</v>
      </c>
    </row>
    <row r="754" spans="1:9" x14ac:dyDescent="0.3">
      <c r="A754" t="str">
        <f>""</f>
        <v/>
      </c>
      <c r="F754" t="str">
        <f>"9401798457-Reissue"</f>
        <v>9401798457-Reissue</v>
      </c>
      <c r="G754" t="str">
        <f>"ACCT#912922/BOL#21871/PCT#1"</f>
        <v>ACCT#912922/BOL#21871/PCT#1</v>
      </c>
      <c r="H754">
        <v>1141.96</v>
      </c>
      <c r="I754" t="str">
        <f>"ACCT#912922/BOL#21871/PCT#1"</f>
        <v>ACCT#912922/BOL#21871/PCT#1</v>
      </c>
    </row>
    <row r="755" spans="1:9" x14ac:dyDescent="0.3">
      <c r="A755" t="str">
        <f>""</f>
        <v/>
      </c>
      <c r="F755" t="str">
        <f>"9401799810-Reissue"</f>
        <v>9401799810-Reissue</v>
      </c>
      <c r="G755" t="str">
        <f>"ACCT#912922/BOL#21892/PCT#1"</f>
        <v>ACCT#912922/BOL#21892/PCT#1</v>
      </c>
      <c r="H755">
        <v>3304.39</v>
      </c>
      <c r="I755" t="str">
        <f>"ACCT#912922/BOL#21892/PCT#1"</f>
        <v>ACCT#912922/BOL#21892/PCT#1</v>
      </c>
    </row>
    <row r="756" spans="1:9" x14ac:dyDescent="0.3">
      <c r="A756" t="str">
        <f>"000589"</f>
        <v>000589</v>
      </c>
      <c r="B756" t="s">
        <v>172</v>
      </c>
      <c r="C756">
        <v>76891</v>
      </c>
      <c r="D756" s="2">
        <v>39553.56</v>
      </c>
      <c r="E756" s="1">
        <v>43249</v>
      </c>
      <c r="F756" t="str">
        <f>"9401830708"</f>
        <v>9401830708</v>
      </c>
      <c r="G756" t="str">
        <f>"ACCT#912904/BOL#22248/PCT#2"</f>
        <v>ACCT#912904/BOL#22248/PCT#2</v>
      </c>
      <c r="H756">
        <v>10428.83</v>
      </c>
      <c r="I756" t="str">
        <f>"ACCT#912904/BOL#22248/PCT#2"</f>
        <v>ACCT#912904/BOL#22248/PCT#2</v>
      </c>
    </row>
    <row r="757" spans="1:9" x14ac:dyDescent="0.3">
      <c r="A757" t="str">
        <f>""</f>
        <v/>
      </c>
      <c r="F757" t="str">
        <f>"9401835712"</f>
        <v>9401835712</v>
      </c>
      <c r="G757" t="str">
        <f>"ACCT#912922/BOL#22344/PCT#1"</f>
        <v>ACCT#912922/BOL#22344/PCT#1</v>
      </c>
      <c r="H757">
        <v>3841.05</v>
      </c>
      <c r="I757" t="str">
        <f>"ACCT#912922/BOL#22344/PCT#1"</f>
        <v>ACCT#912922/BOL#22344/PCT#1</v>
      </c>
    </row>
    <row r="758" spans="1:9" x14ac:dyDescent="0.3">
      <c r="A758" t="str">
        <f>""</f>
        <v/>
      </c>
      <c r="F758" t="str">
        <f>"9401835889"</f>
        <v>9401835889</v>
      </c>
      <c r="G758" t="str">
        <f>"ACCT#912922/BOL#22349/PCT#1"</f>
        <v>ACCT#912922/BOL#22349/PCT#1</v>
      </c>
      <c r="H758">
        <v>12384.3</v>
      </c>
      <c r="I758" t="str">
        <f>"ACCT#912922/BOL#22349/PCT#1"</f>
        <v>ACCT#912922/BOL#22349/PCT#1</v>
      </c>
    </row>
    <row r="759" spans="1:9" x14ac:dyDescent="0.3">
      <c r="A759" t="str">
        <f>""</f>
        <v/>
      </c>
      <c r="F759" t="str">
        <f>"9401836655"</f>
        <v>9401836655</v>
      </c>
      <c r="G759" t="str">
        <f>"ACCT#912922/BOL#22357/PCT#1"</f>
        <v>ACCT#912922/BOL#22357/PCT#1</v>
      </c>
      <c r="H759">
        <v>12379.38</v>
      </c>
      <c r="I759" t="str">
        <f>"ACCT#912922/BOL#22357/PCT#1"</f>
        <v>ACCT#912922/BOL#22357/PCT#1</v>
      </c>
    </row>
    <row r="760" spans="1:9" x14ac:dyDescent="0.3">
      <c r="A760" t="str">
        <f>""</f>
        <v/>
      </c>
      <c r="F760" t="str">
        <f>"9401837567"</f>
        <v>9401837567</v>
      </c>
      <c r="G760" t="str">
        <f>"ACCT#912922/PCT#1"</f>
        <v>ACCT#912922/PCT#1</v>
      </c>
      <c r="H760">
        <v>120</v>
      </c>
      <c r="I760" t="str">
        <f>"ACCT#912922/PCT#1"</f>
        <v>ACCT#912922/PCT#1</v>
      </c>
    </row>
    <row r="761" spans="1:9" x14ac:dyDescent="0.3">
      <c r="A761" t="str">
        <f>""</f>
        <v/>
      </c>
      <c r="F761" t="str">
        <f>"9401837568"</f>
        <v>9401837568</v>
      </c>
      <c r="G761" t="str">
        <f>"ACCT#912922/PCT#1"</f>
        <v>ACCT#912922/PCT#1</v>
      </c>
      <c r="H761">
        <v>400</v>
      </c>
      <c r="I761" t="str">
        <f>"ACCT#912922/PCT#1"</f>
        <v>ACCT#912922/PCT#1</v>
      </c>
    </row>
    <row r="762" spans="1:9" x14ac:dyDescent="0.3">
      <c r="A762" t="str">
        <f>"T2788"</f>
        <v>T2788</v>
      </c>
      <c r="B762" t="s">
        <v>173</v>
      </c>
      <c r="C762">
        <v>999999</v>
      </c>
      <c r="D762" s="2">
        <v>444.66</v>
      </c>
      <c r="E762" s="1">
        <v>43235</v>
      </c>
      <c r="F762" t="str">
        <f>"3417534"</f>
        <v>3417534</v>
      </c>
      <c r="G762" t="str">
        <f>"ACCT#00405/PCT#1"</f>
        <v>ACCT#00405/PCT#1</v>
      </c>
      <c r="H762">
        <v>444.66</v>
      </c>
      <c r="I762" t="str">
        <f>"ACCT#00405/PCT#1"</f>
        <v>ACCT#00405/PCT#1</v>
      </c>
    </row>
    <row r="763" spans="1:9" x14ac:dyDescent="0.3">
      <c r="A763" t="str">
        <f>"005553"</f>
        <v>005553</v>
      </c>
      <c r="B763" t="s">
        <v>174</v>
      </c>
      <c r="C763">
        <v>76892</v>
      </c>
      <c r="D763" s="2">
        <v>1800</v>
      </c>
      <c r="E763" s="1">
        <v>43249</v>
      </c>
      <c r="F763" t="str">
        <f>"18-052"</f>
        <v>18-052</v>
      </c>
      <c r="G763" t="str">
        <f>"CAUSE#15 979/INVESTIGATION SVC"</f>
        <v>CAUSE#15 979/INVESTIGATION SVC</v>
      </c>
      <c r="H763">
        <v>1800</v>
      </c>
      <c r="I763" t="str">
        <f>"CAUSE#15 979/INVESTIGATION SVC"</f>
        <v>CAUSE#15 979/INVESTIGATION SVC</v>
      </c>
    </row>
    <row r="764" spans="1:9" x14ac:dyDescent="0.3">
      <c r="A764" t="str">
        <f>"005555"</f>
        <v>005555</v>
      </c>
      <c r="B764" t="s">
        <v>175</v>
      </c>
      <c r="C764">
        <v>76893</v>
      </c>
      <c r="D764" s="2">
        <v>210.18</v>
      </c>
      <c r="E764" s="1">
        <v>43249</v>
      </c>
      <c r="F764" t="str">
        <f>"LODGING-C.BROWN"</f>
        <v>LODGING-C.BROWN</v>
      </c>
      <c r="G764" t="str">
        <f>"LODGING"</f>
        <v>LODGING</v>
      </c>
      <c r="H764">
        <v>210.18</v>
      </c>
    </row>
    <row r="765" spans="1:9" x14ac:dyDescent="0.3">
      <c r="A765" t="str">
        <f>"FCC"</f>
        <v>FCC</v>
      </c>
      <c r="B765" t="s">
        <v>176</v>
      </c>
      <c r="C765">
        <v>76622</v>
      </c>
      <c r="D765" s="2">
        <v>1031</v>
      </c>
      <c r="E765" s="1">
        <v>43234</v>
      </c>
      <c r="F765" t="str">
        <f>"201805090961"</f>
        <v>201805090961</v>
      </c>
      <c r="G765" t="str">
        <f>"SANE EXAM-CASE#18-S-02026"</f>
        <v>SANE EXAM-CASE#18-S-02026</v>
      </c>
      <c r="H765">
        <v>489</v>
      </c>
      <c r="I765" t="str">
        <f>"SANE EXAM-CASE#18-S-02026"</f>
        <v>SANE EXAM-CASE#18-S-02026</v>
      </c>
    </row>
    <row r="766" spans="1:9" x14ac:dyDescent="0.3">
      <c r="A766" t="str">
        <f>""</f>
        <v/>
      </c>
      <c r="F766" t="str">
        <f>"201805090962"</f>
        <v>201805090962</v>
      </c>
      <c r="G766" t="str">
        <f>"SANE EXAM-CASE#18-S-02026"</f>
        <v>SANE EXAM-CASE#18-S-02026</v>
      </c>
      <c r="H766">
        <v>542</v>
      </c>
      <c r="I766" t="str">
        <f>"SANE EXAM-CASE#18-S-02026"</f>
        <v>SANE EXAM-CASE#18-S-02026</v>
      </c>
    </row>
    <row r="767" spans="1:9" x14ac:dyDescent="0.3">
      <c r="A767" t="str">
        <f>"003066"</f>
        <v>003066</v>
      </c>
      <c r="B767" t="s">
        <v>177</v>
      </c>
      <c r="C767">
        <v>76623</v>
      </c>
      <c r="D767" s="2">
        <v>285.89999999999998</v>
      </c>
      <c r="E767" s="1">
        <v>43234</v>
      </c>
      <c r="F767" t="str">
        <f>"201805090982"</f>
        <v>201805090982</v>
      </c>
      <c r="G767" t="str">
        <f>"INDIGENT HEALTH"</f>
        <v>INDIGENT HEALTH</v>
      </c>
      <c r="H767">
        <v>285.89999999999998</v>
      </c>
      <c r="I767" t="str">
        <f>"INDIGENT HEALTH"</f>
        <v>INDIGENT HEALTH</v>
      </c>
    </row>
    <row r="768" spans="1:9" x14ac:dyDescent="0.3">
      <c r="A768" t="str">
        <f>"000700"</f>
        <v>000700</v>
      </c>
      <c r="B768" t="s">
        <v>178</v>
      </c>
      <c r="C768">
        <v>76624</v>
      </c>
      <c r="D768" s="2">
        <v>250</v>
      </c>
      <c r="E768" s="1">
        <v>43234</v>
      </c>
      <c r="F768" t="str">
        <f>"201805090983"</f>
        <v>201805090983</v>
      </c>
      <c r="G768" t="str">
        <f>"INDIGENT HEALTH"</f>
        <v>INDIGENT HEALTH</v>
      </c>
      <c r="H768">
        <v>250</v>
      </c>
      <c r="I768" t="str">
        <f>"INDIGENT HEALTH"</f>
        <v>INDIGENT HEALTH</v>
      </c>
    </row>
    <row r="769" spans="1:10" x14ac:dyDescent="0.3">
      <c r="A769" t="str">
        <f>"T526"</f>
        <v>T526</v>
      </c>
      <c r="B769" t="s">
        <v>179</v>
      </c>
      <c r="C769">
        <v>76625</v>
      </c>
      <c r="D769" s="2">
        <v>50.71</v>
      </c>
      <c r="E769" s="1">
        <v>43234</v>
      </c>
      <c r="F769" t="str">
        <f>"6-155-23864"</f>
        <v>6-155-23864</v>
      </c>
      <c r="G769" t="str">
        <f>"ACCT#1230-5243-9/TAX OFFICE"</f>
        <v>ACCT#1230-5243-9/TAX OFFICE</v>
      </c>
      <c r="H769">
        <v>28.64</v>
      </c>
      <c r="I769" t="str">
        <f>"ACCT#1230-5243-9/TAX OFFICE"</f>
        <v>ACCT#1230-5243-9/TAX OFFICE</v>
      </c>
    </row>
    <row r="770" spans="1:10" x14ac:dyDescent="0.3">
      <c r="A770" t="str">
        <f>""</f>
        <v/>
      </c>
      <c r="F770" t="str">
        <f>"6-155-27743"</f>
        <v>6-155-27743</v>
      </c>
      <c r="G770" t="str">
        <f>"INV 6-155-27743"</f>
        <v>INV 6-155-27743</v>
      </c>
      <c r="H770">
        <v>22.07</v>
      </c>
      <c r="I770" t="str">
        <f>"INV 6-155-27743"</f>
        <v>INV 6-155-27743</v>
      </c>
    </row>
    <row r="771" spans="1:10" x14ac:dyDescent="0.3">
      <c r="A771" t="str">
        <f>"T526"</f>
        <v>T526</v>
      </c>
      <c r="B771" t="s">
        <v>179</v>
      </c>
      <c r="C771">
        <v>76894</v>
      </c>
      <c r="D771" s="2">
        <v>120.85</v>
      </c>
      <c r="E771" s="1">
        <v>43249</v>
      </c>
      <c r="F771" t="str">
        <f>"6-185-38338"</f>
        <v>6-185-38338</v>
      </c>
      <c r="G771" t="str">
        <f>"INV 6-185-38338"</f>
        <v>INV 6-185-38338</v>
      </c>
      <c r="H771">
        <v>77.319999999999993</v>
      </c>
      <c r="I771" t="str">
        <f>"INV 6-185-38338"</f>
        <v>INV 6-185-38338</v>
      </c>
    </row>
    <row r="772" spans="1:10" x14ac:dyDescent="0.3">
      <c r="A772" t="str">
        <f>""</f>
        <v/>
      </c>
      <c r="F772" t="str">
        <f>"6-185-57300"</f>
        <v>6-185-57300</v>
      </c>
      <c r="G772" t="str">
        <f>"ACCT#4702-9210-5/AUDITOR"</f>
        <v>ACCT#4702-9210-5/AUDITOR</v>
      </c>
      <c r="H772">
        <v>43.53</v>
      </c>
      <c r="I772" t="str">
        <f>"ACCT#4702-9210-5/AUDITOR"</f>
        <v>ACCT#4702-9210-5/AUDITOR</v>
      </c>
    </row>
    <row r="773" spans="1:10" x14ac:dyDescent="0.3">
      <c r="A773" t="str">
        <f>"T8083"</f>
        <v>T8083</v>
      </c>
      <c r="B773" t="s">
        <v>180</v>
      </c>
      <c r="C773">
        <v>76626</v>
      </c>
      <c r="D773" s="2">
        <v>67.78</v>
      </c>
      <c r="E773" s="1">
        <v>43234</v>
      </c>
      <c r="F773" t="str">
        <f>"5669692"</f>
        <v>5669692</v>
      </c>
      <c r="G773" t="str">
        <f>"CUST#306066"</f>
        <v>CUST#306066</v>
      </c>
      <c r="H773">
        <v>67.78</v>
      </c>
      <c r="I773" t="str">
        <f>"CUST#306066"</f>
        <v>CUST#306066</v>
      </c>
    </row>
    <row r="774" spans="1:10" x14ac:dyDescent="0.3">
      <c r="A774" t="str">
        <f>"T9733"</f>
        <v>T9733</v>
      </c>
      <c r="B774" t="s">
        <v>181</v>
      </c>
      <c r="C774">
        <v>76627</v>
      </c>
      <c r="D774" s="2">
        <v>182.5</v>
      </c>
      <c r="E774" s="1">
        <v>43234</v>
      </c>
      <c r="F774" t="str">
        <f>"12110"</f>
        <v>12110</v>
      </c>
      <c r="G774" t="str">
        <f>"SAFE DEPOSIT BOX RENTAL #12110"</f>
        <v>SAFE DEPOSIT BOX RENTAL #12110</v>
      </c>
      <c r="H774">
        <v>70</v>
      </c>
      <c r="I774" t="str">
        <f>"SAFE DEPOSIT BOX RENTAL #12110"</f>
        <v>SAFE DEPOSIT BOX RENTAL #12110</v>
      </c>
    </row>
    <row r="775" spans="1:10" x14ac:dyDescent="0.3">
      <c r="A775" t="str">
        <f>""</f>
        <v/>
      </c>
      <c r="F775" t="s">
        <v>128</v>
      </c>
      <c r="G775" t="s">
        <v>182</v>
      </c>
      <c r="H775" t="str">
        <f>"RESTITUTION-F. GREER JR"</f>
        <v>RESTITUTION-F. GREER JR</v>
      </c>
      <c r="I775" t="str">
        <f>"210-0000"</f>
        <v>210-0000</v>
      </c>
      <c r="J775" t="str">
        <f>""</f>
        <v/>
      </c>
    </row>
    <row r="776" spans="1:10" x14ac:dyDescent="0.3">
      <c r="A776" t="str">
        <f>""</f>
        <v/>
      </c>
      <c r="F776" t="s">
        <v>183</v>
      </c>
      <c r="G776" t="s">
        <v>184</v>
      </c>
      <c r="H776" t="str">
        <f>"RESTITUTION-K. PURCELL"</f>
        <v>RESTITUTION-K. PURCELL</v>
      </c>
      <c r="I776" t="str">
        <f>"210-0000"</f>
        <v>210-0000</v>
      </c>
      <c r="J776" t="str">
        <f>""</f>
        <v/>
      </c>
    </row>
    <row r="777" spans="1:10" x14ac:dyDescent="0.3">
      <c r="A777" t="str">
        <f>"005532"</f>
        <v>005532</v>
      </c>
      <c r="B777" t="s">
        <v>185</v>
      </c>
      <c r="C777">
        <v>76628</v>
      </c>
      <c r="D777" s="2">
        <v>10962</v>
      </c>
      <c r="E777" s="1">
        <v>43234</v>
      </c>
      <c r="F777" t="str">
        <f>"19971-3"</f>
        <v>19971-3</v>
      </c>
      <c r="G777" t="str">
        <f>"CLIENT ID:19971"</f>
        <v>CLIENT ID:19971</v>
      </c>
      <c r="H777">
        <v>10962</v>
      </c>
      <c r="I777" t="str">
        <f>"CLIENT ID:19971"</f>
        <v>CLIENT ID:19971</v>
      </c>
    </row>
    <row r="778" spans="1:10" x14ac:dyDescent="0.3">
      <c r="A778" t="str">
        <f>"004691"</f>
        <v>004691</v>
      </c>
      <c r="B778" t="s">
        <v>186</v>
      </c>
      <c r="C778">
        <v>76629</v>
      </c>
      <c r="D778" s="2">
        <v>29411.919999999998</v>
      </c>
      <c r="E778" s="1">
        <v>43234</v>
      </c>
      <c r="F778" t="str">
        <f>"NP53054878"</f>
        <v>NP53054878</v>
      </c>
      <c r="G778" t="str">
        <f>"INV NP53054878"</f>
        <v>INV NP53054878</v>
      </c>
      <c r="H778">
        <v>13701.04</v>
      </c>
      <c r="I778" t="str">
        <f>"INV NP53054878"</f>
        <v>INV NP53054878</v>
      </c>
    </row>
    <row r="779" spans="1:10" x14ac:dyDescent="0.3">
      <c r="A779" t="str">
        <f>""</f>
        <v/>
      </c>
      <c r="F779" t="str">
        <f>"NP53123273"</f>
        <v>NP53123273</v>
      </c>
      <c r="G779" t="str">
        <f>"Stmt# NP53123273"</f>
        <v>Stmt# NP53123273</v>
      </c>
      <c r="H779">
        <v>1371.45</v>
      </c>
      <c r="I779" t="str">
        <f>"IT"</f>
        <v>IT</v>
      </c>
    </row>
    <row r="780" spans="1:10" x14ac:dyDescent="0.3">
      <c r="A780" t="str">
        <f>""</f>
        <v/>
      </c>
      <c r="F780" t="str">
        <f>""</f>
        <v/>
      </c>
      <c r="G780" t="str">
        <f>""</f>
        <v/>
      </c>
      <c r="I780" t="str">
        <f>"General Services"</f>
        <v>General Services</v>
      </c>
    </row>
    <row r="781" spans="1:10" x14ac:dyDescent="0.3">
      <c r="A781" t="str">
        <f>""</f>
        <v/>
      </c>
      <c r="F781" t="str">
        <f>""</f>
        <v/>
      </c>
      <c r="G781" t="str">
        <f>""</f>
        <v/>
      </c>
      <c r="I781" t="str">
        <f>"Sign Shop"</f>
        <v>Sign Shop</v>
      </c>
    </row>
    <row r="782" spans="1:10" x14ac:dyDescent="0.3">
      <c r="A782" t="str">
        <f>""</f>
        <v/>
      </c>
      <c r="F782" t="str">
        <f>""</f>
        <v/>
      </c>
      <c r="G782" t="str">
        <f>""</f>
        <v/>
      </c>
      <c r="I782" t="str">
        <f>"Animal Control"</f>
        <v>Animal Control</v>
      </c>
    </row>
    <row r="783" spans="1:10" x14ac:dyDescent="0.3">
      <c r="A783" t="str">
        <f>""</f>
        <v/>
      </c>
      <c r="F783" t="str">
        <f>""</f>
        <v/>
      </c>
      <c r="G783" t="str">
        <f>""</f>
        <v/>
      </c>
      <c r="I783" t="str">
        <f>"Habitat Conservation"</f>
        <v>Habitat Conservation</v>
      </c>
    </row>
    <row r="784" spans="1:10" x14ac:dyDescent="0.3">
      <c r="A784" t="str">
        <f>""</f>
        <v/>
      </c>
      <c r="F784" t="str">
        <f>""</f>
        <v/>
      </c>
      <c r="G784" t="str">
        <f>""</f>
        <v/>
      </c>
      <c r="I784" t="str">
        <f>"Ag"</f>
        <v>Ag</v>
      </c>
    </row>
    <row r="785" spans="1:9" x14ac:dyDescent="0.3">
      <c r="A785" t="str">
        <f>""</f>
        <v/>
      </c>
      <c r="F785" t="str">
        <f>""</f>
        <v/>
      </c>
      <c r="G785" t="str">
        <f>""</f>
        <v/>
      </c>
      <c r="I785" t="str">
        <f>"PCT1"</f>
        <v>PCT1</v>
      </c>
    </row>
    <row r="786" spans="1:9" x14ac:dyDescent="0.3">
      <c r="A786" t="str">
        <f>""</f>
        <v/>
      </c>
      <c r="F786" t="str">
        <f>""</f>
        <v/>
      </c>
      <c r="G786" t="str">
        <f>""</f>
        <v/>
      </c>
      <c r="I786" t="str">
        <f>"PCT2"</f>
        <v>PCT2</v>
      </c>
    </row>
    <row r="787" spans="1:9" x14ac:dyDescent="0.3">
      <c r="A787" t="str">
        <f>""</f>
        <v/>
      </c>
      <c r="F787" t="str">
        <f>"NP53123437"</f>
        <v>NP53123437</v>
      </c>
      <c r="G787" t="str">
        <f>"INV NP53123437"</f>
        <v>INV NP53123437</v>
      </c>
      <c r="H787">
        <v>13766.26</v>
      </c>
      <c r="I787" t="str">
        <f>"INV NP53123437"</f>
        <v>INV NP53123437</v>
      </c>
    </row>
    <row r="788" spans="1:9" x14ac:dyDescent="0.3">
      <c r="A788" t="str">
        <f>""</f>
        <v/>
      </c>
      <c r="F788" t="str">
        <f>"NP53123463"</f>
        <v>NP53123463</v>
      </c>
      <c r="G788" t="str">
        <f>"Stmt# NP53123463"</f>
        <v>Stmt# NP53123463</v>
      </c>
      <c r="H788">
        <v>573.16999999999996</v>
      </c>
      <c r="I788" t="str">
        <f>"Payment"</f>
        <v>Payment</v>
      </c>
    </row>
    <row r="789" spans="1:9" x14ac:dyDescent="0.3">
      <c r="A789" t="str">
        <f>"004691"</f>
        <v>004691</v>
      </c>
      <c r="B789" t="s">
        <v>186</v>
      </c>
      <c r="C789">
        <v>76895</v>
      </c>
      <c r="D789" s="2">
        <v>15857.84</v>
      </c>
      <c r="E789" s="1">
        <v>43249</v>
      </c>
      <c r="F789" t="str">
        <f>"NP53276852"</f>
        <v>NP53276852</v>
      </c>
      <c r="G789" t="str">
        <f>"Stmt# NP53276852"</f>
        <v>Stmt# NP53276852</v>
      </c>
      <c r="H789">
        <v>641.25</v>
      </c>
      <c r="I789" t="str">
        <f>"Payment"</f>
        <v>Payment</v>
      </c>
    </row>
    <row r="790" spans="1:9" x14ac:dyDescent="0.3">
      <c r="A790" t="str">
        <f>""</f>
        <v/>
      </c>
      <c r="F790" t="str">
        <f>"NPS53276827"</f>
        <v>NPS53276827</v>
      </c>
      <c r="G790" t="str">
        <f>"INV NP53276827"</f>
        <v>INV NP53276827</v>
      </c>
      <c r="H790">
        <v>13860.27</v>
      </c>
      <c r="I790" t="str">
        <f>"INV NP53276827"</f>
        <v>INV NP53276827</v>
      </c>
    </row>
    <row r="791" spans="1:9" x14ac:dyDescent="0.3">
      <c r="A791" t="str">
        <f>""</f>
        <v/>
      </c>
      <c r="F791" t="str">
        <f>"STMNT#NP53276666"</f>
        <v>STMNT#NP53276666</v>
      </c>
      <c r="G791" t="str">
        <f>"Stmt# NP53276666"</f>
        <v>Stmt# NP53276666</v>
      </c>
      <c r="H791">
        <v>1356.32</v>
      </c>
      <c r="I791" t="str">
        <f>"Purchasing"</f>
        <v>Purchasing</v>
      </c>
    </row>
    <row r="792" spans="1:9" x14ac:dyDescent="0.3">
      <c r="A792" t="str">
        <f>""</f>
        <v/>
      </c>
      <c r="F792" t="str">
        <f>""</f>
        <v/>
      </c>
      <c r="G792" t="str">
        <f>""</f>
        <v/>
      </c>
      <c r="I792" t="str">
        <f>"IT"</f>
        <v>IT</v>
      </c>
    </row>
    <row r="793" spans="1:9" x14ac:dyDescent="0.3">
      <c r="A793" t="str">
        <f>""</f>
        <v/>
      </c>
      <c r="F793" t="str">
        <f>""</f>
        <v/>
      </c>
      <c r="G793" t="str">
        <f>""</f>
        <v/>
      </c>
      <c r="I793" t="str">
        <f>"General Service"</f>
        <v>General Service</v>
      </c>
    </row>
    <row r="794" spans="1:9" x14ac:dyDescent="0.3">
      <c r="A794" t="str">
        <f>""</f>
        <v/>
      </c>
      <c r="F794" t="str">
        <f>""</f>
        <v/>
      </c>
      <c r="G794" t="str">
        <f>""</f>
        <v/>
      </c>
      <c r="I794" t="str">
        <f>"Engineer"</f>
        <v>Engineer</v>
      </c>
    </row>
    <row r="795" spans="1:9" x14ac:dyDescent="0.3">
      <c r="A795" t="str">
        <f>""</f>
        <v/>
      </c>
      <c r="F795" t="str">
        <f>""</f>
        <v/>
      </c>
      <c r="G795" t="str">
        <f>""</f>
        <v/>
      </c>
      <c r="I795" t="str">
        <f>"Sign Shop"</f>
        <v>Sign Shop</v>
      </c>
    </row>
    <row r="796" spans="1:9" x14ac:dyDescent="0.3">
      <c r="A796" t="str">
        <f>""</f>
        <v/>
      </c>
      <c r="F796" t="str">
        <f>""</f>
        <v/>
      </c>
      <c r="G796" t="str">
        <f>""</f>
        <v/>
      </c>
      <c r="I796" t="str">
        <f>"Animal Control"</f>
        <v>Animal Control</v>
      </c>
    </row>
    <row r="797" spans="1:9" x14ac:dyDescent="0.3">
      <c r="A797" t="str">
        <f>""</f>
        <v/>
      </c>
      <c r="F797" t="str">
        <f>""</f>
        <v/>
      </c>
      <c r="G797" t="str">
        <f>""</f>
        <v/>
      </c>
      <c r="I797" t="str">
        <f>"Habitat"</f>
        <v>Habitat</v>
      </c>
    </row>
    <row r="798" spans="1:9" x14ac:dyDescent="0.3">
      <c r="A798" t="str">
        <f>""</f>
        <v/>
      </c>
      <c r="F798" t="str">
        <f>""</f>
        <v/>
      </c>
      <c r="G798" t="str">
        <f>""</f>
        <v/>
      </c>
      <c r="I798" t="str">
        <f>"Ag"</f>
        <v>Ag</v>
      </c>
    </row>
    <row r="799" spans="1:9" x14ac:dyDescent="0.3">
      <c r="A799" t="str">
        <f>""</f>
        <v/>
      </c>
      <c r="F799" t="str">
        <f>""</f>
        <v/>
      </c>
      <c r="G799" t="str">
        <f>""</f>
        <v/>
      </c>
      <c r="I799" t="str">
        <f>"Pct 1"</f>
        <v>Pct 1</v>
      </c>
    </row>
    <row r="800" spans="1:9" x14ac:dyDescent="0.3">
      <c r="A800" t="str">
        <f>"T5062"</f>
        <v>T5062</v>
      </c>
      <c r="B800" t="s">
        <v>187</v>
      </c>
      <c r="C800">
        <v>76630</v>
      </c>
      <c r="D800" s="2">
        <v>1219.1099999999999</v>
      </c>
      <c r="E800" s="1">
        <v>43234</v>
      </c>
      <c r="F800" t="str">
        <f>"93685091"</f>
        <v>93685091</v>
      </c>
      <c r="G800" t="str">
        <f>"ACCT#80975-001/PCT#3"</f>
        <v>ACCT#80975-001/PCT#3</v>
      </c>
      <c r="H800">
        <v>323.72000000000003</v>
      </c>
      <c r="I800" t="str">
        <f>"ACCT#80975-001/PCT#3"</f>
        <v>ACCT#80975-001/PCT#3</v>
      </c>
    </row>
    <row r="801" spans="1:10" x14ac:dyDescent="0.3">
      <c r="A801" t="str">
        <f>""</f>
        <v/>
      </c>
      <c r="F801" t="str">
        <f>"93823812"</f>
        <v>93823812</v>
      </c>
      <c r="G801" t="str">
        <f>"ACCT#80975-001/PCT#3"</f>
        <v>ACCT#80975-001/PCT#3</v>
      </c>
      <c r="H801">
        <v>403.76</v>
      </c>
      <c r="I801" t="str">
        <f>"ACCT#80975-001/PCT#3"</f>
        <v>ACCT#80975-001/PCT#3</v>
      </c>
    </row>
    <row r="802" spans="1:10" x14ac:dyDescent="0.3">
      <c r="A802" t="str">
        <f>""</f>
        <v/>
      </c>
      <c r="F802" t="str">
        <f>"93848774"</f>
        <v>93848774</v>
      </c>
      <c r="G802" t="str">
        <f>"ACCT#80975-001/VALVE/PCT#3"</f>
        <v>ACCT#80975-001/VALVE/PCT#3</v>
      </c>
      <c r="H802">
        <v>209.26</v>
      </c>
      <c r="I802" t="str">
        <f>"ACCT#80975-001/VALVE/PCT#3"</f>
        <v>ACCT#80975-001/VALVE/PCT#3</v>
      </c>
    </row>
    <row r="803" spans="1:10" x14ac:dyDescent="0.3">
      <c r="A803" t="str">
        <f>""</f>
        <v/>
      </c>
      <c r="F803" t="str">
        <f>"93906983"</f>
        <v>93906983</v>
      </c>
      <c r="G803" t="str">
        <f>"ACCT#80975-001/PCT#2"</f>
        <v>ACCT#80975-001/PCT#2</v>
      </c>
      <c r="H803">
        <v>282.37</v>
      </c>
      <c r="I803" t="str">
        <f>"ACCT#80975-001/PCT#2"</f>
        <v>ACCT#80975-001/PCT#2</v>
      </c>
    </row>
    <row r="804" spans="1:10" x14ac:dyDescent="0.3">
      <c r="A804" t="str">
        <f>"001318"</f>
        <v>001318</v>
      </c>
      <c r="B804" t="s">
        <v>188</v>
      </c>
      <c r="C804">
        <v>76631</v>
      </c>
      <c r="D804" s="2">
        <v>300</v>
      </c>
      <c r="E804" s="1">
        <v>43234</v>
      </c>
      <c r="F804" t="str">
        <f>"201805010484"</f>
        <v>201805010484</v>
      </c>
      <c r="G804" t="str">
        <f>"REF COUPONS-20829 21730 21840"</f>
        <v>REF COUPONS-20829 21730 21840</v>
      </c>
      <c r="H804">
        <v>45</v>
      </c>
      <c r="I804" t="str">
        <f>"REF COUPONS-20829 21730 21840"</f>
        <v>REF COUPONS-20829 21730 21840</v>
      </c>
    </row>
    <row r="805" spans="1:10" x14ac:dyDescent="0.3">
      <c r="A805" t="str">
        <f>""</f>
        <v/>
      </c>
      <c r="F805" t="str">
        <f>"201805010497"</f>
        <v>201805010497</v>
      </c>
      <c r="G805" t="str">
        <f>"REFUND COUPONS"</f>
        <v>REFUND COUPONS</v>
      </c>
      <c r="H805">
        <v>255</v>
      </c>
      <c r="I805" t="str">
        <f>"REFUND COUPONS"</f>
        <v>REFUND COUPONS</v>
      </c>
    </row>
    <row r="806" spans="1:10" x14ac:dyDescent="0.3">
      <c r="A806" t="str">
        <f>"001318"</f>
        <v>001318</v>
      </c>
      <c r="B806" t="s">
        <v>188</v>
      </c>
      <c r="C806">
        <v>76896</v>
      </c>
      <c r="D806" s="2">
        <v>1155</v>
      </c>
      <c r="E806" s="1">
        <v>43249</v>
      </c>
      <c r="F806" t="str">
        <f>"201805161031"</f>
        <v>201805161031</v>
      </c>
      <c r="G806" t="str">
        <f>"REFUND COUPONS"</f>
        <v>REFUND COUPONS</v>
      </c>
      <c r="H806">
        <v>1155</v>
      </c>
      <c r="I806" t="str">
        <f>"REFUND COUPONS"</f>
        <v>REFUND COUPONS</v>
      </c>
    </row>
    <row r="807" spans="1:10" x14ac:dyDescent="0.3">
      <c r="A807" t="str">
        <f>"005501"</f>
        <v>005501</v>
      </c>
      <c r="B807" t="s">
        <v>189</v>
      </c>
      <c r="C807">
        <v>76632</v>
      </c>
      <c r="D807" s="2">
        <v>50</v>
      </c>
      <c r="E807" s="1">
        <v>43234</v>
      </c>
      <c r="F807" t="s">
        <v>24</v>
      </c>
      <c r="G807" t="s">
        <v>190</v>
      </c>
      <c r="H807" t="str">
        <f>"RESTITUTION-D.CORKILL"</f>
        <v>RESTITUTION-D.CORKILL</v>
      </c>
      <c r="I807" t="str">
        <f>"210-0000"</f>
        <v>210-0000</v>
      </c>
      <c r="J807" t="str">
        <f>""</f>
        <v/>
      </c>
    </row>
    <row r="808" spans="1:10" x14ac:dyDescent="0.3">
      <c r="A808" t="str">
        <f>"FLS"</f>
        <v>FLS</v>
      </c>
      <c r="B808" t="s">
        <v>191</v>
      </c>
      <c r="C808">
        <v>999999</v>
      </c>
      <c r="D808" s="2">
        <v>1550</v>
      </c>
      <c r="E808" s="1">
        <v>43235</v>
      </c>
      <c r="F808" t="str">
        <f>"201804250440"</f>
        <v>201804250440</v>
      </c>
      <c r="G808" t="str">
        <f>"16 073"</f>
        <v>16 073</v>
      </c>
      <c r="H808">
        <v>400</v>
      </c>
      <c r="I808" t="str">
        <f>"16 073"</f>
        <v>16 073</v>
      </c>
    </row>
    <row r="809" spans="1:10" x14ac:dyDescent="0.3">
      <c r="A809" t="str">
        <f>""</f>
        <v/>
      </c>
      <c r="F809" t="str">
        <f>"201805040802"</f>
        <v>201805040802</v>
      </c>
      <c r="G809" t="str">
        <f>"55 847"</f>
        <v>55 847</v>
      </c>
      <c r="H809">
        <v>250</v>
      </c>
      <c r="I809" t="str">
        <f>"55 847"</f>
        <v>55 847</v>
      </c>
    </row>
    <row r="810" spans="1:10" x14ac:dyDescent="0.3">
      <c r="A810" t="str">
        <f>""</f>
        <v/>
      </c>
      <c r="F810" t="str">
        <f>"201805040803"</f>
        <v>201805040803</v>
      </c>
      <c r="G810" t="str">
        <f>"55 802"</f>
        <v>55 802</v>
      </c>
      <c r="H810">
        <v>250</v>
      </c>
      <c r="I810" t="str">
        <f>"55 802"</f>
        <v>55 802</v>
      </c>
    </row>
    <row r="811" spans="1:10" x14ac:dyDescent="0.3">
      <c r="A811" t="str">
        <f>""</f>
        <v/>
      </c>
      <c r="F811" t="str">
        <f>"201805040804"</f>
        <v>201805040804</v>
      </c>
      <c r="G811" t="str">
        <f>"N/A-FALSE REPORT TO POLICE OFF"</f>
        <v>N/A-FALSE REPORT TO POLICE OFF</v>
      </c>
      <c r="H811">
        <v>250</v>
      </c>
      <c r="I811" t="str">
        <f>"N/A-FALSE REPORT TO POLICE OFF"</f>
        <v>N/A-FALSE REPORT TO POLICE OFF</v>
      </c>
    </row>
    <row r="812" spans="1:10" x14ac:dyDescent="0.3">
      <c r="A812" t="str">
        <f>""</f>
        <v/>
      </c>
      <c r="F812" t="str">
        <f>"201805080886"</f>
        <v>201805080886</v>
      </c>
      <c r="G812" t="str">
        <f>"15 114"</f>
        <v>15 114</v>
      </c>
      <c r="H812">
        <v>400</v>
      </c>
      <c r="I812" t="str">
        <f>"15 114"</f>
        <v>15 114</v>
      </c>
    </row>
    <row r="813" spans="1:10" x14ac:dyDescent="0.3">
      <c r="A813" t="str">
        <f>"FLS"</f>
        <v>FLS</v>
      </c>
      <c r="B813" t="s">
        <v>191</v>
      </c>
      <c r="C813">
        <v>999999</v>
      </c>
      <c r="D813" s="2">
        <v>1850</v>
      </c>
      <c r="E813" s="1">
        <v>43250</v>
      </c>
      <c r="F813" t="str">
        <f>"201805161041"</f>
        <v>201805161041</v>
      </c>
      <c r="G813" t="str">
        <f>"WRIT 763-335/WRIT 765-21"</f>
        <v>WRIT 763-335/WRIT 765-21</v>
      </c>
      <c r="H813">
        <v>100</v>
      </c>
      <c r="I813" t="str">
        <f>"WRIT 763-335/WRIT 765-21"</f>
        <v>WRIT 763-335/WRIT 765-21</v>
      </c>
    </row>
    <row r="814" spans="1:10" x14ac:dyDescent="0.3">
      <c r="A814" t="str">
        <f>""</f>
        <v/>
      </c>
      <c r="F814" t="str">
        <f>"201805161042"</f>
        <v>201805161042</v>
      </c>
      <c r="G814" t="str">
        <f>"16 481"</f>
        <v>16 481</v>
      </c>
      <c r="H814">
        <v>400</v>
      </c>
      <c r="I814" t="str">
        <f>"16 481"</f>
        <v>16 481</v>
      </c>
    </row>
    <row r="815" spans="1:10" x14ac:dyDescent="0.3">
      <c r="A815" t="str">
        <f>""</f>
        <v/>
      </c>
      <c r="F815" t="str">
        <f>"201805211079"</f>
        <v>201805211079</v>
      </c>
      <c r="G815" t="str">
        <f>"16 277/N/A UNINDICTED"</f>
        <v>16 277/N/A UNINDICTED</v>
      </c>
      <c r="H815">
        <v>600</v>
      </c>
      <c r="I815" t="str">
        <f>"16 277/N/A UNINDICTED"</f>
        <v>16 277/N/A UNINDICTED</v>
      </c>
    </row>
    <row r="816" spans="1:10" x14ac:dyDescent="0.3">
      <c r="A816" t="str">
        <f>""</f>
        <v/>
      </c>
      <c r="F816" t="str">
        <f>"201805221144"</f>
        <v>201805221144</v>
      </c>
      <c r="G816" t="str">
        <f>"J-3132"</f>
        <v>J-3132</v>
      </c>
      <c r="H816">
        <v>250</v>
      </c>
      <c r="I816" t="str">
        <f>"J-3132"</f>
        <v>J-3132</v>
      </c>
    </row>
    <row r="817" spans="1:9" x14ac:dyDescent="0.3">
      <c r="A817" t="str">
        <f>""</f>
        <v/>
      </c>
      <c r="F817" t="str">
        <f>"201805231158"</f>
        <v>201805231158</v>
      </c>
      <c r="G817" t="str">
        <f>"55 951"</f>
        <v>55 951</v>
      </c>
      <c r="H817">
        <v>250</v>
      </c>
      <c r="I817" t="str">
        <f>"55 951"</f>
        <v>55 951</v>
      </c>
    </row>
    <row r="818" spans="1:9" x14ac:dyDescent="0.3">
      <c r="A818" t="str">
        <f>""</f>
        <v/>
      </c>
      <c r="F818" t="str">
        <f>"201805231161"</f>
        <v>201805231161</v>
      </c>
      <c r="G818" t="str">
        <f>"55 767"</f>
        <v>55 767</v>
      </c>
      <c r="H818">
        <v>250</v>
      </c>
      <c r="I818" t="str">
        <f>"55 767"</f>
        <v>55 767</v>
      </c>
    </row>
    <row r="819" spans="1:9" x14ac:dyDescent="0.3">
      <c r="A819" t="str">
        <f>"PPLAN"</f>
        <v>PPLAN</v>
      </c>
      <c r="B819" t="s">
        <v>192</v>
      </c>
      <c r="C819">
        <v>76633</v>
      </c>
      <c r="D819" s="2">
        <v>6888.73</v>
      </c>
      <c r="E819" s="1">
        <v>43234</v>
      </c>
      <c r="F819" t="str">
        <f>"201805040855"</f>
        <v>201805040855</v>
      </c>
      <c r="G819" t="str">
        <f>"P62783/P63249/P63248/PCT#2"</f>
        <v>P62783/P63249/P63248/PCT#2</v>
      </c>
      <c r="H819">
        <v>5356.18</v>
      </c>
      <c r="I819" t="str">
        <f>"P62783/P63249/P63248/PCT#2"</f>
        <v>P62783/P63249/P63248/PCT#2</v>
      </c>
    </row>
    <row r="820" spans="1:9" x14ac:dyDescent="0.3">
      <c r="A820" t="str">
        <f>""</f>
        <v/>
      </c>
      <c r="F820" t="str">
        <f>"W95280"</f>
        <v>W95280</v>
      </c>
      <c r="G820" t="str">
        <f>"ACCT#8850283308/PCT#3"</f>
        <v>ACCT#8850283308/PCT#3</v>
      </c>
      <c r="H820">
        <v>1532.55</v>
      </c>
      <c r="I820" t="str">
        <f>"ACCT#8850283308/PCT#3"</f>
        <v>ACCT#8850283308/PCT#3</v>
      </c>
    </row>
    <row r="821" spans="1:9" x14ac:dyDescent="0.3">
      <c r="A821" t="str">
        <f>"005525"</f>
        <v>005525</v>
      </c>
      <c r="B821" t="s">
        <v>193</v>
      </c>
      <c r="C821">
        <v>76634</v>
      </c>
      <c r="D821" s="2">
        <v>25</v>
      </c>
      <c r="E821" s="1">
        <v>43234</v>
      </c>
      <c r="F821" t="str">
        <f>"201804250460"</f>
        <v>201804250460</v>
      </c>
      <c r="G821" t="str">
        <f>"REFUND-DRIVEWAY PERMIT"</f>
        <v>REFUND-DRIVEWAY PERMIT</v>
      </c>
      <c r="H821">
        <v>25</v>
      </c>
      <c r="I821" t="str">
        <f>"REFUND-DRIVEWAY PERMIT"</f>
        <v>REFUND-DRIVEWAY PERMIT</v>
      </c>
    </row>
    <row r="822" spans="1:9" x14ac:dyDescent="0.3">
      <c r="A822" t="str">
        <f>"AT&amp;EI"</f>
        <v>AT&amp;EI</v>
      </c>
      <c r="B822" t="s">
        <v>194</v>
      </c>
      <c r="C822">
        <v>76635</v>
      </c>
      <c r="D822" s="2">
        <v>525.02</v>
      </c>
      <c r="E822" s="1">
        <v>43234</v>
      </c>
      <c r="F822" t="str">
        <f>"AP368868"</f>
        <v>AP368868</v>
      </c>
      <c r="G822" t="str">
        <f>"ACCT#3325/FILTER/PCT#2"</f>
        <v>ACCT#3325/FILTER/PCT#2</v>
      </c>
      <c r="H822">
        <v>514.9</v>
      </c>
      <c r="I822" t="str">
        <f>"ACCT#3325/FILTER/PCT#2"</f>
        <v>ACCT#3325/FILTER/PCT#2</v>
      </c>
    </row>
    <row r="823" spans="1:9" x14ac:dyDescent="0.3">
      <c r="A823" t="str">
        <f>""</f>
        <v/>
      </c>
      <c r="F823" t="str">
        <f>"AP369121"</f>
        <v>AP369121</v>
      </c>
      <c r="G823" t="str">
        <f>"ACCT#3325/ELBOW/PCT#2"</f>
        <v>ACCT#3325/ELBOW/PCT#2</v>
      </c>
      <c r="H823">
        <v>10.119999999999999</v>
      </c>
      <c r="I823" t="str">
        <f>"ACCT#3325/ELBOW/PCT#2"</f>
        <v>ACCT#3325/ELBOW/PCT#2</v>
      </c>
    </row>
    <row r="824" spans="1:9" x14ac:dyDescent="0.3">
      <c r="A824" t="str">
        <f>"AT&amp;EI"</f>
        <v>AT&amp;EI</v>
      </c>
      <c r="B824" t="s">
        <v>194</v>
      </c>
      <c r="C824">
        <v>76897</v>
      </c>
      <c r="D824" s="2">
        <v>158.35</v>
      </c>
      <c r="E824" s="1">
        <v>43249</v>
      </c>
      <c r="F824" t="str">
        <f>"AP369984"</f>
        <v>AP369984</v>
      </c>
      <c r="G824" t="str">
        <f>"CUST#3326/PCT#4"</f>
        <v>CUST#3326/PCT#4</v>
      </c>
      <c r="H824">
        <v>127.11</v>
      </c>
      <c r="I824" t="str">
        <f>"CUST#3326/PCT#4"</f>
        <v>CUST#3326/PCT#4</v>
      </c>
    </row>
    <row r="825" spans="1:9" x14ac:dyDescent="0.3">
      <c r="A825" t="str">
        <f>""</f>
        <v/>
      </c>
      <c r="F825" t="str">
        <f>"AP370419"</f>
        <v>AP370419</v>
      </c>
      <c r="G825" t="str">
        <f>"ACCT#3324/WINDOW CRANK/PCT#3"</f>
        <v>ACCT#3324/WINDOW CRANK/PCT#3</v>
      </c>
      <c r="H825">
        <v>31.24</v>
      </c>
      <c r="I825" t="str">
        <f>"ACCT#3324/WINDOW CRANK/PCT#3"</f>
        <v>ACCT#3324/WINDOW CRANK/PCT#3</v>
      </c>
    </row>
    <row r="826" spans="1:9" x14ac:dyDescent="0.3">
      <c r="A826" t="str">
        <f>"G&amp;C"</f>
        <v>G&amp;C</v>
      </c>
      <c r="B826" t="s">
        <v>195</v>
      </c>
      <c r="C826">
        <v>999999</v>
      </c>
      <c r="D826" s="2">
        <v>1701.1</v>
      </c>
      <c r="E826" s="1">
        <v>43235</v>
      </c>
      <c r="F826" t="str">
        <f>"105187"</f>
        <v>105187</v>
      </c>
      <c r="G826" t="str">
        <f>"DEPUTY VOTER REGISTRAR ID CARD"</f>
        <v>DEPUTY VOTER REGISTRAR ID CARD</v>
      </c>
      <c r="H826">
        <v>60.96</v>
      </c>
      <c r="I826" t="str">
        <f>"DEPUTY VOTER REGISTRAR ID CARD"</f>
        <v>DEPUTY VOTER REGISTRAR ID CARD</v>
      </c>
    </row>
    <row r="827" spans="1:9" x14ac:dyDescent="0.3">
      <c r="A827" t="str">
        <f>""</f>
        <v/>
      </c>
      <c r="F827" t="str">
        <f>"105221"</f>
        <v>105221</v>
      </c>
      <c r="G827" t="str">
        <f>"MAGNET CALENDAR/ELECTIONS DEPT"</f>
        <v>MAGNET CALENDAR/ELECTIONS DEPT</v>
      </c>
      <c r="H827">
        <v>1389.45</v>
      </c>
      <c r="I827" t="str">
        <f>"MAGNET CALENDAR/ELECTIONS DEPT"</f>
        <v>MAGNET CALENDAR/ELECTIONS DEPT</v>
      </c>
    </row>
    <row r="828" spans="1:9" x14ac:dyDescent="0.3">
      <c r="A828" t="str">
        <f>""</f>
        <v/>
      </c>
      <c r="F828" t="str">
        <f>"105353"</f>
        <v>105353</v>
      </c>
      <c r="G828" t="str">
        <f>"WHITE PAPER-EXTENSION OFFICE"</f>
        <v>WHITE PAPER-EXTENSION OFFICE</v>
      </c>
      <c r="H828">
        <v>120</v>
      </c>
      <c r="I828" t="str">
        <f>"WHITE PAPER-EXTENSION OFFICE"</f>
        <v>WHITE PAPER-EXTENSION OFFICE</v>
      </c>
    </row>
    <row r="829" spans="1:9" x14ac:dyDescent="0.3">
      <c r="A829" t="str">
        <f>""</f>
        <v/>
      </c>
      <c r="F829" t="str">
        <f>"GC 105126"</f>
        <v>GC 105126</v>
      </c>
      <c r="G829" t="str">
        <f>"INV GC 105126"</f>
        <v>INV GC 105126</v>
      </c>
      <c r="H829">
        <v>40.96</v>
      </c>
      <c r="I829" t="str">
        <f>"INV GC 105126"</f>
        <v>INV GC 105126</v>
      </c>
    </row>
    <row r="830" spans="1:9" x14ac:dyDescent="0.3">
      <c r="A830" t="str">
        <f>""</f>
        <v/>
      </c>
      <c r="F830" t="str">
        <f>"GC 105146"</f>
        <v>GC 105146</v>
      </c>
      <c r="G830" t="str">
        <f>"INV GC 105146"</f>
        <v>INV GC 105146</v>
      </c>
      <c r="H830">
        <v>40.96</v>
      </c>
      <c r="I830" t="str">
        <f>"INV GC 105146"</f>
        <v>INV GC 105146</v>
      </c>
    </row>
    <row r="831" spans="1:9" x14ac:dyDescent="0.3">
      <c r="A831" t="str">
        <f>""</f>
        <v/>
      </c>
      <c r="F831" t="str">
        <f>"GC 105147"</f>
        <v>GC 105147</v>
      </c>
      <c r="G831" t="str">
        <f>"INV GC 105147"</f>
        <v>INV GC 105147</v>
      </c>
      <c r="H831">
        <v>48.77</v>
      </c>
      <c r="I831" t="str">
        <f>"INV GC 105147"</f>
        <v>INV GC 105147</v>
      </c>
    </row>
    <row r="832" spans="1:9" x14ac:dyDescent="0.3">
      <c r="A832" t="str">
        <f>"G&amp;C"</f>
        <v>G&amp;C</v>
      </c>
      <c r="B832" t="s">
        <v>195</v>
      </c>
      <c r="C832">
        <v>999999</v>
      </c>
      <c r="D832" s="2">
        <v>355.72</v>
      </c>
      <c r="E832" s="1">
        <v>43250</v>
      </c>
      <c r="F832" t="str">
        <f>"105493"</f>
        <v>105493</v>
      </c>
      <c r="G832" t="str">
        <f>"4 PART RIGHTS-WARNING/JP#1"</f>
        <v>4 PART RIGHTS-WARNING/JP#1</v>
      </c>
      <c r="H832">
        <v>208.21</v>
      </c>
      <c r="I832" t="str">
        <f>"4 PART RIGHTS-WARNING/JP#1"</f>
        <v>4 PART RIGHTS-WARNING/JP#1</v>
      </c>
    </row>
    <row r="833" spans="1:9" x14ac:dyDescent="0.3">
      <c r="A833" t="str">
        <f>""</f>
        <v/>
      </c>
      <c r="F833" t="str">
        <f>"GC 105397"</f>
        <v>GC 105397</v>
      </c>
      <c r="G833" t="str">
        <f>"INV GC 105397"</f>
        <v>INV GC 105397</v>
      </c>
      <c r="H833">
        <v>147.51</v>
      </c>
      <c r="I833" t="str">
        <f>"INV GC 105397"</f>
        <v>INV GC 105397</v>
      </c>
    </row>
    <row r="834" spans="1:9" x14ac:dyDescent="0.3">
      <c r="A834" t="str">
        <f>"002605"</f>
        <v>002605</v>
      </c>
      <c r="B834" t="s">
        <v>196</v>
      </c>
      <c r="C834">
        <v>76898</v>
      </c>
      <c r="D834" s="2">
        <v>357.82</v>
      </c>
      <c r="E834" s="1">
        <v>43249</v>
      </c>
      <c r="F834" t="str">
        <f>"201805161051"</f>
        <v>201805161051</v>
      </c>
      <c r="G834" t="str">
        <f>"CUST#2179855/PCT#3"</f>
        <v>CUST#2179855/PCT#3</v>
      </c>
      <c r="H834">
        <v>357.82</v>
      </c>
      <c r="I834" t="str">
        <f>"CUST#2179855/PCT#3"</f>
        <v>CUST#2179855/PCT#3</v>
      </c>
    </row>
    <row r="835" spans="1:9" x14ac:dyDescent="0.3">
      <c r="A835" t="str">
        <f>"004055"</f>
        <v>004055</v>
      </c>
      <c r="B835" t="s">
        <v>197</v>
      </c>
      <c r="C835">
        <v>76636</v>
      </c>
      <c r="D835" s="2">
        <v>7106.84</v>
      </c>
      <c r="E835" s="1">
        <v>43234</v>
      </c>
      <c r="F835" t="str">
        <f>"1157"</f>
        <v>1157</v>
      </c>
      <c r="G835" t="str">
        <f>"INV 1157"</f>
        <v>INV 1157</v>
      </c>
      <c r="H835">
        <v>1739.1</v>
      </c>
      <c r="I835" t="str">
        <f>"INV 1157"</f>
        <v>INV 1157</v>
      </c>
    </row>
    <row r="836" spans="1:9" x14ac:dyDescent="0.3">
      <c r="A836" t="str">
        <f>""</f>
        <v/>
      </c>
      <c r="F836" t="str">
        <f>"1158"</f>
        <v>1158</v>
      </c>
      <c r="G836" t="str">
        <f>"INV 1158"</f>
        <v>INV 1158</v>
      </c>
      <c r="H836">
        <v>1525.38</v>
      </c>
      <c r="I836" t="str">
        <f>"INV 1158"</f>
        <v>INV 1158</v>
      </c>
    </row>
    <row r="837" spans="1:9" x14ac:dyDescent="0.3">
      <c r="A837" t="str">
        <f>""</f>
        <v/>
      </c>
      <c r="F837" t="str">
        <f>"1161"</f>
        <v>1161</v>
      </c>
      <c r="G837" t="str">
        <f>"INV 1161"</f>
        <v>INV 1161</v>
      </c>
      <c r="H837">
        <v>1551.62</v>
      </c>
      <c r="I837" t="str">
        <f>"INV 1161"</f>
        <v>INV 1161</v>
      </c>
    </row>
    <row r="838" spans="1:9" x14ac:dyDescent="0.3">
      <c r="A838" t="str">
        <f>""</f>
        <v/>
      </c>
      <c r="F838" t="str">
        <f>"1162"</f>
        <v>1162</v>
      </c>
      <c r="G838" t="str">
        <f>"INV 1162"</f>
        <v>INV 1162</v>
      </c>
      <c r="H838">
        <v>2290.7399999999998</v>
      </c>
      <c r="I838" t="str">
        <f>"INV 1162"</f>
        <v>INV 1162</v>
      </c>
    </row>
    <row r="839" spans="1:9" x14ac:dyDescent="0.3">
      <c r="A839" t="str">
        <f>"T12037"</f>
        <v>T12037</v>
      </c>
      <c r="B839" t="s">
        <v>198</v>
      </c>
      <c r="C839">
        <v>76899</v>
      </c>
      <c r="D839" s="2">
        <v>223.48</v>
      </c>
      <c r="E839" s="1">
        <v>43249</v>
      </c>
      <c r="F839" t="str">
        <f>"201805231187"</f>
        <v>201805231187</v>
      </c>
      <c r="G839" t="str">
        <f>"REIMB - FOOD FOR PAVING CREW"</f>
        <v>REIMB - FOOD FOR PAVING CREW</v>
      </c>
      <c r="H839">
        <v>223.48</v>
      </c>
      <c r="I839" t="str">
        <f>"REIMB - FOOD FOR PAVING CREW"</f>
        <v>REIMB - FOOD FOR PAVING CREW</v>
      </c>
    </row>
    <row r="840" spans="1:9" x14ac:dyDescent="0.3">
      <c r="A840" t="str">
        <f>"GCR"</f>
        <v>GCR</v>
      </c>
      <c r="B840" t="s">
        <v>199</v>
      </c>
      <c r="C840">
        <v>76637</v>
      </c>
      <c r="D840" s="2">
        <v>1458.85</v>
      </c>
      <c r="E840" s="1">
        <v>43234</v>
      </c>
      <c r="F840" t="str">
        <f>"625-98786"</f>
        <v>625-98786</v>
      </c>
      <c r="G840" t="str">
        <f>"CUST#535539/ORD#102127/PCT#3"</f>
        <v>CUST#535539/ORD#102127/PCT#3</v>
      </c>
      <c r="H840">
        <v>594</v>
      </c>
      <c r="I840" t="str">
        <f>"CUST#535539/ORD#102127/PCT#3"</f>
        <v>CUST#535539/ORD#102127/PCT#3</v>
      </c>
    </row>
    <row r="841" spans="1:9" x14ac:dyDescent="0.3">
      <c r="A841" t="str">
        <f>""</f>
        <v/>
      </c>
      <c r="F841" t="str">
        <f>"625-98849"</f>
        <v>625-98849</v>
      </c>
      <c r="G841" t="str">
        <f>"CUST#535538/ORD#101938/PCT#2"</f>
        <v>CUST#535538/ORD#101938/PCT#2</v>
      </c>
      <c r="H841">
        <v>455</v>
      </c>
      <c r="I841" t="str">
        <f>"CUST#535538/ORD#101938/PCT#2"</f>
        <v>CUST#535538/ORD#101938/PCT#2</v>
      </c>
    </row>
    <row r="842" spans="1:9" x14ac:dyDescent="0.3">
      <c r="A842" t="str">
        <f>""</f>
        <v/>
      </c>
      <c r="F842" t="str">
        <f>"625-98877"</f>
        <v>625-98877</v>
      </c>
      <c r="G842" t="str">
        <f>"CUST#535538/ORD#102104/PCT#2"</f>
        <v>CUST#535538/ORD#102104/PCT#2</v>
      </c>
      <c r="H842">
        <v>199.95</v>
      </c>
      <c r="I842" t="str">
        <f>"CUST#535538/ORD#102104/PCT#2"</f>
        <v>CUST#535538/ORD#102104/PCT#2</v>
      </c>
    </row>
    <row r="843" spans="1:9" x14ac:dyDescent="0.3">
      <c r="A843" t="str">
        <f>""</f>
        <v/>
      </c>
      <c r="F843" t="str">
        <f>"625-98878"</f>
        <v>625-98878</v>
      </c>
      <c r="G843" t="str">
        <f>"CUST#535538/ORD#102105/PCT#2"</f>
        <v>CUST#535538/ORD#102105/PCT#2</v>
      </c>
      <c r="H843">
        <v>209.9</v>
      </c>
      <c r="I843" t="str">
        <f>"CUST#535538/ORD#102105/PCT#2"</f>
        <v>CUST#535538/ORD#102105/PCT#2</v>
      </c>
    </row>
    <row r="844" spans="1:9" x14ac:dyDescent="0.3">
      <c r="A844" t="str">
        <f>"GCR"</f>
        <v>GCR</v>
      </c>
      <c r="B844" t="s">
        <v>199</v>
      </c>
      <c r="C844">
        <v>76900</v>
      </c>
      <c r="D844" s="2">
        <v>420</v>
      </c>
      <c r="E844" s="1">
        <v>43249</v>
      </c>
      <c r="F844" t="str">
        <f>"625-99488"</f>
        <v>625-99488</v>
      </c>
      <c r="G844" t="str">
        <f>"CUST#535539/ORD#102709/PCT#3"</f>
        <v>CUST#535539/ORD#102709/PCT#3</v>
      </c>
      <c r="H844">
        <v>420</v>
      </c>
      <c r="I844" t="str">
        <f>"CUST#535539/ORD#102709/PCT#3"</f>
        <v>CUST#535539/ORD#102709/PCT#3</v>
      </c>
    </row>
    <row r="845" spans="1:9" x14ac:dyDescent="0.3">
      <c r="A845" t="str">
        <f>"005546"</f>
        <v>005546</v>
      </c>
      <c r="B845" t="s">
        <v>200</v>
      </c>
      <c r="C845">
        <v>76638</v>
      </c>
      <c r="D845" s="2">
        <v>50</v>
      </c>
      <c r="E845" s="1">
        <v>43234</v>
      </c>
      <c r="F845" t="str">
        <f>"201805090972"</f>
        <v>201805090972</v>
      </c>
      <c r="G845" t="str">
        <f>"ADOPTION FEE REFUND"</f>
        <v>ADOPTION FEE REFUND</v>
      </c>
      <c r="H845">
        <v>50</v>
      </c>
      <c r="I845" t="str">
        <f>"ADOPTION FEE REFUND"</f>
        <v>ADOPTION FEE REFUND</v>
      </c>
    </row>
    <row r="846" spans="1:9" x14ac:dyDescent="0.3">
      <c r="A846" t="str">
        <f>"T5277"</f>
        <v>T5277</v>
      </c>
      <c r="B846" t="s">
        <v>201</v>
      </c>
      <c r="C846">
        <v>76803</v>
      </c>
      <c r="D846" s="2">
        <v>1028.3699999999999</v>
      </c>
      <c r="E846" s="1">
        <v>43235</v>
      </c>
      <c r="F846" t="str">
        <f>"201805151010"</f>
        <v>201805151010</v>
      </c>
      <c r="G846" t="str">
        <f>"WINDSHIELD REIMBURSEMENT / P3"</f>
        <v>WINDSHIELD REIMBURSEMENT / P3</v>
      </c>
      <c r="H846">
        <v>1028.3699999999999</v>
      </c>
      <c r="I846" t="str">
        <f>"WINDSHIELD REIMBURSEMENT / P3"</f>
        <v>WINDSHIELD REIMBURSEMENT / P3</v>
      </c>
    </row>
    <row r="847" spans="1:9" x14ac:dyDescent="0.3">
      <c r="A847" t="str">
        <f>"T10301"</f>
        <v>T10301</v>
      </c>
      <c r="B847" t="s">
        <v>202</v>
      </c>
      <c r="C847">
        <v>76639</v>
      </c>
      <c r="D847" s="2">
        <v>10319.33</v>
      </c>
      <c r="E847" s="1">
        <v>43234</v>
      </c>
      <c r="F847" t="str">
        <f>"3"</f>
        <v>3</v>
      </c>
      <c r="G847" t="str">
        <f>"MITIGATION SERVICES"</f>
        <v>MITIGATION SERVICES</v>
      </c>
      <c r="H847">
        <v>10319.33</v>
      </c>
      <c r="I847" t="str">
        <f>"MITIGATION SERVICES"</f>
        <v>MITIGATION SERVICES</v>
      </c>
    </row>
    <row r="848" spans="1:9" x14ac:dyDescent="0.3">
      <c r="A848" t="str">
        <f>"004353"</f>
        <v>004353</v>
      </c>
      <c r="B848" t="s">
        <v>203</v>
      </c>
      <c r="C848">
        <v>76640</v>
      </c>
      <c r="D848" s="2">
        <v>1750</v>
      </c>
      <c r="E848" s="1">
        <v>43234</v>
      </c>
      <c r="F848" t="str">
        <f>"1017"</f>
        <v>1017</v>
      </c>
      <c r="G848" t="str">
        <f>"TRANSPORT-G. ZEROSKY"</f>
        <v>TRANSPORT-G. ZEROSKY</v>
      </c>
      <c r="H848">
        <v>350</v>
      </c>
      <c r="I848" t="str">
        <f>"TRANSPORT-G. ZEROSKY"</f>
        <v>TRANSPORT-G. ZEROSKY</v>
      </c>
    </row>
    <row r="849" spans="1:9" x14ac:dyDescent="0.3">
      <c r="A849" t="str">
        <f>""</f>
        <v/>
      </c>
      <c r="F849" t="str">
        <f>"1019"</f>
        <v>1019</v>
      </c>
      <c r="G849" t="str">
        <f>"TRANSPORT-I.S. RANGEL"</f>
        <v>TRANSPORT-I.S. RANGEL</v>
      </c>
      <c r="H849">
        <v>350</v>
      </c>
      <c r="I849" t="str">
        <f>"TRANSPORT-I.S. RANGEL"</f>
        <v>TRANSPORT-I.S. RANGEL</v>
      </c>
    </row>
    <row r="850" spans="1:9" x14ac:dyDescent="0.3">
      <c r="A850" t="str">
        <f>""</f>
        <v/>
      </c>
      <c r="F850" t="str">
        <f>"1067"</f>
        <v>1067</v>
      </c>
      <c r="G850" t="str">
        <f>"TRANSPORT-J. MARTIN"</f>
        <v>TRANSPORT-J. MARTIN</v>
      </c>
      <c r="H850">
        <v>350</v>
      </c>
      <c r="I850" t="str">
        <f>"TRANSPORT-J. MARTIN"</f>
        <v>TRANSPORT-J. MARTIN</v>
      </c>
    </row>
    <row r="851" spans="1:9" x14ac:dyDescent="0.3">
      <c r="A851" t="str">
        <f>""</f>
        <v/>
      </c>
      <c r="F851" t="str">
        <f>"1068"</f>
        <v>1068</v>
      </c>
      <c r="G851" t="str">
        <f>"TRANSPORT-B. LOVETT"</f>
        <v>TRANSPORT-B. LOVETT</v>
      </c>
      <c r="H851">
        <v>350</v>
      </c>
      <c r="I851" t="str">
        <f>"TRANSPORT-B. LOVETT"</f>
        <v>TRANSPORT-B. LOVETT</v>
      </c>
    </row>
    <row r="852" spans="1:9" x14ac:dyDescent="0.3">
      <c r="A852" t="str">
        <f>""</f>
        <v/>
      </c>
      <c r="F852" t="str">
        <f>"1069"</f>
        <v>1069</v>
      </c>
      <c r="G852" t="str">
        <f>"TRANSPORT-A.V. SAUCEDO"</f>
        <v>TRANSPORT-A.V. SAUCEDO</v>
      </c>
      <c r="H852">
        <v>350</v>
      </c>
      <c r="I852" t="str">
        <f>"TRANSPORT-A.V. SAUCEDO"</f>
        <v>TRANSPORT-A.V. SAUCEDO</v>
      </c>
    </row>
    <row r="853" spans="1:9" x14ac:dyDescent="0.3">
      <c r="A853" t="str">
        <f>"005439"</f>
        <v>005439</v>
      </c>
      <c r="B853" t="s">
        <v>204</v>
      </c>
      <c r="C853">
        <v>76641</v>
      </c>
      <c r="D853" s="2">
        <v>135.18</v>
      </c>
      <c r="E853" s="1">
        <v>43234</v>
      </c>
      <c r="F853" t="str">
        <f>"0309557"</f>
        <v>0309557</v>
      </c>
      <c r="G853" t="str">
        <f>"DEATH RECORD PAPER/COUNTY CLER"</f>
        <v>DEATH RECORD PAPER/COUNTY CLER</v>
      </c>
      <c r="H853">
        <v>135.18</v>
      </c>
      <c r="I853" t="str">
        <f>"DEATH RECORD PAPER/COUNTY CLER"</f>
        <v>DEATH RECORD PAPER/COUNTY CLER</v>
      </c>
    </row>
    <row r="854" spans="1:9" x14ac:dyDescent="0.3">
      <c r="A854" t="str">
        <f>"WWGI"</f>
        <v>WWGI</v>
      </c>
      <c r="B854" t="s">
        <v>205</v>
      </c>
      <c r="C854">
        <v>76642</v>
      </c>
      <c r="D854" s="2">
        <v>109.1</v>
      </c>
      <c r="E854" s="1">
        <v>43234</v>
      </c>
      <c r="F854" t="str">
        <f>"9757669503"</f>
        <v>9757669503</v>
      </c>
      <c r="G854" t="str">
        <f>"INV 9757669503"</f>
        <v>INV 9757669503</v>
      </c>
      <c r="H854">
        <v>109.1</v>
      </c>
      <c r="I854" t="str">
        <f>"INV 9757669503"</f>
        <v>INV 9757669503</v>
      </c>
    </row>
    <row r="855" spans="1:9" x14ac:dyDescent="0.3">
      <c r="A855" t="str">
        <f>"WWGI"</f>
        <v>WWGI</v>
      </c>
      <c r="B855" t="s">
        <v>205</v>
      </c>
      <c r="C855">
        <v>76901</v>
      </c>
      <c r="D855" s="2">
        <v>317.95</v>
      </c>
      <c r="E855" s="1">
        <v>43249</v>
      </c>
      <c r="F855" t="str">
        <f>"9783216063"</f>
        <v>9783216063</v>
      </c>
      <c r="G855" t="str">
        <f>"INV 9783216063"</f>
        <v>INV 9783216063</v>
      </c>
      <c r="H855">
        <v>21.98</v>
      </c>
      <c r="I855" t="str">
        <f>"INV 9783216063"</f>
        <v>INV 9783216063</v>
      </c>
    </row>
    <row r="856" spans="1:9" x14ac:dyDescent="0.3">
      <c r="A856" t="str">
        <f>""</f>
        <v/>
      </c>
      <c r="F856" t="str">
        <f>"REPLACEMENT FIRE H"</f>
        <v>REPLACEMENT FIRE H</v>
      </c>
      <c r="G856" t="str">
        <f>"INV 9780819745"</f>
        <v>INV 9780819745</v>
      </c>
      <c r="H856">
        <v>295.97000000000003</v>
      </c>
      <c r="I856" t="str">
        <f>"INV 9780819745"</f>
        <v>INV 9780819745</v>
      </c>
    </row>
    <row r="857" spans="1:9" x14ac:dyDescent="0.3">
      <c r="A857" t="str">
        <f>""</f>
        <v/>
      </c>
      <c r="F857" t="str">
        <f>""</f>
        <v/>
      </c>
      <c r="G857" t="str">
        <f>""</f>
        <v/>
      </c>
      <c r="I857" t="str">
        <f>"INV 9781529020"</f>
        <v>INV 9781529020</v>
      </c>
    </row>
    <row r="858" spans="1:9" x14ac:dyDescent="0.3">
      <c r="A858" t="str">
        <f>""</f>
        <v/>
      </c>
      <c r="F858" t="str">
        <f>""</f>
        <v/>
      </c>
      <c r="G858" t="str">
        <f>""</f>
        <v/>
      </c>
      <c r="I858" t="str">
        <f>"INV 9780819737"</f>
        <v>INV 9780819737</v>
      </c>
    </row>
    <row r="859" spans="1:9" x14ac:dyDescent="0.3">
      <c r="A859" t="str">
        <f>""</f>
        <v/>
      </c>
      <c r="F859" t="str">
        <f>""</f>
        <v/>
      </c>
      <c r="G859" t="str">
        <f>""</f>
        <v/>
      </c>
      <c r="I859" t="str">
        <f>"INV 9782781661"</f>
        <v>INV 9782781661</v>
      </c>
    </row>
    <row r="860" spans="1:9" x14ac:dyDescent="0.3">
      <c r="A860" t="str">
        <f>"005357"</f>
        <v>005357</v>
      </c>
      <c r="B860" t="s">
        <v>206</v>
      </c>
      <c r="C860">
        <v>76902</v>
      </c>
      <c r="D860" s="2">
        <v>388.98</v>
      </c>
      <c r="E860" s="1">
        <v>43249</v>
      </c>
      <c r="F860" t="str">
        <f>"201805221106"</f>
        <v>201805221106</v>
      </c>
      <c r="G860" t="str">
        <f>"ACCT#10755373/NEWSPAPER SUBS"</f>
        <v>ACCT#10755373/NEWSPAPER SUBS</v>
      </c>
      <c r="H860">
        <v>8.82</v>
      </c>
      <c r="I860" t="str">
        <f>"ACCT#10755373/NEWSPAPER SUBS"</f>
        <v>ACCT#10755373/NEWSPAPER SUBS</v>
      </c>
    </row>
    <row r="861" spans="1:9" x14ac:dyDescent="0.3">
      <c r="A861" t="str">
        <f>""</f>
        <v/>
      </c>
      <c r="F861" t="str">
        <f>"AD ORD#0000347808"</f>
        <v>AD ORD#0000347808</v>
      </c>
      <c r="G861" t="str">
        <f>"AD #0000347808 -P. Notice"</f>
        <v>AD #0000347808 -P. Notice</v>
      </c>
      <c r="H861">
        <v>380.16</v>
      </c>
      <c r="I861" t="str">
        <f>"04/26/2108 - Ad Date"</f>
        <v>04/26/2108 - Ad Date</v>
      </c>
    </row>
    <row r="862" spans="1:9" x14ac:dyDescent="0.3">
      <c r="A862" t="str">
        <f>""</f>
        <v/>
      </c>
      <c r="F862" t="str">
        <f>""</f>
        <v/>
      </c>
      <c r="G862" t="str">
        <f>""</f>
        <v/>
      </c>
      <c r="I862" t="str">
        <f>"05/03/2018 - Ad Date"</f>
        <v>05/03/2018 - Ad Date</v>
      </c>
    </row>
    <row r="863" spans="1:9" x14ac:dyDescent="0.3">
      <c r="A863" t="str">
        <f>"004757"</f>
        <v>004757</v>
      </c>
      <c r="B863" t="s">
        <v>207</v>
      </c>
      <c r="C863">
        <v>76903</v>
      </c>
      <c r="D863" s="2">
        <v>27162.42</v>
      </c>
      <c r="E863" s="1">
        <v>43249</v>
      </c>
      <c r="F863" t="str">
        <f>"2018 DODGE RAM"</f>
        <v>2018 DODGE RAM</v>
      </c>
      <c r="G863" t="str">
        <f>"2018 Ram 2500 Crew Cab"</f>
        <v>2018 Ram 2500 Crew Cab</v>
      </c>
      <c r="H863">
        <v>27162.42</v>
      </c>
      <c r="I863" t="str">
        <f>"TRUCK"</f>
        <v>TRUCK</v>
      </c>
    </row>
    <row r="864" spans="1:9" x14ac:dyDescent="0.3">
      <c r="A864" t="str">
        <f>""</f>
        <v/>
      </c>
      <c r="F864" t="str">
        <f>""</f>
        <v/>
      </c>
      <c r="G864" t="str">
        <f>""</f>
        <v/>
      </c>
      <c r="I864" t="str">
        <f>"LONG BED"</f>
        <v>LONG BED</v>
      </c>
    </row>
    <row r="865" spans="1:9" x14ac:dyDescent="0.3">
      <c r="A865" t="str">
        <f>""</f>
        <v/>
      </c>
      <c r="F865" t="str">
        <f>""</f>
        <v/>
      </c>
      <c r="G865" t="str">
        <f>""</f>
        <v/>
      </c>
      <c r="I865" t="str">
        <f>"ANTI SPIN AXLE"</f>
        <v>ANTI SPIN AXLE</v>
      </c>
    </row>
    <row r="866" spans="1:9" x14ac:dyDescent="0.3">
      <c r="A866" t="str">
        <f>""</f>
        <v/>
      </c>
      <c r="F866" t="str">
        <f>""</f>
        <v/>
      </c>
      <c r="G866" t="str">
        <f>""</f>
        <v/>
      </c>
      <c r="I866" t="str">
        <f>"REMOTE KEYLESS ENTRY"</f>
        <v>REMOTE KEYLESS ENTRY</v>
      </c>
    </row>
    <row r="867" spans="1:9" x14ac:dyDescent="0.3">
      <c r="A867" t="str">
        <f>""</f>
        <v/>
      </c>
      <c r="F867" t="str">
        <f>""</f>
        <v/>
      </c>
      <c r="G867" t="str">
        <f>""</f>
        <v/>
      </c>
      <c r="I867" t="str">
        <f>"BRAKE CONTROLLER"</f>
        <v>BRAKE CONTROLLER</v>
      </c>
    </row>
    <row r="868" spans="1:9" x14ac:dyDescent="0.3">
      <c r="A868" t="str">
        <f>""</f>
        <v/>
      </c>
      <c r="F868" t="str">
        <f>""</f>
        <v/>
      </c>
      <c r="G868" t="str">
        <f>""</f>
        <v/>
      </c>
      <c r="I868" t="str">
        <f>"6.4L HEMI.AUTO"</f>
        <v>6.4L HEMI.AUTO</v>
      </c>
    </row>
    <row r="869" spans="1:9" x14ac:dyDescent="0.3">
      <c r="A869" t="str">
        <f>""</f>
        <v/>
      </c>
      <c r="F869" t="str">
        <f>""</f>
        <v/>
      </c>
      <c r="G869" t="str">
        <f>""</f>
        <v/>
      </c>
      <c r="I869" t="str">
        <f>"UCONNECT BLUETOOTH"</f>
        <v>UCONNECT BLUETOOTH</v>
      </c>
    </row>
    <row r="870" spans="1:9" x14ac:dyDescent="0.3">
      <c r="A870" t="str">
        <f>""</f>
        <v/>
      </c>
      <c r="F870" t="str">
        <f>""</f>
        <v/>
      </c>
      <c r="G870" t="str">
        <f>""</f>
        <v/>
      </c>
      <c r="I870" t="str">
        <f>"TOW HOOKS"</f>
        <v>TOW HOOKS</v>
      </c>
    </row>
    <row r="871" spans="1:9" x14ac:dyDescent="0.3">
      <c r="A871" t="str">
        <f>""</f>
        <v/>
      </c>
      <c r="F871" t="str">
        <f>""</f>
        <v/>
      </c>
      <c r="G871" t="str">
        <f>""</f>
        <v/>
      </c>
      <c r="I871" t="str">
        <f>"FLOOR PLAN INTEREST"</f>
        <v>FLOOR PLAN INTEREST</v>
      </c>
    </row>
    <row r="872" spans="1:9" x14ac:dyDescent="0.3">
      <c r="A872" t="str">
        <f>"004940"</f>
        <v>004940</v>
      </c>
      <c r="B872" t="s">
        <v>208</v>
      </c>
      <c r="C872">
        <v>76772</v>
      </c>
      <c r="D872" s="2">
        <v>163.41</v>
      </c>
      <c r="E872" s="1">
        <v>43234</v>
      </c>
      <c r="F872" t="str">
        <f>"201805091000"</f>
        <v>201805091000</v>
      </c>
      <c r="G872" t="str">
        <f>"INDIGENT HEALTH"</f>
        <v>INDIGENT HEALTH</v>
      </c>
      <c r="H872">
        <v>163.41</v>
      </c>
      <c r="I872" t="str">
        <f>"INDIGENT HEALTH"</f>
        <v>INDIGENT HEALTH</v>
      </c>
    </row>
    <row r="873" spans="1:9" x14ac:dyDescent="0.3">
      <c r="A873" t="str">
        <f>"GTDI"</f>
        <v>GTDI</v>
      </c>
      <c r="B873" t="s">
        <v>209</v>
      </c>
      <c r="C873">
        <v>76643</v>
      </c>
      <c r="D873" s="2">
        <v>602.22</v>
      </c>
      <c r="E873" s="1">
        <v>43234</v>
      </c>
      <c r="F873" t="str">
        <f>"0658353"</f>
        <v>0658353</v>
      </c>
      <c r="G873" t="str">
        <f>"INV 0658353"</f>
        <v>INV 0658353</v>
      </c>
      <c r="H873">
        <v>364.2</v>
      </c>
      <c r="I873" t="str">
        <f>"INV 0658353"</f>
        <v>INV 0658353</v>
      </c>
    </row>
    <row r="874" spans="1:9" x14ac:dyDescent="0.3">
      <c r="A874" t="str">
        <f>""</f>
        <v/>
      </c>
      <c r="F874" t="str">
        <f>"INV0657304"</f>
        <v>INV0657304</v>
      </c>
      <c r="G874" t="str">
        <f>"Computer Mount"</f>
        <v>Computer Mount</v>
      </c>
      <c r="H874">
        <v>238.02</v>
      </c>
      <c r="I874" t="str">
        <f>"Havis Mounting Base"</f>
        <v>Havis Mounting Base</v>
      </c>
    </row>
    <row r="875" spans="1:9" x14ac:dyDescent="0.3">
      <c r="A875" t="str">
        <f>""</f>
        <v/>
      </c>
      <c r="F875" t="str">
        <f>""</f>
        <v/>
      </c>
      <c r="G875" t="str">
        <f>""</f>
        <v/>
      </c>
      <c r="I875" t="str">
        <f>"Freight"</f>
        <v>Freight</v>
      </c>
    </row>
    <row r="876" spans="1:9" x14ac:dyDescent="0.3">
      <c r="A876" t="str">
        <f>"GTDI"</f>
        <v>GTDI</v>
      </c>
      <c r="B876" t="s">
        <v>209</v>
      </c>
      <c r="C876">
        <v>76904</v>
      </c>
      <c r="D876" s="2">
        <v>72.5</v>
      </c>
      <c r="E876" s="1">
        <v>43249</v>
      </c>
      <c r="F876" t="str">
        <f>"0660010"</f>
        <v>0660010</v>
      </c>
      <c r="G876" t="str">
        <f>"INV 0660010"</f>
        <v>INV 0660010</v>
      </c>
      <c r="H876">
        <v>72.5</v>
      </c>
      <c r="I876" t="str">
        <f>"INV 0660010"</f>
        <v>INV 0660010</v>
      </c>
    </row>
    <row r="877" spans="1:9" x14ac:dyDescent="0.3">
      <c r="A877" t="str">
        <f>"T3667"</f>
        <v>T3667</v>
      </c>
      <c r="B877" t="s">
        <v>210</v>
      </c>
      <c r="C877">
        <v>76644</v>
      </c>
      <c r="D877" s="2">
        <v>3957.37</v>
      </c>
      <c r="E877" s="1">
        <v>43234</v>
      </c>
      <c r="F877" t="str">
        <f>"1486598"</f>
        <v>1486598</v>
      </c>
      <c r="G877" t="str">
        <f>"CUST#0007014928/GEN SVCS"</f>
        <v>CUST#0007014928/GEN SVCS</v>
      </c>
      <c r="H877">
        <v>-38.43</v>
      </c>
      <c r="I877" t="str">
        <f>"CUST#0007014928/GEN SVCS"</f>
        <v>CUST#0007014928/GEN SVCS</v>
      </c>
    </row>
    <row r="878" spans="1:9" x14ac:dyDescent="0.3">
      <c r="A878" t="str">
        <f>""</f>
        <v/>
      </c>
      <c r="F878" t="str">
        <f>"1486659"</f>
        <v>1486659</v>
      </c>
      <c r="G878" t="str">
        <f>"CUST#0007014928/GEN SVCS"</f>
        <v>CUST#0007014928/GEN SVCS</v>
      </c>
      <c r="H878">
        <v>-20.84</v>
      </c>
      <c r="I878" t="str">
        <f>"CUST#0007014928/GEN SVCS"</f>
        <v>CUST#0007014928/GEN SVCS</v>
      </c>
    </row>
    <row r="879" spans="1:9" x14ac:dyDescent="0.3">
      <c r="A879" t="str">
        <f>""</f>
        <v/>
      </c>
      <c r="F879" t="str">
        <f>"1486628"</f>
        <v>1486628</v>
      </c>
      <c r="G879" t="str">
        <f>"CUST#0007014928/GEN SVCS"</f>
        <v>CUST#0007014928/GEN SVCS</v>
      </c>
      <c r="H879">
        <v>798.21</v>
      </c>
      <c r="I879" t="str">
        <f>"CUST#0007014928/GEN SVCS"</f>
        <v>CUST#0007014928/GEN SVCS</v>
      </c>
    </row>
    <row r="880" spans="1:9" x14ac:dyDescent="0.3">
      <c r="A880" t="str">
        <f>""</f>
        <v/>
      </c>
      <c r="F880" t="str">
        <f>"1487694"</f>
        <v>1487694</v>
      </c>
      <c r="G880" t="str">
        <f>"CUST#0007014928/GEN SVCS"</f>
        <v>CUST#0007014928/GEN SVCS</v>
      </c>
      <c r="H880">
        <v>94.8</v>
      </c>
      <c r="I880" t="str">
        <f>"CUST#0007014928/GEN SVCS"</f>
        <v>CUST#0007014928/GEN SVCS</v>
      </c>
    </row>
    <row r="881" spans="1:10" x14ac:dyDescent="0.3">
      <c r="A881" t="str">
        <f>""</f>
        <v/>
      </c>
      <c r="F881" t="str">
        <f>"1490278"</f>
        <v>1490278</v>
      </c>
      <c r="G881" t="str">
        <f>"CUST#0007014928/GEN SVCS"</f>
        <v>CUST#0007014928/GEN SVCS</v>
      </c>
      <c r="H881">
        <v>57.86</v>
      </c>
      <c r="I881" t="str">
        <f>"CUST#0007014928/GEN SVCS"</f>
        <v>CUST#0007014928/GEN SVCS</v>
      </c>
    </row>
    <row r="882" spans="1:10" x14ac:dyDescent="0.3">
      <c r="A882" t="str">
        <f>""</f>
        <v/>
      </c>
      <c r="F882" t="str">
        <f>"1493892"</f>
        <v>1493892</v>
      </c>
      <c r="G882" t="str">
        <f>"INV 1493892"</f>
        <v>INV 1493892</v>
      </c>
      <c r="H882">
        <v>2952.7</v>
      </c>
      <c r="I882" t="str">
        <f>"INV 1493892"</f>
        <v>INV 1493892</v>
      </c>
    </row>
    <row r="883" spans="1:10" x14ac:dyDescent="0.3">
      <c r="A883" t="str">
        <f>""</f>
        <v/>
      </c>
      <c r="F883" t="str">
        <f>"1494153"</f>
        <v>1494153</v>
      </c>
      <c r="G883" t="str">
        <f>"CUST#0007014928/GEN SVCS"</f>
        <v>CUST#0007014928/GEN SVCS</v>
      </c>
      <c r="H883">
        <v>113.07</v>
      </c>
      <c r="I883" t="str">
        <f>"CUST#0007014928/GEN SVCS"</f>
        <v>CUST#0007014928/GEN SVCS</v>
      </c>
    </row>
    <row r="884" spans="1:10" x14ac:dyDescent="0.3">
      <c r="A884" t="str">
        <f>"T3667"</f>
        <v>T3667</v>
      </c>
      <c r="B884" t="s">
        <v>210</v>
      </c>
      <c r="C884">
        <v>76905</v>
      </c>
      <c r="D884" s="2">
        <v>1725.08</v>
      </c>
      <c r="E884" s="1">
        <v>43249</v>
      </c>
      <c r="F884" t="str">
        <f>"1497987"</f>
        <v>1497987</v>
      </c>
      <c r="G884" t="str">
        <f>"CUST#0007014928/ORD#MJ7X9/GEN"</f>
        <v>CUST#0007014928/ORD#MJ7X9/GEN</v>
      </c>
      <c r="H884">
        <v>120.25</v>
      </c>
      <c r="I884" t="str">
        <f>"CUST#0007014928/ORD#MJ7X9/GEN"</f>
        <v>CUST#0007014928/ORD#MJ7X9/GEN</v>
      </c>
    </row>
    <row r="885" spans="1:10" x14ac:dyDescent="0.3">
      <c r="A885" t="str">
        <f>""</f>
        <v/>
      </c>
      <c r="F885" t="str">
        <f>"1501183"</f>
        <v>1501183</v>
      </c>
      <c r="G885" t="str">
        <f>"CUST#0007014917/ORD#MH3P6/GEN"</f>
        <v>CUST#0007014917/ORD#MH3P6/GEN</v>
      </c>
      <c r="H885">
        <v>91.44</v>
      </c>
      <c r="I885" t="str">
        <f>"CUST#0007014917/ORD#MH3P6/GEN"</f>
        <v>CUST#0007014917/ORD#MH3P6/GEN</v>
      </c>
    </row>
    <row r="886" spans="1:10" x14ac:dyDescent="0.3">
      <c r="A886" t="str">
        <f>""</f>
        <v/>
      </c>
      <c r="F886" t="str">
        <f>"1501184"</f>
        <v>1501184</v>
      </c>
      <c r="G886" t="str">
        <f>"CUST#0007014928/ORD#MK114/GEN"</f>
        <v>CUST#0007014928/ORD#MK114/GEN</v>
      </c>
      <c r="H886">
        <v>1004.75</v>
      </c>
      <c r="I886" t="str">
        <f>"CUST#0007014928/ORD#MK114/GEN"</f>
        <v>CUST#0007014928/ORD#MK114/GEN</v>
      </c>
    </row>
    <row r="887" spans="1:10" x14ac:dyDescent="0.3">
      <c r="A887" t="str">
        <f>""</f>
        <v/>
      </c>
      <c r="F887" t="str">
        <f>"1501187"</f>
        <v>1501187</v>
      </c>
      <c r="G887" t="str">
        <f>"CUST#0007014928/ORD#MK4L9/GEN"</f>
        <v>CUST#0007014928/ORD#MK4L9/GEN</v>
      </c>
      <c r="H887">
        <v>238.04</v>
      </c>
      <c r="I887" t="str">
        <f>"CUST#0007014928/GEN SVCS"</f>
        <v>CUST#0007014928/GEN SVCS</v>
      </c>
    </row>
    <row r="888" spans="1:10" x14ac:dyDescent="0.3">
      <c r="A888" t="str">
        <f>""</f>
        <v/>
      </c>
      <c r="F888" t="str">
        <f>"1503459"</f>
        <v>1503459</v>
      </c>
      <c r="G888" t="str">
        <f>"CUST#0007014928/ORD#MK6X2/GEN"</f>
        <v>CUST#0007014928/ORD#MK6X2/GEN</v>
      </c>
      <c r="H888">
        <v>270.60000000000002</v>
      </c>
      <c r="I888" t="str">
        <f>"CUST#0007014928/ORD#MK6X2/GEN"</f>
        <v>CUST#0007014928/ORD#MK6X2/GEN</v>
      </c>
    </row>
    <row r="889" spans="1:10" x14ac:dyDescent="0.3">
      <c r="A889" t="str">
        <f>"T14120"</f>
        <v>T14120</v>
      </c>
      <c r="B889" t="s">
        <v>211</v>
      </c>
      <c r="C889">
        <v>999999</v>
      </c>
      <c r="D889" s="2">
        <v>85</v>
      </c>
      <c r="E889" s="1">
        <v>43250</v>
      </c>
      <c r="F889" t="str">
        <f>"570089"</f>
        <v>570089</v>
      </c>
      <c r="G889" t="str">
        <f>"ACCT#41985/PCT#3"</f>
        <v>ACCT#41985/PCT#3</v>
      </c>
      <c r="H889">
        <v>85</v>
      </c>
      <c r="I889" t="str">
        <f>"ACCT#41985/PCT#3"</f>
        <v>ACCT#41985/PCT#3</v>
      </c>
    </row>
    <row r="890" spans="1:10" x14ac:dyDescent="0.3">
      <c r="A890" t="str">
        <f>"005207"</f>
        <v>005207</v>
      </c>
      <c r="B890" t="s">
        <v>212</v>
      </c>
      <c r="C890">
        <v>76906</v>
      </c>
      <c r="D890" s="2">
        <v>221.98</v>
      </c>
      <c r="E890" s="1">
        <v>43249</v>
      </c>
      <c r="F890" t="str">
        <f>"201805231173"</f>
        <v>201805231173</v>
      </c>
      <c r="G890" t="str">
        <f>"MILEAGE REIMBURSEMENT"</f>
        <v>MILEAGE REIMBURSEMENT</v>
      </c>
      <c r="H890">
        <v>221.98</v>
      </c>
      <c r="I890" t="str">
        <f>"MILEAGE REIMBURSEMENT"</f>
        <v>MILEAGE REIMBURSEMENT</v>
      </c>
    </row>
    <row r="891" spans="1:10" x14ac:dyDescent="0.3">
      <c r="A891" t="str">
        <f>"003170"</f>
        <v>003170</v>
      </c>
      <c r="B891" t="s">
        <v>213</v>
      </c>
      <c r="C891">
        <v>76645</v>
      </c>
      <c r="D891" s="2">
        <v>150</v>
      </c>
      <c r="E891" s="1">
        <v>43234</v>
      </c>
      <c r="F891" t="str">
        <f>"12349"</f>
        <v>12349</v>
      </c>
      <c r="G891" t="str">
        <f>"SERVICE  12/08/17"</f>
        <v>SERVICE  12/08/17</v>
      </c>
      <c r="H891">
        <v>150</v>
      </c>
      <c r="I891" t="str">
        <f>"SERVICE  12/08/17"</f>
        <v>SERVICE  12/08/17</v>
      </c>
    </row>
    <row r="892" spans="1:10" x14ac:dyDescent="0.3">
      <c r="A892" t="str">
        <f>"003170"</f>
        <v>003170</v>
      </c>
      <c r="B892" t="s">
        <v>213</v>
      </c>
      <c r="C892">
        <v>76907</v>
      </c>
      <c r="D892" s="2">
        <v>75</v>
      </c>
      <c r="E892" s="1">
        <v>43249</v>
      </c>
      <c r="F892" t="s">
        <v>59</v>
      </c>
      <c r="G892" t="s">
        <v>154</v>
      </c>
      <c r="H892" t="str">
        <f>"SERVICE  03/28/18"</f>
        <v>SERVICE  03/28/18</v>
      </c>
      <c r="I892" t="str">
        <f>"995-4110"</f>
        <v>995-4110</v>
      </c>
      <c r="J892" t="str">
        <f>""</f>
        <v/>
      </c>
    </row>
    <row r="893" spans="1:10" x14ac:dyDescent="0.3">
      <c r="A893" t="str">
        <f>"002748"</f>
        <v>002748</v>
      </c>
      <c r="B893" t="s">
        <v>214</v>
      </c>
      <c r="C893">
        <v>76646</v>
      </c>
      <c r="D893" s="2">
        <v>225</v>
      </c>
      <c r="E893" s="1">
        <v>43234</v>
      </c>
      <c r="F893" t="str">
        <f>"12349"</f>
        <v>12349</v>
      </c>
      <c r="G893" t="str">
        <f>"SERVICE  12/08/17"</f>
        <v>SERVICE  12/08/17</v>
      </c>
      <c r="H893">
        <v>225</v>
      </c>
      <c r="I893" t="str">
        <f>"SERVICE  12/08/17"</f>
        <v>SERVICE  12/08/17</v>
      </c>
    </row>
    <row r="894" spans="1:10" x14ac:dyDescent="0.3">
      <c r="A894" t="str">
        <f>"002748"</f>
        <v>002748</v>
      </c>
      <c r="B894" t="s">
        <v>214</v>
      </c>
      <c r="C894">
        <v>76908</v>
      </c>
      <c r="D894" s="2">
        <v>150</v>
      </c>
      <c r="E894" s="1">
        <v>43249</v>
      </c>
      <c r="F894" t="str">
        <f>"12130"</f>
        <v>12130</v>
      </c>
      <c r="G894" t="str">
        <f>"SERVICE  03/01/2018"</f>
        <v>SERVICE  03/01/2018</v>
      </c>
      <c r="H894">
        <v>75</v>
      </c>
      <c r="I894" t="str">
        <f>"SERVICE  03/01/2018"</f>
        <v>SERVICE  03/01/2018</v>
      </c>
    </row>
    <row r="895" spans="1:10" x14ac:dyDescent="0.3">
      <c r="A895" t="str">
        <f>""</f>
        <v/>
      </c>
      <c r="F895" t="str">
        <f>"9635"</f>
        <v>9635</v>
      </c>
      <c r="G895" t="str">
        <f>"SERVICE  02/27/2018"</f>
        <v>SERVICE  02/27/2018</v>
      </c>
      <c r="H895">
        <v>75</v>
      </c>
      <c r="I895" t="str">
        <f>"SERVICE  02/27/2018"</f>
        <v>SERVICE  02/27/2018</v>
      </c>
    </row>
    <row r="896" spans="1:10" x14ac:dyDescent="0.3">
      <c r="A896" t="str">
        <f>"005221"</f>
        <v>005221</v>
      </c>
      <c r="B896" t="s">
        <v>215</v>
      </c>
      <c r="C896">
        <v>76647</v>
      </c>
      <c r="D896" s="2">
        <v>3580.92</v>
      </c>
      <c r="E896" s="1">
        <v>43234</v>
      </c>
      <c r="F896" t="str">
        <f>"21476"</f>
        <v>21476</v>
      </c>
      <c r="G896" t="str">
        <f>"ACCT#954/PCT#2"</f>
        <v>ACCT#954/PCT#2</v>
      </c>
      <c r="H896">
        <v>3580.92</v>
      </c>
      <c r="I896" t="str">
        <f>"ACCT#954/PCT#2"</f>
        <v>ACCT#954/PCT#2</v>
      </c>
    </row>
    <row r="897" spans="1:10" x14ac:dyDescent="0.3">
      <c r="A897" t="str">
        <f>"HP&amp;S"</f>
        <v>HP&amp;S</v>
      </c>
      <c r="B897" t="s">
        <v>216</v>
      </c>
      <c r="C897">
        <v>76909</v>
      </c>
      <c r="D897" s="2">
        <v>396</v>
      </c>
      <c r="E897" s="1">
        <v>43249</v>
      </c>
      <c r="F897" t="str">
        <f>"041833"</f>
        <v>041833</v>
      </c>
      <c r="G897" t="str">
        <f>"SCHEDULE OF FINES/JOB#98937"</f>
        <v>SCHEDULE OF FINES/JOB#98937</v>
      </c>
      <c r="H897">
        <v>396</v>
      </c>
      <c r="I897" t="str">
        <f>"SCHEDULE OF FINES/JOB#98937"</f>
        <v>SCHEDULE OF FINES/JOB#98937</v>
      </c>
    </row>
    <row r="898" spans="1:10" x14ac:dyDescent="0.3">
      <c r="A898" t="str">
        <f>""</f>
        <v/>
      </c>
      <c r="F898" t="str">
        <f>""</f>
        <v/>
      </c>
      <c r="G898" t="str">
        <f>""</f>
        <v/>
      </c>
      <c r="I898" t="str">
        <f>"SCHEDULE OF FINES/JOB#98937"</f>
        <v>SCHEDULE OF FINES/JOB#98937</v>
      </c>
    </row>
    <row r="899" spans="1:10" x14ac:dyDescent="0.3">
      <c r="A899" t="str">
        <f>""</f>
        <v/>
      </c>
      <c r="F899" t="str">
        <f>""</f>
        <v/>
      </c>
      <c r="G899" t="str">
        <f>""</f>
        <v/>
      </c>
      <c r="I899" t="str">
        <f>"SCHEDULE OF FINES/JOB#98937"</f>
        <v>SCHEDULE OF FINES/JOB#98937</v>
      </c>
    </row>
    <row r="900" spans="1:10" x14ac:dyDescent="0.3">
      <c r="A900" t="str">
        <f>""</f>
        <v/>
      </c>
      <c r="F900" t="str">
        <f>""</f>
        <v/>
      </c>
      <c r="G900" t="str">
        <f>""</f>
        <v/>
      </c>
      <c r="I900" t="str">
        <f>"SCHEDULE OF FINES/JOB#98937"</f>
        <v>SCHEDULE OF FINES/JOB#98937</v>
      </c>
    </row>
    <row r="901" spans="1:10" x14ac:dyDescent="0.3">
      <c r="A901" t="str">
        <f>"000061"</f>
        <v>000061</v>
      </c>
      <c r="B901" t="s">
        <v>217</v>
      </c>
      <c r="C901">
        <v>76648</v>
      </c>
      <c r="D901" s="2">
        <v>32893.81</v>
      </c>
      <c r="E901" s="1">
        <v>43234</v>
      </c>
      <c r="F901" t="str">
        <f>"2017 CHEVY"</f>
        <v>2017 CHEVY</v>
      </c>
      <c r="G901" t="str">
        <f>"HENNA CHEVROLET"</f>
        <v>HENNA CHEVROLET</v>
      </c>
      <c r="H901">
        <v>32893.81</v>
      </c>
      <c r="I901" t="str">
        <f>"Chevy Silverado"</f>
        <v>Chevy Silverado</v>
      </c>
    </row>
    <row r="902" spans="1:10" x14ac:dyDescent="0.3">
      <c r="A902" t="str">
        <f>"004624"</f>
        <v>004624</v>
      </c>
      <c r="B902" t="s">
        <v>218</v>
      </c>
      <c r="C902">
        <v>76649</v>
      </c>
      <c r="D902" s="2">
        <v>100</v>
      </c>
      <c r="E902" s="1">
        <v>43234</v>
      </c>
      <c r="F902" t="s">
        <v>219</v>
      </c>
      <c r="G902" t="s">
        <v>220</v>
      </c>
      <c r="H902" t="str">
        <f>"RESTITUTION-M. FELTS"</f>
        <v>RESTITUTION-M. FELTS</v>
      </c>
      <c r="I902" t="str">
        <f>"210-0000"</f>
        <v>210-0000</v>
      </c>
      <c r="J902" t="str">
        <f>""</f>
        <v/>
      </c>
    </row>
    <row r="903" spans="1:10" x14ac:dyDescent="0.3">
      <c r="A903" t="str">
        <f>"004927"</f>
        <v>004927</v>
      </c>
      <c r="B903" t="s">
        <v>221</v>
      </c>
      <c r="C903">
        <v>76650</v>
      </c>
      <c r="D903" s="2">
        <v>4065</v>
      </c>
      <c r="E903" s="1">
        <v>43234</v>
      </c>
      <c r="F903" t="str">
        <f>"14128"</f>
        <v>14128</v>
      </c>
      <c r="G903" t="str">
        <f>"JOB#7816/7816 BASTROP ELGIN SI"</f>
        <v>JOB#7816/7816 BASTROP ELGIN SI</v>
      </c>
      <c r="H903">
        <v>4065</v>
      </c>
      <c r="I903" t="str">
        <f>"JOB#7816/7816 BASTROP ELGIN SI"</f>
        <v>JOB#7816/7816 BASTROP ELGIN SI</v>
      </c>
    </row>
    <row r="904" spans="1:10" x14ac:dyDescent="0.3">
      <c r="A904" t="str">
        <f>"004351"</f>
        <v>004351</v>
      </c>
      <c r="B904" t="s">
        <v>222</v>
      </c>
      <c r="C904">
        <v>76651</v>
      </c>
      <c r="D904" s="2">
        <v>105.09</v>
      </c>
      <c r="E904" s="1">
        <v>43234</v>
      </c>
      <c r="F904" t="str">
        <f>"201805030727"</f>
        <v>201805030727</v>
      </c>
      <c r="G904" t="str">
        <f>"LODGING"</f>
        <v>LODGING</v>
      </c>
      <c r="H904">
        <v>105.09</v>
      </c>
      <c r="I904" t="str">
        <f>"LODGING"</f>
        <v>LODGING</v>
      </c>
    </row>
    <row r="905" spans="1:10" x14ac:dyDescent="0.3">
      <c r="A905" t="str">
        <f>"HPC"</f>
        <v>HPC</v>
      </c>
      <c r="B905" t="s">
        <v>223</v>
      </c>
      <c r="C905">
        <v>999999</v>
      </c>
      <c r="D905" s="2">
        <v>650</v>
      </c>
      <c r="E905" s="1">
        <v>43235</v>
      </c>
      <c r="F905" t="str">
        <f>"PEST CONTROL MAY18"</f>
        <v>PEST CONTROL MAY18</v>
      </c>
      <c r="G905" t="str">
        <f>"BASCOM L HODGES JR"</f>
        <v>BASCOM L HODGES JR</v>
      </c>
      <c r="H905">
        <v>650</v>
      </c>
      <c r="I905" t="str">
        <f>""</f>
        <v/>
      </c>
    </row>
    <row r="906" spans="1:10" x14ac:dyDescent="0.3">
      <c r="A906" t="str">
        <f>"ECKEL"</f>
        <v>ECKEL</v>
      </c>
      <c r="B906" t="s">
        <v>224</v>
      </c>
      <c r="C906">
        <v>76652</v>
      </c>
      <c r="D906" s="2">
        <v>1500</v>
      </c>
      <c r="E906" s="1">
        <v>43234</v>
      </c>
      <c r="F906" t="str">
        <f>"201804250443"</f>
        <v>201804250443</v>
      </c>
      <c r="G906" t="str">
        <f>"423-4129"</f>
        <v>423-4129</v>
      </c>
      <c r="H906">
        <v>100</v>
      </c>
      <c r="I906" t="str">
        <f>"423-4129"</f>
        <v>423-4129</v>
      </c>
    </row>
    <row r="907" spans="1:10" x14ac:dyDescent="0.3">
      <c r="A907" t="str">
        <f>""</f>
        <v/>
      </c>
      <c r="F907" t="str">
        <f>"201805040805"</f>
        <v>201805040805</v>
      </c>
      <c r="G907" t="str">
        <f>"55 500"</f>
        <v>55 500</v>
      </c>
      <c r="H907">
        <v>250</v>
      </c>
      <c r="I907" t="str">
        <f>"55 500"</f>
        <v>55 500</v>
      </c>
    </row>
    <row r="908" spans="1:10" x14ac:dyDescent="0.3">
      <c r="A908" t="str">
        <f>""</f>
        <v/>
      </c>
      <c r="F908" t="str">
        <f>"201805040806"</f>
        <v>201805040806</v>
      </c>
      <c r="G908" t="str">
        <f>"55 218"</f>
        <v>55 218</v>
      </c>
      <c r="H908">
        <v>250</v>
      </c>
      <c r="I908" t="str">
        <f>"55 218"</f>
        <v>55 218</v>
      </c>
    </row>
    <row r="909" spans="1:10" x14ac:dyDescent="0.3">
      <c r="A909" t="str">
        <f>""</f>
        <v/>
      </c>
      <c r="F909" t="str">
        <f>"201805040807"</f>
        <v>201805040807</v>
      </c>
      <c r="G909" t="str">
        <f>"56065"</f>
        <v>56065</v>
      </c>
      <c r="H909">
        <v>250</v>
      </c>
      <c r="I909" t="str">
        <f>"56065"</f>
        <v>56065</v>
      </c>
    </row>
    <row r="910" spans="1:10" x14ac:dyDescent="0.3">
      <c r="A910" t="str">
        <f>""</f>
        <v/>
      </c>
      <c r="F910" t="str">
        <f>"201805040808"</f>
        <v>201805040808</v>
      </c>
      <c r="G910" t="str">
        <f>"18-18864"</f>
        <v>18-18864</v>
      </c>
      <c r="H910">
        <v>250</v>
      </c>
      <c r="I910" t="str">
        <f>"18-18864"</f>
        <v>18-18864</v>
      </c>
    </row>
    <row r="911" spans="1:10" x14ac:dyDescent="0.3">
      <c r="A911" t="str">
        <f>""</f>
        <v/>
      </c>
      <c r="F911" t="str">
        <f>"201805040809"</f>
        <v>201805040809</v>
      </c>
      <c r="G911" t="str">
        <f>"17-18635"</f>
        <v>17-18635</v>
      </c>
      <c r="H911">
        <v>75</v>
      </c>
      <c r="I911" t="str">
        <f>"17-18635"</f>
        <v>17-18635</v>
      </c>
    </row>
    <row r="912" spans="1:10" x14ac:dyDescent="0.3">
      <c r="A912" t="str">
        <f>""</f>
        <v/>
      </c>
      <c r="F912" t="str">
        <f>"201805040810"</f>
        <v>201805040810</v>
      </c>
      <c r="G912" t="str">
        <f>"02-7522"</f>
        <v>02-7522</v>
      </c>
      <c r="H912">
        <v>100</v>
      </c>
      <c r="I912" t="str">
        <f>"02-7522"</f>
        <v>02-7522</v>
      </c>
    </row>
    <row r="913" spans="1:9" x14ac:dyDescent="0.3">
      <c r="A913" t="str">
        <f>""</f>
        <v/>
      </c>
      <c r="F913" t="str">
        <f>"201805040811"</f>
        <v>201805040811</v>
      </c>
      <c r="G913" t="str">
        <f>"17-18119  03/27/18"</f>
        <v>17-18119  03/27/18</v>
      </c>
      <c r="H913">
        <v>225</v>
      </c>
      <c r="I913" t="str">
        <f>"17-18119  03/27/18"</f>
        <v>17-18119  03/27/18</v>
      </c>
    </row>
    <row r="914" spans="1:9" x14ac:dyDescent="0.3">
      <c r="A914" t="str">
        <f>"ECKEL"</f>
        <v>ECKEL</v>
      </c>
      <c r="B914" t="s">
        <v>224</v>
      </c>
      <c r="C914">
        <v>76910</v>
      </c>
      <c r="D914" s="2">
        <v>500</v>
      </c>
      <c r="E914" s="1">
        <v>43249</v>
      </c>
      <c r="F914" t="str">
        <f>"201805171066"</f>
        <v>201805171066</v>
      </c>
      <c r="G914" t="str">
        <f>"423-3197"</f>
        <v>423-3197</v>
      </c>
      <c r="H914">
        <v>100</v>
      </c>
      <c r="I914" t="str">
        <f>"423-3197"</f>
        <v>423-3197</v>
      </c>
    </row>
    <row r="915" spans="1:9" x14ac:dyDescent="0.3">
      <c r="A915" t="str">
        <f>""</f>
        <v/>
      </c>
      <c r="F915" t="str">
        <f>"201805221119"</f>
        <v>201805221119</v>
      </c>
      <c r="G915" t="str">
        <f>"17-18637"</f>
        <v>17-18637</v>
      </c>
      <c r="H915">
        <v>75</v>
      </c>
      <c r="I915" t="str">
        <f>"17-18637"</f>
        <v>17-18637</v>
      </c>
    </row>
    <row r="916" spans="1:9" x14ac:dyDescent="0.3">
      <c r="A916" t="str">
        <f>""</f>
        <v/>
      </c>
      <c r="F916" t="str">
        <f>"201805221120"</f>
        <v>201805221120</v>
      </c>
      <c r="G916" t="str">
        <f>"18-18995"</f>
        <v>18-18995</v>
      </c>
      <c r="H916">
        <v>75</v>
      </c>
      <c r="I916" t="str">
        <f>"18-18995"</f>
        <v>18-18995</v>
      </c>
    </row>
    <row r="917" spans="1:9" x14ac:dyDescent="0.3">
      <c r="A917" t="str">
        <f>""</f>
        <v/>
      </c>
      <c r="F917" t="str">
        <f>"201805221121"</f>
        <v>201805221121</v>
      </c>
      <c r="G917" t="str">
        <f>"17-18635"</f>
        <v>17-18635</v>
      </c>
      <c r="H917">
        <v>75</v>
      </c>
      <c r="I917" t="str">
        <f>"17-18635"</f>
        <v>17-18635</v>
      </c>
    </row>
    <row r="918" spans="1:9" x14ac:dyDescent="0.3">
      <c r="A918" t="str">
        <f>""</f>
        <v/>
      </c>
      <c r="F918" t="str">
        <f>"201805221122"</f>
        <v>201805221122</v>
      </c>
      <c r="G918" t="str">
        <f>"09.13438"</f>
        <v>09.13438</v>
      </c>
      <c r="H918">
        <v>175</v>
      </c>
      <c r="I918" t="str">
        <f>"09.13438"</f>
        <v>09.13438</v>
      </c>
    </row>
    <row r="919" spans="1:9" x14ac:dyDescent="0.3">
      <c r="A919" t="str">
        <f>"005491"</f>
        <v>005491</v>
      </c>
      <c r="B919" t="s">
        <v>225</v>
      </c>
      <c r="C919">
        <v>76653</v>
      </c>
      <c r="D919" s="2">
        <v>50</v>
      </c>
      <c r="E919" s="1">
        <v>43234</v>
      </c>
      <c r="F919" t="str">
        <f>"REIMBURSEMENT"</f>
        <v>REIMBURSEMENT</v>
      </c>
      <c r="G919" t="str">
        <f>"TESTING"</f>
        <v>TESTING</v>
      </c>
      <c r="H919">
        <v>50</v>
      </c>
      <c r="I919" t="str">
        <f>"TESTING"</f>
        <v>TESTING</v>
      </c>
    </row>
    <row r="920" spans="1:9" x14ac:dyDescent="0.3">
      <c r="A920" t="str">
        <f>"HM"</f>
        <v>HM</v>
      </c>
      <c r="B920" t="s">
        <v>226</v>
      </c>
      <c r="C920">
        <v>76654</v>
      </c>
      <c r="D920" s="2">
        <v>9949.35</v>
      </c>
      <c r="E920" s="1">
        <v>43234</v>
      </c>
      <c r="F920" t="str">
        <f>"201805080904"</f>
        <v>201805080904</v>
      </c>
      <c r="G920" t="str">
        <f>"CUST#0129100/PCT#2"</f>
        <v>CUST#0129100/PCT#2</v>
      </c>
      <c r="H920">
        <v>998.2</v>
      </c>
      <c r="I920" t="str">
        <f>"CUST#0129100/PCT#2"</f>
        <v>CUST#0129100/PCT#2</v>
      </c>
    </row>
    <row r="921" spans="1:9" x14ac:dyDescent="0.3">
      <c r="A921" t="str">
        <f>""</f>
        <v/>
      </c>
      <c r="F921" t="str">
        <f>"PIMA0284463"</f>
        <v>PIMA0284463</v>
      </c>
      <c r="G921" t="str">
        <f>"CUST#0129450/PARTS/PCT#1"</f>
        <v>CUST#0129450/PARTS/PCT#1</v>
      </c>
      <c r="H921">
        <v>153.16999999999999</v>
      </c>
      <c r="I921" t="str">
        <f>"CUST#0129450/PARTS/PCT#1"</f>
        <v>CUST#0129450/PARTS/PCT#1</v>
      </c>
    </row>
    <row r="922" spans="1:9" x14ac:dyDescent="0.3">
      <c r="A922" t="str">
        <f>""</f>
        <v/>
      </c>
      <c r="F922" t="str">
        <f>"PIMA0284547"</f>
        <v>PIMA0284547</v>
      </c>
      <c r="G922" t="str">
        <f>"CUST#0129450/PARTS/PCT#1"</f>
        <v>CUST#0129450/PARTS/PCT#1</v>
      </c>
      <c r="H922">
        <v>194.49</v>
      </c>
      <c r="I922" t="str">
        <f>"CUST#0129450/PARTS/PCT#1"</f>
        <v>CUST#0129450/PARTS/PCT#1</v>
      </c>
    </row>
    <row r="923" spans="1:9" x14ac:dyDescent="0.3">
      <c r="A923" t="str">
        <f>""</f>
        <v/>
      </c>
      <c r="F923" t="str">
        <f>"PIMP0273251"</f>
        <v>PIMP0273251</v>
      </c>
      <c r="G923" t="str">
        <f>"CUST#0129200/SWITCH/PCT#2"</f>
        <v>CUST#0129200/SWITCH/PCT#2</v>
      </c>
      <c r="H923">
        <v>51.72</v>
      </c>
      <c r="I923" t="str">
        <f>"CUST#0129200/SWITCH/PCT#2"</f>
        <v>CUST#0129200/SWITCH/PCT#2</v>
      </c>
    </row>
    <row r="924" spans="1:9" x14ac:dyDescent="0.3">
      <c r="A924" t="str">
        <f>""</f>
        <v/>
      </c>
      <c r="F924" t="str">
        <f>"WIMA0104023"</f>
        <v>WIMA0104023</v>
      </c>
      <c r="G924" t="str">
        <f>"CUST#0129200/PCT#4"</f>
        <v>CUST#0129200/PCT#4</v>
      </c>
      <c r="H924">
        <v>420</v>
      </c>
      <c r="I924" t="str">
        <f>"CUST#0129200/PCT#4"</f>
        <v>CUST#0129200/PCT#4</v>
      </c>
    </row>
    <row r="925" spans="1:9" x14ac:dyDescent="0.3">
      <c r="A925" t="str">
        <f>""</f>
        <v/>
      </c>
      <c r="F925" t="str">
        <f>"WIMA0104199"</f>
        <v>WIMA0104199</v>
      </c>
      <c r="G925" t="str">
        <f>"CUST#0129050/REPAIR/TRAVEL"</f>
        <v>CUST#0129050/REPAIR/TRAVEL</v>
      </c>
      <c r="H925">
        <v>6784.07</v>
      </c>
      <c r="I925" t="str">
        <f>"CUST#0129050/REPAIR/TRAVEL"</f>
        <v>CUST#0129050/REPAIR/TRAVEL</v>
      </c>
    </row>
    <row r="926" spans="1:9" x14ac:dyDescent="0.3">
      <c r="A926" t="str">
        <f>""</f>
        <v/>
      </c>
      <c r="F926" t="str">
        <f>"WIUS0114507"</f>
        <v>WIUS0114507</v>
      </c>
      <c r="G926" t="str">
        <f>"CUST#0129150/PCT#3"</f>
        <v>CUST#0129150/PCT#3</v>
      </c>
      <c r="H926">
        <v>1347.7</v>
      </c>
      <c r="I926" t="str">
        <f>"CUST#0129150/PCT#3"</f>
        <v>CUST#0129150/PCT#3</v>
      </c>
    </row>
    <row r="927" spans="1:9" x14ac:dyDescent="0.3">
      <c r="A927" t="str">
        <f>"HM"</f>
        <v>HM</v>
      </c>
      <c r="B927" t="s">
        <v>226</v>
      </c>
      <c r="C927">
        <v>76911</v>
      </c>
      <c r="D927" s="2">
        <v>53.22</v>
      </c>
      <c r="E927" s="1">
        <v>43249</v>
      </c>
      <c r="F927" t="str">
        <f>"PIMP0274354"</f>
        <v>PIMP0274354</v>
      </c>
      <c r="G927" t="str">
        <f>"CUST#0129050/PARTS/PCT#1"</f>
        <v>CUST#0129050/PARTS/PCT#1</v>
      </c>
      <c r="H927">
        <v>53.22</v>
      </c>
      <c r="I927" t="str">
        <f>"CUST#0129050/PARTS/PCT#1"</f>
        <v>CUST#0129050/PARTS/PCT#1</v>
      </c>
    </row>
    <row r="928" spans="1:9" x14ac:dyDescent="0.3">
      <c r="A928" t="str">
        <f>"T8869"</f>
        <v>T8869</v>
      </c>
      <c r="B928" t="s">
        <v>227</v>
      </c>
      <c r="C928">
        <v>76655</v>
      </c>
      <c r="D928" s="2">
        <v>4848.3500000000004</v>
      </c>
      <c r="E928" s="1">
        <v>43234</v>
      </c>
      <c r="F928" t="str">
        <f>"ACCOUNT# 3780"</f>
        <v>ACCOUNT# 3780</v>
      </c>
      <c r="G928" t="str">
        <f>"Acct# 3780"</f>
        <v>Acct# 3780</v>
      </c>
      <c r="H928">
        <v>4848.3500000000004</v>
      </c>
      <c r="I928" t="str">
        <f>"Inv# 131481"</f>
        <v>Inv# 131481</v>
      </c>
    </row>
    <row r="929" spans="1:9" x14ac:dyDescent="0.3">
      <c r="A929" t="str">
        <f>""</f>
        <v/>
      </c>
      <c r="F929" t="str">
        <f>""</f>
        <v/>
      </c>
      <c r="G929" t="str">
        <f>""</f>
        <v/>
      </c>
      <c r="I929" t="str">
        <f>"Inv# 8011718"</f>
        <v>Inv# 8011718</v>
      </c>
    </row>
    <row r="930" spans="1:9" x14ac:dyDescent="0.3">
      <c r="A930" t="str">
        <f>""</f>
        <v/>
      </c>
      <c r="F930" t="str">
        <f>""</f>
        <v/>
      </c>
      <c r="G930" t="str">
        <f>""</f>
        <v/>
      </c>
      <c r="I930" t="str">
        <f>"Inv# 2013870"</f>
        <v>Inv# 2013870</v>
      </c>
    </row>
    <row r="931" spans="1:9" x14ac:dyDescent="0.3">
      <c r="A931" t="str">
        <f>""</f>
        <v/>
      </c>
      <c r="F931" t="str">
        <f>""</f>
        <v/>
      </c>
      <c r="G931" t="str">
        <f>""</f>
        <v/>
      </c>
      <c r="I931" t="str">
        <f>"Inv# 6972285"</f>
        <v>Inv# 6972285</v>
      </c>
    </row>
    <row r="932" spans="1:9" x14ac:dyDescent="0.3">
      <c r="A932" t="str">
        <f>""</f>
        <v/>
      </c>
      <c r="F932" t="str">
        <f>""</f>
        <v/>
      </c>
      <c r="G932" t="str">
        <f>""</f>
        <v/>
      </c>
      <c r="I932" t="str">
        <f>"Inv# 3024831"</f>
        <v>Inv# 3024831</v>
      </c>
    </row>
    <row r="933" spans="1:9" x14ac:dyDescent="0.3">
      <c r="A933" t="str">
        <f>""</f>
        <v/>
      </c>
      <c r="F933" t="str">
        <f>""</f>
        <v/>
      </c>
      <c r="G933" t="str">
        <f>""</f>
        <v/>
      </c>
      <c r="I933" t="str">
        <f>"Inv# 5022733"</f>
        <v>Inv# 5022733</v>
      </c>
    </row>
    <row r="934" spans="1:9" x14ac:dyDescent="0.3">
      <c r="A934" t="str">
        <f>""</f>
        <v/>
      </c>
      <c r="F934" t="str">
        <f>""</f>
        <v/>
      </c>
      <c r="G934" t="str">
        <f>""</f>
        <v/>
      </c>
      <c r="I934" t="str">
        <f>"Inv# 4022762"</f>
        <v>Inv# 4022762</v>
      </c>
    </row>
    <row r="935" spans="1:9" x14ac:dyDescent="0.3">
      <c r="A935" t="str">
        <f>""</f>
        <v/>
      </c>
      <c r="F935" t="str">
        <f>""</f>
        <v/>
      </c>
      <c r="G935" t="str">
        <f>""</f>
        <v/>
      </c>
      <c r="I935" t="str">
        <f>"Inv# 3102601"</f>
        <v>Inv# 3102601</v>
      </c>
    </row>
    <row r="936" spans="1:9" x14ac:dyDescent="0.3">
      <c r="A936" t="str">
        <f>""</f>
        <v/>
      </c>
      <c r="F936" t="str">
        <f>""</f>
        <v/>
      </c>
      <c r="G936" t="str">
        <f>""</f>
        <v/>
      </c>
      <c r="I936" t="str">
        <f>"Inv# 8010619"</f>
        <v>Inv# 8010619</v>
      </c>
    </row>
    <row r="937" spans="1:9" x14ac:dyDescent="0.3">
      <c r="A937" t="str">
        <f>""</f>
        <v/>
      </c>
      <c r="F937" t="str">
        <f>""</f>
        <v/>
      </c>
      <c r="G937" t="str">
        <f>""</f>
        <v/>
      </c>
      <c r="I937" t="str">
        <f>"Inv# 7023409"</f>
        <v>Inv# 7023409</v>
      </c>
    </row>
    <row r="938" spans="1:9" x14ac:dyDescent="0.3">
      <c r="A938" t="str">
        <f>""</f>
        <v/>
      </c>
      <c r="F938" t="str">
        <f>""</f>
        <v/>
      </c>
      <c r="G938" t="str">
        <f>""</f>
        <v/>
      </c>
      <c r="I938" t="str">
        <f>"Inv# 1011399"</f>
        <v>Inv# 1011399</v>
      </c>
    </row>
    <row r="939" spans="1:9" x14ac:dyDescent="0.3">
      <c r="A939" t="str">
        <f>""</f>
        <v/>
      </c>
      <c r="F939" t="str">
        <f>""</f>
        <v/>
      </c>
      <c r="G939" t="str">
        <f>""</f>
        <v/>
      </c>
      <c r="I939" t="str">
        <f>"Inv# 1024007"</f>
        <v>Inv# 1024007</v>
      </c>
    </row>
    <row r="940" spans="1:9" x14ac:dyDescent="0.3">
      <c r="A940" t="str">
        <f>""</f>
        <v/>
      </c>
      <c r="F940" t="str">
        <f>""</f>
        <v/>
      </c>
      <c r="G940" t="str">
        <f>""</f>
        <v/>
      </c>
      <c r="I940" t="str">
        <f>"Inv# 4012043"</f>
        <v>Inv# 4012043</v>
      </c>
    </row>
    <row r="941" spans="1:9" x14ac:dyDescent="0.3">
      <c r="A941" t="str">
        <f>""</f>
        <v/>
      </c>
      <c r="F941" t="str">
        <f>""</f>
        <v/>
      </c>
      <c r="G941" t="str">
        <f>""</f>
        <v/>
      </c>
      <c r="I941" t="str">
        <f>"Inv# 7161072"</f>
        <v>Inv# 7161072</v>
      </c>
    </row>
    <row r="942" spans="1:9" x14ac:dyDescent="0.3">
      <c r="A942" t="str">
        <f>""</f>
        <v/>
      </c>
      <c r="F942" t="str">
        <f>""</f>
        <v/>
      </c>
      <c r="G942" t="str">
        <f>""</f>
        <v/>
      </c>
      <c r="I942" t="str">
        <f>"Inv# 2161938"</f>
        <v>Inv# 2161938</v>
      </c>
    </row>
    <row r="943" spans="1:9" x14ac:dyDescent="0.3">
      <c r="A943" t="str">
        <f>""</f>
        <v/>
      </c>
      <c r="F943" t="str">
        <f>""</f>
        <v/>
      </c>
      <c r="G943" t="str">
        <f>""</f>
        <v/>
      </c>
      <c r="I943" t="str">
        <f>"Inv# 9018386"</f>
        <v>Inv# 9018386</v>
      </c>
    </row>
    <row r="944" spans="1:9" x14ac:dyDescent="0.3">
      <c r="A944" t="str">
        <f>""</f>
        <v/>
      </c>
      <c r="F944" t="str">
        <f>""</f>
        <v/>
      </c>
      <c r="G944" t="str">
        <f>""</f>
        <v/>
      </c>
      <c r="I944" t="str">
        <f>"Inv# 944592"</f>
        <v>Inv# 944592</v>
      </c>
    </row>
    <row r="945" spans="1:9" x14ac:dyDescent="0.3">
      <c r="A945" t="str">
        <f>""</f>
        <v/>
      </c>
      <c r="F945" t="str">
        <f>""</f>
        <v/>
      </c>
      <c r="G945" t="str">
        <f>""</f>
        <v/>
      </c>
      <c r="I945" t="str">
        <f>"Inv# 9013165"</f>
        <v>Inv# 9013165</v>
      </c>
    </row>
    <row r="946" spans="1:9" x14ac:dyDescent="0.3">
      <c r="A946" t="str">
        <f>""</f>
        <v/>
      </c>
      <c r="F946" t="str">
        <f>""</f>
        <v/>
      </c>
      <c r="G946" t="str">
        <f>""</f>
        <v/>
      </c>
      <c r="I946" t="str">
        <f>"Inv# 2592325"</f>
        <v>Inv# 2592325</v>
      </c>
    </row>
    <row r="947" spans="1:9" x14ac:dyDescent="0.3">
      <c r="A947" t="str">
        <f>""</f>
        <v/>
      </c>
      <c r="F947" t="str">
        <f>""</f>
        <v/>
      </c>
      <c r="G947" t="str">
        <f>""</f>
        <v/>
      </c>
      <c r="I947" t="str">
        <f>"Inv# 20191"</f>
        <v>Inv# 20191</v>
      </c>
    </row>
    <row r="948" spans="1:9" x14ac:dyDescent="0.3">
      <c r="A948" t="str">
        <f>""</f>
        <v/>
      </c>
      <c r="F948" t="str">
        <f>""</f>
        <v/>
      </c>
      <c r="G948" t="str">
        <f>""</f>
        <v/>
      </c>
      <c r="I948" t="str">
        <f>"Inv# 5014673"</f>
        <v>Inv# 5014673</v>
      </c>
    </row>
    <row r="949" spans="1:9" x14ac:dyDescent="0.3">
      <c r="A949" t="str">
        <f>""</f>
        <v/>
      </c>
      <c r="F949" t="str">
        <f>""</f>
        <v/>
      </c>
      <c r="G949" t="str">
        <f>""</f>
        <v/>
      </c>
      <c r="I949" t="str">
        <f>"Inv# 7021573"</f>
        <v>Inv# 7021573</v>
      </c>
    </row>
    <row r="950" spans="1:9" x14ac:dyDescent="0.3">
      <c r="A950" t="str">
        <f>""</f>
        <v/>
      </c>
      <c r="F950" t="str">
        <f>""</f>
        <v/>
      </c>
      <c r="G950" t="str">
        <f>""</f>
        <v/>
      </c>
      <c r="I950" t="str">
        <f>"Inv# 6015543"</f>
        <v>Inv# 6015543</v>
      </c>
    </row>
    <row r="951" spans="1:9" x14ac:dyDescent="0.3">
      <c r="A951" t="str">
        <f>""</f>
        <v/>
      </c>
      <c r="F951" t="str">
        <f>""</f>
        <v/>
      </c>
      <c r="G951" t="str">
        <f>""</f>
        <v/>
      </c>
      <c r="I951" t="str">
        <f>"Inv# 6015545"</f>
        <v>Inv# 6015545</v>
      </c>
    </row>
    <row r="952" spans="1:9" x14ac:dyDescent="0.3">
      <c r="A952" t="str">
        <f>""</f>
        <v/>
      </c>
      <c r="F952" t="str">
        <f>""</f>
        <v/>
      </c>
      <c r="G952" t="str">
        <f>""</f>
        <v/>
      </c>
      <c r="I952" t="str">
        <f>"Inv# 6021709"</f>
        <v>Inv# 6021709</v>
      </c>
    </row>
    <row r="953" spans="1:9" x14ac:dyDescent="0.3">
      <c r="A953" t="str">
        <f>""</f>
        <v/>
      </c>
      <c r="F953" t="str">
        <f>""</f>
        <v/>
      </c>
      <c r="G953" t="str">
        <f>""</f>
        <v/>
      </c>
      <c r="I953" t="str">
        <f>"Inv# 3024879"</f>
        <v>Inv# 3024879</v>
      </c>
    </row>
    <row r="954" spans="1:9" x14ac:dyDescent="0.3">
      <c r="A954" t="str">
        <f>""</f>
        <v/>
      </c>
      <c r="F954" t="str">
        <f>""</f>
        <v/>
      </c>
      <c r="G954" t="str">
        <f>""</f>
        <v/>
      </c>
      <c r="I954" t="str">
        <f>"Inv# 2013871"</f>
        <v>Inv# 2013871</v>
      </c>
    </row>
    <row r="955" spans="1:9" x14ac:dyDescent="0.3">
      <c r="A955" t="str">
        <f>""</f>
        <v/>
      </c>
      <c r="F955" t="str">
        <f>""</f>
        <v/>
      </c>
      <c r="G955" t="str">
        <f>""</f>
        <v/>
      </c>
      <c r="I955" t="str">
        <f>"Inv# 6024600"</f>
        <v>Inv# 6024600</v>
      </c>
    </row>
    <row r="956" spans="1:9" x14ac:dyDescent="0.3">
      <c r="A956" t="str">
        <f>""</f>
        <v/>
      </c>
      <c r="F956" t="str">
        <f>""</f>
        <v/>
      </c>
      <c r="G956" t="str">
        <f>""</f>
        <v/>
      </c>
      <c r="I956" t="str">
        <f>"Inv# 5022696"</f>
        <v>Inv# 5022696</v>
      </c>
    </row>
    <row r="957" spans="1:9" x14ac:dyDescent="0.3">
      <c r="A957" t="str">
        <f>""</f>
        <v/>
      </c>
      <c r="F957" t="str">
        <f>""</f>
        <v/>
      </c>
      <c r="G957" t="str">
        <f>""</f>
        <v/>
      </c>
      <c r="I957" t="str">
        <f>"Inv# 4022804"</f>
        <v>Inv# 4022804</v>
      </c>
    </row>
    <row r="958" spans="1:9" x14ac:dyDescent="0.3">
      <c r="A958" t="str">
        <f>""</f>
        <v/>
      </c>
      <c r="F958" t="str">
        <f>""</f>
        <v/>
      </c>
      <c r="G958" t="str">
        <f>""</f>
        <v/>
      </c>
      <c r="I958" t="str">
        <f>"Inv# 4012182"</f>
        <v>Inv# 4012182</v>
      </c>
    </row>
    <row r="959" spans="1:9" x14ac:dyDescent="0.3">
      <c r="A959" t="str">
        <f>""</f>
        <v/>
      </c>
      <c r="F959" t="str">
        <f>""</f>
        <v/>
      </c>
      <c r="G959" t="str">
        <f>""</f>
        <v/>
      </c>
      <c r="I959" t="str">
        <f>"Inv# 4013682"</f>
        <v>Inv# 4013682</v>
      </c>
    </row>
    <row r="960" spans="1:9" x14ac:dyDescent="0.3">
      <c r="A960" t="str">
        <f>""</f>
        <v/>
      </c>
      <c r="F960" t="str">
        <f>""</f>
        <v/>
      </c>
      <c r="G960" t="str">
        <f>""</f>
        <v/>
      </c>
      <c r="I960" t="str">
        <f>"Inv# 1200978"</f>
        <v>Inv# 1200978</v>
      </c>
    </row>
    <row r="961" spans="1:9" x14ac:dyDescent="0.3">
      <c r="A961" t="str">
        <f>""</f>
        <v/>
      </c>
      <c r="F961" t="str">
        <f>""</f>
        <v/>
      </c>
      <c r="G961" t="str">
        <f>""</f>
        <v/>
      </c>
      <c r="I961" t="str">
        <f>"Inv# 4563208"</f>
        <v>Inv# 4563208</v>
      </c>
    </row>
    <row r="962" spans="1:9" x14ac:dyDescent="0.3">
      <c r="A962" t="str">
        <f>""</f>
        <v/>
      </c>
      <c r="F962" t="str">
        <f>""</f>
        <v/>
      </c>
      <c r="G962" t="str">
        <f>""</f>
        <v/>
      </c>
      <c r="I962" t="str">
        <f>"Inv# 1574723"</f>
        <v>Inv# 1574723</v>
      </c>
    </row>
    <row r="963" spans="1:9" x14ac:dyDescent="0.3">
      <c r="A963" t="str">
        <f>""</f>
        <v/>
      </c>
      <c r="F963" t="str">
        <f>""</f>
        <v/>
      </c>
      <c r="G963" t="str">
        <f>""</f>
        <v/>
      </c>
      <c r="I963" t="str">
        <f>"Inv# 7564412"</f>
        <v>Inv# 7564412</v>
      </c>
    </row>
    <row r="964" spans="1:9" x14ac:dyDescent="0.3">
      <c r="A964" t="str">
        <f>""</f>
        <v/>
      </c>
      <c r="F964" t="str">
        <f>""</f>
        <v/>
      </c>
      <c r="G964" t="str">
        <f>""</f>
        <v/>
      </c>
      <c r="I964" t="str">
        <f>"Inv# 6570652"</f>
        <v>Inv# 6570652</v>
      </c>
    </row>
    <row r="965" spans="1:9" x14ac:dyDescent="0.3">
      <c r="A965" t="str">
        <f>""</f>
        <v/>
      </c>
      <c r="F965" t="str">
        <f>""</f>
        <v/>
      </c>
      <c r="G965" t="str">
        <f>""</f>
        <v/>
      </c>
      <c r="I965" t="str">
        <f>"Inv# 7563015"</f>
        <v>Inv# 7563015</v>
      </c>
    </row>
    <row r="966" spans="1:9" x14ac:dyDescent="0.3">
      <c r="A966" t="str">
        <f>""</f>
        <v/>
      </c>
      <c r="F966" t="str">
        <f>""</f>
        <v/>
      </c>
      <c r="G966" t="str">
        <f>""</f>
        <v/>
      </c>
      <c r="I966" t="str">
        <f>"Inv# 7152548"</f>
        <v>Inv# 7152548</v>
      </c>
    </row>
    <row r="967" spans="1:9" x14ac:dyDescent="0.3">
      <c r="A967" t="str">
        <f>""</f>
        <v/>
      </c>
      <c r="F967" t="str">
        <f>""</f>
        <v/>
      </c>
      <c r="G967" t="str">
        <f>""</f>
        <v/>
      </c>
      <c r="I967" t="str">
        <f>"Inv# 1022217"</f>
        <v>Inv# 1022217</v>
      </c>
    </row>
    <row r="968" spans="1:9" x14ac:dyDescent="0.3">
      <c r="A968" t="str">
        <f>""</f>
        <v/>
      </c>
      <c r="F968" t="str">
        <f>""</f>
        <v/>
      </c>
      <c r="G968" t="str">
        <f>""</f>
        <v/>
      </c>
      <c r="I968" t="str">
        <f>"Inv# 1160329"</f>
        <v>Inv# 1160329</v>
      </c>
    </row>
    <row r="969" spans="1:9" x14ac:dyDescent="0.3">
      <c r="A969" t="str">
        <f>""</f>
        <v/>
      </c>
      <c r="F969" t="str">
        <f>""</f>
        <v/>
      </c>
      <c r="G969" t="str">
        <f>""</f>
        <v/>
      </c>
      <c r="I969" t="str">
        <f>"Inv# 5160649"</f>
        <v>Inv# 5160649</v>
      </c>
    </row>
    <row r="970" spans="1:9" x14ac:dyDescent="0.3">
      <c r="A970" t="str">
        <f>""</f>
        <v/>
      </c>
      <c r="F970" t="str">
        <f>""</f>
        <v/>
      </c>
      <c r="G970" t="str">
        <f>""</f>
        <v/>
      </c>
      <c r="I970" t="str">
        <f>"Inv# 4022794"</f>
        <v>Inv# 4022794</v>
      </c>
    </row>
    <row r="971" spans="1:9" x14ac:dyDescent="0.3">
      <c r="A971" t="str">
        <f>""</f>
        <v/>
      </c>
      <c r="F971" t="str">
        <f>""</f>
        <v/>
      </c>
      <c r="G971" t="str">
        <f>""</f>
        <v/>
      </c>
      <c r="I971" t="str">
        <f>"Inv# 7023435"</f>
        <v>Inv# 7023435</v>
      </c>
    </row>
    <row r="972" spans="1:9" x14ac:dyDescent="0.3">
      <c r="A972" t="str">
        <f>""</f>
        <v/>
      </c>
      <c r="F972" t="str">
        <f>""</f>
        <v/>
      </c>
      <c r="G972" t="str">
        <f>""</f>
        <v/>
      </c>
      <c r="I972" t="str">
        <f>"Inv# 8021481"</f>
        <v>Inv# 8021481</v>
      </c>
    </row>
    <row r="973" spans="1:9" x14ac:dyDescent="0.3">
      <c r="A973" t="str">
        <f>""</f>
        <v/>
      </c>
      <c r="F973" t="str">
        <f>""</f>
        <v/>
      </c>
      <c r="G973" t="str">
        <f>""</f>
        <v/>
      </c>
      <c r="I973" t="str">
        <f>"Inv# 7021629"</f>
        <v>Inv# 7021629</v>
      </c>
    </row>
    <row r="974" spans="1:9" x14ac:dyDescent="0.3">
      <c r="A974" t="str">
        <f>""</f>
        <v/>
      </c>
      <c r="F974" t="str">
        <f>""</f>
        <v/>
      </c>
      <c r="G974" t="str">
        <f>""</f>
        <v/>
      </c>
      <c r="I974" t="str">
        <f>"Inv# 3021953"</f>
        <v>Inv# 3021953</v>
      </c>
    </row>
    <row r="975" spans="1:9" x14ac:dyDescent="0.3">
      <c r="A975" t="str">
        <f>""</f>
        <v/>
      </c>
      <c r="F975" t="str">
        <f>""</f>
        <v/>
      </c>
      <c r="G975" t="str">
        <f>""</f>
        <v/>
      </c>
      <c r="I975" t="str">
        <f>"Inv# 3021996"</f>
        <v>Inv# 3021996</v>
      </c>
    </row>
    <row r="976" spans="1:9" x14ac:dyDescent="0.3">
      <c r="A976" t="str">
        <f>""</f>
        <v/>
      </c>
      <c r="F976" t="str">
        <f>""</f>
        <v/>
      </c>
      <c r="G976" t="str">
        <f>""</f>
        <v/>
      </c>
      <c r="I976" t="str">
        <f>"Inv# 2592325"</f>
        <v>Inv# 2592325</v>
      </c>
    </row>
    <row r="977" spans="1:9" x14ac:dyDescent="0.3">
      <c r="A977" t="str">
        <f>""</f>
        <v/>
      </c>
      <c r="F977" t="str">
        <f>""</f>
        <v/>
      </c>
      <c r="G977" t="str">
        <f>""</f>
        <v/>
      </c>
      <c r="I977" t="str">
        <f>"Inv# 5584499"</f>
        <v>Inv# 5584499</v>
      </c>
    </row>
    <row r="978" spans="1:9" x14ac:dyDescent="0.3">
      <c r="A978" t="str">
        <f>""</f>
        <v/>
      </c>
      <c r="F978" t="str">
        <f>""</f>
        <v/>
      </c>
      <c r="G978" t="str">
        <f>""</f>
        <v/>
      </c>
      <c r="I978" t="str">
        <f>"Inv# 5584501"</f>
        <v>Inv# 5584501</v>
      </c>
    </row>
    <row r="979" spans="1:9" x14ac:dyDescent="0.3">
      <c r="A979" t="str">
        <f>""</f>
        <v/>
      </c>
      <c r="F979" t="str">
        <f>""</f>
        <v/>
      </c>
      <c r="G979" t="str">
        <f>""</f>
        <v/>
      </c>
      <c r="I979" t="str">
        <f>"Inv# 5022688"</f>
        <v>Inv# 5022688</v>
      </c>
    </row>
    <row r="980" spans="1:9" x14ac:dyDescent="0.3">
      <c r="A980" t="str">
        <f>""</f>
        <v/>
      </c>
      <c r="F980" t="str">
        <f>""</f>
        <v/>
      </c>
      <c r="G980" t="str">
        <f>""</f>
        <v/>
      </c>
      <c r="I980" t="str">
        <f>"Inv# 2010149"</f>
        <v>Inv# 2010149</v>
      </c>
    </row>
    <row r="981" spans="1:9" x14ac:dyDescent="0.3">
      <c r="A981" t="str">
        <f>""</f>
        <v/>
      </c>
      <c r="F981" t="str">
        <f>""</f>
        <v/>
      </c>
      <c r="G981" t="str">
        <f>""</f>
        <v/>
      </c>
      <c r="I981" t="str">
        <f>"Inv# 9010470"</f>
        <v>Inv# 9010470</v>
      </c>
    </row>
    <row r="982" spans="1:9" x14ac:dyDescent="0.3">
      <c r="A982" t="str">
        <f>""</f>
        <v/>
      </c>
      <c r="F982" t="str">
        <f>""</f>
        <v/>
      </c>
      <c r="G982" t="str">
        <f>""</f>
        <v/>
      </c>
      <c r="I982" t="str">
        <f>"Inv# 6023545"</f>
        <v>Inv# 6023545</v>
      </c>
    </row>
    <row r="983" spans="1:9" x14ac:dyDescent="0.3">
      <c r="A983" t="str">
        <f>""</f>
        <v/>
      </c>
      <c r="F983" t="str">
        <f>""</f>
        <v/>
      </c>
      <c r="G983" t="str">
        <f>""</f>
        <v/>
      </c>
      <c r="I983" t="str">
        <f>"Inv# 1024032"</f>
        <v>Inv# 1024032</v>
      </c>
    </row>
    <row r="984" spans="1:9" x14ac:dyDescent="0.3">
      <c r="A984" t="str">
        <f>""</f>
        <v/>
      </c>
      <c r="F984" t="str">
        <f>""</f>
        <v/>
      </c>
      <c r="G984" t="str">
        <f>""</f>
        <v/>
      </c>
      <c r="I984" t="str">
        <f>"Inv# 24130"</f>
        <v>Inv# 24130</v>
      </c>
    </row>
    <row r="985" spans="1:9" x14ac:dyDescent="0.3">
      <c r="A985" t="str">
        <f>""</f>
        <v/>
      </c>
      <c r="F985" t="str">
        <f>""</f>
        <v/>
      </c>
      <c r="G985" t="str">
        <f>""</f>
        <v/>
      </c>
      <c r="I985" t="str">
        <f>"Inv# 24134"</f>
        <v>Inv# 24134</v>
      </c>
    </row>
    <row r="986" spans="1:9" x14ac:dyDescent="0.3">
      <c r="A986" t="str">
        <f>""</f>
        <v/>
      </c>
      <c r="F986" t="str">
        <f>""</f>
        <v/>
      </c>
      <c r="G986" t="str">
        <f>""</f>
        <v/>
      </c>
      <c r="I986" t="str">
        <f>"Inv# 9564773"</f>
        <v>Inv# 9564773</v>
      </c>
    </row>
    <row r="987" spans="1:9" x14ac:dyDescent="0.3">
      <c r="A987" t="str">
        <f>""</f>
        <v/>
      </c>
      <c r="F987" t="str">
        <f>""</f>
        <v/>
      </c>
      <c r="G987" t="str">
        <f>""</f>
        <v/>
      </c>
      <c r="I987" t="str">
        <f>"Inv# 4012112"</f>
        <v>Inv# 4012112</v>
      </c>
    </row>
    <row r="988" spans="1:9" x14ac:dyDescent="0.3">
      <c r="A988" t="str">
        <f>""</f>
        <v/>
      </c>
      <c r="F988" t="str">
        <f>""</f>
        <v/>
      </c>
      <c r="G988" t="str">
        <f>""</f>
        <v/>
      </c>
      <c r="I988" t="str">
        <f>"Inv# 9013211"</f>
        <v>Inv# 9013211</v>
      </c>
    </row>
    <row r="989" spans="1:9" x14ac:dyDescent="0.3">
      <c r="A989" t="str">
        <f>""</f>
        <v/>
      </c>
      <c r="F989" t="str">
        <f>""</f>
        <v/>
      </c>
      <c r="G989" t="str">
        <f>""</f>
        <v/>
      </c>
      <c r="I989" t="str">
        <f>"Inv# 9014206"</f>
        <v>Inv# 9014206</v>
      </c>
    </row>
    <row r="990" spans="1:9" x14ac:dyDescent="0.3">
      <c r="A990" t="str">
        <f>""</f>
        <v/>
      </c>
      <c r="F990" t="str">
        <f>""</f>
        <v/>
      </c>
      <c r="G990" t="str">
        <f>""</f>
        <v/>
      </c>
      <c r="I990" t="str">
        <f>"Inv# 9024244"</f>
        <v>Inv# 9024244</v>
      </c>
    </row>
    <row r="991" spans="1:9" x14ac:dyDescent="0.3">
      <c r="A991" t="str">
        <f>""</f>
        <v/>
      </c>
      <c r="F991" t="str">
        <f>""</f>
        <v/>
      </c>
      <c r="G991" t="str">
        <f>""</f>
        <v/>
      </c>
      <c r="I991" t="str">
        <f>"Inv# 8013312"</f>
        <v>Inv# 8013312</v>
      </c>
    </row>
    <row r="992" spans="1:9" x14ac:dyDescent="0.3">
      <c r="A992" t="str">
        <f>""</f>
        <v/>
      </c>
      <c r="F992" t="str">
        <f>""</f>
        <v/>
      </c>
      <c r="G992" t="str">
        <f>""</f>
        <v/>
      </c>
      <c r="I992" t="str">
        <f>"Inv# 7024422"</f>
        <v>Inv# 7024422</v>
      </c>
    </row>
    <row r="993" spans="1:9" x14ac:dyDescent="0.3">
      <c r="A993" t="str">
        <f>""</f>
        <v/>
      </c>
      <c r="F993" t="str">
        <f>""</f>
        <v/>
      </c>
      <c r="G993" t="str">
        <f>""</f>
        <v/>
      </c>
      <c r="I993" t="str">
        <f>"Inv# 3024813"</f>
        <v>Inv# 3024813</v>
      </c>
    </row>
    <row r="994" spans="1:9" x14ac:dyDescent="0.3">
      <c r="A994" t="str">
        <f>""</f>
        <v/>
      </c>
      <c r="F994" t="str">
        <f>""</f>
        <v/>
      </c>
      <c r="G994" t="str">
        <f>""</f>
        <v/>
      </c>
      <c r="I994" t="str">
        <f>"Inv# 8021452A"</f>
        <v>Inv# 8021452A</v>
      </c>
    </row>
    <row r="995" spans="1:9" x14ac:dyDescent="0.3">
      <c r="A995" t="str">
        <f>""</f>
        <v/>
      </c>
      <c r="F995" t="str">
        <f>""</f>
        <v/>
      </c>
      <c r="G995" t="str">
        <f>""</f>
        <v/>
      </c>
      <c r="I995" t="str">
        <f>"Inv# 8563546"</f>
        <v>Inv# 8563546</v>
      </c>
    </row>
    <row r="996" spans="1:9" x14ac:dyDescent="0.3">
      <c r="A996" t="str">
        <f>"003653"</f>
        <v>003653</v>
      </c>
      <c r="B996" t="s">
        <v>228</v>
      </c>
      <c r="C996">
        <v>76528</v>
      </c>
      <c r="D996" s="2">
        <v>1865.38</v>
      </c>
      <c r="E996" s="1">
        <v>43231</v>
      </c>
      <c r="F996" t="str">
        <f>"S1805020001-00036"</f>
        <v>S1805020001-00036</v>
      </c>
      <c r="G996" t="str">
        <f>"ACCT# 100402264 / 05/02/2018"</f>
        <v>ACCT# 100402264 / 05/02/2018</v>
      </c>
      <c r="H996">
        <v>1865.38</v>
      </c>
      <c r="I996" t="str">
        <f>"ACCT# 100402264 / 05/02/2018"</f>
        <v>ACCT# 100402264 / 05/02/2018</v>
      </c>
    </row>
    <row r="997" spans="1:9" x14ac:dyDescent="0.3">
      <c r="A997" t="str">
        <f>""</f>
        <v/>
      </c>
      <c r="F997" t="str">
        <f>""</f>
        <v/>
      </c>
      <c r="G997" t="str">
        <f>""</f>
        <v/>
      </c>
      <c r="I997" t="str">
        <f>"ACCT# 100402264 / 05/02/2018"</f>
        <v>ACCT# 100402264 / 05/02/2018</v>
      </c>
    </row>
    <row r="998" spans="1:9" x14ac:dyDescent="0.3">
      <c r="A998" t="str">
        <f>""</f>
        <v/>
      </c>
      <c r="F998" t="str">
        <f>""</f>
        <v/>
      </c>
      <c r="G998" t="str">
        <f>""</f>
        <v/>
      </c>
      <c r="I998" t="str">
        <f>"ACCT# 100402264 / 05/02/2018"</f>
        <v>ACCT# 100402264 / 05/02/2018</v>
      </c>
    </row>
    <row r="999" spans="1:9" x14ac:dyDescent="0.3">
      <c r="A999" t="str">
        <f>"003545"</f>
        <v>003545</v>
      </c>
      <c r="B999" t="s">
        <v>229</v>
      </c>
      <c r="C999">
        <v>76656</v>
      </c>
      <c r="D999" s="2">
        <v>816.41</v>
      </c>
      <c r="E999" s="1">
        <v>43234</v>
      </c>
      <c r="F999" t="str">
        <f>"171579"</f>
        <v>171579</v>
      </c>
      <c r="G999" t="str">
        <f>"PARTS/PCT#1"</f>
        <v>PARTS/PCT#1</v>
      </c>
      <c r="H999">
        <v>196.48</v>
      </c>
      <c r="I999" t="str">
        <f>"PARTS/PCT#1"</f>
        <v>PARTS/PCT#1</v>
      </c>
    </row>
    <row r="1000" spans="1:9" x14ac:dyDescent="0.3">
      <c r="A1000" t="str">
        <f>""</f>
        <v/>
      </c>
      <c r="F1000" t="str">
        <f>"171648"</f>
        <v>171648</v>
      </c>
      <c r="G1000" t="str">
        <f>"WIRE BRAID HOSE/PCT#3"</f>
        <v>WIRE BRAID HOSE/PCT#3</v>
      </c>
      <c r="H1000">
        <v>160.93</v>
      </c>
      <c r="I1000" t="str">
        <f>"WIRE BRAID HOSE/PCT#3"</f>
        <v>WIRE BRAID HOSE/PCT#3</v>
      </c>
    </row>
    <row r="1001" spans="1:9" x14ac:dyDescent="0.3">
      <c r="A1001" t="str">
        <f>""</f>
        <v/>
      </c>
      <c r="F1001" t="str">
        <f>"171649"</f>
        <v>171649</v>
      </c>
      <c r="G1001" t="str">
        <f>"CYL REPAIR/PCT#3"</f>
        <v>CYL REPAIR/PCT#3</v>
      </c>
      <c r="H1001">
        <v>205</v>
      </c>
      <c r="I1001" t="str">
        <f>"CYL REPAIR/PCT#3"</f>
        <v>CYL REPAIR/PCT#3</v>
      </c>
    </row>
    <row r="1002" spans="1:9" x14ac:dyDescent="0.3">
      <c r="A1002" t="str">
        <f>""</f>
        <v/>
      </c>
      <c r="F1002" t="str">
        <f>"171657"</f>
        <v>171657</v>
      </c>
      <c r="G1002" t="str">
        <f>"WIRE BRAID HOSE/PCT#3"</f>
        <v>WIRE BRAID HOSE/PCT#3</v>
      </c>
      <c r="H1002">
        <v>254</v>
      </c>
      <c r="I1002" t="str">
        <f>"WIRE BRAID HOSE/PCT#3"</f>
        <v>WIRE BRAID HOSE/PCT#3</v>
      </c>
    </row>
    <row r="1003" spans="1:9" x14ac:dyDescent="0.3">
      <c r="A1003" t="str">
        <f>"003545"</f>
        <v>003545</v>
      </c>
      <c r="B1003" t="s">
        <v>229</v>
      </c>
      <c r="C1003">
        <v>76912</v>
      </c>
      <c r="D1003" s="2">
        <v>174.66</v>
      </c>
      <c r="E1003" s="1">
        <v>43249</v>
      </c>
      <c r="F1003" t="str">
        <f>"171717"</f>
        <v>171717</v>
      </c>
      <c r="G1003" t="str">
        <f>"WIRE BRAID HOSE/PCT#3"</f>
        <v>WIRE BRAID HOSE/PCT#3</v>
      </c>
      <c r="H1003">
        <v>174.66</v>
      </c>
      <c r="I1003" t="str">
        <f>"WIRE BRAID HOSE/PCT#3"</f>
        <v>WIRE BRAID HOSE/PCT#3</v>
      </c>
    </row>
    <row r="1004" spans="1:9" x14ac:dyDescent="0.3">
      <c r="A1004" t="str">
        <f>"003830"</f>
        <v>003830</v>
      </c>
      <c r="B1004" t="s">
        <v>230</v>
      </c>
      <c r="C1004">
        <v>76913</v>
      </c>
      <c r="D1004" s="2">
        <v>184</v>
      </c>
      <c r="E1004" s="1">
        <v>43249</v>
      </c>
      <c r="F1004" t="str">
        <f>"ORD#3289660"</f>
        <v>ORD#3289660</v>
      </c>
      <c r="G1004" t="str">
        <f>"Order# 3289660"</f>
        <v>Order# 3289660</v>
      </c>
      <c r="H1004">
        <v>184</v>
      </c>
      <c r="I1004" t="str">
        <f>"Item# 2137-6018"</f>
        <v>Item# 2137-6018</v>
      </c>
    </row>
    <row r="1005" spans="1:9" x14ac:dyDescent="0.3">
      <c r="A1005" t="str">
        <f>""</f>
        <v/>
      </c>
      <c r="F1005" t="str">
        <f>""</f>
        <v/>
      </c>
      <c r="G1005" t="str">
        <f>""</f>
        <v/>
      </c>
      <c r="I1005" t="str">
        <f>"Item# 2120-3031"</f>
        <v>Item# 2120-3031</v>
      </c>
    </row>
    <row r="1006" spans="1:9" x14ac:dyDescent="0.3">
      <c r="A1006" t="str">
        <f>"000693"</f>
        <v>000693</v>
      </c>
      <c r="B1006" t="s">
        <v>231</v>
      </c>
      <c r="C1006">
        <v>76657</v>
      </c>
      <c r="D1006" s="2">
        <v>42.46</v>
      </c>
      <c r="E1006" s="1">
        <v>43234</v>
      </c>
      <c r="F1006" t="str">
        <f>"3030360704"</f>
        <v>3030360704</v>
      </c>
      <c r="G1006" t="str">
        <f>"ACCT#187947/ANIMAL CONTROL"</f>
        <v>ACCT#187947/ANIMAL CONTROL</v>
      </c>
      <c r="H1006">
        <v>42.46</v>
      </c>
      <c r="I1006" t="str">
        <f>"ACCT#187947/ANIMAL CONTROL"</f>
        <v>ACCT#187947/ANIMAL CONTROL</v>
      </c>
    </row>
    <row r="1007" spans="1:9" x14ac:dyDescent="0.3">
      <c r="A1007" t="str">
        <f>"004716"</f>
        <v>004716</v>
      </c>
      <c r="B1007" t="s">
        <v>232</v>
      </c>
      <c r="C1007">
        <v>76658</v>
      </c>
      <c r="D1007" s="2">
        <v>127.18</v>
      </c>
      <c r="E1007" s="1">
        <v>43234</v>
      </c>
      <c r="F1007" t="str">
        <f>"201805090974"</f>
        <v>201805090974</v>
      </c>
      <c r="G1007" t="str">
        <f>"INDIGENT HEALTH"</f>
        <v>INDIGENT HEALTH</v>
      </c>
      <c r="H1007">
        <v>127.18</v>
      </c>
      <c r="I1007" t="str">
        <f>"INDIGENT HEALTH"</f>
        <v>INDIGENT HEALTH</v>
      </c>
    </row>
    <row r="1008" spans="1:9" x14ac:dyDescent="0.3">
      <c r="A1008" t="str">
        <f>"T11576"</f>
        <v>T11576</v>
      </c>
      <c r="B1008" t="s">
        <v>233</v>
      </c>
      <c r="C1008">
        <v>999999</v>
      </c>
      <c r="D1008" s="2">
        <v>2430</v>
      </c>
      <c r="E1008" s="1">
        <v>43235</v>
      </c>
      <c r="F1008" t="str">
        <f>"65905"</f>
        <v>65905</v>
      </c>
      <c r="G1008" t="str">
        <f>"PROF SVCS-JUNE 2018"</f>
        <v>PROF SVCS-JUNE 2018</v>
      </c>
      <c r="H1008">
        <v>2430</v>
      </c>
      <c r="I1008" t="str">
        <f>"PROF SVCS-JUNE 2018"</f>
        <v>PROF SVCS-JUNE 2018</v>
      </c>
    </row>
    <row r="1009" spans="1:9" x14ac:dyDescent="0.3">
      <c r="A1009" t="str">
        <f>"IRON"</f>
        <v>IRON</v>
      </c>
      <c r="B1009" t="s">
        <v>234</v>
      </c>
      <c r="C1009">
        <v>76659</v>
      </c>
      <c r="D1009" s="2">
        <v>66.12</v>
      </c>
      <c r="E1009" s="1">
        <v>43234</v>
      </c>
      <c r="F1009" t="str">
        <f>"AADZ800"</f>
        <v>AADZ800</v>
      </c>
      <c r="G1009" t="str">
        <f>"CUST ID:AX773/STORAGE/CNTY CLK"</f>
        <v>CUST ID:AX773/STORAGE/CNTY CLK</v>
      </c>
      <c r="H1009">
        <v>66.12</v>
      </c>
      <c r="I1009" t="str">
        <f>"CUST ID:AX773/STORAGE/CNTY CLK"</f>
        <v>CUST ID:AX773/STORAGE/CNTY CLK</v>
      </c>
    </row>
    <row r="1010" spans="1:9" x14ac:dyDescent="0.3">
      <c r="A1010" t="str">
        <f>"T7585"</f>
        <v>T7585</v>
      </c>
      <c r="B1010" t="s">
        <v>235</v>
      </c>
      <c r="C1010">
        <v>999999</v>
      </c>
      <c r="D1010" s="2">
        <v>410</v>
      </c>
      <c r="E1010" s="1">
        <v>43250</v>
      </c>
      <c r="F1010" t="str">
        <f>"18356"</f>
        <v>18356</v>
      </c>
      <c r="G1010" t="str">
        <f>"CONSTRUCTION UNIT RENTAL/PCT#4"</f>
        <v>CONSTRUCTION UNIT RENTAL/PCT#4</v>
      </c>
      <c r="H1010">
        <v>410</v>
      </c>
      <c r="I1010" t="str">
        <f>"CONSTRUCTION UNIT RENTAL/PCT#4"</f>
        <v>CONSTRUCTION UNIT RENTAL/PCT#4</v>
      </c>
    </row>
    <row r="1011" spans="1:9" x14ac:dyDescent="0.3">
      <c r="A1011" t="str">
        <f>"JOB"</f>
        <v>JOB</v>
      </c>
      <c r="B1011" t="s">
        <v>236</v>
      </c>
      <c r="C1011">
        <v>76660</v>
      </c>
      <c r="D1011" s="2">
        <v>250</v>
      </c>
      <c r="E1011" s="1">
        <v>43234</v>
      </c>
      <c r="F1011" t="str">
        <f>"201805090925"</f>
        <v>201805090925</v>
      </c>
      <c r="G1011" t="str">
        <f>"55 280"</f>
        <v>55 280</v>
      </c>
      <c r="H1011">
        <v>250</v>
      </c>
      <c r="I1011" t="str">
        <f>"55 280"</f>
        <v>55 280</v>
      </c>
    </row>
    <row r="1012" spans="1:9" x14ac:dyDescent="0.3">
      <c r="A1012" t="str">
        <f>"T7860"</f>
        <v>T7860</v>
      </c>
      <c r="B1012" t="s">
        <v>237</v>
      </c>
      <c r="C1012">
        <v>999999</v>
      </c>
      <c r="D1012" s="2">
        <v>1475</v>
      </c>
      <c r="E1012" s="1">
        <v>43235</v>
      </c>
      <c r="F1012" t="str">
        <f>"12349"</f>
        <v>12349</v>
      </c>
      <c r="G1012" t="str">
        <f>"AD LITEM FEE  12/08/17"</f>
        <v>AD LITEM FEE  12/08/17</v>
      </c>
      <c r="H1012">
        <v>150</v>
      </c>
      <c r="I1012" t="str">
        <f>"AD LITEM FEE  12/08/17"</f>
        <v>AD LITEM FEE  12/08/17</v>
      </c>
    </row>
    <row r="1013" spans="1:9" x14ac:dyDescent="0.3">
      <c r="A1013" t="str">
        <f>""</f>
        <v/>
      </c>
      <c r="F1013" t="str">
        <f>"201805040849"</f>
        <v>201805040849</v>
      </c>
      <c r="G1013" t="str">
        <f>"55 596  17500443"</f>
        <v>55 596  17500443</v>
      </c>
      <c r="H1013">
        <v>375</v>
      </c>
      <c r="I1013" t="str">
        <f>"55 596  17500443"</f>
        <v>55 596  17500443</v>
      </c>
    </row>
    <row r="1014" spans="1:9" x14ac:dyDescent="0.3">
      <c r="A1014" t="str">
        <f>""</f>
        <v/>
      </c>
      <c r="F1014" t="str">
        <f>"201805040850"</f>
        <v>201805040850</v>
      </c>
      <c r="G1014" t="str">
        <f>"55 835"</f>
        <v>55 835</v>
      </c>
      <c r="H1014">
        <v>250</v>
      </c>
      <c r="I1014" t="str">
        <f>"55 835"</f>
        <v>55 835</v>
      </c>
    </row>
    <row r="1015" spans="1:9" x14ac:dyDescent="0.3">
      <c r="A1015" t="str">
        <f>""</f>
        <v/>
      </c>
      <c r="F1015" t="str">
        <f>"201805040851"</f>
        <v>201805040851</v>
      </c>
      <c r="G1015" t="str">
        <f>"17-18119"</f>
        <v>17-18119</v>
      </c>
      <c r="H1015">
        <v>100</v>
      </c>
      <c r="I1015" t="str">
        <f>"17-18119"</f>
        <v>17-18119</v>
      </c>
    </row>
    <row r="1016" spans="1:9" x14ac:dyDescent="0.3">
      <c r="A1016" t="str">
        <f>""</f>
        <v/>
      </c>
      <c r="F1016" t="str">
        <f>"201805040852"</f>
        <v>201805040852</v>
      </c>
      <c r="G1016" t="str">
        <f>"18-18990"</f>
        <v>18-18990</v>
      </c>
      <c r="H1016">
        <v>100</v>
      </c>
      <c r="I1016" t="str">
        <f>"18-18990"</f>
        <v>18-18990</v>
      </c>
    </row>
    <row r="1017" spans="1:9" x14ac:dyDescent="0.3">
      <c r="A1017" t="str">
        <f>""</f>
        <v/>
      </c>
      <c r="F1017" t="str">
        <f>"201805040853"</f>
        <v>201805040853</v>
      </c>
      <c r="G1017" t="str">
        <f>"16-17913"</f>
        <v>16-17913</v>
      </c>
      <c r="H1017">
        <v>100</v>
      </c>
      <c r="I1017" t="str">
        <f>"16-17913"</f>
        <v>16-17913</v>
      </c>
    </row>
    <row r="1018" spans="1:9" x14ac:dyDescent="0.3">
      <c r="A1018" t="str">
        <f>""</f>
        <v/>
      </c>
      <c r="F1018" t="str">
        <f>"201805090936"</f>
        <v>201805090936</v>
      </c>
      <c r="G1018" t="str">
        <f>"18-18908"</f>
        <v>18-18908</v>
      </c>
      <c r="H1018">
        <v>100</v>
      </c>
      <c r="I1018" t="str">
        <f>"18-18908"</f>
        <v>18-18908</v>
      </c>
    </row>
    <row r="1019" spans="1:9" x14ac:dyDescent="0.3">
      <c r="A1019" t="str">
        <f>""</f>
        <v/>
      </c>
      <c r="F1019" t="str">
        <f>"201805090937"</f>
        <v>201805090937</v>
      </c>
      <c r="G1019" t="str">
        <f>"18-19023"</f>
        <v>18-19023</v>
      </c>
      <c r="H1019">
        <v>100</v>
      </c>
      <c r="I1019" t="str">
        <f>"18-19023"</f>
        <v>18-19023</v>
      </c>
    </row>
    <row r="1020" spans="1:9" x14ac:dyDescent="0.3">
      <c r="A1020" t="str">
        <f>""</f>
        <v/>
      </c>
      <c r="F1020" t="str">
        <f>"201805090945"</f>
        <v>201805090945</v>
      </c>
      <c r="G1020" t="str">
        <f>"17-18493"</f>
        <v>17-18493</v>
      </c>
      <c r="H1020">
        <v>100</v>
      </c>
      <c r="I1020" t="str">
        <f>"17-18493"</f>
        <v>17-18493</v>
      </c>
    </row>
    <row r="1021" spans="1:9" x14ac:dyDescent="0.3">
      <c r="A1021" t="str">
        <f>""</f>
        <v/>
      </c>
      <c r="F1021" t="str">
        <f>"201805090946"</f>
        <v>201805090946</v>
      </c>
      <c r="G1021" t="str">
        <f>"18-18992"</f>
        <v>18-18992</v>
      </c>
      <c r="H1021">
        <v>100</v>
      </c>
      <c r="I1021" t="str">
        <f>"18-18992"</f>
        <v>18-18992</v>
      </c>
    </row>
    <row r="1022" spans="1:9" x14ac:dyDescent="0.3">
      <c r="A1022" t="str">
        <f>"T7860"</f>
        <v>T7860</v>
      </c>
      <c r="B1022" t="s">
        <v>237</v>
      </c>
      <c r="C1022">
        <v>999999</v>
      </c>
      <c r="D1022" s="2">
        <v>1250</v>
      </c>
      <c r="E1022" s="1">
        <v>43250</v>
      </c>
      <c r="F1022" t="str">
        <f>"12736"</f>
        <v>12736</v>
      </c>
      <c r="G1022" t="str">
        <f>"AD LITEM FEE 02/28/2018"</f>
        <v>AD LITEM FEE 02/28/2018</v>
      </c>
      <c r="H1022">
        <v>150</v>
      </c>
      <c r="I1022" t="str">
        <f>"AD LITEM FEE"</f>
        <v>AD LITEM FEE</v>
      </c>
    </row>
    <row r="1023" spans="1:9" x14ac:dyDescent="0.3">
      <c r="A1023" t="str">
        <f>""</f>
        <v/>
      </c>
      <c r="F1023" t="str">
        <f>"201805221123"</f>
        <v>201805221123</v>
      </c>
      <c r="G1023" t="str">
        <f>"17-18461"</f>
        <v>17-18461</v>
      </c>
      <c r="H1023">
        <v>100</v>
      </c>
      <c r="I1023" t="str">
        <f>"17-18461"</f>
        <v>17-18461</v>
      </c>
    </row>
    <row r="1024" spans="1:9" x14ac:dyDescent="0.3">
      <c r="A1024" t="str">
        <f>""</f>
        <v/>
      </c>
      <c r="F1024" t="str">
        <f>"201805221124"</f>
        <v>201805221124</v>
      </c>
      <c r="G1024" t="str">
        <f>"18-19023"</f>
        <v>18-19023</v>
      </c>
      <c r="H1024">
        <v>100</v>
      </c>
      <c r="I1024" t="str">
        <f>"18-19023"</f>
        <v>18-19023</v>
      </c>
    </row>
    <row r="1025" spans="1:10" x14ac:dyDescent="0.3">
      <c r="A1025" t="str">
        <f>""</f>
        <v/>
      </c>
      <c r="F1025" t="str">
        <f>"201805221125"</f>
        <v>201805221125</v>
      </c>
      <c r="G1025" t="str">
        <f>"18-19011"</f>
        <v>18-19011</v>
      </c>
      <c r="H1025">
        <v>100</v>
      </c>
      <c r="I1025" t="str">
        <f>"18-19011"</f>
        <v>18-19011</v>
      </c>
    </row>
    <row r="1026" spans="1:10" x14ac:dyDescent="0.3">
      <c r="A1026" t="str">
        <f>""</f>
        <v/>
      </c>
      <c r="F1026" t="str">
        <f>"201805221126"</f>
        <v>201805221126</v>
      </c>
      <c r="G1026" t="str">
        <f>"JUVENILE DETENTION HEARING"</f>
        <v>JUVENILE DETENTION HEARING</v>
      </c>
      <c r="H1026">
        <v>100</v>
      </c>
      <c r="I1026" t="str">
        <f>"JUVENILE DETENTION HEARING"</f>
        <v>JUVENILE DETENTION HEARING</v>
      </c>
    </row>
    <row r="1027" spans="1:10" x14ac:dyDescent="0.3">
      <c r="A1027" t="str">
        <f>""</f>
        <v/>
      </c>
      <c r="F1027" t="str">
        <f>"201805221127"</f>
        <v>201805221127</v>
      </c>
      <c r="G1027" t="str">
        <f>"JUVENILE DETENTION HEARING"</f>
        <v>JUVENILE DETENTION HEARING</v>
      </c>
      <c r="H1027">
        <v>100</v>
      </c>
      <c r="I1027" t="str">
        <f>"JUVENILE DETENTION HEARING"</f>
        <v>JUVENILE DETENTION HEARING</v>
      </c>
    </row>
    <row r="1028" spans="1:10" x14ac:dyDescent="0.3">
      <c r="A1028" t="str">
        <f>""</f>
        <v/>
      </c>
      <c r="F1028" t="str">
        <f>"201805221128"</f>
        <v>201805221128</v>
      </c>
      <c r="G1028" t="str">
        <f>"JUVENILE DETENTION HEARING"</f>
        <v>JUVENILE DETENTION HEARING</v>
      </c>
      <c r="H1028">
        <v>100</v>
      </c>
      <c r="I1028" t="str">
        <f>"JUVENILE DETENTION HEARING"</f>
        <v>JUVENILE DETENTION HEARING</v>
      </c>
    </row>
    <row r="1029" spans="1:10" x14ac:dyDescent="0.3">
      <c r="A1029" t="str">
        <f>""</f>
        <v/>
      </c>
      <c r="F1029" t="str">
        <f>"201805231157"</f>
        <v>201805231157</v>
      </c>
      <c r="G1029" t="str">
        <f>"55 632"</f>
        <v>55 632</v>
      </c>
      <c r="H1029">
        <v>250</v>
      </c>
      <c r="I1029" t="str">
        <f>"55 632"</f>
        <v>55 632</v>
      </c>
    </row>
    <row r="1030" spans="1:10" x14ac:dyDescent="0.3">
      <c r="A1030" t="str">
        <f>""</f>
        <v/>
      </c>
      <c r="F1030" t="str">
        <f>"201805231159"</f>
        <v>201805231159</v>
      </c>
      <c r="G1030" t="str">
        <f>"53 602"</f>
        <v>53 602</v>
      </c>
      <c r="H1030">
        <v>250</v>
      </c>
      <c r="I1030" t="str">
        <f>"53 602"</f>
        <v>53 602</v>
      </c>
    </row>
    <row r="1031" spans="1:10" x14ac:dyDescent="0.3">
      <c r="A1031" t="str">
        <f>"000372"</f>
        <v>000372</v>
      </c>
      <c r="B1031" t="s">
        <v>238</v>
      </c>
      <c r="C1031">
        <v>76661</v>
      </c>
      <c r="D1031" s="2">
        <v>32.46</v>
      </c>
      <c r="E1031" s="1">
        <v>43234</v>
      </c>
      <c r="F1031" t="str">
        <f>"201805090956"</f>
        <v>201805090956</v>
      </c>
      <c r="G1031" t="str">
        <f>"REIMBURSEMENT-PARKING"</f>
        <v>REIMBURSEMENT-PARKING</v>
      </c>
      <c r="H1031">
        <v>32.46</v>
      </c>
      <c r="I1031" t="str">
        <f>"REIMBURSEMENT-PARKING"</f>
        <v>REIMBURSEMENT-PARKING</v>
      </c>
    </row>
    <row r="1032" spans="1:10" x14ac:dyDescent="0.3">
      <c r="A1032" t="str">
        <f>"004891"</f>
        <v>004891</v>
      </c>
      <c r="B1032" t="s">
        <v>239</v>
      </c>
      <c r="C1032">
        <v>76662</v>
      </c>
      <c r="D1032" s="2">
        <v>50</v>
      </c>
      <c r="E1032" s="1">
        <v>43234</v>
      </c>
      <c r="F1032" t="s">
        <v>183</v>
      </c>
      <c r="G1032" t="s">
        <v>240</v>
      </c>
      <c r="H1032" t="str">
        <f>"RESTITUTION-M. ALMS"</f>
        <v>RESTITUTION-M. ALMS</v>
      </c>
      <c r="I1032" t="str">
        <f>"210-0000"</f>
        <v>210-0000</v>
      </c>
      <c r="J1032" t="str">
        <f>""</f>
        <v/>
      </c>
    </row>
    <row r="1033" spans="1:10" x14ac:dyDescent="0.3">
      <c r="A1033" t="str">
        <f>"T14062"</f>
        <v>T14062</v>
      </c>
      <c r="B1033" t="s">
        <v>241</v>
      </c>
      <c r="C1033">
        <v>76663</v>
      </c>
      <c r="D1033" s="2">
        <v>516</v>
      </c>
      <c r="E1033" s="1">
        <v>43234</v>
      </c>
      <c r="F1033" t="str">
        <f>"1057"</f>
        <v>1057</v>
      </c>
      <c r="G1033" t="str">
        <f>"INV 1057 / UNIT 8944"</f>
        <v>INV 1057 / UNIT 8944</v>
      </c>
      <c r="H1033">
        <v>150</v>
      </c>
      <c r="I1033" t="str">
        <f>"INV 1057 / UNIT 8944"</f>
        <v>INV 1057 / UNIT 8944</v>
      </c>
    </row>
    <row r="1034" spans="1:10" x14ac:dyDescent="0.3">
      <c r="A1034" t="str">
        <f>""</f>
        <v/>
      </c>
      <c r="F1034" t="str">
        <f>"1058"</f>
        <v>1058</v>
      </c>
      <c r="G1034" t="str">
        <f>"INV 1058 / UNIT 1079"</f>
        <v>INV 1058 / UNIT 1079</v>
      </c>
      <c r="H1034">
        <v>366</v>
      </c>
      <c r="I1034" t="str">
        <f>"INV 1058"</f>
        <v>INV 1058</v>
      </c>
    </row>
    <row r="1035" spans="1:10" x14ac:dyDescent="0.3">
      <c r="A1035" t="str">
        <f>"T12640"</f>
        <v>T12640</v>
      </c>
      <c r="B1035" t="s">
        <v>242</v>
      </c>
      <c r="C1035">
        <v>76664</v>
      </c>
      <c r="D1035" s="2">
        <v>2085</v>
      </c>
      <c r="E1035" s="1">
        <v>43234</v>
      </c>
      <c r="F1035" t="str">
        <f>"182802"</f>
        <v>182802</v>
      </c>
      <c r="G1035" t="str">
        <f>"INV 182802"</f>
        <v>INV 182802</v>
      </c>
      <c r="H1035">
        <v>2085</v>
      </c>
      <c r="I1035" t="str">
        <f>"INV 182802"</f>
        <v>INV 182802</v>
      </c>
    </row>
    <row r="1036" spans="1:10" x14ac:dyDescent="0.3">
      <c r="A1036" t="str">
        <f>"T12640"</f>
        <v>T12640</v>
      </c>
      <c r="B1036" t="s">
        <v>242</v>
      </c>
      <c r="C1036">
        <v>76914</v>
      </c>
      <c r="D1036" s="2">
        <v>795</v>
      </c>
      <c r="E1036" s="1">
        <v>43249</v>
      </c>
      <c r="F1036" t="str">
        <f>"M.PANZINO-TRAINING"</f>
        <v>M.PANZINO-TRAINING</v>
      </c>
      <c r="G1036" t="str">
        <f>"M. PANZINO 06/12-06/15/18"</f>
        <v>M. PANZINO 06/12-06/15/18</v>
      </c>
      <c r="H1036">
        <v>795</v>
      </c>
      <c r="I1036" t="str">
        <f>"M. PANZINO 06/12-06/15/18"</f>
        <v>M. PANZINO 06/12-06/15/18</v>
      </c>
    </row>
    <row r="1037" spans="1:10" x14ac:dyDescent="0.3">
      <c r="A1037" t="str">
        <f>"004645"</f>
        <v>004645</v>
      </c>
      <c r="B1037" t="s">
        <v>243</v>
      </c>
      <c r="C1037">
        <v>76915</v>
      </c>
      <c r="D1037" s="2">
        <v>4500</v>
      </c>
      <c r="E1037" s="1">
        <v>43249</v>
      </c>
      <c r="F1037" t="str">
        <f>"201805171074"</f>
        <v>201805171074</v>
      </c>
      <c r="G1037" t="str">
        <f>"EVALUATION&amp;TRAVEL/DOCUMENTS"</f>
        <v>EVALUATION&amp;TRAVEL/DOCUMENTS</v>
      </c>
      <c r="H1037">
        <v>4500</v>
      </c>
      <c r="I1037" t="str">
        <f>"EVALUATION&amp;TRAVEL/DOCUMENTS"</f>
        <v>EVALUATION&amp;TRAVEL/DOCUMENTS</v>
      </c>
    </row>
    <row r="1038" spans="1:10" x14ac:dyDescent="0.3">
      <c r="A1038" t="str">
        <f>"002330"</f>
        <v>002330</v>
      </c>
      <c r="B1038" t="s">
        <v>244</v>
      </c>
      <c r="C1038">
        <v>76665</v>
      </c>
      <c r="D1038" s="2">
        <v>8</v>
      </c>
      <c r="E1038" s="1">
        <v>43234</v>
      </c>
      <c r="F1038" t="str">
        <f>"REIMBURSE-PARKING"</f>
        <v>REIMBURSE-PARKING</v>
      </c>
      <c r="G1038" t="str">
        <f>"JOHNNA GRIFFITH"</f>
        <v>JOHNNA GRIFFITH</v>
      </c>
      <c r="H1038">
        <v>8</v>
      </c>
      <c r="I1038" t="str">
        <f>""</f>
        <v/>
      </c>
    </row>
    <row r="1039" spans="1:10" x14ac:dyDescent="0.3">
      <c r="A1039" t="str">
        <f>"T2784"</f>
        <v>T2784</v>
      </c>
      <c r="B1039" t="s">
        <v>245</v>
      </c>
      <c r="C1039">
        <v>76666</v>
      </c>
      <c r="D1039" s="2">
        <v>44</v>
      </c>
      <c r="E1039" s="1">
        <v>43234</v>
      </c>
      <c r="F1039" t="str">
        <f>"201805030734"</f>
        <v>201805030734</v>
      </c>
      <c r="G1039" t="str">
        <f>"REIMBURSE VEHICLE REG/PCT#2"</f>
        <v>REIMBURSE VEHICLE REG/PCT#2</v>
      </c>
      <c r="H1039">
        <v>44</v>
      </c>
      <c r="I1039" t="str">
        <f>"REIMBURSE VEHICLE REG/PCT#2"</f>
        <v>REIMBURSE VEHICLE REG/PCT#2</v>
      </c>
    </row>
    <row r="1040" spans="1:10" x14ac:dyDescent="0.3">
      <c r="A1040" t="str">
        <f>"003040"</f>
        <v>003040</v>
      </c>
      <c r="B1040" t="s">
        <v>246</v>
      </c>
      <c r="C1040">
        <v>76916</v>
      </c>
      <c r="D1040" s="2">
        <v>118.93</v>
      </c>
      <c r="E1040" s="1">
        <v>43249</v>
      </c>
      <c r="F1040" t="str">
        <f>"201805161026"</f>
        <v>201805161026</v>
      </c>
      <c r="G1040" t="str">
        <f>"PER DIEM/MILEAGE"</f>
        <v>PER DIEM/MILEAGE</v>
      </c>
      <c r="H1040">
        <v>118.93</v>
      </c>
      <c r="I1040" t="str">
        <f>"PER DIEM/MILEAGE"</f>
        <v>PER DIEM/MILEAGE</v>
      </c>
    </row>
    <row r="1041" spans="1:9" x14ac:dyDescent="0.3">
      <c r="A1041" t="str">
        <f>""</f>
        <v/>
      </c>
      <c r="F1041" t="str">
        <f>""</f>
        <v/>
      </c>
      <c r="G1041" t="str">
        <f>""</f>
        <v/>
      </c>
      <c r="I1041" t="str">
        <f>"PER DIEM/MILEAGE"</f>
        <v>PER DIEM/MILEAGE</v>
      </c>
    </row>
    <row r="1042" spans="1:9" x14ac:dyDescent="0.3">
      <c r="A1042" t="str">
        <f>"001889"</f>
        <v>001889</v>
      </c>
      <c r="B1042" t="s">
        <v>247</v>
      </c>
      <c r="C1042">
        <v>999999</v>
      </c>
      <c r="D1042" s="2">
        <v>600</v>
      </c>
      <c r="E1042" s="1">
        <v>43250</v>
      </c>
      <c r="F1042" t="str">
        <f>"1805"</f>
        <v>1805</v>
      </c>
      <c r="G1042" t="str">
        <f>"TOWER MOWING MAINT/OEM"</f>
        <v>TOWER MOWING MAINT/OEM</v>
      </c>
      <c r="H1042">
        <v>600</v>
      </c>
      <c r="I1042" t="str">
        <f>"TOWER MOWING MAINT/OEM"</f>
        <v>TOWER MOWING MAINT/OEM</v>
      </c>
    </row>
    <row r="1043" spans="1:9" x14ac:dyDescent="0.3">
      <c r="A1043" t="str">
        <f>"005524"</f>
        <v>005524</v>
      </c>
      <c r="B1043" t="s">
        <v>248</v>
      </c>
      <c r="C1043">
        <v>76667</v>
      </c>
      <c r="D1043" s="2">
        <v>25</v>
      </c>
      <c r="E1043" s="1">
        <v>43234</v>
      </c>
      <c r="F1043" t="str">
        <f>"201804250459"</f>
        <v>201804250459</v>
      </c>
      <c r="G1043" t="str">
        <f>"REFUND DRIVEWAY PERMIT"</f>
        <v>REFUND DRIVEWAY PERMIT</v>
      </c>
      <c r="H1043">
        <v>25</v>
      </c>
      <c r="I1043" t="str">
        <f>"REFUND DRIVEWAY PERMIT"</f>
        <v>REFUND DRIVEWAY PERMIT</v>
      </c>
    </row>
    <row r="1044" spans="1:9" x14ac:dyDescent="0.3">
      <c r="A1044" t="str">
        <f>"T14548"</f>
        <v>T14548</v>
      </c>
      <c r="B1044" t="s">
        <v>249</v>
      </c>
      <c r="C1044">
        <v>999999</v>
      </c>
      <c r="D1044" s="2">
        <v>2175</v>
      </c>
      <c r="E1044" s="1">
        <v>43235</v>
      </c>
      <c r="F1044" t="str">
        <f>"201804250441"</f>
        <v>201804250441</v>
      </c>
      <c r="G1044" t="str">
        <f>"16406"</f>
        <v>16406</v>
      </c>
      <c r="H1044">
        <v>1200</v>
      </c>
      <c r="I1044" t="str">
        <f>"16406"</f>
        <v>16406</v>
      </c>
    </row>
    <row r="1045" spans="1:9" x14ac:dyDescent="0.3">
      <c r="A1045" t="str">
        <f>""</f>
        <v/>
      </c>
      <c r="F1045" t="str">
        <f>"201804250442"</f>
        <v>201804250442</v>
      </c>
      <c r="G1045" t="str">
        <f>"423-2898"</f>
        <v>423-2898</v>
      </c>
      <c r="H1045">
        <v>75</v>
      </c>
      <c r="I1045" t="str">
        <f>"423-2898"</f>
        <v>423-2898</v>
      </c>
    </row>
    <row r="1046" spans="1:9" x14ac:dyDescent="0.3">
      <c r="A1046" t="str">
        <f>""</f>
        <v/>
      </c>
      <c r="F1046" t="str">
        <f>"201805040812"</f>
        <v>201805040812</v>
      </c>
      <c r="G1046" t="str">
        <f>"55474/55593/55594"</f>
        <v>55474/55593/55594</v>
      </c>
      <c r="H1046">
        <v>500</v>
      </c>
      <c r="I1046" t="str">
        <f>"55474/55593/55594"</f>
        <v>55474/55593/55594</v>
      </c>
    </row>
    <row r="1047" spans="1:9" x14ac:dyDescent="0.3">
      <c r="A1047" t="str">
        <f>""</f>
        <v/>
      </c>
      <c r="F1047" t="str">
        <f>"201805080887"</f>
        <v>201805080887</v>
      </c>
      <c r="G1047" t="str">
        <f>"16480"</f>
        <v>16480</v>
      </c>
      <c r="H1047">
        <v>400</v>
      </c>
      <c r="I1047" t="str">
        <f>"16480"</f>
        <v>16480</v>
      </c>
    </row>
    <row r="1048" spans="1:9" x14ac:dyDescent="0.3">
      <c r="A1048" t="str">
        <f>"T14548"</f>
        <v>T14548</v>
      </c>
      <c r="B1048" t="s">
        <v>249</v>
      </c>
      <c r="C1048">
        <v>999999</v>
      </c>
      <c r="D1048" s="2">
        <v>3150</v>
      </c>
      <c r="E1048" s="1">
        <v>43250</v>
      </c>
      <c r="F1048" t="str">
        <f>"201805161043"</f>
        <v>201805161043</v>
      </c>
      <c r="G1048" t="str">
        <f>"16001"</f>
        <v>16001</v>
      </c>
      <c r="H1048">
        <v>1600</v>
      </c>
      <c r="I1048" t="str">
        <f>"16001"</f>
        <v>16001</v>
      </c>
    </row>
    <row r="1049" spans="1:9" x14ac:dyDescent="0.3">
      <c r="A1049" t="str">
        <f>""</f>
        <v/>
      </c>
      <c r="F1049" t="str">
        <f>"201805161047"</f>
        <v>201805161047</v>
      </c>
      <c r="G1049" t="str">
        <f>"423-5709"</f>
        <v>423-5709</v>
      </c>
      <c r="H1049">
        <v>100</v>
      </c>
      <c r="I1049" t="str">
        <f>"423-5709"</f>
        <v>423-5709</v>
      </c>
    </row>
    <row r="1050" spans="1:9" x14ac:dyDescent="0.3">
      <c r="A1050" t="str">
        <f>""</f>
        <v/>
      </c>
      <c r="F1050" t="str">
        <f>"201805171067"</f>
        <v>201805171067</v>
      </c>
      <c r="G1050" t="str">
        <f>"16507/DCPC-18-020"</f>
        <v>16507/DCPC-18-020</v>
      </c>
      <c r="H1050">
        <v>600</v>
      </c>
      <c r="I1050" t="str">
        <f>"16507/DCPC-18-020"</f>
        <v>16507/DCPC-18-020</v>
      </c>
    </row>
    <row r="1051" spans="1:9" x14ac:dyDescent="0.3">
      <c r="A1051" t="str">
        <f>""</f>
        <v/>
      </c>
      <c r="F1051" t="str">
        <f>"201805211082"</f>
        <v>201805211082</v>
      </c>
      <c r="G1051" t="str">
        <f>"16331"</f>
        <v>16331</v>
      </c>
      <c r="H1051">
        <v>400</v>
      </c>
      <c r="I1051" t="str">
        <f>"16331"</f>
        <v>16331</v>
      </c>
    </row>
    <row r="1052" spans="1:9" x14ac:dyDescent="0.3">
      <c r="A1052" t="str">
        <f>""</f>
        <v/>
      </c>
      <c r="F1052" t="str">
        <f>"201805211083"</f>
        <v>201805211083</v>
      </c>
      <c r="G1052" t="str">
        <f>"423-5684/423-5685"</f>
        <v>423-5684/423-5685</v>
      </c>
      <c r="H1052">
        <v>200</v>
      </c>
      <c r="I1052" t="str">
        <f>"423-5684/423-5685"</f>
        <v>423-5684/423-5685</v>
      </c>
    </row>
    <row r="1053" spans="1:9" x14ac:dyDescent="0.3">
      <c r="A1053" t="str">
        <f>""</f>
        <v/>
      </c>
      <c r="F1053" t="str">
        <f>"201805231160"</f>
        <v>201805231160</v>
      </c>
      <c r="G1053" t="str">
        <f>"55912"</f>
        <v>55912</v>
      </c>
      <c r="H1053">
        <v>250</v>
      </c>
      <c r="I1053" t="str">
        <f>"55912"</f>
        <v>55912</v>
      </c>
    </row>
    <row r="1054" spans="1:9" x14ac:dyDescent="0.3">
      <c r="A1054" t="str">
        <f>"003760"</f>
        <v>003760</v>
      </c>
      <c r="B1054" t="s">
        <v>250</v>
      </c>
      <c r="C1054">
        <v>76668</v>
      </c>
      <c r="D1054" s="2">
        <v>133.35</v>
      </c>
      <c r="E1054" s="1">
        <v>43234</v>
      </c>
      <c r="F1054" t="str">
        <f>"201805020499"</f>
        <v>201805020499</v>
      </c>
      <c r="G1054" t="str">
        <f>"CHECK BAG FEE/AIRPORT PARKING"</f>
        <v>CHECK BAG FEE/AIRPORT PARKING</v>
      </c>
      <c r="H1054">
        <v>133.35</v>
      </c>
      <c r="I1054" t="str">
        <f>"CHECK BAG FEE/AIRPORT PARKING"</f>
        <v>CHECK BAG FEE/AIRPORT PARKING</v>
      </c>
    </row>
    <row r="1055" spans="1:9" x14ac:dyDescent="0.3">
      <c r="A1055" t="str">
        <f>"KMPC"</f>
        <v>KMPC</v>
      </c>
      <c r="B1055" t="s">
        <v>251</v>
      </c>
      <c r="C1055">
        <v>76917</v>
      </c>
      <c r="D1055" s="2">
        <v>74.12</v>
      </c>
      <c r="E1055" s="1">
        <v>43249</v>
      </c>
      <c r="F1055" t="str">
        <f>"1520-00000139578"</f>
        <v>1520-00000139578</v>
      </c>
      <c r="G1055" t="str">
        <f>"INV 1520-00000139578"</f>
        <v>INV 1520-00000139578</v>
      </c>
      <c r="H1055">
        <v>74.12</v>
      </c>
      <c r="I1055" t="str">
        <f>"INV 1520-00000139578"</f>
        <v>INV 1520-00000139578</v>
      </c>
    </row>
    <row r="1056" spans="1:9" x14ac:dyDescent="0.3">
      <c r="A1056" t="str">
        <f>"T12139"</f>
        <v>T12139</v>
      </c>
      <c r="B1056" t="s">
        <v>252</v>
      </c>
      <c r="C1056">
        <v>76669</v>
      </c>
      <c r="D1056" s="2">
        <v>400</v>
      </c>
      <c r="E1056" s="1">
        <v>43234</v>
      </c>
      <c r="F1056" t="str">
        <f>"336541"</f>
        <v>336541</v>
      </c>
      <c r="G1056" t="str">
        <f>"PICK UP TRASH/MOW/PCT#1"</f>
        <v>PICK UP TRASH/MOW/PCT#1</v>
      </c>
      <c r="H1056">
        <v>400</v>
      </c>
      <c r="I1056" t="str">
        <f>"PICK UP TRASH/MOW/PCT#1"</f>
        <v>PICK UP TRASH/MOW/PCT#1</v>
      </c>
    </row>
    <row r="1057" spans="1:9" x14ac:dyDescent="0.3">
      <c r="A1057" t="str">
        <f>"KBTRI"</f>
        <v>KBTRI</v>
      </c>
      <c r="B1057" t="s">
        <v>253</v>
      </c>
      <c r="C1057">
        <v>999999</v>
      </c>
      <c r="D1057" s="2">
        <v>2617</v>
      </c>
      <c r="E1057" s="1">
        <v>43235</v>
      </c>
      <c r="F1057" t="str">
        <f>"63"</f>
        <v>63</v>
      </c>
      <c r="G1057" t="str">
        <f>"TOWER RENT-MAY"</f>
        <v>TOWER RENT-MAY</v>
      </c>
      <c r="H1057">
        <v>2617</v>
      </c>
      <c r="I1057" t="str">
        <f>"TOWER RENT-MAY"</f>
        <v>TOWER RENT-MAY</v>
      </c>
    </row>
    <row r="1058" spans="1:9" x14ac:dyDescent="0.3">
      <c r="A1058" t="str">
        <f>"000162"</f>
        <v>000162</v>
      </c>
      <c r="B1058" t="s">
        <v>254</v>
      </c>
      <c r="C1058">
        <v>76918</v>
      </c>
      <c r="D1058" s="2">
        <v>375</v>
      </c>
      <c r="E1058" s="1">
        <v>43249</v>
      </c>
      <c r="F1058" t="str">
        <f>"201805171073"</f>
        <v>201805171073</v>
      </c>
      <c r="G1058" t="str">
        <f>"REIMBURSE-ST BAR ATTORNEY FEES"</f>
        <v>REIMBURSE-ST BAR ATTORNEY FEES</v>
      </c>
      <c r="H1058">
        <v>375</v>
      </c>
      <c r="I1058" t="str">
        <f>"REIMBURSE-ST BAR ATTORNEY FEES"</f>
        <v>REIMBURSE-ST BAR ATTORNEY FEES</v>
      </c>
    </row>
    <row r="1059" spans="1:9" x14ac:dyDescent="0.3">
      <c r="A1059" t="str">
        <f>"KFT"</f>
        <v>KFT</v>
      </c>
      <c r="B1059" t="s">
        <v>255</v>
      </c>
      <c r="C1059">
        <v>76919</v>
      </c>
      <c r="D1059" s="2">
        <v>435.48</v>
      </c>
      <c r="E1059" s="1">
        <v>43249</v>
      </c>
      <c r="F1059" t="str">
        <f>"249318"</f>
        <v>249318</v>
      </c>
      <c r="G1059" t="str">
        <f>"ACCT#BASTCO/PCT#2"</f>
        <v>ACCT#BASTCO/PCT#2</v>
      </c>
      <c r="H1059">
        <v>435.48</v>
      </c>
      <c r="I1059" t="str">
        <f>"ACCT#BASTCO/PCT#2"</f>
        <v>ACCT#BASTCO/PCT#2</v>
      </c>
    </row>
    <row r="1060" spans="1:9" x14ac:dyDescent="0.3">
      <c r="A1060" t="str">
        <f>"003916"</f>
        <v>003916</v>
      </c>
      <c r="B1060" t="s">
        <v>256</v>
      </c>
      <c r="C1060">
        <v>76920</v>
      </c>
      <c r="D1060" s="2">
        <v>190</v>
      </c>
      <c r="E1060" s="1">
        <v>43249</v>
      </c>
      <c r="F1060" t="str">
        <f>"265274"</f>
        <v>265274</v>
      </c>
      <c r="G1060" t="str">
        <f>"ALARM TROUBLES"</f>
        <v>ALARM TROUBLES</v>
      </c>
      <c r="H1060">
        <v>190</v>
      </c>
      <c r="I1060" t="str">
        <f>"ALARM TROUBLES"</f>
        <v>ALARM TROUBLES</v>
      </c>
    </row>
    <row r="1061" spans="1:9" x14ac:dyDescent="0.3">
      <c r="A1061" t="str">
        <f>"005547"</f>
        <v>005547</v>
      </c>
      <c r="B1061" t="s">
        <v>257</v>
      </c>
      <c r="C1061">
        <v>76670</v>
      </c>
      <c r="D1061" s="2">
        <v>50</v>
      </c>
      <c r="E1061" s="1">
        <v>43234</v>
      </c>
      <c r="F1061" t="str">
        <f>"201805090976"</f>
        <v>201805090976</v>
      </c>
      <c r="G1061" t="str">
        <f>"REFUND-CARD PROCESSED TWICE"</f>
        <v>REFUND-CARD PROCESSED TWICE</v>
      </c>
      <c r="H1061">
        <v>50</v>
      </c>
      <c r="I1061" t="str">
        <f>"REFUND-CARD PROCESSED TWICE"</f>
        <v>REFUND-CARD PROCESSED TWICE</v>
      </c>
    </row>
    <row r="1062" spans="1:9" x14ac:dyDescent="0.3">
      <c r="A1062" t="str">
        <f>"LIE"</f>
        <v>LIE</v>
      </c>
      <c r="B1062" t="s">
        <v>258</v>
      </c>
      <c r="C1062">
        <v>76680</v>
      </c>
      <c r="D1062" s="2">
        <v>2169.67</v>
      </c>
      <c r="E1062" s="1">
        <v>43234</v>
      </c>
      <c r="F1062" t="str">
        <f>"R301001498:01"</f>
        <v>R301001498:01</v>
      </c>
      <c r="G1062" t="str">
        <f>"LABOR &amp; REPAIRS / PCT 1"</f>
        <v>LABOR &amp; REPAIRS / PCT 1</v>
      </c>
      <c r="H1062">
        <v>2149.16</v>
      </c>
      <c r="I1062" t="str">
        <f>"LABOR &amp; REPAIRS / PCT 1"</f>
        <v>LABOR &amp; REPAIRS / PCT 1</v>
      </c>
    </row>
    <row r="1063" spans="1:9" x14ac:dyDescent="0.3">
      <c r="A1063" t="str">
        <f>""</f>
        <v/>
      </c>
      <c r="F1063" t="str">
        <f>"X301009569:01"</f>
        <v>X301009569:01</v>
      </c>
      <c r="G1063" t="str">
        <f>"ACCT#104994/PCT#2"</f>
        <v>ACCT#104994/PCT#2</v>
      </c>
      <c r="H1063">
        <v>20.51</v>
      </c>
      <c r="I1063" t="str">
        <f>"ACCT#104994/PCT#2"</f>
        <v>ACCT#104994/PCT#2</v>
      </c>
    </row>
    <row r="1064" spans="1:9" x14ac:dyDescent="0.3">
      <c r="A1064" t="str">
        <f>"005543"</f>
        <v>005543</v>
      </c>
      <c r="B1064" t="s">
        <v>259</v>
      </c>
      <c r="C1064">
        <v>76671</v>
      </c>
      <c r="D1064" s="2">
        <v>111.87</v>
      </c>
      <c r="E1064" s="1">
        <v>43234</v>
      </c>
      <c r="F1064" t="str">
        <f>"201805090910"</f>
        <v>201805090910</v>
      </c>
      <c r="G1064" t="str">
        <f>"HOTEL FOR APRIL KUCK 5/22/18"</f>
        <v>HOTEL FOR APRIL KUCK 5/22/18</v>
      </c>
      <c r="H1064">
        <v>111.87</v>
      </c>
      <c r="I1064" t="str">
        <f>"HOTEL FOR APRIL KUCK 5/22/18"</f>
        <v>HOTEL FOR APRIL KUCK 5/22/18</v>
      </c>
    </row>
    <row r="1065" spans="1:9" x14ac:dyDescent="0.3">
      <c r="A1065" t="str">
        <f>"001722"</f>
        <v>001722</v>
      </c>
      <c r="B1065" t="s">
        <v>260</v>
      </c>
      <c r="C1065">
        <v>76672</v>
      </c>
      <c r="D1065" s="2">
        <v>3272.32</v>
      </c>
      <c r="E1065" s="1">
        <v>43234</v>
      </c>
      <c r="F1065" t="str">
        <f>"04187136/04255907"</f>
        <v>04187136/04255907</v>
      </c>
      <c r="G1065" t="str">
        <f>"INV 04187136"</f>
        <v>INV 04187136</v>
      </c>
      <c r="H1065">
        <v>3272.32</v>
      </c>
      <c r="I1065" t="str">
        <f>"INV 04187136"</f>
        <v>INV 04187136</v>
      </c>
    </row>
    <row r="1066" spans="1:9" x14ac:dyDescent="0.3">
      <c r="A1066" t="str">
        <f>""</f>
        <v/>
      </c>
      <c r="F1066" t="str">
        <f>""</f>
        <v/>
      </c>
      <c r="G1066" t="str">
        <f>""</f>
        <v/>
      </c>
      <c r="I1066" t="str">
        <f>"INV 04255907"</f>
        <v>INV 04255907</v>
      </c>
    </row>
    <row r="1067" spans="1:9" x14ac:dyDescent="0.3">
      <c r="A1067" t="str">
        <f>""</f>
        <v/>
      </c>
      <c r="F1067" t="str">
        <f>""</f>
        <v/>
      </c>
      <c r="G1067" t="str">
        <f>""</f>
        <v/>
      </c>
      <c r="I1067" t="str">
        <f>"INV 05024451"</f>
        <v>INV 05024451</v>
      </c>
    </row>
    <row r="1068" spans="1:9" x14ac:dyDescent="0.3">
      <c r="A1068" t="str">
        <f>"001722"</f>
        <v>001722</v>
      </c>
      <c r="B1068" t="s">
        <v>260</v>
      </c>
      <c r="C1068">
        <v>76921</v>
      </c>
      <c r="D1068" s="2">
        <v>2681.75</v>
      </c>
      <c r="E1068" s="1">
        <v>43249</v>
      </c>
      <c r="F1068" t="str">
        <f>"05093245/05161348"</f>
        <v>05093245/05161348</v>
      </c>
      <c r="G1068" t="str">
        <f>"INV 05093245"</f>
        <v>INV 05093245</v>
      </c>
      <c r="H1068">
        <v>2681.75</v>
      </c>
      <c r="I1068" t="str">
        <f>"INV 05093245"</f>
        <v>INV 05093245</v>
      </c>
    </row>
    <row r="1069" spans="1:9" x14ac:dyDescent="0.3">
      <c r="A1069" t="str">
        <f>""</f>
        <v/>
      </c>
      <c r="F1069" t="str">
        <f>""</f>
        <v/>
      </c>
      <c r="G1069" t="str">
        <f>""</f>
        <v/>
      </c>
      <c r="I1069" t="str">
        <f>"INV 05161348"</f>
        <v>INV 05161348</v>
      </c>
    </row>
    <row r="1070" spans="1:9" x14ac:dyDescent="0.3">
      <c r="A1070" t="str">
        <f>"005558"</f>
        <v>005558</v>
      </c>
      <c r="B1070" t="s">
        <v>261</v>
      </c>
      <c r="C1070">
        <v>76922</v>
      </c>
      <c r="D1070" s="2">
        <v>75</v>
      </c>
      <c r="E1070" s="1">
        <v>43249</v>
      </c>
      <c r="F1070" t="str">
        <f>"201805231183"</f>
        <v>201805231183</v>
      </c>
      <c r="G1070" t="str">
        <f>"REFUND ADOPTION FEE"</f>
        <v>REFUND ADOPTION FEE</v>
      </c>
      <c r="H1070">
        <v>75</v>
      </c>
      <c r="I1070" t="str">
        <f>"REFUND ADOPTION FEE"</f>
        <v>REFUND ADOPTION FEE</v>
      </c>
    </row>
    <row r="1071" spans="1:9" x14ac:dyDescent="0.3">
      <c r="A1071" t="str">
        <f>"005549"</f>
        <v>005549</v>
      </c>
      <c r="B1071" t="s">
        <v>262</v>
      </c>
      <c r="C1071">
        <v>76923</v>
      </c>
      <c r="D1071" s="2">
        <v>225</v>
      </c>
      <c r="E1071" s="1">
        <v>43249</v>
      </c>
      <c r="F1071" t="str">
        <f>"201805161027"</f>
        <v>201805161027</v>
      </c>
      <c r="G1071" t="str">
        <f>"REFUND/CAUSE#423-5662"</f>
        <v>REFUND/CAUSE#423-5662</v>
      </c>
      <c r="H1071">
        <v>225</v>
      </c>
      <c r="I1071" t="str">
        <f>"REFUND/CAUSE#423-5662"</f>
        <v>REFUND/CAUSE#423-5662</v>
      </c>
    </row>
    <row r="1072" spans="1:9" x14ac:dyDescent="0.3">
      <c r="A1072" t="str">
        <f>"T11826"</f>
        <v>T11826</v>
      </c>
      <c r="B1072" t="s">
        <v>263</v>
      </c>
      <c r="C1072">
        <v>76673</v>
      </c>
      <c r="D1072" s="2">
        <v>245</v>
      </c>
      <c r="E1072" s="1">
        <v>43234</v>
      </c>
      <c r="F1072" t="str">
        <f>"201805090955"</f>
        <v>201805090955</v>
      </c>
      <c r="G1072" t="str">
        <f>"BASTROP COUNTY P-4"</f>
        <v>BASTROP COUNTY P-4</v>
      </c>
      <c r="H1072">
        <v>245</v>
      </c>
      <c r="I1072" t="str">
        <f>"BASTROP COUNTY P-4"</f>
        <v>BASTROP COUNTY P-4</v>
      </c>
    </row>
    <row r="1073" spans="1:9" x14ac:dyDescent="0.3">
      <c r="A1073" t="str">
        <f>"T9279"</f>
        <v>T9279</v>
      </c>
      <c r="B1073" t="s">
        <v>264</v>
      </c>
      <c r="C1073">
        <v>76523</v>
      </c>
      <c r="D1073" s="2">
        <v>100.5</v>
      </c>
      <c r="E1073" s="1">
        <v>43223</v>
      </c>
      <c r="F1073" t="str">
        <f>"201805030762"</f>
        <v>201805030762</v>
      </c>
      <c r="G1073" t="str">
        <f>"ACCT#1-09-00072-02 1/04252018"</f>
        <v>ACCT#1-09-00072-02 1/04252018</v>
      </c>
      <c r="H1073">
        <v>50.25</v>
      </c>
      <c r="I1073" t="str">
        <f>"ACCT#1-09-00072-02 1/04252018"</f>
        <v>ACCT#1-09-00072-02 1/04252018</v>
      </c>
    </row>
    <row r="1074" spans="1:9" x14ac:dyDescent="0.3">
      <c r="A1074" t="str">
        <f>""</f>
        <v/>
      </c>
      <c r="F1074" t="str">
        <f>"201805030763"</f>
        <v>201805030763</v>
      </c>
      <c r="G1074" t="str">
        <f>"ACCT#3-09-00175-03 1/04252018"</f>
        <v>ACCT#3-09-00175-03 1/04252018</v>
      </c>
      <c r="H1074">
        <v>50.25</v>
      </c>
      <c r="I1074" t="str">
        <f>"ACCT#3-09-00175-03 1/04252018"</f>
        <v>ACCT#3-09-00175-03 1/04252018</v>
      </c>
    </row>
    <row r="1075" spans="1:9" x14ac:dyDescent="0.3">
      <c r="A1075" t="str">
        <f>"002900"</f>
        <v>002900</v>
      </c>
      <c r="B1075" t="s">
        <v>265</v>
      </c>
      <c r="C1075">
        <v>76924</v>
      </c>
      <c r="D1075" s="2">
        <v>182.74</v>
      </c>
      <c r="E1075" s="1">
        <v>43249</v>
      </c>
      <c r="F1075" t="str">
        <f>"554214075"</f>
        <v>554214075</v>
      </c>
      <c r="G1075" t="str">
        <f>"INV 554214075"</f>
        <v>INV 554214075</v>
      </c>
      <c r="H1075">
        <v>182.74</v>
      </c>
      <c r="I1075" t="str">
        <f>"INV 554214075"</f>
        <v>INV 554214075</v>
      </c>
    </row>
    <row r="1076" spans="1:9" x14ac:dyDescent="0.3">
      <c r="A1076" t="str">
        <f>""</f>
        <v/>
      </c>
      <c r="F1076" t="str">
        <f>""</f>
        <v/>
      </c>
      <c r="G1076" t="str">
        <f>""</f>
        <v/>
      </c>
      <c r="I1076" t="str">
        <f>"CREDIT ON ACCOUNT"</f>
        <v>CREDIT ON ACCOUNT</v>
      </c>
    </row>
    <row r="1077" spans="1:9" x14ac:dyDescent="0.3">
      <c r="A1077" t="str">
        <f>"004651"</f>
        <v>004651</v>
      </c>
      <c r="B1077" t="s">
        <v>266</v>
      </c>
      <c r="C1077">
        <v>999999</v>
      </c>
      <c r="D1077" s="2">
        <v>55</v>
      </c>
      <c r="E1077" s="1">
        <v>43250</v>
      </c>
      <c r="F1077" t="str">
        <f>"201805181075"</f>
        <v>201805181075</v>
      </c>
      <c r="G1077" t="str">
        <f>"REIMBURSEMENT-MEALS"</f>
        <v>REIMBURSEMENT-MEALS</v>
      </c>
      <c r="H1077">
        <v>55</v>
      </c>
      <c r="I1077" t="str">
        <f>"REIMBURSEMENT-MEALS"</f>
        <v>REIMBURSEMENT-MEALS</v>
      </c>
    </row>
    <row r="1078" spans="1:9" x14ac:dyDescent="0.3">
      <c r="A1078" t="str">
        <f>"001530"</f>
        <v>001530</v>
      </c>
      <c r="B1078" t="s">
        <v>267</v>
      </c>
      <c r="C1078">
        <v>76674</v>
      </c>
      <c r="D1078" s="2">
        <v>542.45000000000005</v>
      </c>
      <c r="E1078" s="1">
        <v>43234</v>
      </c>
      <c r="F1078" t="str">
        <f>"1211621-20180430"</f>
        <v>1211621-20180430</v>
      </c>
      <c r="G1078" t="str">
        <f>"BILLING ID:1211621/HEALTH SVCS"</f>
        <v>BILLING ID:1211621/HEALTH SVCS</v>
      </c>
      <c r="H1078">
        <v>68.5</v>
      </c>
      <c r="I1078" t="str">
        <f>"BILLING ID:1211621/HEALTH SVCS"</f>
        <v>BILLING ID:1211621/HEALTH SVCS</v>
      </c>
    </row>
    <row r="1079" spans="1:9" x14ac:dyDescent="0.3">
      <c r="A1079" t="str">
        <f>""</f>
        <v/>
      </c>
      <c r="F1079" t="str">
        <f>"1361725-20180430"</f>
        <v>1361725-20180430</v>
      </c>
      <c r="G1079" t="str">
        <f>"BILLING:1361725/INDIGENT HLTH"</f>
        <v>BILLING:1361725/INDIGENT HLTH</v>
      </c>
      <c r="H1079">
        <v>82.55</v>
      </c>
      <c r="I1079" t="str">
        <f>"BILLING:1361725/INDIGENT HLTH"</f>
        <v>BILLING:1361725/INDIGENT HLTH</v>
      </c>
    </row>
    <row r="1080" spans="1:9" x14ac:dyDescent="0.3">
      <c r="A1080" t="str">
        <f>""</f>
        <v/>
      </c>
      <c r="F1080" t="str">
        <f>"1394645-20180430"</f>
        <v>1394645-20180430</v>
      </c>
      <c r="G1080" t="str">
        <f>"BILLING ID#1394645/COUNTY CLER"</f>
        <v>BILLING ID#1394645/COUNTY CLER</v>
      </c>
      <c r="H1080">
        <v>50</v>
      </c>
      <c r="I1080" t="str">
        <f>"BILLING ID#1394645/COUNTY CLER"</f>
        <v>BILLING ID#1394645/COUNTY CLER</v>
      </c>
    </row>
    <row r="1081" spans="1:9" x14ac:dyDescent="0.3">
      <c r="A1081" t="str">
        <f>""</f>
        <v/>
      </c>
      <c r="F1081" t="str">
        <f>"1420944-20180430"</f>
        <v>1420944-20180430</v>
      </c>
      <c r="G1081" t="str">
        <f>"BILLING ID:1420944/SHERIFF OFF"</f>
        <v>BILLING ID:1420944/SHERIFF OFF</v>
      </c>
      <c r="H1081">
        <v>341.4</v>
      </c>
      <c r="I1081" t="str">
        <f>"BILLING ID:1420944/SHERIFF OFF"</f>
        <v>BILLING ID:1420944/SHERIFF OFF</v>
      </c>
    </row>
    <row r="1082" spans="1:9" x14ac:dyDescent="0.3">
      <c r="A1082" t="str">
        <f>"000684"</f>
        <v>000684</v>
      </c>
      <c r="B1082" t="s">
        <v>268</v>
      </c>
      <c r="C1082">
        <v>76675</v>
      </c>
      <c r="D1082" s="2">
        <v>1071.3599999999999</v>
      </c>
      <c r="E1082" s="1">
        <v>43234</v>
      </c>
      <c r="F1082" t="str">
        <f>"1349409"</f>
        <v>1349409</v>
      </c>
      <c r="G1082" t="str">
        <f>"ACCT#15717/TIRE SVCS"</f>
        <v>ACCT#15717/TIRE SVCS</v>
      </c>
      <c r="H1082">
        <v>916.96</v>
      </c>
      <c r="I1082" t="str">
        <f>"ACCT#15717/TIRE SVCS"</f>
        <v>ACCT#15717/TIRE SVCS</v>
      </c>
    </row>
    <row r="1083" spans="1:9" x14ac:dyDescent="0.3">
      <c r="A1083" t="str">
        <f>""</f>
        <v/>
      </c>
      <c r="F1083" t="str">
        <f>"1352015"</f>
        <v>1352015</v>
      </c>
      <c r="G1083" t="str">
        <f>"ACCT#15717/TIRE SVCS/HLTH&amp;SAN"</f>
        <v>ACCT#15717/TIRE SVCS/HLTH&amp;SAN</v>
      </c>
      <c r="H1083">
        <v>154.4</v>
      </c>
      <c r="I1083" t="str">
        <f>"ACCT#15717/TIRE SVCS/HLTH&amp;SAN"</f>
        <v>ACCT#15717/TIRE SVCS/HLTH&amp;SAN</v>
      </c>
    </row>
    <row r="1084" spans="1:9" x14ac:dyDescent="0.3">
      <c r="A1084" t="str">
        <f>"T11113"</f>
        <v>T11113</v>
      </c>
      <c r="B1084" t="s">
        <v>269</v>
      </c>
      <c r="C1084">
        <v>999999</v>
      </c>
      <c r="D1084" s="2">
        <v>224.25</v>
      </c>
      <c r="E1084" s="1">
        <v>43235</v>
      </c>
      <c r="F1084" t="str">
        <f>"201805010490"</f>
        <v>201805010490</v>
      </c>
      <c r="G1084" t="str">
        <f>"2017 CHEVY/PCT#4"</f>
        <v>2017 CHEVY/PCT#4</v>
      </c>
      <c r="H1084">
        <v>16.75</v>
      </c>
      <c r="I1084" t="str">
        <f>"2017 CHEVY/PCT#4"</f>
        <v>2017 CHEVY/PCT#4</v>
      </c>
    </row>
    <row r="1085" spans="1:9" x14ac:dyDescent="0.3">
      <c r="A1085" t="str">
        <f>""</f>
        <v/>
      </c>
      <c r="F1085" t="str">
        <f>"201805020503"</f>
        <v>201805020503</v>
      </c>
      <c r="G1085" t="str">
        <f>"VEHICLE REGISTRATIONS/PCT#2"</f>
        <v>VEHICLE REGISTRATIONS/PCT#2</v>
      </c>
      <c r="H1085">
        <v>88</v>
      </c>
      <c r="I1085" t="str">
        <f>"VEHICLE REGISTRATIONS/PCT#2"</f>
        <v>VEHICLE REGISTRATIONS/PCT#2</v>
      </c>
    </row>
    <row r="1086" spans="1:9" x14ac:dyDescent="0.3">
      <c r="A1086" t="str">
        <f>""</f>
        <v/>
      </c>
      <c r="F1086" t="str">
        <f>"201805020504"</f>
        <v>201805020504</v>
      </c>
      <c r="G1086" t="str">
        <f>"1999 GMC REGISTRATION/PCT#1"</f>
        <v>1999 GMC REGISTRATION/PCT#1</v>
      </c>
      <c r="H1086">
        <v>22</v>
      </c>
      <c r="I1086" t="str">
        <f>"1999 GMC REGISTRATION/PCT#1"</f>
        <v>1999 GMC REGISTRATION/PCT#1</v>
      </c>
    </row>
    <row r="1087" spans="1:9" x14ac:dyDescent="0.3">
      <c r="A1087" t="str">
        <f>""</f>
        <v/>
      </c>
      <c r="F1087" t="str">
        <f>"201805040775"</f>
        <v>201805040775</v>
      </c>
      <c r="G1087" t="str">
        <f>"2009 FORD/ENVIRONMENTAL"</f>
        <v>2009 FORD/ENVIRONMENTAL</v>
      </c>
      <c r="H1087">
        <v>7.5</v>
      </c>
      <c r="I1087" t="str">
        <f>"2009 FORD/ENVIRONMENTAL"</f>
        <v>2009 FORD/ENVIRONMENTAL</v>
      </c>
    </row>
    <row r="1088" spans="1:9" x14ac:dyDescent="0.3">
      <c r="A1088" t="str">
        <f>""</f>
        <v/>
      </c>
      <c r="F1088" t="str">
        <f>"201805080869"</f>
        <v>201805080869</v>
      </c>
      <c r="G1088" t="str">
        <f>"REGISTRATION-2018 TRLR/GEN SVC"</f>
        <v>REGISTRATION-2018 TRLR/GEN SVC</v>
      </c>
      <c r="H1088">
        <v>7.5</v>
      </c>
      <c r="I1088" t="str">
        <f>"REGISTRATION-2018 TRLR/GEN SVC"</f>
        <v>REGISTRATION-2018 TRLR/GEN SVC</v>
      </c>
    </row>
    <row r="1089" spans="1:9" x14ac:dyDescent="0.3">
      <c r="A1089" t="str">
        <f>""</f>
        <v/>
      </c>
      <c r="F1089" t="str">
        <f>"201805080905"</f>
        <v>201805080905</v>
      </c>
      <c r="G1089" t="str">
        <f>"VEHICLE REGISTRATIONS/SHERIFF"</f>
        <v>VEHICLE REGISTRATIONS/SHERIFF</v>
      </c>
      <c r="H1089">
        <v>82.5</v>
      </c>
      <c r="I1089" t="str">
        <f>"VEHICLE REGISTRATIONS/SHERIFF"</f>
        <v>VEHICLE REGISTRATIONS/SHERIFF</v>
      </c>
    </row>
    <row r="1090" spans="1:9" x14ac:dyDescent="0.3">
      <c r="A1090" t="str">
        <f>"T11113"</f>
        <v>T11113</v>
      </c>
      <c r="B1090" t="s">
        <v>269</v>
      </c>
      <c r="C1090">
        <v>999999</v>
      </c>
      <c r="D1090" s="2">
        <v>96.5</v>
      </c>
      <c r="E1090" s="1">
        <v>43250</v>
      </c>
      <c r="F1090" t="str">
        <f>"201805181077"</f>
        <v>201805181077</v>
      </c>
      <c r="G1090" t="str">
        <f>"VEHICLE REGISTRATION-1997 INTL"</f>
        <v>VEHICLE REGISTRATION-1997 INTL</v>
      </c>
      <c r="H1090">
        <v>22</v>
      </c>
      <c r="I1090" t="str">
        <f>"VEHICLE REGISTRATION-1997 INTL"</f>
        <v>VEHICLE REGISTRATION-1997 INTL</v>
      </c>
    </row>
    <row r="1091" spans="1:9" x14ac:dyDescent="0.3">
      <c r="A1091" t="str">
        <f>""</f>
        <v/>
      </c>
      <c r="F1091" t="str">
        <f>"201805181078"</f>
        <v>201805181078</v>
      </c>
      <c r="G1091" t="str">
        <f>"VEHICLE REGISTRATION-2007 CPS"</f>
        <v>VEHICLE REGISTRATION-2007 CPS</v>
      </c>
      <c r="H1091">
        <v>22</v>
      </c>
      <c r="I1091" t="str">
        <f>"VEHICLE REGISTRATION-2007 CPS"</f>
        <v>VEHICLE REGISTRATION-2007 CPS</v>
      </c>
    </row>
    <row r="1092" spans="1:9" x14ac:dyDescent="0.3">
      <c r="A1092" t="str">
        <f>""</f>
        <v/>
      </c>
      <c r="F1092" t="str">
        <f>"201805231147"</f>
        <v>201805231147</v>
      </c>
      <c r="G1092" t="str">
        <f>"VEHICLE REGISTRATIONS-SHERIFF"</f>
        <v>VEHICLE REGISTRATIONS-SHERIFF</v>
      </c>
      <c r="H1092">
        <v>45</v>
      </c>
      <c r="I1092" t="str">
        <f>"VEHICLE REGISTRATIONS-SHERIFF"</f>
        <v>VEHICLE REGISTRATIONS-SHERIFF</v>
      </c>
    </row>
    <row r="1093" spans="1:9" x14ac:dyDescent="0.3">
      <c r="A1093" t="str">
        <f>""</f>
        <v/>
      </c>
      <c r="F1093" t="str">
        <f>"201805231148"</f>
        <v>201805231148</v>
      </c>
      <c r="G1093" t="str">
        <f>"2018 DODG RAM TITLE TRNSFR GS"</f>
        <v>2018 DODG RAM TITLE TRNSFR GS</v>
      </c>
      <c r="H1093">
        <v>7.5</v>
      </c>
      <c r="I1093" t="str">
        <f>"2018 DODG RAM TITLE TRNSFR GS"</f>
        <v>2018 DODG RAM TITLE TRNSFR GS</v>
      </c>
    </row>
    <row r="1094" spans="1:9" x14ac:dyDescent="0.3">
      <c r="A1094" t="str">
        <f>"T12652"</f>
        <v>T12652</v>
      </c>
      <c r="B1094" t="s">
        <v>270</v>
      </c>
      <c r="C1094">
        <v>76676</v>
      </c>
      <c r="D1094" s="2">
        <v>200</v>
      </c>
      <c r="E1094" s="1">
        <v>43234</v>
      </c>
      <c r="F1094" t="str">
        <f>"201805040854"</f>
        <v>201805040854</v>
      </c>
      <c r="G1094" t="str">
        <f>"15-17205  03/26/2018"</f>
        <v>15-17205  03/26/2018</v>
      </c>
      <c r="H1094">
        <v>200</v>
      </c>
      <c r="I1094" t="str">
        <f>"15-17205  03/26/2018"</f>
        <v>15-17205  03/26/2018</v>
      </c>
    </row>
    <row r="1095" spans="1:9" x14ac:dyDescent="0.3">
      <c r="A1095" t="str">
        <f>"T7299"</f>
        <v>T7299</v>
      </c>
      <c r="B1095" t="s">
        <v>271</v>
      </c>
      <c r="C1095">
        <v>76677</v>
      </c>
      <c r="D1095" s="2">
        <v>42.64</v>
      </c>
      <c r="E1095" s="1">
        <v>43234</v>
      </c>
      <c r="F1095" t="str">
        <f>"201805090907"</f>
        <v>201805090907</v>
      </c>
      <c r="G1095" t="str">
        <f>"REIMBURSE-MEAL/PARKING"</f>
        <v>REIMBURSE-MEAL/PARKING</v>
      </c>
      <c r="H1095">
        <v>42.64</v>
      </c>
      <c r="I1095" t="str">
        <f>"REIMBURSE-MEAL/PARKING"</f>
        <v>REIMBURSE-MEAL/PARKING</v>
      </c>
    </row>
    <row r="1096" spans="1:9" x14ac:dyDescent="0.3">
      <c r="A1096" t="str">
        <f>"003706"</f>
        <v>003706</v>
      </c>
      <c r="B1096" t="s">
        <v>272</v>
      </c>
      <c r="C1096">
        <v>999999</v>
      </c>
      <c r="D1096" s="2">
        <v>61</v>
      </c>
      <c r="E1096" s="1">
        <v>43235</v>
      </c>
      <c r="F1096" t="str">
        <f>"97491104"</f>
        <v>97491104</v>
      </c>
      <c r="G1096" t="str">
        <f>"PROFESSIONAL SVCS/CLIENT#3619"</f>
        <v>PROFESSIONAL SVCS/CLIENT#3619</v>
      </c>
      <c r="H1096">
        <v>61</v>
      </c>
      <c r="I1096" t="str">
        <f>"PROFESSIONAL SVCS/CLIENT#3619"</f>
        <v>PROFESSIONAL SVCS/CLIENT#3619</v>
      </c>
    </row>
    <row r="1097" spans="1:9" x14ac:dyDescent="0.3">
      <c r="A1097" t="str">
        <f>"004851"</f>
        <v>004851</v>
      </c>
      <c r="B1097" t="s">
        <v>273</v>
      </c>
      <c r="C1097">
        <v>76678</v>
      </c>
      <c r="D1097" s="2">
        <v>563.66</v>
      </c>
      <c r="E1097" s="1">
        <v>43234</v>
      </c>
      <c r="F1097" t="str">
        <f>"201805090984"</f>
        <v>201805090984</v>
      </c>
      <c r="G1097" t="str">
        <f>"INDIGENT HEALTH"</f>
        <v>INDIGENT HEALTH</v>
      </c>
      <c r="H1097">
        <v>563.66</v>
      </c>
      <c r="I1097" t="str">
        <f>"INDIGENT HEALTH"</f>
        <v>INDIGENT HEALTH</v>
      </c>
    </row>
    <row r="1098" spans="1:9" x14ac:dyDescent="0.3">
      <c r="A1098" t="str">
        <f>""</f>
        <v/>
      </c>
      <c r="F1098" t="str">
        <f>""</f>
        <v/>
      </c>
      <c r="G1098" t="str">
        <f>""</f>
        <v/>
      </c>
      <c r="I1098" t="str">
        <f>"INDIGENT HEALTH"</f>
        <v>INDIGENT HEALTH</v>
      </c>
    </row>
    <row r="1099" spans="1:9" x14ac:dyDescent="0.3">
      <c r="A1099" t="str">
        <f>"004557"</f>
        <v>004557</v>
      </c>
      <c r="B1099" t="s">
        <v>274</v>
      </c>
      <c r="C1099">
        <v>999999</v>
      </c>
      <c r="D1099" s="2">
        <v>2221.8000000000002</v>
      </c>
      <c r="E1099" s="1">
        <v>43235</v>
      </c>
      <c r="F1099" t="str">
        <f>"18-0419-2205"</f>
        <v>18-0419-2205</v>
      </c>
      <c r="G1099" t="str">
        <f>"INV 18-0419-2205"</f>
        <v>INV 18-0419-2205</v>
      </c>
      <c r="H1099">
        <v>340</v>
      </c>
      <c r="I1099" t="str">
        <f>"INV 18-0419-2205"</f>
        <v>INV 18-0419-2205</v>
      </c>
    </row>
    <row r="1100" spans="1:9" x14ac:dyDescent="0.3">
      <c r="A1100" t="str">
        <f>""</f>
        <v/>
      </c>
      <c r="F1100" t="str">
        <f>"LS-18TAHOE-BCSO"</f>
        <v>LS-18TAHOE-BCSO</v>
      </c>
      <c r="G1100" t="str">
        <f>"INV LS-18TAHOE-BCSO /7083"</f>
        <v>INV LS-18TAHOE-BCSO /7083</v>
      </c>
      <c r="H1100">
        <v>1881.8</v>
      </c>
      <c r="I1100" t="str">
        <f>"INV LS-18TAHOE-BCSO"</f>
        <v>INV LS-18TAHOE-BCSO</v>
      </c>
    </row>
    <row r="1101" spans="1:9" x14ac:dyDescent="0.3">
      <c r="A1101" t="str">
        <f>"004109"</f>
        <v>004109</v>
      </c>
      <c r="B1101" t="s">
        <v>275</v>
      </c>
      <c r="C1101">
        <v>76679</v>
      </c>
      <c r="D1101" s="2">
        <v>98.98</v>
      </c>
      <c r="E1101" s="1">
        <v>43234</v>
      </c>
      <c r="F1101" t="str">
        <f>"201805090985"</f>
        <v>201805090985</v>
      </c>
      <c r="G1101" t="str">
        <f>"INDIGENT HEALTH"</f>
        <v>INDIGENT HEALTH</v>
      </c>
      <c r="H1101">
        <v>98.98</v>
      </c>
      <c r="I1101" t="str">
        <f>"INDIGENT HEALTH"</f>
        <v>INDIGENT HEALTH</v>
      </c>
    </row>
    <row r="1102" spans="1:9" x14ac:dyDescent="0.3">
      <c r="A1102" t="str">
        <f>"005452"</f>
        <v>005452</v>
      </c>
      <c r="B1102" t="s">
        <v>276</v>
      </c>
      <c r="C1102">
        <v>76681</v>
      </c>
      <c r="D1102" s="2">
        <v>650</v>
      </c>
      <c r="E1102" s="1">
        <v>43234</v>
      </c>
      <c r="F1102" t="str">
        <f>"201805090951"</f>
        <v>201805090951</v>
      </c>
      <c r="G1102" t="str">
        <f>"TRASH REMOVAL 4/23-4/30/PCT#4"</f>
        <v>TRASH REMOVAL 4/23-4/30/PCT#4</v>
      </c>
      <c r="H1102">
        <v>292.5</v>
      </c>
      <c r="I1102" t="str">
        <f>"TRASH REMOVAL 4/23-4/30/PCT#4"</f>
        <v>TRASH REMOVAL 4/23-4/30/PCT#4</v>
      </c>
    </row>
    <row r="1103" spans="1:9" x14ac:dyDescent="0.3">
      <c r="A1103" t="str">
        <f>""</f>
        <v/>
      </c>
      <c r="F1103" t="str">
        <f>"201805090952"</f>
        <v>201805090952</v>
      </c>
      <c r="G1103" t="str">
        <f>"TRASH REMOVAL/PCT#4"</f>
        <v>TRASH REMOVAL/PCT#4</v>
      </c>
      <c r="H1103">
        <v>357.5</v>
      </c>
      <c r="I1103" t="str">
        <f>"TRASH REMOVAL/PCT#4"</f>
        <v>TRASH REMOVAL/PCT#4</v>
      </c>
    </row>
    <row r="1104" spans="1:9" x14ac:dyDescent="0.3">
      <c r="A1104" t="str">
        <f>"005452"</f>
        <v>005452</v>
      </c>
      <c r="B1104" t="s">
        <v>276</v>
      </c>
      <c r="C1104">
        <v>76925</v>
      </c>
      <c r="D1104" s="2">
        <v>520</v>
      </c>
      <c r="E1104" s="1">
        <v>43249</v>
      </c>
      <c r="F1104" t="str">
        <f>"201805211086"</f>
        <v>201805211086</v>
      </c>
      <c r="G1104" t="str">
        <f>"TRASH REMOVAL /05/17-5/24/PCT4"</f>
        <v>TRASH REMOVAL /05/17-5/24/PCT4</v>
      </c>
      <c r="H1104">
        <v>520</v>
      </c>
      <c r="I1104" t="str">
        <f>"TRASH REMOVAL /05/17-5/24/PCT4"</f>
        <v>TRASH REMOVAL /05/17-5/24/PCT4</v>
      </c>
    </row>
    <row r="1105" spans="1:9" x14ac:dyDescent="0.3">
      <c r="A1105" t="str">
        <f>"T13085"</f>
        <v>T13085</v>
      </c>
      <c r="B1105" t="s">
        <v>277</v>
      </c>
      <c r="C1105">
        <v>999999</v>
      </c>
      <c r="D1105" s="2">
        <v>339</v>
      </c>
      <c r="E1105" s="1">
        <v>43235</v>
      </c>
      <c r="F1105" t="str">
        <f>"10-0001522"</f>
        <v>10-0001522</v>
      </c>
      <c r="G1105" t="str">
        <f>"INV 10-0001522"</f>
        <v>INV 10-0001522</v>
      </c>
      <c r="H1105">
        <v>339</v>
      </c>
      <c r="I1105" t="str">
        <f>"INV 10-0001522"</f>
        <v>INV 10-0001522</v>
      </c>
    </row>
    <row r="1106" spans="1:9" x14ac:dyDescent="0.3">
      <c r="A1106" t="str">
        <f>"000888"</f>
        <v>000888</v>
      </c>
      <c r="B1106" t="s">
        <v>278</v>
      </c>
      <c r="C1106">
        <v>76682</v>
      </c>
      <c r="D1106" s="2">
        <v>807.64</v>
      </c>
      <c r="E1106" s="1">
        <v>43234</v>
      </c>
      <c r="F1106" t="str">
        <f>"ACCOUNT#8692"</f>
        <v>ACCOUNT#8692</v>
      </c>
      <c r="G1106" t="str">
        <f>"Acct# 99006938692"</f>
        <v>Acct# 99006938692</v>
      </c>
      <c r="H1106">
        <v>807.64</v>
      </c>
      <c r="I1106" t="str">
        <f>"Inv# 902230"</f>
        <v>Inv# 902230</v>
      </c>
    </row>
    <row r="1107" spans="1:9" x14ac:dyDescent="0.3">
      <c r="A1107" t="str">
        <f>""</f>
        <v/>
      </c>
      <c r="F1107" t="str">
        <f>""</f>
        <v/>
      </c>
      <c r="G1107" t="str">
        <f>""</f>
        <v/>
      </c>
      <c r="I1107" t="str">
        <f>"Inv# 901453"</f>
        <v>Inv# 901453</v>
      </c>
    </row>
    <row r="1108" spans="1:9" x14ac:dyDescent="0.3">
      <c r="A1108" t="str">
        <f>""</f>
        <v/>
      </c>
      <c r="F1108" t="str">
        <f>""</f>
        <v/>
      </c>
      <c r="G1108" t="str">
        <f>""</f>
        <v/>
      </c>
      <c r="I1108" t="str">
        <f>"Inv# 902813"</f>
        <v>Inv# 902813</v>
      </c>
    </row>
    <row r="1109" spans="1:9" x14ac:dyDescent="0.3">
      <c r="A1109" t="str">
        <f>""</f>
        <v/>
      </c>
      <c r="F1109" t="str">
        <f>""</f>
        <v/>
      </c>
      <c r="G1109" t="str">
        <f>""</f>
        <v/>
      </c>
      <c r="I1109" t="str">
        <f>"Inv# 917211"</f>
        <v>Inv# 917211</v>
      </c>
    </row>
    <row r="1110" spans="1:9" x14ac:dyDescent="0.3">
      <c r="A1110" t="str">
        <f>""</f>
        <v/>
      </c>
      <c r="F1110" t="str">
        <f>""</f>
        <v/>
      </c>
      <c r="G1110" t="str">
        <f>""</f>
        <v/>
      </c>
      <c r="I1110" t="str">
        <f>"Inv# 901682"</f>
        <v>Inv# 901682</v>
      </c>
    </row>
    <row r="1111" spans="1:9" x14ac:dyDescent="0.3">
      <c r="A1111" t="str">
        <f>""</f>
        <v/>
      </c>
      <c r="F1111" t="str">
        <f>""</f>
        <v/>
      </c>
      <c r="G1111" t="str">
        <f>""</f>
        <v/>
      </c>
      <c r="I1111" t="str">
        <f>"Inv# 918055"</f>
        <v>Inv# 918055</v>
      </c>
    </row>
    <row r="1112" spans="1:9" x14ac:dyDescent="0.3">
      <c r="A1112" t="str">
        <f>""</f>
        <v/>
      </c>
      <c r="F1112" t="str">
        <f>""</f>
        <v/>
      </c>
      <c r="G1112" t="str">
        <f>""</f>
        <v/>
      </c>
      <c r="I1112" t="str">
        <f>"Inv# 901073"</f>
        <v>Inv# 901073</v>
      </c>
    </row>
    <row r="1113" spans="1:9" x14ac:dyDescent="0.3">
      <c r="A1113" t="str">
        <f>""</f>
        <v/>
      </c>
      <c r="F1113" t="str">
        <f>""</f>
        <v/>
      </c>
      <c r="G1113" t="str">
        <f>""</f>
        <v/>
      </c>
      <c r="I1113" t="str">
        <f>"Inv# 901074"</f>
        <v>Inv# 901074</v>
      </c>
    </row>
    <row r="1114" spans="1:9" x14ac:dyDescent="0.3">
      <c r="A1114" t="str">
        <f>""</f>
        <v/>
      </c>
      <c r="F1114" t="str">
        <f>""</f>
        <v/>
      </c>
      <c r="G1114" t="str">
        <f>""</f>
        <v/>
      </c>
      <c r="I1114" t="str">
        <f>"Inv# 909202"</f>
        <v>Inv# 909202</v>
      </c>
    </row>
    <row r="1115" spans="1:9" x14ac:dyDescent="0.3">
      <c r="A1115" t="str">
        <f>""</f>
        <v/>
      </c>
      <c r="F1115" t="str">
        <f>""</f>
        <v/>
      </c>
      <c r="G1115" t="str">
        <f>""</f>
        <v/>
      </c>
      <c r="I1115" t="str">
        <f>"Inv# 914502"</f>
        <v>Inv# 914502</v>
      </c>
    </row>
    <row r="1116" spans="1:9" x14ac:dyDescent="0.3">
      <c r="A1116" t="str">
        <f>""</f>
        <v/>
      </c>
      <c r="F1116" t="str">
        <f>""</f>
        <v/>
      </c>
      <c r="G1116" t="str">
        <f>""</f>
        <v/>
      </c>
      <c r="I1116" t="str">
        <f>"Inv# 910350"</f>
        <v>Inv# 910350</v>
      </c>
    </row>
    <row r="1117" spans="1:9" x14ac:dyDescent="0.3">
      <c r="A1117" t="str">
        <f>""</f>
        <v/>
      </c>
      <c r="F1117" t="str">
        <f>""</f>
        <v/>
      </c>
      <c r="G1117" t="str">
        <f>""</f>
        <v/>
      </c>
      <c r="I1117" t="str">
        <f>"Inv# 910343"</f>
        <v>Inv# 910343</v>
      </c>
    </row>
    <row r="1118" spans="1:9" x14ac:dyDescent="0.3">
      <c r="A1118" t="str">
        <f>""</f>
        <v/>
      </c>
      <c r="F1118" t="str">
        <f>""</f>
        <v/>
      </c>
      <c r="G1118" t="str">
        <f>""</f>
        <v/>
      </c>
      <c r="I1118" t="str">
        <f>"Inv# 912710"</f>
        <v>Inv# 912710</v>
      </c>
    </row>
    <row r="1119" spans="1:9" x14ac:dyDescent="0.3">
      <c r="A1119" t="str">
        <f>""</f>
        <v/>
      </c>
      <c r="F1119" t="str">
        <f>""</f>
        <v/>
      </c>
      <c r="G1119" t="str">
        <f>""</f>
        <v/>
      </c>
      <c r="I1119" t="str">
        <f>"Inv# 913196"</f>
        <v>Inv# 913196</v>
      </c>
    </row>
    <row r="1120" spans="1:9" x14ac:dyDescent="0.3">
      <c r="A1120" t="str">
        <f>""</f>
        <v/>
      </c>
      <c r="F1120" t="str">
        <f>""</f>
        <v/>
      </c>
      <c r="G1120" t="str">
        <f>""</f>
        <v/>
      </c>
      <c r="I1120" t="str">
        <f>"Finance Charge"</f>
        <v>Finance Charge</v>
      </c>
    </row>
    <row r="1121" spans="1:9" x14ac:dyDescent="0.3">
      <c r="A1121" t="str">
        <f>""</f>
        <v/>
      </c>
      <c r="F1121" t="str">
        <f>""</f>
        <v/>
      </c>
      <c r="G1121" t="str">
        <f>""</f>
        <v/>
      </c>
      <c r="I1121" t="str">
        <f>"Inv# 914801"</f>
        <v>Inv# 914801</v>
      </c>
    </row>
    <row r="1122" spans="1:9" x14ac:dyDescent="0.3">
      <c r="A1122" t="str">
        <f>"LYNN"</f>
        <v>LYNN</v>
      </c>
      <c r="B1122" t="s">
        <v>279</v>
      </c>
      <c r="C1122">
        <v>999999</v>
      </c>
      <c r="D1122" s="2">
        <v>83.6</v>
      </c>
      <c r="E1122" s="1">
        <v>43250</v>
      </c>
      <c r="F1122" t="str">
        <f>"344556"</f>
        <v>344556</v>
      </c>
      <c r="G1122" t="str">
        <f>"ORD#05042018.08/SHERIFF'S OFF"</f>
        <v>ORD#05042018.08/SHERIFF'S OFF</v>
      </c>
      <c r="H1122">
        <v>83.6</v>
      </c>
      <c r="I1122" t="str">
        <f>"ORD#05042018.08/SHERIFF'S OFF"</f>
        <v>ORD#05042018.08/SHERIFF'S OFF</v>
      </c>
    </row>
    <row r="1123" spans="1:9" x14ac:dyDescent="0.3">
      <c r="A1123" t="str">
        <f>"004036"</f>
        <v>004036</v>
      </c>
      <c r="B1123" t="s">
        <v>280</v>
      </c>
      <c r="C1123">
        <v>76683</v>
      </c>
      <c r="D1123" s="2">
        <v>328</v>
      </c>
      <c r="E1123" s="1">
        <v>43234</v>
      </c>
      <c r="F1123" t="str">
        <f>"11366"</f>
        <v>11366</v>
      </c>
      <c r="G1123" t="str">
        <f>"CARPET CLEANING/COURTHOUSE"</f>
        <v>CARPET CLEANING/COURTHOUSE</v>
      </c>
      <c r="H1123">
        <v>328</v>
      </c>
      <c r="I1123" t="str">
        <f>"CARPET CLEANING/COURTHOUSE"</f>
        <v>CARPET CLEANING/COURTHOUSE</v>
      </c>
    </row>
    <row r="1124" spans="1:9" x14ac:dyDescent="0.3">
      <c r="A1124" t="str">
        <f>"003981"</f>
        <v>003981</v>
      </c>
      <c r="B1124" t="s">
        <v>281</v>
      </c>
      <c r="C1124">
        <v>76926</v>
      </c>
      <c r="D1124" s="2">
        <v>479.38</v>
      </c>
      <c r="E1124" s="1">
        <v>43249</v>
      </c>
      <c r="F1124" t="str">
        <f>"201805171063"</f>
        <v>201805171063</v>
      </c>
      <c r="G1124" t="str">
        <f>"AG COURT-05/15/2018"</f>
        <v>AG COURT-05/15/2018</v>
      </c>
      <c r="H1124">
        <v>239.69</v>
      </c>
      <c r="I1124" t="str">
        <f>"AG COURT-05/15/2018"</f>
        <v>AG COURT-05/15/2018</v>
      </c>
    </row>
    <row r="1125" spans="1:9" x14ac:dyDescent="0.3">
      <c r="A1125" t="str">
        <f>""</f>
        <v/>
      </c>
      <c r="F1125" t="str">
        <f>"201805171064"</f>
        <v>201805171064</v>
      </c>
      <c r="G1125" t="str">
        <f>"5/16/18 DC"</f>
        <v>5/16/18 DC</v>
      </c>
      <c r="H1125">
        <v>239.69</v>
      </c>
      <c r="I1125" t="str">
        <f>"5/16/18 DC"</f>
        <v>5/16/18 DC</v>
      </c>
    </row>
    <row r="1126" spans="1:9" x14ac:dyDescent="0.3">
      <c r="A1126" t="str">
        <f>"MARIA"</f>
        <v>MARIA</v>
      </c>
      <c r="B1126" t="s">
        <v>282</v>
      </c>
      <c r="C1126">
        <v>999999</v>
      </c>
      <c r="D1126" s="2">
        <v>203.79</v>
      </c>
      <c r="E1126" s="1">
        <v>43235</v>
      </c>
      <c r="F1126" t="str">
        <f>"201805040827"</f>
        <v>201805040827</v>
      </c>
      <c r="G1126" t="str">
        <f>"CRIMINAL CCL 05/03/18"</f>
        <v>CRIMINAL CCL 05/03/18</v>
      </c>
      <c r="H1126">
        <v>153.79</v>
      </c>
      <c r="I1126" t="str">
        <f>"CRIMINAL CCL 05/03/18"</f>
        <v>CRIMINAL CCL 05/03/18</v>
      </c>
    </row>
    <row r="1127" spans="1:9" x14ac:dyDescent="0.3">
      <c r="A1127" t="str">
        <f>""</f>
        <v/>
      </c>
      <c r="F1127" t="str">
        <f>"201805040828"</f>
        <v>201805040828</v>
      </c>
      <c r="G1127" t="str">
        <f>"JV  3/29"</f>
        <v>JV  3/29</v>
      </c>
      <c r="H1127">
        <v>50</v>
      </c>
      <c r="I1127" t="str">
        <f>"JV  3/29"</f>
        <v>JV  3/29</v>
      </c>
    </row>
    <row r="1128" spans="1:9" x14ac:dyDescent="0.3">
      <c r="A1128" t="str">
        <f>"MARIA"</f>
        <v>MARIA</v>
      </c>
      <c r="B1128" t="s">
        <v>282</v>
      </c>
      <c r="C1128">
        <v>999999</v>
      </c>
      <c r="D1128" s="2">
        <v>551.37</v>
      </c>
      <c r="E1128" s="1">
        <v>43250</v>
      </c>
      <c r="F1128" t="str">
        <f>"201805161040"</f>
        <v>201805161040</v>
      </c>
      <c r="G1128" t="str">
        <f>"CRIMINAL DC 05/09/18"</f>
        <v>CRIMINAL DC 05/09/18</v>
      </c>
      <c r="H1128">
        <v>183.79</v>
      </c>
      <c r="I1128" t="str">
        <f>"CRIMINAL DC 05/09/18"</f>
        <v>CRIMINAL DC 05/09/18</v>
      </c>
    </row>
    <row r="1129" spans="1:9" x14ac:dyDescent="0.3">
      <c r="A1129" t="str">
        <f>""</f>
        <v/>
      </c>
      <c r="F1129" t="str">
        <f>"201805221129"</f>
        <v>201805221129</v>
      </c>
      <c r="G1129" t="str">
        <f>"17-18525"</f>
        <v>17-18525</v>
      </c>
      <c r="H1129">
        <v>108.79</v>
      </c>
      <c r="I1129" t="str">
        <f>"17-18525"</f>
        <v>17-18525</v>
      </c>
    </row>
    <row r="1130" spans="1:9" x14ac:dyDescent="0.3">
      <c r="A1130" t="str">
        <f>""</f>
        <v/>
      </c>
      <c r="F1130" t="str">
        <f>"201805221130"</f>
        <v>201805221130</v>
      </c>
      <c r="G1130" t="str">
        <f>"J-3131"</f>
        <v>J-3131</v>
      </c>
      <c r="H1130">
        <v>75</v>
      </c>
      <c r="I1130" t="str">
        <f>"J-3131"</f>
        <v>J-3131</v>
      </c>
    </row>
    <row r="1131" spans="1:9" x14ac:dyDescent="0.3">
      <c r="A1131" t="str">
        <f>""</f>
        <v/>
      </c>
      <c r="F1131" t="str">
        <f>"201805221131"</f>
        <v>201805221131</v>
      </c>
      <c r="G1131" t="str">
        <f>"CRIMINAL CCL 05/10/18"</f>
        <v>CRIMINAL CCL 05/10/18</v>
      </c>
      <c r="H1131">
        <v>183.79</v>
      </c>
      <c r="I1131" t="str">
        <f>"CRIMINAL CCL 05/10/18"</f>
        <v>CRIMINAL CCL 05/10/18</v>
      </c>
    </row>
    <row r="1132" spans="1:9" x14ac:dyDescent="0.3">
      <c r="A1132" t="str">
        <f>"002282"</f>
        <v>002282</v>
      </c>
      <c r="B1132" t="s">
        <v>283</v>
      </c>
      <c r="C1132">
        <v>76684</v>
      </c>
      <c r="D1132" s="2">
        <v>1800</v>
      </c>
      <c r="E1132" s="1">
        <v>43234</v>
      </c>
      <c r="F1132" t="str">
        <f>"201805020506"</f>
        <v>201805020506</v>
      </c>
      <c r="G1132" t="str">
        <f>"VETERINARY SVCS-APRIL 2018"</f>
        <v>VETERINARY SVCS-APRIL 2018</v>
      </c>
      <c r="H1132">
        <v>1800</v>
      </c>
      <c r="I1132" t="str">
        <f>"VETERINARY SVCS-APRIL 2018"</f>
        <v>VETERINARY SVCS-APRIL 2018</v>
      </c>
    </row>
    <row r="1133" spans="1:9" x14ac:dyDescent="0.3">
      <c r="A1133" t="str">
        <f>"005497"</f>
        <v>005497</v>
      </c>
      <c r="B1133" t="s">
        <v>284</v>
      </c>
      <c r="C1133">
        <v>76685</v>
      </c>
      <c r="D1133" s="2">
        <v>360</v>
      </c>
      <c r="E1133" s="1">
        <v>43234</v>
      </c>
      <c r="F1133" t="str">
        <f>"10453"</f>
        <v>10453</v>
      </c>
      <c r="G1133" t="str">
        <f>"REVIEW 04/14/2018"</f>
        <v>REVIEW 04/14/2018</v>
      </c>
      <c r="H1133">
        <v>360</v>
      </c>
      <c r="I1133" t="str">
        <f>"REVIEW 04/14/2018"</f>
        <v>REVIEW 04/14/2018</v>
      </c>
    </row>
    <row r="1134" spans="1:9" x14ac:dyDescent="0.3">
      <c r="A1134" t="str">
        <f>"T13936"</f>
        <v>T13936</v>
      </c>
      <c r="B1134" t="s">
        <v>285</v>
      </c>
      <c r="C1134">
        <v>76686</v>
      </c>
      <c r="D1134" s="2">
        <v>550.13</v>
      </c>
      <c r="E1134" s="1">
        <v>43234</v>
      </c>
      <c r="F1134" t="str">
        <f>"201805090986"</f>
        <v>201805090986</v>
      </c>
      <c r="G1134" t="str">
        <f>"INDIGENT HEALTH"</f>
        <v>INDIGENT HEALTH</v>
      </c>
      <c r="H1134">
        <v>550.13</v>
      </c>
      <c r="I1134" t="str">
        <f>"INDIGENT HEALTH"</f>
        <v>INDIGENT HEALTH</v>
      </c>
    </row>
    <row r="1135" spans="1:9" x14ac:dyDescent="0.3">
      <c r="A1135" t="str">
        <f>""</f>
        <v/>
      </c>
      <c r="F1135" t="str">
        <f>""</f>
        <v/>
      </c>
      <c r="G1135" t="str">
        <f>""</f>
        <v/>
      </c>
      <c r="I1135" t="str">
        <f>"INDIGENT HEALTH"</f>
        <v>INDIGENT HEALTH</v>
      </c>
    </row>
    <row r="1136" spans="1:9" x14ac:dyDescent="0.3">
      <c r="A1136" t="str">
        <f>"T12624"</f>
        <v>T12624</v>
      </c>
      <c r="B1136" t="s">
        <v>286</v>
      </c>
      <c r="C1136">
        <v>76687</v>
      </c>
      <c r="D1136" s="2">
        <v>249.21</v>
      </c>
      <c r="E1136" s="1">
        <v>43234</v>
      </c>
      <c r="F1136" t="str">
        <f>"INV001706817"</f>
        <v>INV001706817</v>
      </c>
      <c r="G1136" t="str">
        <f>"INV001706817"</f>
        <v>INV001706817</v>
      </c>
      <c r="H1136">
        <v>249.21</v>
      </c>
      <c r="I1136" t="str">
        <f>"INV001706817"</f>
        <v>INV001706817</v>
      </c>
    </row>
    <row r="1137" spans="1:10" x14ac:dyDescent="0.3">
      <c r="A1137" t="str">
        <f>"T12624"</f>
        <v>T12624</v>
      </c>
      <c r="B1137" t="s">
        <v>286</v>
      </c>
      <c r="C1137">
        <v>76927</v>
      </c>
      <c r="D1137" s="2">
        <v>336.15</v>
      </c>
      <c r="E1137" s="1">
        <v>43249</v>
      </c>
      <c r="F1137" t="str">
        <f>"INV00178079"</f>
        <v>INV00178079</v>
      </c>
      <c r="G1137" t="str">
        <f>"INV001708079"</f>
        <v>INV001708079</v>
      </c>
      <c r="H1137">
        <v>336.15</v>
      </c>
      <c r="I1137" t="str">
        <f>"INV001708079"</f>
        <v>INV001708079</v>
      </c>
    </row>
    <row r="1138" spans="1:10" x14ac:dyDescent="0.3">
      <c r="A1138" t="str">
        <f>"004144"</f>
        <v>004144</v>
      </c>
      <c r="B1138" t="s">
        <v>287</v>
      </c>
      <c r="C1138">
        <v>999999</v>
      </c>
      <c r="D1138" s="2">
        <v>450</v>
      </c>
      <c r="E1138" s="1">
        <v>43235</v>
      </c>
      <c r="F1138" t="str">
        <f>"201805040829"</f>
        <v>201805040829</v>
      </c>
      <c r="G1138" t="str">
        <f>"18-18877"</f>
        <v>18-18877</v>
      </c>
      <c r="H1138">
        <v>100</v>
      </c>
      <c r="I1138" t="str">
        <f>"18-18877"</f>
        <v>18-18877</v>
      </c>
    </row>
    <row r="1139" spans="1:10" x14ac:dyDescent="0.3">
      <c r="A1139" t="str">
        <f>""</f>
        <v/>
      </c>
      <c r="F1139" t="str">
        <f>"201805090948"</f>
        <v>201805090948</v>
      </c>
      <c r="G1139" t="str">
        <f>"17 18527"</f>
        <v>17 18527</v>
      </c>
      <c r="H1139">
        <v>100</v>
      </c>
      <c r="I1139" t="str">
        <f>"17 18527"</f>
        <v>17 18527</v>
      </c>
    </row>
    <row r="1140" spans="1:10" x14ac:dyDescent="0.3">
      <c r="A1140" t="str">
        <f>""</f>
        <v/>
      </c>
      <c r="F1140" t="str">
        <f>"201805090949"</f>
        <v>201805090949</v>
      </c>
      <c r="G1140" t="str">
        <f>"J-3134"</f>
        <v>J-3134</v>
      </c>
      <c r="H1140">
        <v>250</v>
      </c>
      <c r="I1140" t="str">
        <f>"J-3134"</f>
        <v>J-3134</v>
      </c>
    </row>
    <row r="1141" spans="1:10" x14ac:dyDescent="0.3">
      <c r="A1141" t="str">
        <f>"TRIGA"</f>
        <v>TRIGA</v>
      </c>
      <c r="B1141" t="s">
        <v>288</v>
      </c>
      <c r="C1141">
        <v>76688</v>
      </c>
      <c r="D1141" s="2">
        <v>199.6</v>
      </c>
      <c r="E1141" s="1">
        <v>43234</v>
      </c>
      <c r="F1141" t="str">
        <f>"17492562"</f>
        <v>17492562</v>
      </c>
      <c r="G1141" t="str">
        <f>"CUST#45057/PCT#4"</f>
        <v>CUST#45057/PCT#4</v>
      </c>
      <c r="H1141">
        <v>39.729999999999997</v>
      </c>
      <c r="I1141" t="str">
        <f>"CUST#45057/PCT#4"</f>
        <v>CUST#45057/PCT#4</v>
      </c>
    </row>
    <row r="1142" spans="1:10" x14ac:dyDescent="0.3">
      <c r="A1142" t="str">
        <f>""</f>
        <v/>
      </c>
      <c r="F1142" t="str">
        <f>"17492627"</f>
        <v>17492627</v>
      </c>
      <c r="G1142" t="str">
        <f>"INV 17492627"</f>
        <v>INV 17492627</v>
      </c>
      <c r="H1142">
        <v>47.64</v>
      </c>
      <c r="I1142" t="str">
        <f>"INV 17492627"</f>
        <v>INV 17492627</v>
      </c>
    </row>
    <row r="1143" spans="1:10" x14ac:dyDescent="0.3">
      <c r="A1143" t="str">
        <f>""</f>
        <v/>
      </c>
      <c r="F1143" t="str">
        <f>"17500925"</f>
        <v>17500925</v>
      </c>
      <c r="G1143" t="str">
        <f>"ACCT#S9549/CYLINDER RENTAL"</f>
        <v>ACCT#S9549/CYLINDER RENTAL</v>
      </c>
      <c r="H1143">
        <v>90</v>
      </c>
      <c r="I1143" t="str">
        <f>"ACCT#S9549/CYLINDER RENTAL"</f>
        <v>ACCT#S9549/CYLINDER RENTAL</v>
      </c>
    </row>
    <row r="1144" spans="1:10" x14ac:dyDescent="0.3">
      <c r="A1144" t="str">
        <f>""</f>
        <v/>
      </c>
      <c r="F1144" t="str">
        <f>"201805080874"</f>
        <v>201805080874</v>
      </c>
      <c r="G1144" t="str">
        <f>"CUST#41472/DOC#17492460/PCT#1"</f>
        <v>CUST#41472/DOC#17492460/PCT#1</v>
      </c>
      <c r="H1144">
        <v>22.23</v>
      </c>
      <c r="I1144" t="str">
        <f>"CUST#41472/DOC#17492460/PCT#1"</f>
        <v>CUST#41472/DOC#17492460/PCT#1</v>
      </c>
    </row>
    <row r="1145" spans="1:10" x14ac:dyDescent="0.3">
      <c r="A1145" t="str">
        <f>"005506"</f>
        <v>005506</v>
      </c>
      <c r="B1145" t="s">
        <v>289</v>
      </c>
      <c r="C1145">
        <v>76928</v>
      </c>
      <c r="D1145" s="2">
        <v>9012.5</v>
      </c>
      <c r="E1145" s="1">
        <v>43249</v>
      </c>
      <c r="F1145" t="str">
        <f>"201805221118"</f>
        <v>201805221118</v>
      </c>
      <c r="G1145" t="str">
        <f>"FORENSIC PSYC SVCS/TRAVEL"</f>
        <v>FORENSIC PSYC SVCS/TRAVEL</v>
      </c>
      <c r="H1145">
        <v>9012.5</v>
      </c>
      <c r="I1145" t="str">
        <f>"FORENSIC PSYC SVCS/TRAVEL"</f>
        <v>FORENSIC PSYC SVCS/TRAVEL</v>
      </c>
    </row>
    <row r="1146" spans="1:10" x14ac:dyDescent="0.3">
      <c r="A1146" t="str">
        <f>"MC COY"</f>
        <v>MC COY</v>
      </c>
      <c r="B1146" t="s">
        <v>290</v>
      </c>
      <c r="C1146">
        <v>999999</v>
      </c>
      <c r="D1146" s="2">
        <v>27.28</v>
      </c>
      <c r="E1146" s="1">
        <v>43235</v>
      </c>
      <c r="F1146" t="str">
        <f>"653995"</f>
        <v>653995</v>
      </c>
      <c r="G1146" t="str">
        <f>"ACCT#0900-98011130-001"</f>
        <v>ACCT#0900-98011130-001</v>
      </c>
      <c r="H1146">
        <v>27.28</v>
      </c>
      <c r="I1146" t="str">
        <f>"ACCT#0900-98011130-001"</f>
        <v>ACCT#0900-98011130-001</v>
      </c>
    </row>
    <row r="1147" spans="1:10" x14ac:dyDescent="0.3">
      <c r="A1147" t="str">
        <f>"MC COY"</f>
        <v>MC COY</v>
      </c>
      <c r="B1147" t="s">
        <v>290</v>
      </c>
      <c r="C1147">
        <v>999999</v>
      </c>
      <c r="D1147" s="2">
        <v>589.64</v>
      </c>
      <c r="E1147" s="1">
        <v>43250</v>
      </c>
      <c r="F1147" t="str">
        <f>"655247"</f>
        <v>655247</v>
      </c>
      <c r="G1147" t="str">
        <f>"INV 655247"</f>
        <v>INV 655247</v>
      </c>
      <c r="H1147">
        <v>553.91999999999996</v>
      </c>
      <c r="I1147" t="str">
        <f>"INV 655247"</f>
        <v>INV 655247</v>
      </c>
    </row>
    <row r="1148" spans="1:10" x14ac:dyDescent="0.3">
      <c r="A1148" t="str">
        <f>""</f>
        <v/>
      </c>
      <c r="F1148" t="str">
        <f>"655265"</f>
        <v>655265</v>
      </c>
      <c r="G1148" t="str">
        <f>"ACCT#0900-98011130-001/PCT#3"</f>
        <v>ACCT#0900-98011130-001/PCT#3</v>
      </c>
      <c r="H1148">
        <v>35.72</v>
      </c>
      <c r="I1148" t="str">
        <f>"ACCT#0900-98011130-001/PCT#3"</f>
        <v>ACCT#0900-98011130-001/PCT#3</v>
      </c>
    </row>
    <row r="1149" spans="1:10" x14ac:dyDescent="0.3">
      <c r="A1149" t="str">
        <f>"MC CRE"</f>
        <v>MC CRE</v>
      </c>
      <c r="B1149" t="s">
        <v>291</v>
      </c>
      <c r="C1149">
        <v>76689</v>
      </c>
      <c r="D1149" s="2">
        <v>16063.73</v>
      </c>
      <c r="E1149" s="1">
        <v>43234</v>
      </c>
      <c r="F1149" t="str">
        <f>"12349"</f>
        <v>12349</v>
      </c>
      <c r="G1149" t="str">
        <f>"ABST FEE  12/08/17"</f>
        <v>ABST FEE  12/08/17</v>
      </c>
      <c r="H1149">
        <v>175</v>
      </c>
      <c r="I1149" t="str">
        <f>"ABST FEE  12/08/17"</f>
        <v>ABST FEE  12/08/17</v>
      </c>
    </row>
    <row r="1150" spans="1:10" x14ac:dyDescent="0.3">
      <c r="A1150" t="str">
        <f>""</f>
        <v/>
      </c>
      <c r="F1150" t="str">
        <f>"201805020507"</f>
        <v>201805020507</v>
      </c>
      <c r="G1150" t="str">
        <f>"DELINQUENT TAXES-APRIL 2018"</f>
        <v>DELINQUENT TAXES-APRIL 2018</v>
      </c>
      <c r="H1150">
        <v>15888.73</v>
      </c>
      <c r="I1150" t="str">
        <f>"DELINQUENT TAXES-APRIL 2018"</f>
        <v>DELINQUENT TAXES-APRIL 2018</v>
      </c>
    </row>
    <row r="1151" spans="1:10" x14ac:dyDescent="0.3">
      <c r="A1151" t="str">
        <f>"MC CRE"</f>
        <v>MC CRE</v>
      </c>
      <c r="B1151" t="s">
        <v>291</v>
      </c>
      <c r="C1151">
        <v>76929</v>
      </c>
      <c r="D1151" s="2">
        <v>2904</v>
      </c>
      <c r="E1151" s="1">
        <v>43249</v>
      </c>
      <c r="F1151" t="s">
        <v>59</v>
      </c>
      <c r="G1151" t="s">
        <v>292</v>
      </c>
      <c r="H1151" t="str">
        <f>"ABST FEE  03/28/18"</f>
        <v>ABST FEE  03/28/18</v>
      </c>
      <c r="I1151" t="str">
        <f>"995-4110"</f>
        <v>995-4110</v>
      </c>
      <c r="J1151" t="str">
        <f>""</f>
        <v/>
      </c>
    </row>
    <row r="1152" spans="1:10" x14ac:dyDescent="0.3">
      <c r="A1152" t="str">
        <f>""</f>
        <v/>
      </c>
      <c r="F1152" t="str">
        <f>"11007"</f>
        <v>11007</v>
      </c>
      <c r="G1152" t="str">
        <f>"ABST FEE  03/12/2018"</f>
        <v>ABST FEE  03/12/2018</v>
      </c>
      <c r="H1152">
        <v>150</v>
      </c>
      <c r="I1152" t="str">
        <f>"ABST FEE  03/12/2018"</f>
        <v>ABST FEE  03/12/2018</v>
      </c>
    </row>
    <row r="1153" spans="1:9" x14ac:dyDescent="0.3">
      <c r="A1153" t="str">
        <f>""</f>
        <v/>
      </c>
      <c r="F1153" t="str">
        <f>"12010  03/09/2018"</f>
        <v>12010  03/09/2018</v>
      </c>
      <c r="G1153" t="str">
        <f>"ABST FEE  03/09/2018"</f>
        <v>ABST FEE  03/09/2018</v>
      </c>
      <c r="H1153">
        <v>175</v>
      </c>
      <c r="I1153" t="str">
        <f>"ABST FEE  03/09/2018"</f>
        <v>ABST FEE  03/09/2018</v>
      </c>
    </row>
    <row r="1154" spans="1:9" x14ac:dyDescent="0.3">
      <c r="A1154" t="str">
        <f>""</f>
        <v/>
      </c>
      <c r="F1154" t="str">
        <f>"12010 03/08/2018"</f>
        <v>12010 03/08/2018</v>
      </c>
      <c r="G1154" t="str">
        <f>"PRINTER FEE  03/08/2018"</f>
        <v>PRINTER FEE  03/08/2018</v>
      </c>
      <c r="H1154">
        <v>75</v>
      </c>
      <c r="I1154" t="str">
        <f>"PRINTER FEE  03/08/2018"</f>
        <v>PRINTER FEE  03/08/2018</v>
      </c>
    </row>
    <row r="1155" spans="1:9" x14ac:dyDescent="0.3">
      <c r="A1155" t="str">
        <f>""</f>
        <v/>
      </c>
      <c r="F1155" t="str">
        <f>"12130"</f>
        <v>12130</v>
      </c>
      <c r="G1155" t="str">
        <f>"ABST FEE  03/01/18"</f>
        <v>ABST FEE  03/01/18</v>
      </c>
      <c r="H1155">
        <v>175</v>
      </c>
      <c r="I1155" t="str">
        <f>"ABST FEE  03/01/18"</f>
        <v>ABST FEE  03/01/18</v>
      </c>
    </row>
    <row r="1156" spans="1:9" x14ac:dyDescent="0.3">
      <c r="A1156" t="str">
        <f>""</f>
        <v/>
      </c>
      <c r="F1156" t="str">
        <f>"12168"</f>
        <v>12168</v>
      </c>
      <c r="G1156" t="str">
        <f>"ABST FEE 02/27/2018"</f>
        <v>ABST FEE 02/27/2018</v>
      </c>
      <c r="H1156">
        <v>175</v>
      </c>
      <c r="I1156" t="str">
        <f>"ABST FEE 02/27/2018"</f>
        <v>ABST FEE 02/27/2018</v>
      </c>
    </row>
    <row r="1157" spans="1:9" x14ac:dyDescent="0.3">
      <c r="A1157" t="str">
        <f>""</f>
        <v/>
      </c>
      <c r="F1157" t="str">
        <f>"12399"</f>
        <v>12399</v>
      </c>
      <c r="G1157" t="str">
        <f>"ABST FEE  02/23/2018"</f>
        <v>ABST FEE  02/23/2018</v>
      </c>
      <c r="H1157">
        <v>175</v>
      </c>
      <c r="I1157" t="str">
        <f>"ABST FEE  02/23/2018"</f>
        <v>ABST FEE  02/23/2018</v>
      </c>
    </row>
    <row r="1158" spans="1:9" x14ac:dyDescent="0.3">
      <c r="A1158" t="str">
        <f>""</f>
        <v/>
      </c>
      <c r="F1158" t="str">
        <f>"12491"</f>
        <v>12491</v>
      </c>
      <c r="G1158" t="str">
        <f>"ABST FEE  03/16/2018"</f>
        <v>ABST FEE  03/16/2018</v>
      </c>
      <c r="H1158">
        <v>175</v>
      </c>
      <c r="I1158" t="str">
        <f>"ABST FEE  03/16/2018"</f>
        <v>ABST FEE  03/16/2018</v>
      </c>
    </row>
    <row r="1159" spans="1:9" x14ac:dyDescent="0.3">
      <c r="A1159" t="str">
        <f>""</f>
        <v/>
      </c>
      <c r="F1159" t="str">
        <f>"12521  02/26/2018"</f>
        <v>12521  02/26/2018</v>
      </c>
      <c r="G1159" t="str">
        <f>"ABST FEE  02/26/2018"</f>
        <v>ABST FEE  02/26/2018</v>
      </c>
      <c r="H1159">
        <v>137</v>
      </c>
      <c r="I1159" t="str">
        <f>"ABST FEE  02/26/2018"</f>
        <v>ABST FEE  02/26/2018</v>
      </c>
    </row>
    <row r="1160" spans="1:9" x14ac:dyDescent="0.3">
      <c r="A1160" t="str">
        <f>""</f>
        <v/>
      </c>
      <c r="F1160" t="str">
        <f>"12582"</f>
        <v>12582</v>
      </c>
      <c r="G1160" t="str">
        <f>"ABST FEE 02/28/2018"</f>
        <v>ABST FEE 02/28/2018</v>
      </c>
      <c r="H1160">
        <v>175</v>
      </c>
      <c r="I1160" t="str">
        <f>"ABST FEE 02/28/2018"</f>
        <v>ABST FEE 02/28/2018</v>
      </c>
    </row>
    <row r="1161" spans="1:9" x14ac:dyDescent="0.3">
      <c r="A1161" t="str">
        <f>""</f>
        <v/>
      </c>
      <c r="F1161" t="str">
        <f>"12608"</f>
        <v>12608</v>
      </c>
      <c r="G1161" t="str">
        <f>"ABST FEE 03/02/18"</f>
        <v>ABST FEE 03/02/18</v>
      </c>
      <c r="H1161">
        <v>175</v>
      </c>
      <c r="I1161" t="str">
        <f>"ABST FEE 03/02/18"</f>
        <v>ABST FEE 03/02/18</v>
      </c>
    </row>
    <row r="1162" spans="1:9" x14ac:dyDescent="0.3">
      <c r="A1162" t="str">
        <f>""</f>
        <v/>
      </c>
      <c r="F1162" t="str">
        <f>"12692"</f>
        <v>12692</v>
      </c>
      <c r="G1162" t="str">
        <f>"ABST FEE  02/26/2018"</f>
        <v>ABST FEE  02/26/2018</v>
      </c>
      <c r="H1162">
        <v>225</v>
      </c>
      <c r="I1162" t="str">
        <f>"ABST FEE  02/26/2018"</f>
        <v>ABST FEE  02/26/2018</v>
      </c>
    </row>
    <row r="1163" spans="1:9" x14ac:dyDescent="0.3">
      <c r="A1163" t="str">
        <f>""</f>
        <v/>
      </c>
      <c r="F1163" t="str">
        <f>"12736"</f>
        <v>12736</v>
      </c>
      <c r="G1163" t="str">
        <f>"ABST FEE  02/28/2018"</f>
        <v>ABST FEE  02/28/2018</v>
      </c>
      <c r="H1163">
        <v>225</v>
      </c>
      <c r="I1163" t="str">
        <f>"ABST FEE  02/28/2018"</f>
        <v>ABST FEE  02/28/2018</v>
      </c>
    </row>
    <row r="1164" spans="1:9" x14ac:dyDescent="0.3">
      <c r="A1164" t="str">
        <f>""</f>
        <v/>
      </c>
      <c r="F1164" t="str">
        <f>"12760"</f>
        <v>12760</v>
      </c>
      <c r="G1164" t="str">
        <f>"ABST FEE  03/16/2018"</f>
        <v>ABST FEE  03/16/2018</v>
      </c>
      <c r="H1164">
        <v>142</v>
      </c>
      <c r="I1164" t="str">
        <f>"ABST FEE  03/16/2018"</f>
        <v>ABST FEE  03/16/2018</v>
      </c>
    </row>
    <row r="1165" spans="1:9" x14ac:dyDescent="0.3">
      <c r="A1165" t="str">
        <f>""</f>
        <v/>
      </c>
      <c r="F1165" t="str">
        <f>"12861"</f>
        <v>12861</v>
      </c>
      <c r="G1165" t="str">
        <f>"ABST FEE 02/28/2018"</f>
        <v>ABST FEE 02/28/2018</v>
      </c>
      <c r="H1165">
        <v>225</v>
      </c>
      <c r="I1165" t="str">
        <f>"ABST FEE 02/28/2018"</f>
        <v>ABST FEE 02/28/2018</v>
      </c>
    </row>
    <row r="1166" spans="1:9" x14ac:dyDescent="0.3">
      <c r="A1166" t="str">
        <f>""</f>
        <v/>
      </c>
      <c r="F1166" t="str">
        <f>"12904"</f>
        <v>12904</v>
      </c>
      <c r="G1166" t="str">
        <f>"ABST FEE  03/19/2018"</f>
        <v>ABST FEE  03/19/2018</v>
      </c>
      <c r="H1166">
        <v>225</v>
      </c>
      <c r="I1166" t="str">
        <f>"ABST FEE  03/19/2018"</f>
        <v>ABST FEE  03/19/2018</v>
      </c>
    </row>
    <row r="1167" spans="1:9" x14ac:dyDescent="0.3">
      <c r="A1167" t="str">
        <f>""</f>
        <v/>
      </c>
      <c r="F1167" t="str">
        <f>"9635"</f>
        <v>9635</v>
      </c>
      <c r="G1167" t="str">
        <f>"ABST FEE  02/27/2018"</f>
        <v>ABST FEE  02/27/2018</v>
      </c>
      <c r="H1167">
        <v>100</v>
      </c>
      <c r="I1167" t="str">
        <f>"ABST FEE  02/27/2018"</f>
        <v>ABST FEE  02/27/2018</v>
      </c>
    </row>
    <row r="1168" spans="1:9" x14ac:dyDescent="0.3">
      <c r="A1168" t="str">
        <f>"005485"</f>
        <v>005485</v>
      </c>
      <c r="B1168" t="s">
        <v>293</v>
      </c>
      <c r="C1168">
        <v>76690</v>
      </c>
      <c r="D1168" s="2">
        <v>297</v>
      </c>
      <c r="E1168" s="1">
        <v>43234</v>
      </c>
      <c r="F1168" t="str">
        <f>"167424"</f>
        <v>167424</v>
      </c>
      <c r="G1168" t="str">
        <f>"INV 167424"</f>
        <v>INV 167424</v>
      </c>
      <c r="H1168">
        <v>297</v>
      </c>
      <c r="I1168" t="str">
        <f>"INV 167424"</f>
        <v>INV 167424</v>
      </c>
    </row>
    <row r="1169" spans="1:9" x14ac:dyDescent="0.3">
      <c r="A1169" t="str">
        <f>"003624"</f>
        <v>003624</v>
      </c>
      <c r="B1169" t="s">
        <v>294</v>
      </c>
      <c r="C1169">
        <v>76691</v>
      </c>
      <c r="D1169" s="2">
        <v>115</v>
      </c>
      <c r="E1169" s="1">
        <v>43234</v>
      </c>
      <c r="F1169" t="str">
        <f>"3260943-IN"</f>
        <v>3260943-IN</v>
      </c>
      <c r="G1169" t="str">
        <f>"ORD#1123475/ANIMAL SHELTER"</f>
        <v>ORD#1123475/ANIMAL SHELTER</v>
      </c>
      <c r="H1169">
        <v>115</v>
      </c>
      <c r="I1169" t="str">
        <f>"ORD#1123475/ANIMAL SHELTER"</f>
        <v>ORD#1123475/ANIMAL SHELTER</v>
      </c>
    </row>
    <row r="1170" spans="1:9" x14ac:dyDescent="0.3">
      <c r="A1170" t="str">
        <f>"003624"</f>
        <v>003624</v>
      </c>
      <c r="B1170" t="s">
        <v>294</v>
      </c>
      <c r="C1170">
        <v>76823</v>
      </c>
      <c r="D1170" s="2">
        <v>4268.68</v>
      </c>
      <c r="E1170" s="1">
        <v>43242</v>
      </c>
      <c r="F1170" t="str">
        <f>"3254961-IN REISSUE"</f>
        <v>3254961-IN REISSUE</v>
      </c>
      <c r="G1170" t="str">
        <f>"INV # 3254961-IN"</f>
        <v>INV # 3254961-IN</v>
      </c>
      <c r="H1170">
        <v>313.93</v>
      </c>
      <c r="I1170" t="str">
        <f>"INV # 3254961-IN"</f>
        <v>INV # 3254961-IN</v>
      </c>
    </row>
    <row r="1171" spans="1:9" x14ac:dyDescent="0.3">
      <c r="A1171" t="str">
        <f>""</f>
        <v/>
      </c>
      <c r="F1171" t="str">
        <f>"3260213-IN REISSUE"</f>
        <v>3260213-IN REISSUE</v>
      </c>
      <c r="G1171" t="str">
        <f>"INV # 3260213-IN"</f>
        <v>INV # 3260213-IN</v>
      </c>
      <c r="H1171">
        <v>3954.75</v>
      </c>
      <c r="I1171" t="str">
        <f>"INV # 3260213-IN"</f>
        <v>INV # 3260213-IN</v>
      </c>
    </row>
    <row r="1172" spans="1:9" x14ac:dyDescent="0.3">
      <c r="A1172" t="str">
        <f>"002271"</f>
        <v>002271</v>
      </c>
      <c r="B1172" t="s">
        <v>295</v>
      </c>
      <c r="C1172">
        <v>76692</v>
      </c>
      <c r="D1172" s="2">
        <v>2955.9</v>
      </c>
      <c r="E1172" s="1">
        <v>43234</v>
      </c>
      <c r="F1172" t="str">
        <f>"201805090987"</f>
        <v>201805090987</v>
      </c>
      <c r="G1172" t="str">
        <f>"INDIGENT HEALTH"</f>
        <v>INDIGENT HEALTH</v>
      </c>
      <c r="H1172">
        <v>2955.9</v>
      </c>
      <c r="I1172" t="str">
        <f>"INDIGENT HEALTH"</f>
        <v>INDIGENT HEALTH</v>
      </c>
    </row>
    <row r="1173" spans="1:9" x14ac:dyDescent="0.3">
      <c r="A1173" t="str">
        <f>"T14085"</f>
        <v>T14085</v>
      </c>
      <c r="B1173" t="s">
        <v>296</v>
      </c>
      <c r="C1173">
        <v>76693</v>
      </c>
      <c r="D1173" s="2">
        <v>32.46</v>
      </c>
      <c r="E1173" s="1">
        <v>43234</v>
      </c>
      <c r="F1173" t="str">
        <f>"201805090958"</f>
        <v>201805090958</v>
      </c>
      <c r="G1173" t="str">
        <f>"REIMBURSE-PARKING"</f>
        <v>REIMBURSE-PARKING</v>
      </c>
      <c r="H1173">
        <v>32.46</v>
      </c>
      <c r="I1173" t="str">
        <f>"REIMBURSE-PARKING"</f>
        <v>REIMBURSE-PARKING</v>
      </c>
    </row>
    <row r="1174" spans="1:9" x14ac:dyDescent="0.3">
      <c r="A1174" t="str">
        <f>"002934"</f>
        <v>002934</v>
      </c>
      <c r="B1174" t="s">
        <v>297</v>
      </c>
      <c r="C1174">
        <v>76694</v>
      </c>
      <c r="D1174" s="2">
        <v>215.54</v>
      </c>
      <c r="E1174" s="1">
        <v>43234</v>
      </c>
      <c r="F1174" t="str">
        <f>"REIMBURSEMENT"</f>
        <v>REIMBURSEMENT</v>
      </c>
      <c r="G1174" t="str">
        <f>"REIMBURSEMENT"</f>
        <v>REIMBURSEMENT</v>
      </c>
      <c r="H1174">
        <v>215.54</v>
      </c>
      <c r="I1174" t="str">
        <f>"REIMBURSEMENT"</f>
        <v>REIMBURSEMENT</v>
      </c>
    </row>
    <row r="1175" spans="1:9" x14ac:dyDescent="0.3">
      <c r="A1175" t="str">
        <f>"005025"</f>
        <v>005025</v>
      </c>
      <c r="B1175" t="s">
        <v>298</v>
      </c>
      <c r="C1175">
        <v>76695</v>
      </c>
      <c r="D1175" s="2">
        <v>1200</v>
      </c>
      <c r="E1175" s="1">
        <v>43234</v>
      </c>
      <c r="F1175" t="str">
        <f>"201805090906"</f>
        <v>201805090906</v>
      </c>
      <c r="G1175" t="str">
        <f>"MEDIATION SERVICES"</f>
        <v>MEDIATION SERVICES</v>
      </c>
      <c r="H1175">
        <v>1200</v>
      </c>
      <c r="I1175" t="str">
        <f>"MEDIATION SERVICES"</f>
        <v>MEDIATION SERVICES</v>
      </c>
    </row>
    <row r="1176" spans="1:9" x14ac:dyDescent="0.3">
      <c r="A1176" t="str">
        <f>"004505"</f>
        <v>004505</v>
      </c>
      <c r="B1176" t="s">
        <v>299</v>
      </c>
      <c r="C1176">
        <v>76930</v>
      </c>
      <c r="D1176" s="2">
        <v>61</v>
      </c>
      <c r="E1176" s="1">
        <v>43249</v>
      </c>
      <c r="F1176" t="str">
        <f>"201805161052"</f>
        <v>201805161052</v>
      </c>
      <c r="G1176" t="str">
        <f>"DL FEE"</f>
        <v>DL FEE</v>
      </c>
      <c r="H1176">
        <v>61</v>
      </c>
      <c r="I1176" t="str">
        <f>"DL FEE"</f>
        <v>DL FEE</v>
      </c>
    </row>
    <row r="1177" spans="1:9" x14ac:dyDescent="0.3">
      <c r="A1177" t="str">
        <f>"MF"</f>
        <v>MF</v>
      </c>
      <c r="B1177" t="s">
        <v>300</v>
      </c>
      <c r="C1177">
        <v>999999</v>
      </c>
      <c r="D1177" s="2">
        <v>50</v>
      </c>
      <c r="E1177" s="1">
        <v>43235</v>
      </c>
      <c r="F1177" t="str">
        <f>"18-019"</f>
        <v>18-019</v>
      </c>
      <c r="G1177" t="str">
        <f>"14 471"</f>
        <v>14 471</v>
      </c>
      <c r="H1177">
        <v>50</v>
      </c>
      <c r="I1177" t="str">
        <f>"14 471"</f>
        <v>14 471</v>
      </c>
    </row>
    <row r="1178" spans="1:9" x14ac:dyDescent="0.3">
      <c r="A1178" t="str">
        <f>"MF"</f>
        <v>MF</v>
      </c>
      <c r="B1178" t="s">
        <v>300</v>
      </c>
      <c r="C1178">
        <v>999999</v>
      </c>
      <c r="D1178" s="2">
        <v>215.5</v>
      </c>
      <c r="E1178" s="1">
        <v>43250</v>
      </c>
      <c r="F1178" t="str">
        <f>"18-025"</f>
        <v>18-025</v>
      </c>
      <c r="G1178" t="str">
        <f>"DCPC-18-100/CT REPORTING FEES"</f>
        <v>DCPC-18-100/CT REPORTING FEES</v>
      </c>
      <c r="H1178">
        <v>115.5</v>
      </c>
      <c r="I1178" t="str">
        <f>"DCPC-18-100/CT REPORTING FEES"</f>
        <v>DCPC-18-100/CT REPORTING FEES</v>
      </c>
    </row>
    <row r="1179" spans="1:9" x14ac:dyDescent="0.3">
      <c r="A1179" t="str">
        <f>""</f>
        <v/>
      </c>
      <c r="F1179" t="str">
        <f>"18-026"</f>
        <v>18-026</v>
      </c>
      <c r="G1179" t="str">
        <f>"COURT REPORTING FEES/16 153"</f>
        <v>COURT REPORTING FEES/16 153</v>
      </c>
      <c r="H1179">
        <v>100</v>
      </c>
      <c r="I1179" t="str">
        <f>"COURT REPORTING FEES"</f>
        <v>COURT REPORTING FEES</v>
      </c>
    </row>
    <row r="1180" spans="1:9" x14ac:dyDescent="0.3">
      <c r="A1180" t="str">
        <f>"002312"</f>
        <v>002312</v>
      </c>
      <c r="B1180" t="s">
        <v>301</v>
      </c>
      <c r="C1180">
        <v>76696</v>
      </c>
      <c r="D1180" s="2">
        <v>5883.11</v>
      </c>
      <c r="E1180" s="1">
        <v>43234</v>
      </c>
      <c r="F1180" t="str">
        <f>"16906"</f>
        <v>16906</v>
      </c>
      <c r="G1180" t="str">
        <f>"FREIGHT SALES/PCT#2"</f>
        <v>FREIGHT SALES/PCT#2</v>
      </c>
      <c r="H1180">
        <v>5284.96</v>
      </c>
      <c r="I1180" t="str">
        <f>"FREIGHT SALES/PCT#2"</f>
        <v>FREIGHT SALES/PCT#2</v>
      </c>
    </row>
    <row r="1181" spans="1:9" x14ac:dyDescent="0.3">
      <c r="A1181" t="str">
        <f>""</f>
        <v/>
      </c>
      <c r="F1181" t="str">
        <f>"16974"</f>
        <v>16974</v>
      </c>
      <c r="G1181" t="str">
        <f>"FREIGHT SALES/PCT#2"</f>
        <v>FREIGHT SALES/PCT#2</v>
      </c>
      <c r="H1181">
        <v>598.15</v>
      </c>
      <c r="I1181" t="str">
        <f>"FREIGHT SALES/PCT#2"</f>
        <v>FREIGHT SALES/PCT#2</v>
      </c>
    </row>
    <row r="1182" spans="1:9" x14ac:dyDescent="0.3">
      <c r="A1182" t="str">
        <f>"002312"</f>
        <v>002312</v>
      </c>
      <c r="B1182" t="s">
        <v>301</v>
      </c>
      <c r="C1182">
        <v>76931</v>
      </c>
      <c r="D1182" s="2">
        <v>13748.96</v>
      </c>
      <c r="E1182" s="1">
        <v>43249</v>
      </c>
      <c r="F1182" t="str">
        <f>"17033"</f>
        <v>17033</v>
      </c>
      <c r="G1182" t="str">
        <f>"FREIGHT SALES/PCT#2"</f>
        <v>FREIGHT SALES/PCT#2</v>
      </c>
      <c r="H1182">
        <v>1800.56</v>
      </c>
      <c r="I1182" t="str">
        <f>"FREIGHT SALES/PCT#2"</f>
        <v>FREIGHT SALES/PCT#2</v>
      </c>
    </row>
    <row r="1183" spans="1:9" x14ac:dyDescent="0.3">
      <c r="A1183" t="str">
        <f>""</f>
        <v/>
      </c>
      <c r="F1183" t="str">
        <f>"17082"</f>
        <v>17082</v>
      </c>
      <c r="G1183" t="str">
        <f>"FREIGHT SALES/PCT#2"</f>
        <v>FREIGHT SALES/PCT#2</v>
      </c>
      <c r="H1183">
        <v>2370.8000000000002</v>
      </c>
      <c r="I1183" t="str">
        <f>"FREIGHT SALES/PCT#2"</f>
        <v>FREIGHT SALES/PCT#2</v>
      </c>
    </row>
    <row r="1184" spans="1:9" x14ac:dyDescent="0.3">
      <c r="A1184" t="str">
        <f>""</f>
        <v/>
      </c>
      <c r="F1184" t="str">
        <f>"17083"</f>
        <v>17083</v>
      </c>
      <c r="G1184" t="str">
        <f>"FREIGHT SALES/PCT#2"</f>
        <v>FREIGHT SALES/PCT#2</v>
      </c>
      <c r="H1184">
        <v>9577.6</v>
      </c>
      <c r="I1184" t="str">
        <f>"FREIGHT SALES/PCT#2"</f>
        <v>FREIGHT SALES/PCT#2</v>
      </c>
    </row>
    <row r="1185" spans="1:9" x14ac:dyDescent="0.3">
      <c r="A1185" t="str">
        <f>"005560"</f>
        <v>005560</v>
      </c>
      <c r="B1185" t="s">
        <v>302</v>
      </c>
      <c r="C1185">
        <v>76932</v>
      </c>
      <c r="D1185" s="2">
        <v>50</v>
      </c>
      <c r="E1185" s="1">
        <v>43249</v>
      </c>
      <c r="F1185" t="str">
        <f>"201805231185"</f>
        <v>201805231185</v>
      </c>
      <c r="G1185" t="str">
        <f>"ADOPTION REFUND"</f>
        <v>ADOPTION REFUND</v>
      </c>
      <c r="H1185">
        <v>50</v>
      </c>
      <c r="I1185" t="str">
        <f>"ADOPTION REFUND"</f>
        <v>ADOPTION REFUND</v>
      </c>
    </row>
    <row r="1186" spans="1:9" x14ac:dyDescent="0.3">
      <c r="A1186" t="str">
        <f>"000754"</f>
        <v>000754</v>
      </c>
      <c r="B1186" t="s">
        <v>303</v>
      </c>
      <c r="C1186">
        <v>76697</v>
      </c>
      <c r="D1186" s="2">
        <v>4200</v>
      </c>
      <c r="E1186" s="1">
        <v>43234</v>
      </c>
      <c r="F1186" t="str">
        <f>"201805040777"</f>
        <v>201805040777</v>
      </c>
      <c r="G1186" t="str">
        <f>"HCP TOAD SURVEYS/APRIL 2018"</f>
        <v>HCP TOAD SURVEYS/APRIL 2018</v>
      </c>
      <c r="H1186">
        <v>4200</v>
      </c>
      <c r="I1186" t="str">
        <f>"HCP TOAD SURVEYS/APRIL 2018"</f>
        <v>HCP TOAD SURVEYS/APRIL 2018</v>
      </c>
    </row>
    <row r="1187" spans="1:9" x14ac:dyDescent="0.3">
      <c r="A1187" t="str">
        <f>"MU&amp;E"</f>
        <v>MU&amp;E</v>
      </c>
      <c r="B1187" t="s">
        <v>304</v>
      </c>
      <c r="C1187">
        <v>999999</v>
      </c>
      <c r="D1187" s="2">
        <v>1174.9000000000001</v>
      </c>
      <c r="E1187" s="1">
        <v>43235</v>
      </c>
      <c r="F1187" t="str">
        <f>"102529"</f>
        <v>102529</v>
      </c>
      <c r="G1187" t="str">
        <f>"INV 102529"</f>
        <v>INV 102529</v>
      </c>
      <c r="H1187">
        <v>25</v>
      </c>
      <c r="I1187" t="str">
        <f>"INV 102529"</f>
        <v>INV 102529</v>
      </c>
    </row>
    <row r="1188" spans="1:9" x14ac:dyDescent="0.3">
      <c r="A1188" t="str">
        <f>""</f>
        <v/>
      </c>
      <c r="F1188" t="str">
        <f>"105280"</f>
        <v>105280</v>
      </c>
      <c r="G1188" t="str">
        <f>"INV 105280"</f>
        <v>INV 105280</v>
      </c>
      <c r="H1188">
        <v>313.94</v>
      </c>
      <c r="I1188" t="str">
        <f>"INV 105280"</f>
        <v>INV 105280</v>
      </c>
    </row>
    <row r="1189" spans="1:9" x14ac:dyDescent="0.3">
      <c r="A1189" t="str">
        <f>""</f>
        <v/>
      </c>
      <c r="F1189" t="str">
        <f>"105670"</f>
        <v>105670</v>
      </c>
      <c r="G1189" t="str">
        <f>"INV 105670"</f>
        <v>INV 105670</v>
      </c>
      <c r="H1189">
        <v>12</v>
      </c>
      <c r="I1189" t="str">
        <f>"INV 105670"</f>
        <v>INV 105670</v>
      </c>
    </row>
    <row r="1190" spans="1:9" x14ac:dyDescent="0.3">
      <c r="A1190" t="str">
        <f>""</f>
        <v/>
      </c>
      <c r="F1190" t="str">
        <f>"106723"</f>
        <v>106723</v>
      </c>
      <c r="G1190" t="str">
        <f>"INV 106723"</f>
        <v>INV 106723</v>
      </c>
      <c r="H1190">
        <v>69.98</v>
      </c>
      <c r="I1190" t="str">
        <f>"INV 106723"</f>
        <v>INV 106723</v>
      </c>
    </row>
    <row r="1191" spans="1:9" x14ac:dyDescent="0.3">
      <c r="A1191" t="str">
        <f>""</f>
        <v/>
      </c>
      <c r="F1191" t="str">
        <f>"106914/106103"</f>
        <v>106914/106103</v>
      </c>
      <c r="G1191" t="str">
        <f>"INV 106914 / 106103"</f>
        <v>INV 106914 / 106103</v>
      </c>
      <c r="H1191">
        <v>337</v>
      </c>
      <c r="I1191" t="str">
        <f>"INV 106914"</f>
        <v>INV 106914</v>
      </c>
    </row>
    <row r="1192" spans="1:9" x14ac:dyDescent="0.3">
      <c r="A1192" t="str">
        <f>""</f>
        <v/>
      </c>
      <c r="F1192" t="str">
        <f>""</f>
        <v/>
      </c>
      <c r="G1192" t="str">
        <f>""</f>
        <v/>
      </c>
      <c r="I1192" t="str">
        <f>"INV 106103"</f>
        <v>INV 106103</v>
      </c>
    </row>
    <row r="1193" spans="1:9" x14ac:dyDescent="0.3">
      <c r="A1193" t="str">
        <f>""</f>
        <v/>
      </c>
      <c r="F1193" t="str">
        <f>"107722"</f>
        <v>107722</v>
      </c>
      <c r="G1193" t="str">
        <f>"INV 107722"</f>
        <v>INV 107722</v>
      </c>
      <c r="H1193">
        <v>20</v>
      </c>
      <c r="I1193" t="str">
        <f>"INV 107722"</f>
        <v>INV 107722</v>
      </c>
    </row>
    <row r="1194" spans="1:9" x14ac:dyDescent="0.3">
      <c r="A1194" t="str">
        <f>""</f>
        <v/>
      </c>
      <c r="F1194" t="str">
        <f>"107724"</f>
        <v>107724</v>
      </c>
      <c r="G1194" t="str">
        <f>"INV 107724"</f>
        <v>INV 107724</v>
      </c>
      <c r="H1194">
        <v>69.98</v>
      </c>
      <c r="I1194" t="str">
        <f>"INV 107724"</f>
        <v>INV 107724</v>
      </c>
    </row>
    <row r="1195" spans="1:9" x14ac:dyDescent="0.3">
      <c r="A1195" t="str">
        <f>""</f>
        <v/>
      </c>
      <c r="F1195" t="str">
        <f>"107725"</f>
        <v>107725</v>
      </c>
      <c r="G1195" t="str">
        <f>"INV 107725"</f>
        <v>INV 107725</v>
      </c>
      <c r="H1195">
        <v>20</v>
      </c>
      <c r="I1195" t="str">
        <f>"INV 107725"</f>
        <v>INV 107725</v>
      </c>
    </row>
    <row r="1196" spans="1:9" x14ac:dyDescent="0.3">
      <c r="A1196" t="str">
        <f>""</f>
        <v/>
      </c>
      <c r="F1196" t="str">
        <f>"107726"</f>
        <v>107726</v>
      </c>
      <c r="G1196" t="str">
        <f>"INV 107726"</f>
        <v>INV 107726</v>
      </c>
      <c r="H1196">
        <v>307</v>
      </c>
      <c r="I1196" t="str">
        <f>"INV 107726"</f>
        <v>INV 107726</v>
      </c>
    </row>
    <row r="1197" spans="1:9" x14ac:dyDescent="0.3">
      <c r="A1197" t="str">
        <f>"MU&amp;E"</f>
        <v>MU&amp;E</v>
      </c>
      <c r="B1197" t="s">
        <v>304</v>
      </c>
      <c r="C1197">
        <v>999999</v>
      </c>
      <c r="D1197" s="2">
        <v>1603.56</v>
      </c>
      <c r="E1197" s="1">
        <v>43250</v>
      </c>
      <c r="F1197" t="str">
        <f>"105994/109161"</f>
        <v>105994/109161</v>
      </c>
      <c r="G1197" t="str">
        <f>"INV 105994 / 109161"</f>
        <v>INV 105994 / 109161</v>
      </c>
      <c r="H1197">
        <v>289.5</v>
      </c>
      <c r="I1197" t="str">
        <f>"INV 105994"</f>
        <v>INV 105994</v>
      </c>
    </row>
    <row r="1198" spans="1:9" x14ac:dyDescent="0.3">
      <c r="A1198" t="str">
        <f>""</f>
        <v/>
      </c>
      <c r="F1198" t="str">
        <f>""</f>
        <v/>
      </c>
      <c r="G1198" t="str">
        <f>""</f>
        <v/>
      </c>
      <c r="I1198" t="str">
        <f>"INV  109161"</f>
        <v>INV  109161</v>
      </c>
    </row>
    <row r="1199" spans="1:9" x14ac:dyDescent="0.3">
      <c r="A1199" t="str">
        <f>""</f>
        <v/>
      </c>
      <c r="F1199" t="str">
        <f>""</f>
        <v/>
      </c>
      <c r="G1199" t="str">
        <f>""</f>
        <v/>
      </c>
      <c r="I1199" t="str">
        <f>"INV 109877"</f>
        <v>INV 109877</v>
      </c>
    </row>
    <row r="1200" spans="1:9" x14ac:dyDescent="0.3">
      <c r="A1200" t="str">
        <f>""</f>
        <v/>
      </c>
      <c r="F1200" t="str">
        <f>""</f>
        <v/>
      </c>
      <c r="G1200" t="str">
        <f>""</f>
        <v/>
      </c>
      <c r="I1200" t="str">
        <f>"INV 109877"</f>
        <v>INV 109877</v>
      </c>
    </row>
    <row r="1201" spans="1:9" x14ac:dyDescent="0.3">
      <c r="A1201" t="str">
        <f>""</f>
        <v/>
      </c>
      <c r="F1201" t="str">
        <f>"108744 &amp; 109875"</f>
        <v>108744 &amp; 109875</v>
      </c>
      <c r="G1201" t="str">
        <f>"INV 108744/109875"</f>
        <v>INV 108744/109875</v>
      </c>
      <c r="H1201">
        <v>111.45</v>
      </c>
      <c r="I1201" t="str">
        <f>"INV 108744"</f>
        <v>INV 108744</v>
      </c>
    </row>
    <row r="1202" spans="1:9" x14ac:dyDescent="0.3">
      <c r="A1202" t="str">
        <f>""</f>
        <v/>
      </c>
      <c r="F1202" t="str">
        <f>""</f>
        <v/>
      </c>
      <c r="G1202" t="str">
        <f>""</f>
        <v/>
      </c>
      <c r="I1202" t="str">
        <f>"INV 109875"</f>
        <v>INV 109875</v>
      </c>
    </row>
    <row r="1203" spans="1:9" x14ac:dyDescent="0.3">
      <c r="A1203" t="str">
        <f>""</f>
        <v/>
      </c>
      <c r="F1203" t="str">
        <f>"109876"</f>
        <v>109876</v>
      </c>
      <c r="G1203" t="str">
        <f>"INV 109876"</f>
        <v>INV 109876</v>
      </c>
      <c r="H1203">
        <v>153</v>
      </c>
      <c r="I1203" t="str">
        <f>"INV 109876"</f>
        <v>INV 109876</v>
      </c>
    </row>
    <row r="1204" spans="1:9" x14ac:dyDescent="0.3">
      <c r="A1204" t="str">
        <f>""</f>
        <v/>
      </c>
      <c r="F1204" t="str">
        <f>"109880"</f>
        <v>109880</v>
      </c>
      <c r="G1204" t="str">
        <f>"INV 109880"</f>
        <v>INV 109880</v>
      </c>
      <c r="H1204">
        <v>69.98</v>
      </c>
      <c r="I1204" t="str">
        <f>"INV 109880"</f>
        <v>INV 109880</v>
      </c>
    </row>
    <row r="1205" spans="1:9" x14ac:dyDescent="0.3">
      <c r="A1205" t="str">
        <f>""</f>
        <v/>
      </c>
      <c r="F1205" t="str">
        <f>"110265"</f>
        <v>110265</v>
      </c>
      <c r="G1205" t="str">
        <f>"INV 110265"</f>
        <v>INV 110265</v>
      </c>
      <c r="H1205">
        <v>979.63</v>
      </c>
      <c r="I1205" t="str">
        <f>"INV 110265"</f>
        <v>INV 110265</v>
      </c>
    </row>
    <row r="1206" spans="1:9" x14ac:dyDescent="0.3">
      <c r="A1206" t="str">
        <f t="shared" ref="A1206:A1237" si="9">"1"</f>
        <v>1</v>
      </c>
      <c r="B1206" t="s">
        <v>305</v>
      </c>
      <c r="C1206">
        <v>76451</v>
      </c>
      <c r="D1206" s="2">
        <v>102</v>
      </c>
      <c r="E1206" s="1">
        <v>43222</v>
      </c>
      <c r="F1206" t="str">
        <f>"201805020585"</f>
        <v>201805020585</v>
      </c>
      <c r="G1206" t="str">
        <f>"Miscell"</f>
        <v>Miscell</v>
      </c>
      <c r="H1206">
        <v>102</v>
      </c>
      <c r="I1206" t="str">
        <f>"Family Crisis Center"</f>
        <v>Family Crisis Center</v>
      </c>
    </row>
    <row r="1207" spans="1:9" x14ac:dyDescent="0.3">
      <c r="A1207" t="str">
        <f t="shared" si="9"/>
        <v>1</v>
      </c>
      <c r="B1207" t="s">
        <v>306</v>
      </c>
      <c r="C1207">
        <v>76452</v>
      </c>
      <c r="D1207" s="2">
        <v>150</v>
      </c>
      <c r="E1207" s="1">
        <v>43222</v>
      </c>
      <c r="F1207" t="str">
        <f>"201805020586"</f>
        <v>201805020586</v>
      </c>
      <c r="G1207" t="str">
        <f>"M"</f>
        <v>M</v>
      </c>
      <c r="H1207">
        <v>150</v>
      </c>
      <c r="I1207" t="str">
        <f>"Children's Advocacy Center"</f>
        <v>Children's Advocacy Center</v>
      </c>
    </row>
    <row r="1208" spans="1:9" x14ac:dyDescent="0.3">
      <c r="A1208" t="str">
        <f t="shared" si="9"/>
        <v>1</v>
      </c>
      <c r="B1208" t="s">
        <v>307</v>
      </c>
      <c r="C1208">
        <v>76453</v>
      </c>
      <c r="D1208" s="2">
        <v>72</v>
      </c>
      <c r="E1208" s="1">
        <v>43222</v>
      </c>
      <c r="F1208" t="str">
        <f>"201805020587"</f>
        <v>201805020587</v>
      </c>
      <c r="G1208" t="str">
        <f>"Mi"</f>
        <v>Mi</v>
      </c>
      <c r="H1208">
        <v>72</v>
      </c>
      <c r="I1208" t="str">
        <f>"Child Protective Services"</f>
        <v>Child Protective Services</v>
      </c>
    </row>
    <row r="1209" spans="1:9" x14ac:dyDescent="0.3">
      <c r="A1209" t="str">
        <f t="shared" si="9"/>
        <v>1</v>
      </c>
      <c r="B1209" t="s">
        <v>308</v>
      </c>
      <c r="C1209">
        <v>76454</v>
      </c>
      <c r="D1209" s="2">
        <v>170</v>
      </c>
      <c r="E1209" s="1">
        <v>43222</v>
      </c>
      <c r="F1209" t="str">
        <f>"201805020588"</f>
        <v>201805020588</v>
      </c>
      <c r="G1209" t="str">
        <f>""</f>
        <v/>
      </c>
      <c r="H1209">
        <v>170</v>
      </c>
      <c r="I1209" t="str">
        <f>"COURT APPOINTED SPECIAL ADVOCA"</f>
        <v>COURT APPOINTED SPECIAL ADVOCA</v>
      </c>
    </row>
    <row r="1210" spans="1:9" x14ac:dyDescent="0.3">
      <c r="A1210" t="str">
        <f t="shared" si="9"/>
        <v>1</v>
      </c>
      <c r="B1210" t="s">
        <v>309</v>
      </c>
      <c r="C1210">
        <v>76455</v>
      </c>
      <c r="D1210" s="2">
        <v>6</v>
      </c>
      <c r="E1210" s="1">
        <v>43222</v>
      </c>
      <c r="F1210" t="str">
        <f>"201805020589"</f>
        <v>201805020589</v>
      </c>
      <c r="G1210" t="str">
        <f>"Misc"</f>
        <v>Misc</v>
      </c>
      <c r="H1210">
        <v>6</v>
      </c>
      <c r="I1210" t="str">
        <f>"JENNIFER BRASHER VARGAS"</f>
        <v>JENNIFER BRASHER VARGAS</v>
      </c>
    </row>
    <row r="1211" spans="1:9" x14ac:dyDescent="0.3">
      <c r="A1211" t="str">
        <f t="shared" si="9"/>
        <v>1</v>
      </c>
      <c r="B1211" t="s">
        <v>310</v>
      </c>
      <c r="C1211">
        <v>76456</v>
      </c>
      <c r="D1211" s="2">
        <v>6</v>
      </c>
      <c r="E1211" s="1">
        <v>43222</v>
      </c>
      <c r="F1211" t="str">
        <f>"201805020590"</f>
        <v>201805020590</v>
      </c>
      <c r="G1211" t="str">
        <f>"Mi"</f>
        <v>Mi</v>
      </c>
      <c r="H1211">
        <v>6</v>
      </c>
      <c r="I1211" t="str">
        <f>"STEPHANIE DIANE MLYNARSKI"</f>
        <v>STEPHANIE DIANE MLYNARSKI</v>
      </c>
    </row>
    <row r="1212" spans="1:9" x14ac:dyDescent="0.3">
      <c r="A1212" t="str">
        <f t="shared" si="9"/>
        <v>1</v>
      </c>
      <c r="B1212" t="s">
        <v>311</v>
      </c>
      <c r="C1212">
        <v>76457</v>
      </c>
      <c r="D1212" s="2">
        <v>6</v>
      </c>
      <c r="E1212" s="1">
        <v>43222</v>
      </c>
      <c r="F1212" t="str">
        <f>"201805020591"</f>
        <v>201805020591</v>
      </c>
      <c r="G1212" t="str">
        <f>"Miscellan"</f>
        <v>Miscellan</v>
      </c>
      <c r="H1212">
        <v>6</v>
      </c>
      <c r="I1212" t="str">
        <f>"DYLAN ROSS COLLINS"</f>
        <v>DYLAN ROSS COLLINS</v>
      </c>
    </row>
    <row r="1213" spans="1:9" x14ac:dyDescent="0.3">
      <c r="A1213" t="str">
        <f t="shared" si="9"/>
        <v>1</v>
      </c>
      <c r="B1213" t="s">
        <v>312</v>
      </c>
      <c r="C1213">
        <v>76458</v>
      </c>
      <c r="D1213" s="2">
        <v>6</v>
      </c>
      <c r="E1213" s="1">
        <v>43222</v>
      </c>
      <c r="F1213" t="str">
        <f>"201805020592"</f>
        <v>201805020592</v>
      </c>
      <c r="G1213" t="str">
        <f>"Miscellaneo"</f>
        <v>Miscellaneo</v>
      </c>
      <c r="H1213">
        <v>6</v>
      </c>
      <c r="I1213" t="str">
        <f>"MARY ANN HERRERA"</f>
        <v>MARY ANN HERRERA</v>
      </c>
    </row>
    <row r="1214" spans="1:9" x14ac:dyDescent="0.3">
      <c r="A1214" t="str">
        <f t="shared" si="9"/>
        <v>1</v>
      </c>
      <c r="B1214" t="s">
        <v>313</v>
      </c>
      <c r="C1214">
        <v>76459</v>
      </c>
      <c r="D1214" s="2">
        <v>6</v>
      </c>
      <c r="E1214" s="1">
        <v>43222</v>
      </c>
      <c r="F1214" t="str">
        <f>"201805020593"</f>
        <v>201805020593</v>
      </c>
      <c r="G1214" t="str">
        <f>"Miscella"</f>
        <v>Miscella</v>
      </c>
      <c r="H1214">
        <v>6</v>
      </c>
      <c r="I1214" t="str">
        <f>"DAVID NEAL MCKENZIE"</f>
        <v>DAVID NEAL MCKENZIE</v>
      </c>
    </row>
    <row r="1215" spans="1:9" x14ac:dyDescent="0.3">
      <c r="A1215" t="str">
        <f t="shared" si="9"/>
        <v>1</v>
      </c>
      <c r="B1215" t="s">
        <v>314</v>
      </c>
      <c r="C1215">
        <v>76460</v>
      </c>
      <c r="D1215" s="2">
        <v>6</v>
      </c>
      <c r="E1215" s="1">
        <v>43222</v>
      </c>
      <c r="F1215" t="str">
        <f>"201805020594"</f>
        <v>201805020594</v>
      </c>
      <c r="G1215" t="str">
        <f>"Miscella"</f>
        <v>Miscella</v>
      </c>
      <c r="H1215">
        <v>6</v>
      </c>
      <c r="I1215" t="str">
        <f>"KAYLA MARIE WOFFORD"</f>
        <v>KAYLA MARIE WOFFORD</v>
      </c>
    </row>
    <row r="1216" spans="1:9" x14ac:dyDescent="0.3">
      <c r="A1216" t="str">
        <f t="shared" si="9"/>
        <v>1</v>
      </c>
      <c r="B1216" t="s">
        <v>315</v>
      </c>
      <c r="C1216">
        <v>76461</v>
      </c>
      <c r="D1216" s="2">
        <v>6</v>
      </c>
      <c r="E1216" s="1">
        <v>43222</v>
      </c>
      <c r="F1216" t="str">
        <f>"201805020595"</f>
        <v>201805020595</v>
      </c>
      <c r="G1216" t="str">
        <f>"Misc"</f>
        <v>Misc</v>
      </c>
      <c r="H1216">
        <v>6</v>
      </c>
      <c r="I1216" t="str">
        <f>"FRANCISCO NARIO SOLACHE"</f>
        <v>FRANCISCO NARIO SOLACHE</v>
      </c>
    </row>
    <row r="1217" spans="1:9" x14ac:dyDescent="0.3">
      <c r="A1217" t="str">
        <f t="shared" si="9"/>
        <v>1</v>
      </c>
      <c r="B1217" t="s">
        <v>316</v>
      </c>
      <c r="C1217">
        <v>76462</v>
      </c>
      <c r="D1217" s="2">
        <v>6</v>
      </c>
      <c r="E1217" s="1">
        <v>43222</v>
      </c>
      <c r="F1217" t="str">
        <f>"201805020596"</f>
        <v>201805020596</v>
      </c>
      <c r="G1217" t="str">
        <f>"Miscel"</f>
        <v>Miscel</v>
      </c>
      <c r="H1217">
        <v>6</v>
      </c>
      <c r="I1217" t="str">
        <f>"DAVID NATHAN ARRIZOLA"</f>
        <v>DAVID NATHAN ARRIZOLA</v>
      </c>
    </row>
    <row r="1218" spans="1:9" x14ac:dyDescent="0.3">
      <c r="A1218" t="str">
        <f t="shared" si="9"/>
        <v>1</v>
      </c>
      <c r="B1218" t="s">
        <v>317</v>
      </c>
      <c r="C1218">
        <v>76463</v>
      </c>
      <c r="D1218" s="2">
        <v>6</v>
      </c>
      <c r="E1218" s="1">
        <v>43222</v>
      </c>
      <c r="F1218" t="str">
        <f>"201805020597"</f>
        <v>201805020597</v>
      </c>
      <c r="G1218" t="str">
        <f>"Miscell"</f>
        <v>Miscell</v>
      </c>
      <c r="H1218">
        <v>6</v>
      </c>
      <c r="I1218" t="str">
        <f>"SUYAN ZYVETTE DAWSON"</f>
        <v>SUYAN ZYVETTE DAWSON</v>
      </c>
    </row>
    <row r="1219" spans="1:9" x14ac:dyDescent="0.3">
      <c r="A1219" t="str">
        <f t="shared" si="9"/>
        <v>1</v>
      </c>
      <c r="B1219" t="s">
        <v>318</v>
      </c>
      <c r="C1219">
        <v>76464</v>
      </c>
      <c r="D1219" s="2">
        <v>6</v>
      </c>
      <c r="E1219" s="1">
        <v>43222</v>
      </c>
      <c r="F1219" t="str">
        <f>"201805020598"</f>
        <v>201805020598</v>
      </c>
      <c r="G1219" t="str">
        <f>"Miscellane"</f>
        <v>Miscellane</v>
      </c>
      <c r="H1219">
        <v>6</v>
      </c>
      <c r="I1219" t="str">
        <f>"LINDA JOHNS HILES"</f>
        <v>LINDA JOHNS HILES</v>
      </c>
    </row>
    <row r="1220" spans="1:9" x14ac:dyDescent="0.3">
      <c r="A1220" t="str">
        <f t="shared" si="9"/>
        <v>1</v>
      </c>
      <c r="B1220" t="s">
        <v>319</v>
      </c>
      <c r="C1220">
        <v>76465</v>
      </c>
      <c r="D1220" s="2">
        <v>6</v>
      </c>
      <c r="E1220" s="1">
        <v>43222</v>
      </c>
      <c r="F1220" t="str">
        <f>"201805020599"</f>
        <v>201805020599</v>
      </c>
      <c r="G1220" t="str">
        <f>"Miscellaneous"</f>
        <v>Miscellaneous</v>
      </c>
      <c r="H1220">
        <v>6</v>
      </c>
      <c r="I1220" t="str">
        <f>"HENRY H SEILEY"</f>
        <v>HENRY H SEILEY</v>
      </c>
    </row>
    <row r="1221" spans="1:9" x14ac:dyDescent="0.3">
      <c r="A1221" t="str">
        <f t="shared" si="9"/>
        <v>1</v>
      </c>
      <c r="B1221" t="s">
        <v>320</v>
      </c>
      <c r="C1221">
        <v>76466</v>
      </c>
      <c r="D1221" s="2">
        <v>6</v>
      </c>
      <c r="E1221" s="1">
        <v>43222</v>
      </c>
      <c r="F1221" t="str">
        <f>"201805020600"</f>
        <v>201805020600</v>
      </c>
      <c r="G1221" t="str">
        <f>"Miscellan"</f>
        <v>Miscellan</v>
      </c>
      <c r="H1221">
        <v>6</v>
      </c>
      <c r="I1221" t="str">
        <f>"RONALD GENE MILLER"</f>
        <v>RONALD GENE MILLER</v>
      </c>
    </row>
    <row r="1222" spans="1:9" x14ac:dyDescent="0.3">
      <c r="A1222" t="str">
        <f t="shared" si="9"/>
        <v>1</v>
      </c>
      <c r="B1222" t="s">
        <v>321</v>
      </c>
      <c r="C1222">
        <v>76467</v>
      </c>
      <c r="D1222" s="2">
        <v>6</v>
      </c>
      <c r="E1222" s="1">
        <v>43222</v>
      </c>
      <c r="F1222" t="str">
        <f>"201805020601"</f>
        <v>201805020601</v>
      </c>
      <c r="G1222" t="str">
        <f>"Miscella"</f>
        <v>Miscella</v>
      </c>
      <c r="H1222">
        <v>6</v>
      </c>
      <c r="I1222" t="str">
        <f>"WAYNE LEE DUNGEY JR"</f>
        <v>WAYNE LEE DUNGEY JR</v>
      </c>
    </row>
    <row r="1223" spans="1:9" x14ac:dyDescent="0.3">
      <c r="A1223" t="str">
        <f t="shared" si="9"/>
        <v>1</v>
      </c>
      <c r="B1223" t="s">
        <v>322</v>
      </c>
      <c r="C1223">
        <v>76468</v>
      </c>
      <c r="D1223" s="2">
        <v>6</v>
      </c>
      <c r="E1223" s="1">
        <v>43222</v>
      </c>
      <c r="F1223" t="str">
        <f>"201805020602"</f>
        <v>201805020602</v>
      </c>
      <c r="G1223" t="str">
        <f>"Miscell"</f>
        <v>Miscell</v>
      </c>
      <c r="H1223">
        <v>6</v>
      </c>
      <c r="I1223" t="str">
        <f>"CLAY ROYAL BARKER SR"</f>
        <v>CLAY ROYAL BARKER SR</v>
      </c>
    </row>
    <row r="1224" spans="1:9" x14ac:dyDescent="0.3">
      <c r="A1224" t="str">
        <f t="shared" si="9"/>
        <v>1</v>
      </c>
      <c r="B1224" t="s">
        <v>323</v>
      </c>
      <c r="C1224">
        <v>76469</v>
      </c>
      <c r="D1224" s="2">
        <v>86</v>
      </c>
      <c r="E1224" s="1">
        <v>43222</v>
      </c>
      <c r="F1224" t="str">
        <f>"201805020603"</f>
        <v>201805020603</v>
      </c>
      <c r="G1224" t="str">
        <f>"Miscellaneo"</f>
        <v>Miscellaneo</v>
      </c>
      <c r="H1224">
        <v>86</v>
      </c>
      <c r="I1224" t="str">
        <f>"KERRI PAIGE WEST"</f>
        <v>KERRI PAIGE WEST</v>
      </c>
    </row>
    <row r="1225" spans="1:9" x14ac:dyDescent="0.3">
      <c r="A1225" t="str">
        <f t="shared" si="9"/>
        <v>1</v>
      </c>
      <c r="B1225" t="s">
        <v>324</v>
      </c>
      <c r="C1225">
        <v>76470</v>
      </c>
      <c r="D1225" s="2">
        <v>6</v>
      </c>
      <c r="E1225" s="1">
        <v>43222</v>
      </c>
      <c r="F1225" t="str">
        <f>"201805020604"</f>
        <v>201805020604</v>
      </c>
      <c r="G1225" t="str">
        <f>"Miscellaneo"</f>
        <v>Miscellaneo</v>
      </c>
      <c r="H1225">
        <v>6</v>
      </c>
      <c r="I1225" t="str">
        <f>"DUSTIN RAY BLAIR"</f>
        <v>DUSTIN RAY BLAIR</v>
      </c>
    </row>
    <row r="1226" spans="1:9" x14ac:dyDescent="0.3">
      <c r="A1226" t="str">
        <f t="shared" si="9"/>
        <v>1</v>
      </c>
      <c r="B1226" t="s">
        <v>325</v>
      </c>
      <c r="C1226">
        <v>76471</v>
      </c>
      <c r="D1226" s="2">
        <v>6</v>
      </c>
      <c r="E1226" s="1">
        <v>43222</v>
      </c>
      <c r="F1226" t="str">
        <f>"201805020605"</f>
        <v>201805020605</v>
      </c>
      <c r="G1226" t="str">
        <f>""</f>
        <v/>
      </c>
      <c r="H1226">
        <v>6</v>
      </c>
      <c r="I1226" t="str">
        <f>"KENNETH LELAND ANDERSON III"</f>
        <v>KENNETH LELAND ANDERSON III</v>
      </c>
    </row>
    <row r="1227" spans="1:9" x14ac:dyDescent="0.3">
      <c r="A1227" t="str">
        <f t="shared" si="9"/>
        <v>1</v>
      </c>
      <c r="B1227" t="s">
        <v>326</v>
      </c>
      <c r="C1227">
        <v>76472</v>
      </c>
      <c r="D1227" s="2">
        <v>6</v>
      </c>
      <c r="E1227" s="1">
        <v>43222</v>
      </c>
      <c r="F1227" t="str">
        <f>"201805020606"</f>
        <v>201805020606</v>
      </c>
      <c r="G1227" t="str">
        <f>"Miscellaneo"</f>
        <v>Miscellaneo</v>
      </c>
      <c r="H1227">
        <v>6</v>
      </c>
      <c r="I1227" t="str">
        <f>"TYLER WADE SHARP"</f>
        <v>TYLER WADE SHARP</v>
      </c>
    </row>
    <row r="1228" spans="1:9" x14ac:dyDescent="0.3">
      <c r="A1228" t="str">
        <f t="shared" si="9"/>
        <v>1</v>
      </c>
      <c r="B1228" t="s">
        <v>327</v>
      </c>
      <c r="C1228">
        <v>76473</v>
      </c>
      <c r="D1228" s="2">
        <v>6</v>
      </c>
      <c r="E1228" s="1">
        <v>43222</v>
      </c>
      <c r="F1228" t="str">
        <f>"201805020607"</f>
        <v>201805020607</v>
      </c>
      <c r="G1228" t="str">
        <f>"Miscel"</f>
        <v>Miscel</v>
      </c>
      <c r="H1228">
        <v>6</v>
      </c>
      <c r="I1228" t="str">
        <f>"RONNIE WAYNE HARDI JR"</f>
        <v>RONNIE WAYNE HARDI JR</v>
      </c>
    </row>
    <row r="1229" spans="1:9" x14ac:dyDescent="0.3">
      <c r="A1229" t="str">
        <f t="shared" si="9"/>
        <v>1</v>
      </c>
      <c r="B1229" t="s">
        <v>328</v>
      </c>
      <c r="C1229">
        <v>76474</v>
      </c>
      <c r="D1229" s="2">
        <v>6</v>
      </c>
      <c r="E1229" s="1">
        <v>43222</v>
      </c>
      <c r="F1229" t="str">
        <f>"201805020608"</f>
        <v>201805020608</v>
      </c>
      <c r="G1229" t="str">
        <f>"Misce"</f>
        <v>Misce</v>
      </c>
      <c r="H1229">
        <v>6</v>
      </c>
      <c r="I1229" t="str">
        <f>"ADAM MICHAEL ROBERTSON"</f>
        <v>ADAM MICHAEL ROBERTSON</v>
      </c>
    </row>
    <row r="1230" spans="1:9" x14ac:dyDescent="0.3">
      <c r="A1230" t="str">
        <f t="shared" si="9"/>
        <v>1</v>
      </c>
      <c r="B1230" t="s">
        <v>329</v>
      </c>
      <c r="C1230">
        <v>76475</v>
      </c>
      <c r="D1230" s="2">
        <v>6</v>
      </c>
      <c r="E1230" s="1">
        <v>43222</v>
      </c>
      <c r="F1230" t="str">
        <f>"201805020609"</f>
        <v>201805020609</v>
      </c>
      <c r="G1230" t="str">
        <f>"Miscellan"</f>
        <v>Miscellan</v>
      </c>
      <c r="H1230">
        <v>6</v>
      </c>
      <c r="I1230" t="str">
        <f>"WALTER JAMES SNEED"</f>
        <v>WALTER JAMES SNEED</v>
      </c>
    </row>
    <row r="1231" spans="1:9" x14ac:dyDescent="0.3">
      <c r="A1231" t="str">
        <f t="shared" si="9"/>
        <v>1</v>
      </c>
      <c r="B1231" t="s">
        <v>330</v>
      </c>
      <c r="C1231">
        <v>76476</v>
      </c>
      <c r="D1231" s="2">
        <v>6</v>
      </c>
      <c r="E1231" s="1">
        <v>43222</v>
      </c>
      <c r="F1231" t="str">
        <f>"201805020610"</f>
        <v>201805020610</v>
      </c>
      <c r="G1231" t="str">
        <f>"Miscella"</f>
        <v>Miscella</v>
      </c>
      <c r="H1231">
        <v>6</v>
      </c>
      <c r="I1231" t="str">
        <f>"ANGELA LARAE POWERS"</f>
        <v>ANGELA LARAE POWERS</v>
      </c>
    </row>
    <row r="1232" spans="1:9" x14ac:dyDescent="0.3">
      <c r="A1232" t="str">
        <f t="shared" si="9"/>
        <v>1</v>
      </c>
      <c r="B1232" t="s">
        <v>331</v>
      </c>
      <c r="C1232">
        <v>76477</v>
      </c>
      <c r="D1232" s="2">
        <v>6</v>
      </c>
      <c r="E1232" s="1">
        <v>43222</v>
      </c>
      <c r="F1232" t="str">
        <f>"201805020611"</f>
        <v>201805020611</v>
      </c>
      <c r="G1232" t="str">
        <f>"Miscellaneou"</f>
        <v>Miscellaneou</v>
      </c>
      <c r="H1232">
        <v>6</v>
      </c>
      <c r="I1232" t="str">
        <f>"MONTY JOE BLACK"</f>
        <v>MONTY JOE BLACK</v>
      </c>
    </row>
    <row r="1233" spans="1:9" x14ac:dyDescent="0.3">
      <c r="A1233" t="str">
        <f t="shared" si="9"/>
        <v>1</v>
      </c>
      <c r="B1233" t="s">
        <v>332</v>
      </c>
      <c r="C1233">
        <v>76478</v>
      </c>
      <c r="D1233" s="2">
        <v>6</v>
      </c>
      <c r="E1233" s="1">
        <v>43222</v>
      </c>
      <c r="F1233" t="str">
        <f>"201805020612"</f>
        <v>201805020612</v>
      </c>
      <c r="G1233" t="str">
        <f>"Miscellane"</f>
        <v>Miscellane</v>
      </c>
      <c r="H1233">
        <v>6</v>
      </c>
      <c r="I1233" t="str">
        <f>"MICHAEL C OCONNOR"</f>
        <v>MICHAEL C OCONNOR</v>
      </c>
    </row>
    <row r="1234" spans="1:9" x14ac:dyDescent="0.3">
      <c r="A1234" t="str">
        <f t="shared" si="9"/>
        <v>1</v>
      </c>
      <c r="B1234" t="s">
        <v>333</v>
      </c>
      <c r="C1234">
        <v>76479</v>
      </c>
      <c r="D1234" s="2">
        <v>6</v>
      </c>
      <c r="E1234" s="1">
        <v>43222</v>
      </c>
      <c r="F1234" t="str">
        <f>"201805020613"</f>
        <v>201805020613</v>
      </c>
      <c r="G1234" t="str">
        <f>"Misc"</f>
        <v>Misc</v>
      </c>
      <c r="H1234">
        <v>6</v>
      </c>
      <c r="I1234" t="str">
        <f>"LESLIE LAUREN BLACKFORD"</f>
        <v>LESLIE LAUREN BLACKFORD</v>
      </c>
    </row>
    <row r="1235" spans="1:9" x14ac:dyDescent="0.3">
      <c r="A1235" t="str">
        <f t="shared" si="9"/>
        <v>1</v>
      </c>
      <c r="B1235" t="s">
        <v>334</v>
      </c>
      <c r="C1235">
        <v>76480</v>
      </c>
      <c r="D1235" s="2">
        <v>6</v>
      </c>
      <c r="E1235" s="1">
        <v>43222</v>
      </c>
      <c r="F1235" t="str">
        <f>"201805020614"</f>
        <v>201805020614</v>
      </c>
      <c r="G1235" t="str">
        <f>"Miscella"</f>
        <v>Miscella</v>
      </c>
      <c r="H1235">
        <v>6</v>
      </c>
      <c r="I1235" t="str">
        <f>"BARBARA ELAINE HILL"</f>
        <v>BARBARA ELAINE HILL</v>
      </c>
    </row>
    <row r="1236" spans="1:9" x14ac:dyDescent="0.3">
      <c r="A1236" t="str">
        <f t="shared" si="9"/>
        <v>1</v>
      </c>
      <c r="B1236" t="s">
        <v>335</v>
      </c>
      <c r="C1236">
        <v>76481</v>
      </c>
      <c r="D1236" s="2">
        <v>6</v>
      </c>
      <c r="E1236" s="1">
        <v>43222</v>
      </c>
      <c r="F1236" t="str">
        <f>"201805020615"</f>
        <v>201805020615</v>
      </c>
      <c r="G1236" t="str">
        <f>"Miscel"</f>
        <v>Miscel</v>
      </c>
      <c r="H1236">
        <v>6</v>
      </c>
      <c r="I1236" t="str">
        <f>"BETTY MCDONALD WARREN"</f>
        <v>BETTY MCDONALD WARREN</v>
      </c>
    </row>
    <row r="1237" spans="1:9" x14ac:dyDescent="0.3">
      <c r="A1237" t="str">
        <f t="shared" si="9"/>
        <v>1</v>
      </c>
      <c r="B1237" t="s">
        <v>336</v>
      </c>
      <c r="C1237">
        <v>76482</v>
      </c>
      <c r="D1237" s="2">
        <v>6</v>
      </c>
      <c r="E1237" s="1">
        <v>43222</v>
      </c>
      <c r="F1237" t="str">
        <f>"201805020616"</f>
        <v>201805020616</v>
      </c>
      <c r="G1237" t="str">
        <f>"Miscellane"</f>
        <v>Miscellane</v>
      </c>
      <c r="H1237">
        <v>6</v>
      </c>
      <c r="I1237" t="str">
        <f>"RYAN KLARK WILSEY"</f>
        <v>RYAN KLARK WILSEY</v>
      </c>
    </row>
    <row r="1238" spans="1:9" x14ac:dyDescent="0.3">
      <c r="A1238" t="str">
        <f t="shared" ref="A1238:A1269" si="10">"1"</f>
        <v>1</v>
      </c>
      <c r="B1238" t="s">
        <v>337</v>
      </c>
      <c r="C1238">
        <v>76483</v>
      </c>
      <c r="D1238" s="2">
        <v>6</v>
      </c>
      <c r="E1238" s="1">
        <v>43222</v>
      </c>
      <c r="F1238" t="str">
        <f>"201805020617"</f>
        <v>201805020617</v>
      </c>
      <c r="G1238" t="str">
        <f>"Miscellan"</f>
        <v>Miscellan</v>
      </c>
      <c r="H1238">
        <v>6</v>
      </c>
      <c r="I1238" t="str">
        <f>"KEITH LEVOY DENSON"</f>
        <v>KEITH LEVOY DENSON</v>
      </c>
    </row>
    <row r="1239" spans="1:9" x14ac:dyDescent="0.3">
      <c r="A1239" t="str">
        <f t="shared" si="10"/>
        <v>1</v>
      </c>
      <c r="B1239" t="s">
        <v>338</v>
      </c>
      <c r="C1239">
        <v>76484</v>
      </c>
      <c r="D1239" s="2">
        <v>6</v>
      </c>
      <c r="E1239" s="1">
        <v>43222</v>
      </c>
      <c r="F1239" t="str">
        <f>"201805020618"</f>
        <v>201805020618</v>
      </c>
      <c r="G1239" t="str">
        <f>"M"</f>
        <v>M</v>
      </c>
      <c r="H1239">
        <v>6</v>
      </c>
      <c r="I1239" t="str">
        <f>"SAMANTHA ROCHELLE STRATTON"</f>
        <v>SAMANTHA ROCHELLE STRATTON</v>
      </c>
    </row>
    <row r="1240" spans="1:9" x14ac:dyDescent="0.3">
      <c r="A1240" t="str">
        <f t="shared" si="10"/>
        <v>1</v>
      </c>
      <c r="B1240" t="s">
        <v>339</v>
      </c>
      <c r="C1240">
        <v>76485</v>
      </c>
      <c r="D1240" s="2">
        <v>6</v>
      </c>
      <c r="E1240" s="1">
        <v>43222</v>
      </c>
      <c r="F1240" t="str">
        <f>"201805020619"</f>
        <v>201805020619</v>
      </c>
      <c r="G1240" t="str">
        <f>"Miscellan"</f>
        <v>Miscellan</v>
      </c>
      <c r="H1240">
        <v>6</v>
      </c>
      <c r="I1240" t="str">
        <f>"LESSLIE ANN MARTIN"</f>
        <v>LESSLIE ANN MARTIN</v>
      </c>
    </row>
    <row r="1241" spans="1:9" x14ac:dyDescent="0.3">
      <c r="A1241" t="str">
        <f t="shared" si="10"/>
        <v>1</v>
      </c>
      <c r="B1241" t="s">
        <v>340</v>
      </c>
      <c r="C1241">
        <v>76486</v>
      </c>
      <c r="D1241" s="2">
        <v>6</v>
      </c>
      <c r="E1241" s="1">
        <v>43222</v>
      </c>
      <c r="F1241" t="str">
        <f>"201805020620"</f>
        <v>201805020620</v>
      </c>
      <c r="G1241" t="str">
        <f>"Miscellaneous"</f>
        <v>Miscellaneous</v>
      </c>
      <c r="H1241">
        <v>6</v>
      </c>
      <c r="I1241" t="str">
        <f>"BRIAN DIAZ"</f>
        <v>BRIAN DIAZ</v>
      </c>
    </row>
    <row r="1242" spans="1:9" x14ac:dyDescent="0.3">
      <c r="A1242" t="str">
        <f t="shared" si="10"/>
        <v>1</v>
      </c>
      <c r="B1242" t="s">
        <v>341</v>
      </c>
      <c r="C1242">
        <v>76487</v>
      </c>
      <c r="D1242" s="2">
        <v>86</v>
      </c>
      <c r="E1242" s="1">
        <v>43222</v>
      </c>
      <c r="F1242" t="str">
        <f>"201805020621"</f>
        <v>201805020621</v>
      </c>
      <c r="G1242" t="str">
        <f>"Miscella"</f>
        <v>Miscella</v>
      </c>
      <c r="H1242">
        <v>86</v>
      </c>
      <c r="I1242" t="str">
        <f>"KIMBERLY RAYE HANLY"</f>
        <v>KIMBERLY RAYE HANLY</v>
      </c>
    </row>
    <row r="1243" spans="1:9" x14ac:dyDescent="0.3">
      <c r="A1243" t="str">
        <f t="shared" si="10"/>
        <v>1</v>
      </c>
      <c r="B1243" t="s">
        <v>342</v>
      </c>
      <c r="C1243">
        <v>76488</v>
      </c>
      <c r="D1243" s="2">
        <v>6</v>
      </c>
      <c r="E1243" s="1">
        <v>43222</v>
      </c>
      <c r="F1243" t="str">
        <f>"201805020622"</f>
        <v>201805020622</v>
      </c>
      <c r="G1243" t="str">
        <f>"Misc"</f>
        <v>Misc</v>
      </c>
      <c r="H1243">
        <v>6</v>
      </c>
      <c r="I1243" t="str">
        <f>"LINDA SUE HINKLE-MILLER"</f>
        <v>LINDA SUE HINKLE-MILLER</v>
      </c>
    </row>
    <row r="1244" spans="1:9" x14ac:dyDescent="0.3">
      <c r="A1244" t="str">
        <f t="shared" si="10"/>
        <v>1</v>
      </c>
      <c r="B1244" t="s">
        <v>343</v>
      </c>
      <c r="C1244">
        <v>76489</v>
      </c>
      <c r="D1244" s="2">
        <v>6</v>
      </c>
      <c r="E1244" s="1">
        <v>43222</v>
      </c>
      <c r="F1244" t="str">
        <f>"201805020623"</f>
        <v>201805020623</v>
      </c>
      <c r="G1244" t="str">
        <f>"Miscellane"</f>
        <v>Miscellane</v>
      </c>
      <c r="H1244">
        <v>6</v>
      </c>
      <c r="I1244" t="str">
        <f>"KEVIN RYAN LAGALY"</f>
        <v>KEVIN RYAN LAGALY</v>
      </c>
    </row>
    <row r="1245" spans="1:9" x14ac:dyDescent="0.3">
      <c r="A1245" t="str">
        <f t="shared" si="10"/>
        <v>1</v>
      </c>
      <c r="B1245" t="s">
        <v>344</v>
      </c>
      <c r="C1245">
        <v>76490</v>
      </c>
      <c r="D1245" s="2">
        <v>86</v>
      </c>
      <c r="E1245" s="1">
        <v>43222</v>
      </c>
      <c r="F1245" t="str">
        <f>"201805020624"</f>
        <v>201805020624</v>
      </c>
      <c r="G1245" t="str">
        <f>"Miscellan"</f>
        <v>Miscellan</v>
      </c>
      <c r="H1245">
        <v>86</v>
      </c>
      <c r="I1245" t="str">
        <f>"BROCK ALLAN ROTHER"</f>
        <v>BROCK ALLAN ROTHER</v>
      </c>
    </row>
    <row r="1246" spans="1:9" x14ac:dyDescent="0.3">
      <c r="A1246" t="str">
        <f t="shared" si="10"/>
        <v>1</v>
      </c>
      <c r="B1246" t="s">
        <v>345</v>
      </c>
      <c r="C1246">
        <v>76491</v>
      </c>
      <c r="D1246" s="2">
        <v>6</v>
      </c>
      <c r="E1246" s="1">
        <v>43222</v>
      </c>
      <c r="F1246" t="str">
        <f>"201805020625"</f>
        <v>201805020625</v>
      </c>
      <c r="G1246" t="str">
        <f>"Miscellane"</f>
        <v>Miscellane</v>
      </c>
      <c r="H1246">
        <v>6</v>
      </c>
      <c r="I1246" t="str">
        <f>"JOHN ALLEN GOERTZ"</f>
        <v>JOHN ALLEN GOERTZ</v>
      </c>
    </row>
    <row r="1247" spans="1:9" x14ac:dyDescent="0.3">
      <c r="A1247" t="str">
        <f t="shared" si="10"/>
        <v>1</v>
      </c>
      <c r="B1247" t="s">
        <v>346</v>
      </c>
      <c r="C1247">
        <v>76492</v>
      </c>
      <c r="D1247" s="2">
        <v>6</v>
      </c>
      <c r="E1247" s="1">
        <v>43222</v>
      </c>
      <c r="F1247" t="str">
        <f>"201805020626"</f>
        <v>201805020626</v>
      </c>
      <c r="G1247" t="str">
        <f>"Miscel"</f>
        <v>Miscel</v>
      </c>
      <c r="H1247">
        <v>6</v>
      </c>
      <c r="I1247" t="str">
        <f>"ADELINE ALLEN GILLIAM"</f>
        <v>ADELINE ALLEN GILLIAM</v>
      </c>
    </row>
    <row r="1248" spans="1:9" x14ac:dyDescent="0.3">
      <c r="A1248" t="str">
        <f t="shared" si="10"/>
        <v>1</v>
      </c>
      <c r="B1248" t="s">
        <v>347</v>
      </c>
      <c r="C1248">
        <v>76493</v>
      </c>
      <c r="D1248" s="2">
        <v>6</v>
      </c>
      <c r="E1248" s="1">
        <v>43222</v>
      </c>
      <c r="F1248" t="str">
        <f>"201805020627"</f>
        <v>201805020627</v>
      </c>
      <c r="G1248" t="str">
        <f>"Miscellaneo"</f>
        <v>Miscellaneo</v>
      </c>
      <c r="H1248">
        <v>6</v>
      </c>
      <c r="I1248" t="str">
        <f>"DEAN LOUIS ALLUM"</f>
        <v>DEAN LOUIS ALLUM</v>
      </c>
    </row>
    <row r="1249" spans="1:9" x14ac:dyDescent="0.3">
      <c r="A1249" t="str">
        <f t="shared" si="10"/>
        <v>1</v>
      </c>
      <c r="B1249" t="s">
        <v>348</v>
      </c>
      <c r="C1249">
        <v>76494</v>
      </c>
      <c r="D1249" s="2">
        <v>86</v>
      </c>
      <c r="E1249" s="1">
        <v>43222</v>
      </c>
      <c r="F1249" t="str">
        <f>"201805020628"</f>
        <v>201805020628</v>
      </c>
      <c r="G1249" t="str">
        <f>"Miscellane"</f>
        <v>Miscellane</v>
      </c>
      <c r="H1249">
        <v>86</v>
      </c>
      <c r="I1249" t="str">
        <f>"JAVIER A GUERRERO"</f>
        <v>JAVIER A GUERRERO</v>
      </c>
    </row>
    <row r="1250" spans="1:9" x14ac:dyDescent="0.3">
      <c r="A1250" t="str">
        <f t="shared" si="10"/>
        <v>1</v>
      </c>
      <c r="B1250" t="s">
        <v>349</v>
      </c>
      <c r="C1250">
        <v>76495</v>
      </c>
      <c r="D1250" s="2">
        <v>6</v>
      </c>
      <c r="E1250" s="1">
        <v>43222</v>
      </c>
      <c r="F1250" t="str">
        <f>"201805020629"</f>
        <v>201805020629</v>
      </c>
      <c r="G1250" t="str">
        <f>"Miscellaneous"</f>
        <v>Miscellaneous</v>
      </c>
      <c r="H1250">
        <v>6</v>
      </c>
      <c r="I1250" t="str">
        <f>"ADILENE MACEDO"</f>
        <v>ADILENE MACEDO</v>
      </c>
    </row>
    <row r="1251" spans="1:9" x14ac:dyDescent="0.3">
      <c r="A1251" t="str">
        <f t="shared" si="10"/>
        <v>1</v>
      </c>
      <c r="B1251" t="s">
        <v>350</v>
      </c>
      <c r="C1251">
        <v>76496</v>
      </c>
      <c r="D1251" s="2">
        <v>6</v>
      </c>
      <c r="E1251" s="1">
        <v>43222</v>
      </c>
      <c r="F1251" t="str">
        <f>"201805020630"</f>
        <v>201805020630</v>
      </c>
      <c r="G1251" t="str">
        <f>"Miscella"</f>
        <v>Miscella</v>
      </c>
      <c r="H1251">
        <v>6</v>
      </c>
      <c r="I1251" t="str">
        <f>"ROBERT ALLEN COOPER"</f>
        <v>ROBERT ALLEN COOPER</v>
      </c>
    </row>
    <row r="1252" spans="1:9" x14ac:dyDescent="0.3">
      <c r="A1252" t="str">
        <f t="shared" si="10"/>
        <v>1</v>
      </c>
      <c r="B1252" t="s">
        <v>351</v>
      </c>
      <c r="C1252">
        <v>76497</v>
      </c>
      <c r="D1252" s="2">
        <v>86</v>
      </c>
      <c r="E1252" s="1">
        <v>43222</v>
      </c>
      <c r="F1252" t="str">
        <f>"201805020631"</f>
        <v>201805020631</v>
      </c>
      <c r="G1252" t="str">
        <f>"Miscellane"</f>
        <v>Miscellane</v>
      </c>
      <c r="H1252">
        <v>86</v>
      </c>
      <c r="I1252" t="str">
        <f>"STACY LEA JOHNSON"</f>
        <v>STACY LEA JOHNSON</v>
      </c>
    </row>
    <row r="1253" spans="1:9" x14ac:dyDescent="0.3">
      <c r="A1253" t="str">
        <f t="shared" si="10"/>
        <v>1</v>
      </c>
      <c r="B1253" t="s">
        <v>352</v>
      </c>
      <c r="C1253">
        <v>76498</v>
      </c>
      <c r="D1253" s="2">
        <v>86</v>
      </c>
      <c r="E1253" s="1">
        <v>43222</v>
      </c>
      <c r="F1253" t="str">
        <f>"201805020632"</f>
        <v>201805020632</v>
      </c>
      <c r="G1253" t="str">
        <f>"Miscell"</f>
        <v>Miscell</v>
      </c>
      <c r="H1253">
        <v>86</v>
      </c>
      <c r="I1253" t="str">
        <f>"JEFFERY BLAKE ATKINS"</f>
        <v>JEFFERY BLAKE ATKINS</v>
      </c>
    </row>
    <row r="1254" spans="1:9" x14ac:dyDescent="0.3">
      <c r="A1254" t="str">
        <f t="shared" si="10"/>
        <v>1</v>
      </c>
      <c r="B1254" t="s">
        <v>353</v>
      </c>
      <c r="C1254">
        <v>76499</v>
      </c>
      <c r="D1254" s="2">
        <v>86</v>
      </c>
      <c r="E1254" s="1">
        <v>43222</v>
      </c>
      <c r="F1254" t="str">
        <f>"201805020633"</f>
        <v>201805020633</v>
      </c>
      <c r="G1254" t="str">
        <f>"Miscel"</f>
        <v>Miscel</v>
      </c>
      <c r="H1254">
        <v>86</v>
      </c>
      <c r="I1254" t="str">
        <f>"JAVIER MONSE TIJERINA"</f>
        <v>JAVIER MONSE TIJERINA</v>
      </c>
    </row>
    <row r="1255" spans="1:9" x14ac:dyDescent="0.3">
      <c r="A1255" t="str">
        <f t="shared" si="10"/>
        <v>1</v>
      </c>
      <c r="B1255" t="s">
        <v>354</v>
      </c>
      <c r="C1255">
        <v>76500</v>
      </c>
      <c r="D1255" s="2">
        <v>86</v>
      </c>
      <c r="E1255" s="1">
        <v>43222</v>
      </c>
      <c r="F1255" t="str">
        <f>"201805020634"</f>
        <v>201805020634</v>
      </c>
      <c r="G1255" t="str">
        <f>""</f>
        <v/>
      </c>
      <c r="H1255">
        <v>86</v>
      </c>
      <c r="I1255" t="str">
        <f>"JONATHAN ALEXIS MONDRAGON CRUZ"</f>
        <v>JONATHAN ALEXIS MONDRAGON CRUZ</v>
      </c>
    </row>
    <row r="1256" spans="1:9" x14ac:dyDescent="0.3">
      <c r="A1256" t="str">
        <f t="shared" si="10"/>
        <v>1</v>
      </c>
      <c r="B1256" t="s">
        <v>355</v>
      </c>
      <c r="C1256">
        <v>76501</v>
      </c>
      <c r="D1256" s="2">
        <v>86</v>
      </c>
      <c r="E1256" s="1">
        <v>43222</v>
      </c>
      <c r="F1256" t="str">
        <f>"201805020635"</f>
        <v>201805020635</v>
      </c>
      <c r="G1256" t="str">
        <f>"Miscell"</f>
        <v>Miscell</v>
      </c>
      <c r="H1256">
        <v>86</v>
      </c>
      <c r="I1256" t="str">
        <f>"MARISSA NICHOLE DIAZ"</f>
        <v>MARISSA NICHOLE DIAZ</v>
      </c>
    </row>
    <row r="1257" spans="1:9" x14ac:dyDescent="0.3">
      <c r="A1257" t="str">
        <f t="shared" si="10"/>
        <v>1</v>
      </c>
      <c r="B1257" t="s">
        <v>356</v>
      </c>
      <c r="C1257">
        <v>76502</v>
      </c>
      <c r="D1257" s="2">
        <v>6</v>
      </c>
      <c r="E1257" s="1">
        <v>43222</v>
      </c>
      <c r="F1257" t="str">
        <f>"201805020636"</f>
        <v>201805020636</v>
      </c>
      <c r="G1257" t="str">
        <f>"Miscellaneous"</f>
        <v>Miscellaneous</v>
      </c>
      <c r="H1257">
        <v>6</v>
      </c>
      <c r="I1257" t="str">
        <f>"GAIL ANN DAVID"</f>
        <v>GAIL ANN DAVID</v>
      </c>
    </row>
    <row r="1258" spans="1:9" x14ac:dyDescent="0.3">
      <c r="A1258" t="str">
        <f t="shared" si="10"/>
        <v>1</v>
      </c>
      <c r="B1258" t="s">
        <v>357</v>
      </c>
      <c r="C1258">
        <v>76503</v>
      </c>
      <c r="D1258" s="2">
        <v>86</v>
      </c>
      <c r="E1258" s="1">
        <v>43222</v>
      </c>
      <c r="F1258" t="str">
        <f>"201805020637"</f>
        <v>201805020637</v>
      </c>
      <c r="G1258" t="str">
        <f>"Miscella"</f>
        <v>Miscella</v>
      </c>
      <c r="H1258">
        <v>86</v>
      </c>
      <c r="I1258" t="str">
        <f>"JACOB ADAM JURKOVAC"</f>
        <v>JACOB ADAM JURKOVAC</v>
      </c>
    </row>
    <row r="1259" spans="1:9" x14ac:dyDescent="0.3">
      <c r="A1259" t="str">
        <f t="shared" si="10"/>
        <v>1</v>
      </c>
      <c r="B1259" t="s">
        <v>358</v>
      </c>
      <c r="C1259">
        <v>76504</v>
      </c>
      <c r="D1259" s="2">
        <v>6</v>
      </c>
      <c r="E1259" s="1">
        <v>43222</v>
      </c>
      <c r="F1259" t="str">
        <f>"201805020638"</f>
        <v>201805020638</v>
      </c>
      <c r="G1259" t="str">
        <f>"Miscel"</f>
        <v>Miscel</v>
      </c>
      <c r="H1259">
        <v>6</v>
      </c>
      <c r="I1259" t="str">
        <f>"JEANNIE COLLINS WEIGL"</f>
        <v>JEANNIE COLLINS WEIGL</v>
      </c>
    </row>
    <row r="1260" spans="1:9" x14ac:dyDescent="0.3">
      <c r="A1260" t="str">
        <f t="shared" si="10"/>
        <v>1</v>
      </c>
      <c r="B1260" t="s">
        <v>359</v>
      </c>
      <c r="C1260">
        <v>76505</v>
      </c>
      <c r="D1260" s="2">
        <v>6</v>
      </c>
      <c r="E1260" s="1">
        <v>43222</v>
      </c>
      <c r="F1260" t="str">
        <f>"201805020639"</f>
        <v>201805020639</v>
      </c>
      <c r="G1260" t="str">
        <f>"Miscellane"</f>
        <v>Miscellane</v>
      </c>
      <c r="H1260">
        <v>6</v>
      </c>
      <c r="I1260" t="str">
        <f>"GLORIA ANN TORRES"</f>
        <v>GLORIA ANN TORRES</v>
      </c>
    </row>
    <row r="1261" spans="1:9" x14ac:dyDescent="0.3">
      <c r="A1261" t="str">
        <f t="shared" si="10"/>
        <v>1</v>
      </c>
      <c r="B1261" t="s">
        <v>360</v>
      </c>
      <c r="C1261">
        <v>76506</v>
      </c>
      <c r="D1261" s="2">
        <v>86</v>
      </c>
      <c r="E1261" s="1">
        <v>43222</v>
      </c>
      <c r="F1261" t="str">
        <f>"201805020640"</f>
        <v>201805020640</v>
      </c>
      <c r="G1261" t="str">
        <f>"Miscell"</f>
        <v>Miscell</v>
      </c>
      <c r="H1261">
        <v>86</v>
      </c>
      <c r="I1261" t="str">
        <f>"MEGAN NICOLE SALINAS"</f>
        <v>MEGAN NICOLE SALINAS</v>
      </c>
    </row>
    <row r="1262" spans="1:9" x14ac:dyDescent="0.3">
      <c r="A1262" t="str">
        <f t="shared" si="10"/>
        <v>1</v>
      </c>
      <c r="B1262" t="s">
        <v>361</v>
      </c>
      <c r="C1262">
        <v>76507</v>
      </c>
      <c r="D1262" s="2">
        <v>6</v>
      </c>
      <c r="E1262" s="1">
        <v>43222</v>
      </c>
      <c r="F1262" t="str">
        <f>"201805020641"</f>
        <v>201805020641</v>
      </c>
      <c r="G1262" t="str">
        <f>"Miscel"</f>
        <v>Miscel</v>
      </c>
      <c r="H1262">
        <v>6</v>
      </c>
      <c r="I1262" t="str">
        <f>"PATTI JANNELLE SOWELL"</f>
        <v>PATTI JANNELLE SOWELL</v>
      </c>
    </row>
    <row r="1263" spans="1:9" x14ac:dyDescent="0.3">
      <c r="A1263" t="str">
        <f t="shared" si="10"/>
        <v>1</v>
      </c>
      <c r="B1263" t="s">
        <v>362</v>
      </c>
      <c r="C1263">
        <v>76508</v>
      </c>
      <c r="D1263" s="2">
        <v>6</v>
      </c>
      <c r="E1263" s="1">
        <v>43222</v>
      </c>
      <c r="F1263" t="str">
        <f>"201805020642"</f>
        <v>201805020642</v>
      </c>
      <c r="G1263" t="str">
        <f>"Miscellaneou"</f>
        <v>Miscellaneou</v>
      </c>
      <c r="H1263">
        <v>6</v>
      </c>
      <c r="I1263" t="str">
        <f>"DALE C SHOOK JR"</f>
        <v>DALE C SHOOK JR</v>
      </c>
    </row>
    <row r="1264" spans="1:9" x14ac:dyDescent="0.3">
      <c r="A1264" t="str">
        <f t="shared" si="10"/>
        <v>1</v>
      </c>
      <c r="B1264" t="s">
        <v>363</v>
      </c>
      <c r="C1264">
        <v>76509</v>
      </c>
      <c r="D1264" s="2">
        <v>6</v>
      </c>
      <c r="E1264" s="1">
        <v>43222</v>
      </c>
      <c r="F1264" t="str">
        <f>"201805020643"</f>
        <v>201805020643</v>
      </c>
      <c r="G1264" t="str">
        <f>"Misc"</f>
        <v>Misc</v>
      </c>
      <c r="H1264">
        <v>6</v>
      </c>
      <c r="I1264" t="str">
        <f>"MARCIA WITBRODT JACKSON"</f>
        <v>MARCIA WITBRODT JACKSON</v>
      </c>
    </row>
    <row r="1265" spans="1:9" x14ac:dyDescent="0.3">
      <c r="A1265" t="str">
        <f t="shared" si="10"/>
        <v>1</v>
      </c>
      <c r="B1265" t="s">
        <v>364</v>
      </c>
      <c r="C1265">
        <v>76510</v>
      </c>
      <c r="D1265" s="2">
        <v>6</v>
      </c>
      <c r="E1265" s="1">
        <v>43222</v>
      </c>
      <c r="F1265" t="str">
        <f>"201805020644"</f>
        <v>201805020644</v>
      </c>
      <c r="G1265" t="str">
        <f>"Miscel"</f>
        <v>Miscel</v>
      </c>
      <c r="H1265">
        <v>6</v>
      </c>
      <c r="I1265" t="str">
        <f>"WARREN ELIOT BENCHOFF"</f>
        <v>WARREN ELIOT BENCHOFF</v>
      </c>
    </row>
    <row r="1266" spans="1:9" x14ac:dyDescent="0.3">
      <c r="A1266" t="str">
        <f t="shared" si="10"/>
        <v>1</v>
      </c>
      <c r="B1266" t="s">
        <v>365</v>
      </c>
      <c r="C1266">
        <v>76511</v>
      </c>
      <c r="D1266" s="2">
        <v>6</v>
      </c>
      <c r="E1266" s="1">
        <v>43222</v>
      </c>
      <c r="F1266" t="str">
        <f>"201805020645"</f>
        <v>201805020645</v>
      </c>
      <c r="G1266" t="str">
        <f>"Miscell"</f>
        <v>Miscell</v>
      </c>
      <c r="H1266">
        <v>6</v>
      </c>
      <c r="I1266" t="str">
        <f>"CHRISTOPHER LEE REDD"</f>
        <v>CHRISTOPHER LEE REDD</v>
      </c>
    </row>
    <row r="1267" spans="1:9" x14ac:dyDescent="0.3">
      <c r="A1267" t="str">
        <f t="shared" si="10"/>
        <v>1</v>
      </c>
      <c r="B1267" t="s">
        <v>366</v>
      </c>
      <c r="C1267">
        <v>76512</v>
      </c>
      <c r="D1267" s="2">
        <v>86</v>
      </c>
      <c r="E1267" s="1">
        <v>43222</v>
      </c>
      <c r="F1267" t="str">
        <f>"201805020646"</f>
        <v>201805020646</v>
      </c>
      <c r="G1267" t="str">
        <f>"Mis"</f>
        <v>Mis</v>
      </c>
      <c r="H1267">
        <v>86</v>
      </c>
      <c r="I1267" t="str">
        <f>"BERNARD MICHAEL DROZD JR"</f>
        <v>BERNARD MICHAEL DROZD JR</v>
      </c>
    </row>
    <row r="1268" spans="1:9" x14ac:dyDescent="0.3">
      <c r="A1268" t="str">
        <f t="shared" si="10"/>
        <v>1</v>
      </c>
      <c r="B1268" t="s">
        <v>367</v>
      </c>
      <c r="C1268">
        <v>76513</v>
      </c>
      <c r="D1268" s="2">
        <v>6</v>
      </c>
      <c r="E1268" s="1">
        <v>43222</v>
      </c>
      <c r="F1268" t="str">
        <f>"201805020647"</f>
        <v>201805020647</v>
      </c>
      <c r="G1268" t="str">
        <f>"Miscellaneous"</f>
        <v>Miscellaneous</v>
      </c>
      <c r="H1268">
        <v>6</v>
      </c>
      <c r="I1268" t="str">
        <f>"RODOLFO TEJEDA"</f>
        <v>RODOLFO TEJEDA</v>
      </c>
    </row>
    <row r="1269" spans="1:9" x14ac:dyDescent="0.3">
      <c r="A1269" t="str">
        <f t="shared" si="10"/>
        <v>1</v>
      </c>
      <c r="B1269" t="s">
        <v>368</v>
      </c>
      <c r="C1269">
        <v>76514</v>
      </c>
      <c r="D1269" s="2">
        <v>6</v>
      </c>
      <c r="E1269" s="1">
        <v>43222</v>
      </c>
      <c r="F1269" t="str">
        <f>"201805020648"</f>
        <v>201805020648</v>
      </c>
      <c r="G1269" t="str">
        <f>"Miscellane"</f>
        <v>Miscellane</v>
      </c>
      <c r="H1269">
        <v>6</v>
      </c>
      <c r="I1269" t="str">
        <f>"ANNE KAPPEL MOORE"</f>
        <v>ANNE KAPPEL MOORE</v>
      </c>
    </row>
    <row r="1270" spans="1:9" x14ac:dyDescent="0.3">
      <c r="A1270" t="str">
        <f t="shared" ref="A1270:A1286" si="11">"1"</f>
        <v>1</v>
      </c>
      <c r="B1270" t="s">
        <v>369</v>
      </c>
      <c r="C1270">
        <v>76515</v>
      </c>
      <c r="D1270" s="2">
        <v>86</v>
      </c>
      <c r="E1270" s="1">
        <v>43222</v>
      </c>
      <c r="F1270" t="str">
        <f>"201805020649"</f>
        <v>201805020649</v>
      </c>
      <c r="G1270" t="str">
        <f>"Misce"</f>
        <v>Misce</v>
      </c>
      <c r="H1270">
        <v>86</v>
      </c>
      <c r="I1270" t="str">
        <f>"AARON JERALD SMISCHNEY"</f>
        <v>AARON JERALD SMISCHNEY</v>
      </c>
    </row>
    <row r="1271" spans="1:9" x14ac:dyDescent="0.3">
      <c r="A1271" t="str">
        <f t="shared" si="11"/>
        <v>1</v>
      </c>
      <c r="B1271" t="s">
        <v>370</v>
      </c>
      <c r="C1271">
        <v>76516</v>
      </c>
      <c r="D1271" s="2">
        <v>6</v>
      </c>
      <c r="E1271" s="1">
        <v>43222</v>
      </c>
      <c r="F1271" t="str">
        <f>"201805020650"</f>
        <v>201805020650</v>
      </c>
      <c r="G1271" t="str">
        <f>"Mis"</f>
        <v>Mis</v>
      </c>
      <c r="H1271">
        <v>6</v>
      </c>
      <c r="I1271" t="str">
        <f>"VICTORIA NICOLE BRADFORD"</f>
        <v>VICTORIA NICOLE BRADFORD</v>
      </c>
    </row>
    <row r="1272" spans="1:9" x14ac:dyDescent="0.3">
      <c r="A1272" t="str">
        <f t="shared" si="11"/>
        <v>1</v>
      </c>
      <c r="B1272" t="s">
        <v>371</v>
      </c>
      <c r="C1272">
        <v>76517</v>
      </c>
      <c r="D1272" s="2">
        <v>6</v>
      </c>
      <c r="E1272" s="1">
        <v>43222</v>
      </c>
      <c r="F1272" t="str">
        <f>"201805020651"</f>
        <v>201805020651</v>
      </c>
      <c r="G1272" t="str">
        <f>"Miscellaneous"</f>
        <v>Miscellaneous</v>
      </c>
      <c r="H1272">
        <v>6</v>
      </c>
      <c r="I1272" t="str">
        <f>"PETER M HYNES"</f>
        <v>PETER M HYNES</v>
      </c>
    </row>
    <row r="1273" spans="1:9" x14ac:dyDescent="0.3">
      <c r="A1273" t="str">
        <f t="shared" si="11"/>
        <v>1</v>
      </c>
      <c r="B1273" t="s">
        <v>372</v>
      </c>
      <c r="C1273">
        <v>76518</v>
      </c>
      <c r="D1273" s="2">
        <v>6</v>
      </c>
      <c r="E1273" s="1">
        <v>43222</v>
      </c>
      <c r="F1273" t="str">
        <f>"201805020652"</f>
        <v>201805020652</v>
      </c>
      <c r="G1273" t="str">
        <f>"Miscella"</f>
        <v>Miscella</v>
      </c>
      <c r="H1273">
        <v>6</v>
      </c>
      <c r="I1273" t="str">
        <f>"GARY WAYNE DOLBEARE"</f>
        <v>GARY WAYNE DOLBEARE</v>
      </c>
    </row>
    <row r="1274" spans="1:9" x14ac:dyDescent="0.3">
      <c r="A1274" t="str">
        <f t="shared" si="11"/>
        <v>1</v>
      </c>
      <c r="B1274" t="s">
        <v>373</v>
      </c>
      <c r="C1274">
        <v>76519</v>
      </c>
      <c r="D1274" s="2">
        <v>6</v>
      </c>
      <c r="E1274" s="1">
        <v>43222</v>
      </c>
      <c r="F1274" t="str">
        <f>"201805020653"</f>
        <v>201805020653</v>
      </c>
      <c r="G1274" t="str">
        <f>"Misc"</f>
        <v>Misc</v>
      </c>
      <c r="H1274">
        <v>6</v>
      </c>
      <c r="I1274" t="str">
        <f>"TIMOTHY FRANCIS DINNEAN"</f>
        <v>TIMOTHY FRANCIS DINNEAN</v>
      </c>
    </row>
    <row r="1275" spans="1:9" x14ac:dyDescent="0.3">
      <c r="A1275" t="str">
        <f t="shared" si="11"/>
        <v>1</v>
      </c>
      <c r="B1275" t="s">
        <v>374</v>
      </c>
      <c r="C1275">
        <v>76804</v>
      </c>
      <c r="D1275" s="2">
        <v>40</v>
      </c>
      <c r="E1275" s="1">
        <v>43236</v>
      </c>
      <c r="F1275" t="str">
        <f>"201805161011"</f>
        <v>201805161011</v>
      </c>
      <c r="G1275" t="str">
        <f>"Miscellan"</f>
        <v>Miscellan</v>
      </c>
      <c r="H1275">
        <v>40</v>
      </c>
      <c r="I1275" t="str">
        <f>"BRUCE ROBERT ALLYN"</f>
        <v>BRUCE ROBERT ALLYN</v>
      </c>
    </row>
    <row r="1276" spans="1:9" x14ac:dyDescent="0.3">
      <c r="A1276" t="str">
        <f t="shared" si="11"/>
        <v>1</v>
      </c>
      <c r="B1276" t="s">
        <v>375</v>
      </c>
      <c r="C1276">
        <v>76805</v>
      </c>
      <c r="D1276" s="2">
        <v>40</v>
      </c>
      <c r="E1276" s="1">
        <v>43236</v>
      </c>
      <c r="F1276" t="str">
        <f>"201805161012"</f>
        <v>201805161012</v>
      </c>
      <c r="G1276" t="str">
        <f>"Misc"</f>
        <v>Misc</v>
      </c>
      <c r="H1276">
        <v>40</v>
      </c>
      <c r="I1276" t="str">
        <f>"NICOLASA AGUILAR BISHOP"</f>
        <v>NICOLASA AGUILAR BISHOP</v>
      </c>
    </row>
    <row r="1277" spans="1:9" x14ac:dyDescent="0.3">
      <c r="A1277" t="str">
        <f t="shared" si="11"/>
        <v>1</v>
      </c>
      <c r="B1277" t="s">
        <v>376</v>
      </c>
      <c r="C1277">
        <v>76806</v>
      </c>
      <c r="D1277" s="2">
        <v>40</v>
      </c>
      <c r="E1277" s="1">
        <v>43236</v>
      </c>
      <c r="F1277" t="str">
        <f>"201805161013"</f>
        <v>201805161013</v>
      </c>
      <c r="G1277" t="str">
        <f>"Miscella"</f>
        <v>Miscella</v>
      </c>
      <c r="H1277">
        <v>40</v>
      </c>
      <c r="I1277" t="str">
        <f>"DAVID KYLE BRUMMITT"</f>
        <v>DAVID KYLE BRUMMITT</v>
      </c>
    </row>
    <row r="1278" spans="1:9" x14ac:dyDescent="0.3">
      <c r="A1278" t="str">
        <f t="shared" si="11"/>
        <v>1</v>
      </c>
      <c r="B1278" t="s">
        <v>377</v>
      </c>
      <c r="C1278">
        <v>76807</v>
      </c>
      <c r="D1278" s="2">
        <v>40</v>
      </c>
      <c r="E1278" s="1">
        <v>43236</v>
      </c>
      <c r="F1278" t="str">
        <f>"201805161014"</f>
        <v>201805161014</v>
      </c>
      <c r="G1278" t="str">
        <f>"Miscellan"</f>
        <v>Miscellan</v>
      </c>
      <c r="H1278">
        <v>40</v>
      </c>
      <c r="I1278" t="str">
        <f>"BETHANY RENEE COOK"</f>
        <v>BETHANY RENEE COOK</v>
      </c>
    </row>
    <row r="1279" spans="1:9" x14ac:dyDescent="0.3">
      <c r="A1279" t="str">
        <f t="shared" si="11"/>
        <v>1</v>
      </c>
      <c r="B1279" t="s">
        <v>378</v>
      </c>
      <c r="C1279">
        <v>76808</v>
      </c>
      <c r="D1279" s="2">
        <v>40</v>
      </c>
      <c r="E1279" s="1">
        <v>43236</v>
      </c>
      <c r="F1279" t="str">
        <f>"201805161015"</f>
        <v>201805161015</v>
      </c>
      <c r="G1279" t="str">
        <f>"M"</f>
        <v>M</v>
      </c>
      <c r="H1279">
        <v>40</v>
      </c>
      <c r="I1279" t="str">
        <f>"SARAH ELIZABETH-ANN EDSALL"</f>
        <v>SARAH ELIZABETH-ANN EDSALL</v>
      </c>
    </row>
    <row r="1280" spans="1:9" x14ac:dyDescent="0.3">
      <c r="A1280" t="str">
        <f t="shared" si="11"/>
        <v>1</v>
      </c>
      <c r="B1280" t="s">
        <v>379</v>
      </c>
      <c r="C1280">
        <v>76809</v>
      </c>
      <c r="D1280" s="2">
        <v>40</v>
      </c>
      <c r="E1280" s="1">
        <v>43236</v>
      </c>
      <c r="F1280" t="str">
        <f>"201805161016"</f>
        <v>201805161016</v>
      </c>
      <c r="G1280" t="str">
        <f>"Miscell"</f>
        <v>Miscell</v>
      </c>
      <c r="H1280">
        <v>40</v>
      </c>
      <c r="I1280" t="str">
        <f>"JOSE ADRION FIGUEROA"</f>
        <v>JOSE ADRION FIGUEROA</v>
      </c>
    </row>
    <row r="1281" spans="1:10" x14ac:dyDescent="0.3">
      <c r="A1281" t="str">
        <f t="shared" si="11"/>
        <v>1</v>
      </c>
      <c r="B1281" t="s">
        <v>380</v>
      </c>
      <c r="C1281">
        <v>76810</v>
      </c>
      <c r="D1281" s="2">
        <v>40</v>
      </c>
      <c r="E1281" s="1">
        <v>43236</v>
      </c>
      <c r="F1281" t="str">
        <f>"201805161017"</f>
        <v>201805161017</v>
      </c>
      <c r="G1281" t="str">
        <f>"Miscellane"</f>
        <v>Miscellane</v>
      </c>
      <c r="H1281">
        <v>40</v>
      </c>
      <c r="I1281" t="str">
        <f>"LARRY GENE HANSEN"</f>
        <v>LARRY GENE HANSEN</v>
      </c>
    </row>
    <row r="1282" spans="1:10" x14ac:dyDescent="0.3">
      <c r="A1282" t="str">
        <f t="shared" si="11"/>
        <v>1</v>
      </c>
      <c r="B1282" t="s">
        <v>381</v>
      </c>
      <c r="C1282">
        <v>76811</v>
      </c>
      <c r="D1282" s="2">
        <v>40</v>
      </c>
      <c r="E1282" s="1">
        <v>43236</v>
      </c>
      <c r="F1282" t="str">
        <f>"201805161018"</f>
        <v>201805161018</v>
      </c>
      <c r="G1282" t="str">
        <f>"Miscellan"</f>
        <v>Miscellan</v>
      </c>
      <c r="H1282">
        <v>40</v>
      </c>
      <c r="I1282" t="str">
        <f>"JANA HOFFMAN MOORE"</f>
        <v>JANA HOFFMAN MOORE</v>
      </c>
    </row>
    <row r="1283" spans="1:10" x14ac:dyDescent="0.3">
      <c r="A1283" t="str">
        <f t="shared" si="11"/>
        <v>1</v>
      </c>
      <c r="B1283" t="s">
        <v>382</v>
      </c>
      <c r="C1283">
        <v>76812</v>
      </c>
      <c r="D1283" s="2">
        <v>40</v>
      </c>
      <c r="E1283" s="1">
        <v>43236</v>
      </c>
      <c r="F1283" t="str">
        <f>"201805161019"</f>
        <v>201805161019</v>
      </c>
      <c r="G1283" t="str">
        <f>"Miscellan"</f>
        <v>Miscellan</v>
      </c>
      <c r="H1283">
        <v>40</v>
      </c>
      <c r="I1283" t="str">
        <f>"KATHRYN EVA ROGERS"</f>
        <v>KATHRYN EVA ROGERS</v>
      </c>
    </row>
    <row r="1284" spans="1:10" x14ac:dyDescent="0.3">
      <c r="A1284" t="str">
        <f t="shared" si="11"/>
        <v>1</v>
      </c>
      <c r="B1284" t="s">
        <v>383</v>
      </c>
      <c r="C1284">
        <v>76813</v>
      </c>
      <c r="D1284" s="2">
        <v>40</v>
      </c>
      <c r="E1284" s="1">
        <v>43236</v>
      </c>
      <c r="F1284" t="str">
        <f>"201805161020"</f>
        <v>201805161020</v>
      </c>
      <c r="G1284" t="str">
        <f>"Miscellan"</f>
        <v>Miscellan</v>
      </c>
      <c r="H1284">
        <v>40</v>
      </c>
      <c r="I1284" t="str">
        <f>"LAUREN N SCHECKTER"</f>
        <v>LAUREN N SCHECKTER</v>
      </c>
    </row>
    <row r="1285" spans="1:10" x14ac:dyDescent="0.3">
      <c r="A1285" t="str">
        <f t="shared" si="11"/>
        <v>1</v>
      </c>
      <c r="B1285" t="s">
        <v>384</v>
      </c>
      <c r="C1285">
        <v>76814</v>
      </c>
      <c r="D1285" s="2">
        <v>40</v>
      </c>
      <c r="E1285" s="1">
        <v>43236</v>
      </c>
      <c r="F1285" t="str">
        <f>"201805161021"</f>
        <v>201805161021</v>
      </c>
      <c r="G1285" t="str">
        <f>"Miscellaneous"</f>
        <v>Miscellaneous</v>
      </c>
      <c r="H1285">
        <v>40</v>
      </c>
      <c r="I1285" t="str">
        <f>"SCOTT A SHIKE"</f>
        <v>SCOTT A SHIKE</v>
      </c>
    </row>
    <row r="1286" spans="1:10" x14ac:dyDescent="0.3">
      <c r="A1286" t="str">
        <f t="shared" si="11"/>
        <v>1</v>
      </c>
      <c r="B1286" t="s">
        <v>385</v>
      </c>
      <c r="C1286">
        <v>76815</v>
      </c>
      <c r="D1286" s="2">
        <v>40</v>
      </c>
      <c r="E1286" s="1">
        <v>43236</v>
      </c>
      <c r="F1286" t="str">
        <f>"201805161022"</f>
        <v>201805161022</v>
      </c>
      <c r="G1286" t="str">
        <f>"Misce"</f>
        <v>Misce</v>
      </c>
      <c r="H1286">
        <v>40</v>
      </c>
      <c r="I1286" t="str">
        <f>"SYLVIA GONZALEZ WATSON"</f>
        <v>SYLVIA GONZALEZ WATSON</v>
      </c>
    </row>
    <row r="1287" spans="1:10" x14ac:dyDescent="0.3">
      <c r="A1287" t="str">
        <f>"004280"</f>
        <v>004280</v>
      </c>
      <c r="B1287" t="s">
        <v>386</v>
      </c>
      <c r="C1287">
        <v>76698</v>
      </c>
      <c r="D1287" s="2">
        <v>50</v>
      </c>
      <c r="E1287" s="1">
        <v>43234</v>
      </c>
      <c r="F1287" t="s">
        <v>387</v>
      </c>
      <c r="G1287" t="s">
        <v>388</v>
      </c>
      <c r="H1287" t="str">
        <f>"RESTITUTION-O. CABALLERO"</f>
        <v>RESTITUTION-O. CABALLERO</v>
      </c>
      <c r="I1287" t="str">
        <f>"210-0000"</f>
        <v>210-0000</v>
      </c>
      <c r="J1287" t="str">
        <f>""</f>
        <v/>
      </c>
    </row>
    <row r="1288" spans="1:10" x14ac:dyDescent="0.3">
      <c r="A1288" t="str">
        <f>"MOORE"</f>
        <v>MOORE</v>
      </c>
      <c r="B1288" t="s">
        <v>389</v>
      </c>
      <c r="C1288">
        <v>76699</v>
      </c>
      <c r="D1288" s="2">
        <v>1912.32</v>
      </c>
      <c r="E1288" s="1">
        <v>43234</v>
      </c>
      <c r="F1288" t="str">
        <f>"99862982"</f>
        <v>99862982</v>
      </c>
      <c r="G1288" t="str">
        <f>"INV 99862982"</f>
        <v>INV 99862982</v>
      </c>
      <c r="H1288">
        <v>522.11</v>
      </c>
      <c r="I1288" t="str">
        <f>"INV 99862982"</f>
        <v>INV 99862982</v>
      </c>
    </row>
    <row r="1289" spans="1:10" x14ac:dyDescent="0.3">
      <c r="A1289" t="str">
        <f>""</f>
        <v/>
      </c>
      <c r="F1289" t="str">
        <f>"99875968"</f>
        <v>99875968</v>
      </c>
      <c r="G1289" t="str">
        <f>"INV 99875968"</f>
        <v>INV 99875968</v>
      </c>
      <c r="H1289">
        <v>1390.21</v>
      </c>
      <c r="I1289" t="str">
        <f>"INV 99875968"</f>
        <v>INV 99875968</v>
      </c>
    </row>
    <row r="1290" spans="1:10" x14ac:dyDescent="0.3">
      <c r="A1290" t="str">
        <f>"005355"</f>
        <v>005355</v>
      </c>
      <c r="B1290" t="s">
        <v>390</v>
      </c>
      <c r="C1290">
        <v>76933</v>
      </c>
      <c r="D1290" s="2">
        <v>18.25</v>
      </c>
      <c r="E1290" s="1">
        <v>43249</v>
      </c>
      <c r="F1290" t="str">
        <f>"S152950147.001"</f>
        <v>S152950147.001</v>
      </c>
      <c r="G1290" t="str">
        <f>"INV S152950147.001"</f>
        <v>INV S152950147.001</v>
      </c>
      <c r="H1290">
        <v>18.25</v>
      </c>
      <c r="I1290" t="str">
        <f>"INV S152950147.001"</f>
        <v>INV S152950147.001</v>
      </c>
    </row>
    <row r="1291" spans="1:10" x14ac:dyDescent="0.3">
      <c r="A1291" t="str">
        <f>"003544"</f>
        <v>003544</v>
      </c>
      <c r="B1291" t="s">
        <v>391</v>
      </c>
      <c r="C1291">
        <v>76700</v>
      </c>
      <c r="D1291" s="2">
        <v>2454.4499999999998</v>
      </c>
      <c r="E1291" s="1">
        <v>43234</v>
      </c>
      <c r="F1291" t="str">
        <f>"S103932466.001"</f>
        <v>S103932466.001</v>
      </c>
      <c r="G1291" t="str">
        <f>"INV S103932466.001"</f>
        <v>INV S103932466.001</v>
      </c>
      <c r="H1291">
        <v>2454.4499999999998</v>
      </c>
      <c r="I1291" t="str">
        <f>"INV S103932466.001"</f>
        <v>INV S103932466.001</v>
      </c>
    </row>
    <row r="1292" spans="1:10" x14ac:dyDescent="0.3">
      <c r="A1292" t="str">
        <f>"MCC"</f>
        <v>MCC</v>
      </c>
      <c r="B1292" t="s">
        <v>392</v>
      </c>
      <c r="C1292">
        <v>76701</v>
      </c>
      <c r="D1292" s="2">
        <v>3202.05</v>
      </c>
      <c r="E1292" s="1">
        <v>43234</v>
      </c>
      <c r="F1292" t="str">
        <f>"13212062"</f>
        <v>13212062</v>
      </c>
      <c r="G1292" t="str">
        <f>"MOTOROLA"</f>
        <v>MOTOROLA</v>
      </c>
      <c r="H1292">
        <v>3202.05</v>
      </c>
      <c r="I1292" t="str">
        <f>"Motorola Radio"</f>
        <v>Motorola Radio</v>
      </c>
    </row>
    <row r="1293" spans="1:10" x14ac:dyDescent="0.3">
      <c r="A1293" t="str">
        <f>"189"</f>
        <v>189</v>
      </c>
      <c r="B1293" t="s">
        <v>393</v>
      </c>
      <c r="C1293">
        <v>76934</v>
      </c>
      <c r="D1293" s="2">
        <v>43471.27</v>
      </c>
      <c r="E1293" s="1">
        <v>43249</v>
      </c>
      <c r="F1293" t="str">
        <f>"13214155"</f>
        <v>13214155</v>
      </c>
      <c r="G1293" t="str">
        <f>"Quote# scc2618b"</f>
        <v>Quote# scc2618b</v>
      </c>
      <c r="H1293">
        <v>23008.92</v>
      </c>
      <c r="I1293" t="str">
        <f>"M25URS9PW1N"</f>
        <v>M25URS9PW1N</v>
      </c>
    </row>
    <row r="1294" spans="1:10" x14ac:dyDescent="0.3">
      <c r="A1294" t="str">
        <f>""</f>
        <v/>
      </c>
      <c r="F1294" t="str">
        <f>""</f>
        <v/>
      </c>
      <c r="G1294" t="str">
        <f>""</f>
        <v/>
      </c>
      <c r="I1294" t="str">
        <f>"G806"</f>
        <v>G806</v>
      </c>
    </row>
    <row r="1295" spans="1:10" x14ac:dyDescent="0.3">
      <c r="A1295" t="str">
        <f>""</f>
        <v/>
      </c>
      <c r="F1295" t="str">
        <f>""</f>
        <v/>
      </c>
      <c r="G1295" t="str">
        <f>""</f>
        <v/>
      </c>
      <c r="I1295" t="str">
        <f>"G51"</f>
        <v>G51</v>
      </c>
    </row>
    <row r="1296" spans="1:10" x14ac:dyDescent="0.3">
      <c r="A1296" t="str">
        <f>""</f>
        <v/>
      </c>
      <c r="F1296" t="str">
        <f>""</f>
        <v/>
      </c>
      <c r="G1296" t="str">
        <f>""</f>
        <v/>
      </c>
      <c r="I1296" t="str">
        <f>"Q01648"</f>
        <v>Q01648</v>
      </c>
    </row>
    <row r="1297" spans="1:9" x14ac:dyDescent="0.3">
      <c r="A1297" t="str">
        <f>""</f>
        <v/>
      </c>
      <c r="F1297" t="str">
        <f>""</f>
        <v/>
      </c>
      <c r="G1297" t="str">
        <f>""</f>
        <v/>
      </c>
      <c r="I1297" t="str">
        <f>"G361"</f>
        <v>G361</v>
      </c>
    </row>
    <row r="1298" spans="1:9" x14ac:dyDescent="0.3">
      <c r="A1298" t="str">
        <f>""</f>
        <v/>
      </c>
      <c r="F1298" t="str">
        <f>""</f>
        <v/>
      </c>
      <c r="G1298" t="str">
        <f>""</f>
        <v/>
      </c>
      <c r="I1298" t="str">
        <f>"G442"</f>
        <v>G442</v>
      </c>
    </row>
    <row r="1299" spans="1:9" x14ac:dyDescent="0.3">
      <c r="A1299" t="str">
        <f>""</f>
        <v/>
      </c>
      <c r="F1299" t="str">
        <f>""</f>
        <v/>
      </c>
      <c r="G1299" t="str">
        <f>""</f>
        <v/>
      </c>
      <c r="I1299" t="str">
        <f>"G444 &amp; G67"</f>
        <v>G444 &amp; G67</v>
      </c>
    </row>
    <row r="1300" spans="1:9" x14ac:dyDescent="0.3">
      <c r="A1300" t="str">
        <f>""</f>
        <v/>
      </c>
      <c r="F1300" t="str">
        <f>""</f>
        <v/>
      </c>
      <c r="G1300" t="str">
        <f>""</f>
        <v/>
      </c>
      <c r="I1300" t="str">
        <f>"G174"</f>
        <v>G174</v>
      </c>
    </row>
    <row r="1301" spans="1:9" x14ac:dyDescent="0.3">
      <c r="A1301" t="str">
        <f>""</f>
        <v/>
      </c>
      <c r="F1301" t="str">
        <f>""</f>
        <v/>
      </c>
      <c r="G1301" t="str">
        <f>""</f>
        <v/>
      </c>
      <c r="I1301" t="str">
        <f>"W22"</f>
        <v>W22</v>
      </c>
    </row>
    <row r="1302" spans="1:9" x14ac:dyDescent="0.3">
      <c r="A1302" t="str">
        <f>""</f>
        <v/>
      </c>
      <c r="F1302" t="str">
        <f>""</f>
        <v/>
      </c>
      <c r="G1302" t="str">
        <f>""</f>
        <v/>
      </c>
      <c r="I1302" t="str">
        <f>"G831"</f>
        <v>G831</v>
      </c>
    </row>
    <row r="1303" spans="1:9" x14ac:dyDescent="0.3">
      <c r="A1303" t="str">
        <f>""</f>
        <v/>
      </c>
      <c r="F1303" t="str">
        <f>""</f>
        <v/>
      </c>
      <c r="G1303" t="str">
        <f>""</f>
        <v/>
      </c>
      <c r="I1303" t="str">
        <f>"GA01767"</f>
        <v>GA01767</v>
      </c>
    </row>
    <row r="1304" spans="1:9" x14ac:dyDescent="0.3">
      <c r="A1304" t="str">
        <f>""</f>
        <v/>
      </c>
      <c r="F1304" t="str">
        <f>""</f>
        <v/>
      </c>
      <c r="G1304" t="str">
        <f>""</f>
        <v/>
      </c>
      <c r="I1304" t="str">
        <f>"W969"</f>
        <v>W969</v>
      </c>
    </row>
    <row r="1305" spans="1:9" x14ac:dyDescent="0.3">
      <c r="A1305" t="str">
        <f>""</f>
        <v/>
      </c>
      <c r="F1305" t="str">
        <f>""</f>
        <v/>
      </c>
      <c r="G1305" t="str">
        <f>""</f>
        <v/>
      </c>
      <c r="I1305" t="str">
        <f>"Credit"</f>
        <v>Credit</v>
      </c>
    </row>
    <row r="1306" spans="1:9" x14ac:dyDescent="0.3">
      <c r="A1306" t="str">
        <f>""</f>
        <v/>
      </c>
      <c r="F1306" t="str">
        <f>""</f>
        <v/>
      </c>
      <c r="G1306" t="str">
        <f>""</f>
        <v/>
      </c>
      <c r="I1306" t="str">
        <f>"GA00318"</f>
        <v>GA00318</v>
      </c>
    </row>
    <row r="1307" spans="1:9" x14ac:dyDescent="0.3">
      <c r="A1307" t="str">
        <f>""</f>
        <v/>
      </c>
      <c r="F1307" t="str">
        <f>""</f>
        <v/>
      </c>
      <c r="G1307" t="str">
        <f>""</f>
        <v/>
      </c>
      <c r="I1307" t="str">
        <f>"Promo"</f>
        <v>Promo</v>
      </c>
    </row>
    <row r="1308" spans="1:9" x14ac:dyDescent="0.3">
      <c r="A1308" t="str">
        <f>""</f>
        <v/>
      </c>
      <c r="F1308" t="str">
        <f>""</f>
        <v/>
      </c>
      <c r="G1308" t="str">
        <f>""</f>
        <v/>
      </c>
      <c r="I1308" t="str">
        <f>"GA09008"</f>
        <v>GA09008</v>
      </c>
    </row>
    <row r="1309" spans="1:9" x14ac:dyDescent="0.3">
      <c r="A1309" t="str">
        <f>""</f>
        <v/>
      </c>
      <c r="F1309" t="str">
        <f>"201805161030"</f>
        <v>201805161030</v>
      </c>
      <c r="G1309" t="str">
        <f>"RADIO SVC AGREEMENT-MAY 2018"</f>
        <v>RADIO SVC AGREEMENT-MAY 2018</v>
      </c>
      <c r="H1309">
        <v>20462.349999999999</v>
      </c>
      <c r="I1309" t="str">
        <f>"RADIO SERVICE AGREEMENT"</f>
        <v>RADIO SERVICE AGREEMENT</v>
      </c>
    </row>
    <row r="1310" spans="1:9" x14ac:dyDescent="0.3">
      <c r="A1310" t="str">
        <f>"004694"</f>
        <v>004694</v>
      </c>
      <c r="B1310" t="s">
        <v>394</v>
      </c>
      <c r="C1310">
        <v>76935</v>
      </c>
      <c r="D1310" s="2">
        <v>795</v>
      </c>
      <c r="E1310" s="1">
        <v>43249</v>
      </c>
      <c r="F1310" t="str">
        <f>"86477699"</f>
        <v>86477699</v>
      </c>
      <c r="G1310" t="str">
        <f>"ACCT#150344157/WATER TRMT SVCS"</f>
        <v>ACCT#150344157/WATER TRMT SVCS</v>
      </c>
      <c r="H1310">
        <v>795</v>
      </c>
      <c r="I1310" t="str">
        <f>"ACCT#150344157/WATER TRMT SVCS"</f>
        <v>ACCT#150344157/WATER TRMT SVCS</v>
      </c>
    </row>
    <row r="1311" spans="1:9" x14ac:dyDescent="0.3">
      <c r="A1311" t="str">
        <f>"000562"</f>
        <v>000562</v>
      </c>
      <c r="B1311" t="s">
        <v>395</v>
      </c>
      <c r="C1311">
        <v>999999</v>
      </c>
      <c r="D1311" s="2">
        <v>4675.96</v>
      </c>
      <c r="E1311" s="1">
        <v>43235</v>
      </c>
      <c r="F1311" t="str">
        <f>"IN0801892/1801/219"</f>
        <v>IN0801892/1801/219</v>
      </c>
      <c r="G1311" t="str">
        <f>"INV IN0801892"</f>
        <v>INV IN0801892</v>
      </c>
      <c r="H1311">
        <v>4675.96</v>
      </c>
      <c r="I1311" t="str">
        <f>"INV IN0801892"</f>
        <v>INV IN0801892</v>
      </c>
    </row>
    <row r="1312" spans="1:9" x14ac:dyDescent="0.3">
      <c r="A1312" t="str">
        <f>""</f>
        <v/>
      </c>
      <c r="F1312" t="str">
        <f>""</f>
        <v/>
      </c>
      <c r="G1312" t="str">
        <f>""</f>
        <v/>
      </c>
      <c r="I1312" t="str">
        <f>"INV IN0801801"</f>
        <v>INV IN0801801</v>
      </c>
    </row>
    <row r="1313" spans="1:9" x14ac:dyDescent="0.3">
      <c r="A1313" t="str">
        <f>""</f>
        <v/>
      </c>
      <c r="F1313" t="str">
        <f>""</f>
        <v/>
      </c>
      <c r="G1313" t="str">
        <f>""</f>
        <v/>
      </c>
      <c r="I1313" t="str">
        <f>"INV IN0802192"</f>
        <v>INV IN0802192</v>
      </c>
    </row>
    <row r="1314" spans="1:9" x14ac:dyDescent="0.3">
      <c r="A1314" t="str">
        <f>"000562"</f>
        <v>000562</v>
      </c>
      <c r="B1314" t="s">
        <v>395</v>
      </c>
      <c r="C1314">
        <v>999999</v>
      </c>
      <c r="D1314" s="2">
        <v>7568.5</v>
      </c>
      <c r="E1314" s="1">
        <v>43250</v>
      </c>
      <c r="F1314" t="str">
        <f>"IN0802474"</f>
        <v>IN0802474</v>
      </c>
      <c r="G1314" t="str">
        <f>"IN0802474"</f>
        <v>IN0802474</v>
      </c>
      <c r="H1314">
        <v>3124.37</v>
      </c>
      <c r="I1314" t="str">
        <f>"IN0802474"</f>
        <v>IN0802474</v>
      </c>
    </row>
    <row r="1315" spans="1:9" x14ac:dyDescent="0.3">
      <c r="A1315" t="str">
        <f>""</f>
        <v/>
      </c>
      <c r="F1315" t="str">
        <f>"IN0802995"</f>
        <v>IN0802995</v>
      </c>
      <c r="G1315" t="str">
        <f>"IN0802995"</f>
        <v>IN0802995</v>
      </c>
      <c r="H1315">
        <v>4444.13</v>
      </c>
      <c r="I1315" t="str">
        <f>"IN0802995"</f>
        <v>IN0802995</v>
      </c>
    </row>
    <row r="1316" spans="1:9" x14ac:dyDescent="0.3">
      <c r="A1316" t="str">
        <f>"T7524"</f>
        <v>T7524</v>
      </c>
      <c r="B1316" t="s">
        <v>396</v>
      </c>
      <c r="C1316">
        <v>76526</v>
      </c>
      <c r="D1316" s="2">
        <v>150</v>
      </c>
      <c r="E1316" s="1">
        <v>43231</v>
      </c>
      <c r="F1316" t="str">
        <f>"201805111009"</f>
        <v>201805111009</v>
      </c>
      <c r="G1316" t="str">
        <f>"ANNUAL DUES - HILLARY LONG"</f>
        <v>ANNUAL DUES - HILLARY LONG</v>
      </c>
      <c r="H1316">
        <v>150</v>
      </c>
      <c r="I1316" t="str">
        <f>"ANNUAL DUES - HILLARY LONG"</f>
        <v>ANNUAL DUES - HILLARY LONG</v>
      </c>
    </row>
    <row r="1317" spans="1:9" x14ac:dyDescent="0.3">
      <c r="A1317" t="str">
        <f>"005377"</f>
        <v>005377</v>
      </c>
      <c r="B1317" t="s">
        <v>397</v>
      </c>
      <c r="C1317">
        <v>76936</v>
      </c>
      <c r="D1317" s="2">
        <v>137</v>
      </c>
      <c r="E1317" s="1">
        <v>43249</v>
      </c>
      <c r="F1317" t="str">
        <f>"300040873"</f>
        <v>300040873</v>
      </c>
      <c r="G1317" t="str">
        <f>"PUBLIC SECTOR"</f>
        <v>PUBLIC SECTOR</v>
      </c>
      <c r="H1317">
        <v>137</v>
      </c>
      <c r="I1317" t="str">
        <f>"PUBLIC SECTOR"</f>
        <v>PUBLIC SECTOR</v>
      </c>
    </row>
    <row r="1318" spans="1:9" x14ac:dyDescent="0.3">
      <c r="A1318" t="str">
        <f>"000668"</f>
        <v>000668</v>
      </c>
      <c r="B1318" t="s">
        <v>398</v>
      </c>
      <c r="C1318">
        <v>76937</v>
      </c>
      <c r="D1318" s="2">
        <v>900</v>
      </c>
      <c r="E1318" s="1">
        <v>43249</v>
      </c>
      <c r="F1318" t="str">
        <f>"HAY INV MAY 2018"</f>
        <v>HAY INV MAY 2018</v>
      </c>
      <c r="G1318" t="str">
        <f>"INV MAY 14  2018"</f>
        <v>INV MAY 14  2018</v>
      </c>
      <c r="H1318">
        <v>900</v>
      </c>
      <c r="I1318" t="str">
        <f>"INV MAY 14  2018"</f>
        <v>INV MAY 14  2018</v>
      </c>
    </row>
    <row r="1319" spans="1:9" x14ac:dyDescent="0.3">
      <c r="A1319" t="str">
        <f>"005145"</f>
        <v>005145</v>
      </c>
      <c r="B1319" t="s">
        <v>399</v>
      </c>
      <c r="C1319">
        <v>999999</v>
      </c>
      <c r="D1319" s="2">
        <v>119.5</v>
      </c>
      <c r="E1319" s="1">
        <v>43250</v>
      </c>
      <c r="F1319" t="str">
        <f>"2726"</f>
        <v>2726</v>
      </c>
      <c r="G1319" t="str">
        <f>"17BCP04A"</f>
        <v>17BCP04A</v>
      </c>
      <c r="H1319">
        <v>119.5</v>
      </c>
      <c r="I1319" t="str">
        <f>"5 1/4  Blade Holder"</f>
        <v>5 1/4  Blade Holder</v>
      </c>
    </row>
    <row r="1320" spans="1:9" x14ac:dyDescent="0.3">
      <c r="A1320" t="str">
        <f>"T6614"</f>
        <v>T6614</v>
      </c>
      <c r="B1320" t="s">
        <v>400</v>
      </c>
      <c r="C1320">
        <v>999999</v>
      </c>
      <c r="D1320" s="2">
        <v>973.4</v>
      </c>
      <c r="E1320" s="1">
        <v>43235</v>
      </c>
      <c r="F1320" t="str">
        <f>"201805080903"</f>
        <v>201805080903</v>
      </c>
      <c r="G1320" t="str">
        <f>"CUST#99088/PCT#4"</f>
        <v>CUST#99088/PCT#4</v>
      </c>
      <c r="H1320">
        <v>955.19</v>
      </c>
      <c r="I1320" t="str">
        <f>"CUST#99088/PCT#4"</f>
        <v>CUST#99088/PCT#4</v>
      </c>
    </row>
    <row r="1321" spans="1:9" x14ac:dyDescent="0.3">
      <c r="A1321" t="str">
        <f>""</f>
        <v/>
      </c>
      <c r="F1321" t="str">
        <f>"201805090911"</f>
        <v>201805090911</v>
      </c>
      <c r="G1321" t="str">
        <f>"CUST#1772018/TRANS#0581356286"</f>
        <v>CUST#1772018/TRANS#0581356286</v>
      </c>
      <c r="H1321">
        <v>18.21</v>
      </c>
      <c r="I1321" t="str">
        <f>"CUST#1772018/TRANS#0581356286"</f>
        <v>CUST#1772018/TRANS#0581356286</v>
      </c>
    </row>
    <row r="1322" spans="1:9" x14ac:dyDescent="0.3">
      <c r="A1322" t="str">
        <f>"001015"</f>
        <v>001015</v>
      </c>
      <c r="B1322" t="s">
        <v>401</v>
      </c>
      <c r="C1322">
        <v>76703</v>
      </c>
      <c r="D1322" s="2">
        <v>1452</v>
      </c>
      <c r="E1322" s="1">
        <v>43234</v>
      </c>
      <c r="F1322" t="str">
        <f>"1212208 1217368 12"</f>
        <v>1212208 1217368 12</v>
      </c>
      <c r="G1322" t="str">
        <f>"INV 1212208"</f>
        <v>INV 1212208</v>
      </c>
      <c r="H1322">
        <v>1452</v>
      </c>
      <c r="I1322" t="str">
        <f>"INV 1212208"</f>
        <v>INV 1212208</v>
      </c>
    </row>
    <row r="1323" spans="1:9" x14ac:dyDescent="0.3">
      <c r="A1323" t="str">
        <f>""</f>
        <v/>
      </c>
      <c r="F1323" t="str">
        <f>""</f>
        <v/>
      </c>
      <c r="G1323" t="str">
        <f>""</f>
        <v/>
      </c>
      <c r="I1323" t="str">
        <f>"INV 1217368"</f>
        <v>INV 1217368</v>
      </c>
    </row>
    <row r="1324" spans="1:9" x14ac:dyDescent="0.3">
      <c r="A1324" t="str">
        <f>""</f>
        <v/>
      </c>
      <c r="F1324" t="str">
        <f>""</f>
        <v/>
      </c>
      <c r="G1324" t="str">
        <f>""</f>
        <v/>
      </c>
      <c r="I1324" t="str">
        <f>"INV 1220753"</f>
        <v>INV 1220753</v>
      </c>
    </row>
    <row r="1325" spans="1:9" x14ac:dyDescent="0.3">
      <c r="A1325" t="str">
        <f>""</f>
        <v/>
      </c>
      <c r="F1325" t="str">
        <f>""</f>
        <v/>
      </c>
      <c r="G1325" t="str">
        <f>""</f>
        <v/>
      </c>
      <c r="I1325" t="str">
        <f>"INV 1225959"</f>
        <v>INV 1225959</v>
      </c>
    </row>
    <row r="1326" spans="1:9" x14ac:dyDescent="0.3">
      <c r="A1326" t="str">
        <f>""</f>
        <v/>
      </c>
      <c r="F1326" t="str">
        <f>""</f>
        <v/>
      </c>
      <c r="G1326" t="str">
        <f>""</f>
        <v/>
      </c>
      <c r="I1326" t="str">
        <f>"INV 1229313"</f>
        <v>INV 1229313</v>
      </c>
    </row>
    <row r="1327" spans="1:9" x14ac:dyDescent="0.3">
      <c r="A1327" t="str">
        <f>""</f>
        <v/>
      </c>
      <c r="F1327" t="str">
        <f>""</f>
        <v/>
      </c>
      <c r="G1327" t="str">
        <f>""</f>
        <v/>
      </c>
      <c r="I1327" t="str">
        <f>"INV 122003662"</f>
        <v>INV 122003662</v>
      </c>
    </row>
    <row r="1328" spans="1:9" x14ac:dyDescent="0.3">
      <c r="A1328" t="str">
        <f>"001015"</f>
        <v>001015</v>
      </c>
      <c r="B1328" t="s">
        <v>401</v>
      </c>
      <c r="C1328">
        <v>76938</v>
      </c>
      <c r="D1328" s="2">
        <v>924</v>
      </c>
      <c r="E1328" s="1">
        <v>43249</v>
      </c>
      <c r="F1328" t="str">
        <f>"1242967/1237609/12"</f>
        <v>1242967/1237609/12</v>
      </c>
      <c r="G1328" t="str">
        <f>"INV 1242967"</f>
        <v>INV 1242967</v>
      </c>
      <c r="H1328">
        <v>924</v>
      </c>
      <c r="I1328" t="str">
        <f>"INV 1242967"</f>
        <v>INV 1242967</v>
      </c>
    </row>
    <row r="1329" spans="1:9" x14ac:dyDescent="0.3">
      <c r="A1329" t="str">
        <f>""</f>
        <v/>
      </c>
      <c r="F1329" t="str">
        <f>""</f>
        <v/>
      </c>
      <c r="G1329" t="str">
        <f>""</f>
        <v/>
      </c>
      <c r="I1329" t="str">
        <f>"INV 1237609"</f>
        <v>INV 1237609</v>
      </c>
    </row>
    <row r="1330" spans="1:9" x14ac:dyDescent="0.3">
      <c r="A1330" t="str">
        <f>""</f>
        <v/>
      </c>
      <c r="F1330" t="str">
        <f>""</f>
        <v/>
      </c>
      <c r="G1330" t="str">
        <f>""</f>
        <v/>
      </c>
      <c r="I1330" t="str">
        <f>"INV 1246324"</f>
        <v>INV 1246324</v>
      </c>
    </row>
    <row r="1331" spans="1:9" x14ac:dyDescent="0.3">
      <c r="A1331" t="str">
        <f>""</f>
        <v/>
      </c>
      <c r="F1331" t="str">
        <f>""</f>
        <v/>
      </c>
      <c r="G1331" t="str">
        <f>""</f>
        <v/>
      </c>
      <c r="I1331" t="str">
        <f>"INV 1251449"</f>
        <v>INV 1251449</v>
      </c>
    </row>
    <row r="1332" spans="1:9" x14ac:dyDescent="0.3">
      <c r="A1332" t="str">
        <f>"T5769"</f>
        <v>T5769</v>
      </c>
      <c r="B1332" t="s">
        <v>402</v>
      </c>
      <c r="C1332">
        <v>76704</v>
      </c>
      <c r="D1332" s="2">
        <v>6373.39</v>
      </c>
      <c r="E1332" s="1">
        <v>43234</v>
      </c>
      <c r="F1332" t="str">
        <f>"9407025"</f>
        <v>9407025</v>
      </c>
      <c r="G1332" t="str">
        <f>"Bill# 9407025"</f>
        <v>Bill# 9407025</v>
      </c>
      <c r="H1332">
        <v>3530.58</v>
      </c>
      <c r="I1332" t="str">
        <f>"Ord# 123366536001"</f>
        <v>Ord# 123366536001</v>
      </c>
    </row>
    <row r="1333" spans="1:9" x14ac:dyDescent="0.3">
      <c r="A1333" t="str">
        <f>""</f>
        <v/>
      </c>
      <c r="F1333" t="str">
        <f>""</f>
        <v/>
      </c>
      <c r="G1333" t="str">
        <f>""</f>
        <v/>
      </c>
      <c r="I1333" t="str">
        <f>"Ord# 123367101001"</f>
        <v>Ord# 123367101001</v>
      </c>
    </row>
    <row r="1334" spans="1:9" x14ac:dyDescent="0.3">
      <c r="A1334" t="str">
        <f>""</f>
        <v/>
      </c>
      <c r="F1334" t="str">
        <f>""</f>
        <v/>
      </c>
      <c r="G1334" t="str">
        <f>""</f>
        <v/>
      </c>
      <c r="I1334" t="str">
        <f>"Ord# 124988840001"</f>
        <v>Ord# 124988840001</v>
      </c>
    </row>
    <row r="1335" spans="1:9" x14ac:dyDescent="0.3">
      <c r="A1335" t="str">
        <f>""</f>
        <v/>
      </c>
      <c r="F1335" t="str">
        <f>""</f>
        <v/>
      </c>
      <c r="G1335" t="str">
        <f>""</f>
        <v/>
      </c>
      <c r="I1335" t="str">
        <f>"Ord# 124989492001"</f>
        <v>Ord# 124989492001</v>
      </c>
    </row>
    <row r="1336" spans="1:9" x14ac:dyDescent="0.3">
      <c r="A1336" t="str">
        <f>""</f>
        <v/>
      </c>
      <c r="F1336" t="str">
        <f>""</f>
        <v/>
      </c>
      <c r="G1336" t="str">
        <f>""</f>
        <v/>
      </c>
      <c r="I1336" t="str">
        <f>"Ord# 128621718001"</f>
        <v>Ord# 128621718001</v>
      </c>
    </row>
    <row r="1337" spans="1:9" x14ac:dyDescent="0.3">
      <c r="A1337" t="str">
        <f>""</f>
        <v/>
      </c>
      <c r="F1337" t="str">
        <f>""</f>
        <v/>
      </c>
      <c r="G1337" t="str">
        <f>""</f>
        <v/>
      </c>
      <c r="I1337" t="str">
        <f>"Ord# 124040752001"</f>
        <v>Ord# 124040752001</v>
      </c>
    </row>
    <row r="1338" spans="1:9" x14ac:dyDescent="0.3">
      <c r="A1338" t="str">
        <f>""</f>
        <v/>
      </c>
      <c r="F1338" t="str">
        <f>""</f>
        <v/>
      </c>
      <c r="G1338" t="str">
        <f>""</f>
        <v/>
      </c>
      <c r="I1338" t="str">
        <f>"Ord# 124041444001"</f>
        <v>Ord# 124041444001</v>
      </c>
    </row>
    <row r="1339" spans="1:9" x14ac:dyDescent="0.3">
      <c r="A1339" t="str">
        <f>""</f>
        <v/>
      </c>
      <c r="F1339" t="str">
        <f>""</f>
        <v/>
      </c>
      <c r="G1339" t="str">
        <f>""</f>
        <v/>
      </c>
      <c r="I1339" t="str">
        <f>"Ord# 124806777001"</f>
        <v>Ord# 124806777001</v>
      </c>
    </row>
    <row r="1340" spans="1:9" x14ac:dyDescent="0.3">
      <c r="A1340" t="str">
        <f>""</f>
        <v/>
      </c>
      <c r="F1340" t="str">
        <f>""</f>
        <v/>
      </c>
      <c r="G1340" t="str">
        <f>""</f>
        <v/>
      </c>
      <c r="I1340" t="str">
        <f>"Ord# 128291540001"</f>
        <v>Ord# 128291540001</v>
      </c>
    </row>
    <row r="1341" spans="1:9" x14ac:dyDescent="0.3">
      <c r="A1341" t="str">
        <f>""</f>
        <v/>
      </c>
      <c r="F1341" t="str">
        <f>""</f>
        <v/>
      </c>
      <c r="G1341" t="str">
        <f>""</f>
        <v/>
      </c>
      <c r="I1341" t="str">
        <f>"Ord# 123330633001"</f>
        <v>Ord# 123330633001</v>
      </c>
    </row>
    <row r="1342" spans="1:9" x14ac:dyDescent="0.3">
      <c r="A1342" t="str">
        <f>""</f>
        <v/>
      </c>
      <c r="F1342" t="str">
        <f>""</f>
        <v/>
      </c>
      <c r="G1342" t="str">
        <f>""</f>
        <v/>
      </c>
      <c r="I1342" t="str">
        <f>"Ord# 123838392001"</f>
        <v>Ord# 123838392001</v>
      </c>
    </row>
    <row r="1343" spans="1:9" x14ac:dyDescent="0.3">
      <c r="A1343" t="str">
        <f>""</f>
        <v/>
      </c>
      <c r="F1343" t="str">
        <f>""</f>
        <v/>
      </c>
      <c r="G1343" t="str">
        <f>""</f>
        <v/>
      </c>
      <c r="I1343" t="str">
        <f>"Ord# 124017706001"</f>
        <v>Ord# 124017706001</v>
      </c>
    </row>
    <row r="1344" spans="1:9" x14ac:dyDescent="0.3">
      <c r="A1344" t="str">
        <f>""</f>
        <v/>
      </c>
      <c r="F1344" t="str">
        <f>""</f>
        <v/>
      </c>
      <c r="G1344" t="str">
        <f>""</f>
        <v/>
      </c>
      <c r="I1344" t="str">
        <f>"Ord# 111498390001"</f>
        <v>Ord# 111498390001</v>
      </c>
    </row>
    <row r="1345" spans="1:9" x14ac:dyDescent="0.3">
      <c r="A1345" t="str">
        <f>""</f>
        <v/>
      </c>
      <c r="F1345" t="str">
        <f>""</f>
        <v/>
      </c>
      <c r="G1345" t="str">
        <f>""</f>
        <v/>
      </c>
      <c r="I1345" t="str">
        <f>"Ord# 111565087001"</f>
        <v>Ord# 111565087001</v>
      </c>
    </row>
    <row r="1346" spans="1:9" x14ac:dyDescent="0.3">
      <c r="A1346" t="str">
        <f>""</f>
        <v/>
      </c>
      <c r="F1346" t="str">
        <f>""</f>
        <v/>
      </c>
      <c r="G1346" t="str">
        <f>""</f>
        <v/>
      </c>
      <c r="I1346" t="str">
        <f>"Ord# 12457093001"</f>
        <v>Ord# 12457093001</v>
      </c>
    </row>
    <row r="1347" spans="1:9" x14ac:dyDescent="0.3">
      <c r="A1347" t="str">
        <f>""</f>
        <v/>
      </c>
      <c r="F1347" t="str">
        <f>""</f>
        <v/>
      </c>
      <c r="G1347" t="str">
        <f>""</f>
        <v/>
      </c>
      <c r="I1347" t="str">
        <f>"Ord# 123457005001"</f>
        <v>Ord# 123457005001</v>
      </c>
    </row>
    <row r="1348" spans="1:9" x14ac:dyDescent="0.3">
      <c r="A1348" t="str">
        <f>""</f>
        <v/>
      </c>
      <c r="F1348" t="str">
        <f>""</f>
        <v/>
      </c>
      <c r="G1348" t="str">
        <f>""</f>
        <v/>
      </c>
      <c r="I1348" t="str">
        <f>"Ord# 123462441001"</f>
        <v>Ord# 123462441001</v>
      </c>
    </row>
    <row r="1349" spans="1:9" x14ac:dyDescent="0.3">
      <c r="A1349" t="str">
        <f>""</f>
        <v/>
      </c>
      <c r="F1349" t="str">
        <f>""</f>
        <v/>
      </c>
      <c r="G1349" t="str">
        <f>""</f>
        <v/>
      </c>
      <c r="I1349" t="str">
        <f>"Ord# 123462442001"</f>
        <v>Ord# 123462442001</v>
      </c>
    </row>
    <row r="1350" spans="1:9" x14ac:dyDescent="0.3">
      <c r="A1350" t="str">
        <f>""</f>
        <v/>
      </c>
      <c r="F1350" t="str">
        <f>""</f>
        <v/>
      </c>
      <c r="G1350" t="str">
        <f>""</f>
        <v/>
      </c>
      <c r="I1350" t="str">
        <f>"Ord# 123462443001"</f>
        <v>Ord# 123462443001</v>
      </c>
    </row>
    <row r="1351" spans="1:9" x14ac:dyDescent="0.3">
      <c r="A1351" t="str">
        <f>""</f>
        <v/>
      </c>
      <c r="F1351" t="str">
        <f>"9491153"</f>
        <v>9491153</v>
      </c>
      <c r="G1351" t="str">
        <f>"Bill# 9491153"</f>
        <v>Bill# 9491153</v>
      </c>
      <c r="H1351">
        <v>2842.81</v>
      </c>
      <c r="I1351" t="str">
        <f>"Ord# 126117838001"</f>
        <v>Ord# 126117838001</v>
      </c>
    </row>
    <row r="1352" spans="1:9" x14ac:dyDescent="0.3">
      <c r="A1352" t="str">
        <f>""</f>
        <v/>
      </c>
      <c r="F1352" t="str">
        <f>""</f>
        <v/>
      </c>
      <c r="G1352" t="str">
        <f>""</f>
        <v/>
      </c>
      <c r="I1352" t="str">
        <f>"Ord# 126118363001"</f>
        <v>Ord# 126118363001</v>
      </c>
    </row>
    <row r="1353" spans="1:9" x14ac:dyDescent="0.3">
      <c r="A1353" t="str">
        <f>""</f>
        <v/>
      </c>
      <c r="F1353" t="str">
        <f>""</f>
        <v/>
      </c>
      <c r="G1353" t="str">
        <f>""</f>
        <v/>
      </c>
      <c r="I1353" t="str">
        <f>"Ord# 126118363002"</f>
        <v>Ord# 126118363002</v>
      </c>
    </row>
    <row r="1354" spans="1:9" x14ac:dyDescent="0.3">
      <c r="A1354" t="str">
        <f>""</f>
        <v/>
      </c>
      <c r="F1354" t="str">
        <f>""</f>
        <v/>
      </c>
      <c r="G1354" t="str">
        <f>""</f>
        <v/>
      </c>
      <c r="I1354" t="str">
        <f>"Ord# 126118364001"</f>
        <v>Ord# 126118364001</v>
      </c>
    </row>
    <row r="1355" spans="1:9" x14ac:dyDescent="0.3">
      <c r="A1355" t="str">
        <f>""</f>
        <v/>
      </c>
      <c r="F1355" t="str">
        <f>""</f>
        <v/>
      </c>
      <c r="G1355" t="str">
        <f>""</f>
        <v/>
      </c>
      <c r="I1355" t="str">
        <f>"Ord# 131008923001"</f>
        <v>Ord# 131008923001</v>
      </c>
    </row>
    <row r="1356" spans="1:9" x14ac:dyDescent="0.3">
      <c r="A1356" t="str">
        <f>""</f>
        <v/>
      </c>
      <c r="F1356" t="str">
        <f>""</f>
        <v/>
      </c>
      <c r="G1356" t="str">
        <f>""</f>
        <v/>
      </c>
      <c r="I1356" t="str">
        <f>"Ord# 131009385001"</f>
        <v>Ord# 131009385001</v>
      </c>
    </row>
    <row r="1357" spans="1:9" x14ac:dyDescent="0.3">
      <c r="A1357" t="str">
        <f>""</f>
        <v/>
      </c>
      <c r="F1357" t="str">
        <f>""</f>
        <v/>
      </c>
      <c r="G1357" t="str">
        <f>""</f>
        <v/>
      </c>
      <c r="I1357" t="str">
        <f>"Ord# 131646346001"</f>
        <v>Ord# 131646346001</v>
      </c>
    </row>
    <row r="1358" spans="1:9" x14ac:dyDescent="0.3">
      <c r="A1358" t="str">
        <f>""</f>
        <v/>
      </c>
      <c r="F1358" t="str">
        <f>""</f>
        <v/>
      </c>
      <c r="G1358" t="str">
        <f>""</f>
        <v/>
      </c>
      <c r="I1358" t="str">
        <f>"Ord# 131646812001"</f>
        <v>Ord# 131646812001</v>
      </c>
    </row>
    <row r="1359" spans="1:9" x14ac:dyDescent="0.3">
      <c r="A1359" t="str">
        <f>""</f>
        <v/>
      </c>
      <c r="F1359" t="str">
        <f>""</f>
        <v/>
      </c>
      <c r="G1359" t="str">
        <f>""</f>
        <v/>
      </c>
      <c r="I1359" t="str">
        <f>"Ord# 131646813001"</f>
        <v>Ord# 131646813001</v>
      </c>
    </row>
    <row r="1360" spans="1:9" x14ac:dyDescent="0.3">
      <c r="A1360" t="str">
        <f>""</f>
        <v/>
      </c>
      <c r="F1360" t="str">
        <f>""</f>
        <v/>
      </c>
      <c r="G1360" t="str">
        <f>""</f>
        <v/>
      </c>
      <c r="I1360" t="str">
        <f>"Ord# 131646814001"</f>
        <v>Ord# 131646814001</v>
      </c>
    </row>
    <row r="1361" spans="1:9" x14ac:dyDescent="0.3">
      <c r="A1361" t="str">
        <f>""</f>
        <v/>
      </c>
      <c r="F1361" t="str">
        <f>""</f>
        <v/>
      </c>
      <c r="G1361" t="str">
        <f>""</f>
        <v/>
      </c>
      <c r="I1361" t="str">
        <f>"Ord# 134704240001"</f>
        <v>Ord# 134704240001</v>
      </c>
    </row>
    <row r="1362" spans="1:9" x14ac:dyDescent="0.3">
      <c r="A1362" t="str">
        <f>""</f>
        <v/>
      </c>
      <c r="F1362" t="str">
        <f>""</f>
        <v/>
      </c>
      <c r="G1362" t="str">
        <f>""</f>
        <v/>
      </c>
      <c r="I1362" t="str">
        <f>"Ord# 134705289001"</f>
        <v>Ord# 134705289001</v>
      </c>
    </row>
    <row r="1363" spans="1:9" x14ac:dyDescent="0.3">
      <c r="A1363" t="str">
        <f>""</f>
        <v/>
      </c>
      <c r="F1363" t="str">
        <f>""</f>
        <v/>
      </c>
      <c r="G1363" t="str">
        <f>""</f>
        <v/>
      </c>
      <c r="I1363" t="str">
        <f>"Ord# 130014432001"</f>
        <v>Ord# 130014432001</v>
      </c>
    </row>
    <row r="1364" spans="1:9" x14ac:dyDescent="0.3">
      <c r="A1364" t="str">
        <f>""</f>
        <v/>
      </c>
      <c r="F1364" t="str">
        <f>""</f>
        <v/>
      </c>
      <c r="G1364" t="str">
        <f>""</f>
        <v/>
      </c>
      <c r="I1364" t="str">
        <f>"Ord# 130017683001"</f>
        <v>Ord# 130017683001</v>
      </c>
    </row>
    <row r="1365" spans="1:9" x14ac:dyDescent="0.3">
      <c r="A1365" t="str">
        <f>""</f>
        <v/>
      </c>
      <c r="F1365" t="str">
        <f>""</f>
        <v/>
      </c>
      <c r="G1365" t="str">
        <f>""</f>
        <v/>
      </c>
      <c r="I1365" t="str">
        <f>"Ord# 130017684001"</f>
        <v>Ord# 130017684001</v>
      </c>
    </row>
    <row r="1366" spans="1:9" x14ac:dyDescent="0.3">
      <c r="A1366" t="str">
        <f>""</f>
        <v/>
      </c>
      <c r="F1366" t="str">
        <f>""</f>
        <v/>
      </c>
      <c r="G1366" t="str">
        <f>""</f>
        <v/>
      </c>
      <c r="I1366" t="str">
        <f>"Ord# 131309796001"</f>
        <v>Ord# 131309796001</v>
      </c>
    </row>
    <row r="1367" spans="1:9" x14ac:dyDescent="0.3">
      <c r="A1367" t="str">
        <f>""</f>
        <v/>
      </c>
      <c r="F1367" t="str">
        <f>""</f>
        <v/>
      </c>
      <c r="G1367" t="str">
        <f>""</f>
        <v/>
      </c>
      <c r="I1367" t="str">
        <f>"Ord# 131847699001"</f>
        <v>Ord# 131847699001</v>
      </c>
    </row>
    <row r="1368" spans="1:9" x14ac:dyDescent="0.3">
      <c r="A1368" t="str">
        <f>""</f>
        <v/>
      </c>
      <c r="F1368" t="str">
        <f>""</f>
        <v/>
      </c>
      <c r="G1368" t="str">
        <f>""</f>
        <v/>
      </c>
      <c r="I1368" t="str">
        <f>"Ord# 132188963001"</f>
        <v>Ord# 132188963001</v>
      </c>
    </row>
    <row r="1369" spans="1:9" x14ac:dyDescent="0.3">
      <c r="A1369" t="str">
        <f>""</f>
        <v/>
      </c>
      <c r="F1369" t="str">
        <f>""</f>
        <v/>
      </c>
      <c r="G1369" t="str">
        <f>""</f>
        <v/>
      </c>
      <c r="I1369" t="str">
        <f>"Ord# 133188241001"</f>
        <v>Ord# 133188241001</v>
      </c>
    </row>
    <row r="1370" spans="1:9" x14ac:dyDescent="0.3">
      <c r="A1370" t="str">
        <f>""</f>
        <v/>
      </c>
      <c r="F1370" t="str">
        <f>""</f>
        <v/>
      </c>
      <c r="G1370" t="str">
        <f>""</f>
        <v/>
      </c>
      <c r="I1370" t="str">
        <f>"Ord# 131240998001"</f>
        <v>Ord# 131240998001</v>
      </c>
    </row>
    <row r="1371" spans="1:9" x14ac:dyDescent="0.3">
      <c r="A1371" t="str">
        <f>""</f>
        <v/>
      </c>
      <c r="F1371" t="str">
        <f>""</f>
        <v/>
      </c>
      <c r="G1371" t="str">
        <f>""</f>
        <v/>
      </c>
      <c r="I1371" t="str">
        <f>"Ord# 131241671001"</f>
        <v>Ord# 131241671001</v>
      </c>
    </row>
    <row r="1372" spans="1:9" x14ac:dyDescent="0.3">
      <c r="A1372" t="str">
        <f>""</f>
        <v/>
      </c>
      <c r="F1372" t="str">
        <f>""</f>
        <v/>
      </c>
      <c r="G1372" t="str">
        <f>""</f>
        <v/>
      </c>
      <c r="I1372" t="str">
        <f>"Ord# 131241672001"</f>
        <v>Ord# 131241672001</v>
      </c>
    </row>
    <row r="1373" spans="1:9" x14ac:dyDescent="0.3">
      <c r="A1373" t="str">
        <f>""</f>
        <v/>
      </c>
      <c r="F1373" t="str">
        <f>""</f>
        <v/>
      </c>
      <c r="G1373" t="str">
        <f>""</f>
        <v/>
      </c>
      <c r="I1373" t="str">
        <f>"Ord# 128945503001"</f>
        <v>Ord# 128945503001</v>
      </c>
    </row>
    <row r="1374" spans="1:9" x14ac:dyDescent="0.3">
      <c r="A1374" t="str">
        <f>""</f>
        <v/>
      </c>
      <c r="F1374" t="str">
        <f>""</f>
        <v/>
      </c>
      <c r="G1374" t="str">
        <f>""</f>
        <v/>
      </c>
      <c r="I1374" t="str">
        <f>"Ord# 131640155001"</f>
        <v>Ord# 131640155001</v>
      </c>
    </row>
    <row r="1375" spans="1:9" x14ac:dyDescent="0.3">
      <c r="A1375" t="str">
        <f>""</f>
        <v/>
      </c>
      <c r="F1375" t="str">
        <f>""</f>
        <v/>
      </c>
      <c r="G1375" t="str">
        <f>""</f>
        <v/>
      </c>
      <c r="I1375" t="str">
        <f>"Ord# 131645397001"</f>
        <v>Ord# 131645397001</v>
      </c>
    </row>
    <row r="1376" spans="1:9" x14ac:dyDescent="0.3">
      <c r="A1376" t="str">
        <f>""</f>
        <v/>
      </c>
      <c r="F1376" t="str">
        <f>""</f>
        <v/>
      </c>
      <c r="G1376" t="str">
        <f>""</f>
        <v/>
      </c>
      <c r="I1376" t="str">
        <f>"Ord# 131645398001"</f>
        <v>Ord# 131645398001</v>
      </c>
    </row>
    <row r="1377" spans="1:9" x14ac:dyDescent="0.3">
      <c r="A1377" t="str">
        <f>""</f>
        <v/>
      </c>
      <c r="F1377" t="str">
        <f>""</f>
        <v/>
      </c>
      <c r="G1377" t="str">
        <f>""</f>
        <v/>
      </c>
      <c r="I1377" t="str">
        <f>"Ord# 131645398002"</f>
        <v>Ord# 131645398002</v>
      </c>
    </row>
    <row r="1378" spans="1:9" x14ac:dyDescent="0.3">
      <c r="A1378" t="str">
        <f>""</f>
        <v/>
      </c>
      <c r="F1378" t="str">
        <f>""</f>
        <v/>
      </c>
      <c r="G1378" t="str">
        <f>""</f>
        <v/>
      </c>
      <c r="I1378" t="str">
        <f>"Ord# 134394083001"</f>
        <v>Ord# 134394083001</v>
      </c>
    </row>
    <row r="1379" spans="1:9" x14ac:dyDescent="0.3">
      <c r="A1379" t="str">
        <f>""</f>
        <v/>
      </c>
      <c r="F1379" t="str">
        <f>""</f>
        <v/>
      </c>
      <c r="G1379" t="str">
        <f>""</f>
        <v/>
      </c>
      <c r="I1379" t="str">
        <f>"Ord# 130437697001"</f>
        <v>Ord# 130437697001</v>
      </c>
    </row>
    <row r="1380" spans="1:9" x14ac:dyDescent="0.3">
      <c r="A1380" t="str">
        <f>""</f>
        <v/>
      </c>
      <c r="F1380" t="str">
        <f>""</f>
        <v/>
      </c>
      <c r="G1380" t="str">
        <f>""</f>
        <v/>
      </c>
      <c r="I1380" t="str">
        <f>"Ord# 130775976001"</f>
        <v>Ord# 130775976001</v>
      </c>
    </row>
    <row r="1381" spans="1:9" x14ac:dyDescent="0.3">
      <c r="A1381" t="str">
        <f>""</f>
        <v/>
      </c>
      <c r="F1381" t="str">
        <f>""</f>
        <v/>
      </c>
      <c r="G1381" t="str">
        <f>""</f>
        <v/>
      </c>
      <c r="I1381" t="str">
        <f>"Ord# 130789078001"</f>
        <v>Ord# 130789078001</v>
      </c>
    </row>
    <row r="1382" spans="1:9" x14ac:dyDescent="0.3">
      <c r="A1382" t="str">
        <f>""</f>
        <v/>
      </c>
      <c r="F1382" t="str">
        <f>""</f>
        <v/>
      </c>
      <c r="G1382" t="str">
        <f>""</f>
        <v/>
      </c>
      <c r="I1382" t="str">
        <f>"Ord# 130789079001"</f>
        <v>Ord# 130789079001</v>
      </c>
    </row>
    <row r="1383" spans="1:9" x14ac:dyDescent="0.3">
      <c r="A1383" t="str">
        <f>""</f>
        <v/>
      </c>
      <c r="F1383" t="str">
        <f>""</f>
        <v/>
      </c>
      <c r="G1383" t="str">
        <f>""</f>
        <v/>
      </c>
      <c r="I1383" t="str">
        <f>"Ord# 13078908001"</f>
        <v>Ord# 13078908001</v>
      </c>
    </row>
    <row r="1384" spans="1:9" x14ac:dyDescent="0.3">
      <c r="A1384" t="str">
        <f>"T5769"</f>
        <v>T5769</v>
      </c>
      <c r="B1384" t="s">
        <v>402</v>
      </c>
      <c r="C1384">
        <v>76939</v>
      </c>
      <c r="D1384" s="2">
        <v>4239</v>
      </c>
      <c r="E1384" s="1">
        <v>43249</v>
      </c>
      <c r="F1384" t="str">
        <f>"BILL#9547256"</f>
        <v>BILL#9547256</v>
      </c>
      <c r="G1384" t="str">
        <f>"Bill# 9547256"</f>
        <v>Bill# 9547256</v>
      </c>
      <c r="H1384">
        <v>4239</v>
      </c>
      <c r="I1384" t="str">
        <f>"Ord# 135301344001"</f>
        <v>Ord# 135301344001</v>
      </c>
    </row>
    <row r="1385" spans="1:9" x14ac:dyDescent="0.3">
      <c r="A1385" t="str">
        <f>""</f>
        <v/>
      </c>
      <c r="F1385" t="str">
        <f>""</f>
        <v/>
      </c>
      <c r="G1385" t="str">
        <f>""</f>
        <v/>
      </c>
      <c r="I1385" t="str">
        <f>"Ord# 135303290001"</f>
        <v>Ord# 135303290001</v>
      </c>
    </row>
    <row r="1386" spans="1:9" x14ac:dyDescent="0.3">
      <c r="A1386" t="str">
        <f>""</f>
        <v/>
      </c>
      <c r="F1386" t="str">
        <f>""</f>
        <v/>
      </c>
      <c r="G1386" t="str">
        <f>""</f>
        <v/>
      </c>
      <c r="I1386" t="str">
        <f>"Ord# 135303291001"</f>
        <v>Ord# 135303291001</v>
      </c>
    </row>
    <row r="1387" spans="1:9" x14ac:dyDescent="0.3">
      <c r="A1387" t="str">
        <f>""</f>
        <v/>
      </c>
      <c r="F1387" t="str">
        <f>""</f>
        <v/>
      </c>
      <c r="G1387" t="str">
        <f>""</f>
        <v/>
      </c>
      <c r="I1387" t="str">
        <f>"Ord# 140286022001"</f>
        <v>Ord# 140286022001</v>
      </c>
    </row>
    <row r="1388" spans="1:9" x14ac:dyDescent="0.3">
      <c r="A1388" t="str">
        <f>""</f>
        <v/>
      </c>
      <c r="F1388" t="str">
        <f>""</f>
        <v/>
      </c>
      <c r="G1388" t="str">
        <f>""</f>
        <v/>
      </c>
      <c r="I1388" t="str">
        <f>"Ord# 140286859001"</f>
        <v>Ord# 140286859001</v>
      </c>
    </row>
    <row r="1389" spans="1:9" x14ac:dyDescent="0.3">
      <c r="A1389" t="str">
        <f>""</f>
        <v/>
      </c>
      <c r="F1389" t="str">
        <f>""</f>
        <v/>
      </c>
      <c r="G1389" t="str">
        <f>""</f>
        <v/>
      </c>
      <c r="I1389" t="str">
        <f>"Ord# 137382056001"</f>
        <v>Ord# 137382056001</v>
      </c>
    </row>
    <row r="1390" spans="1:9" x14ac:dyDescent="0.3">
      <c r="A1390" t="str">
        <f>""</f>
        <v/>
      </c>
      <c r="F1390" t="str">
        <f>""</f>
        <v/>
      </c>
      <c r="G1390" t="str">
        <f>""</f>
        <v/>
      </c>
      <c r="I1390" t="str">
        <f>"Ord# 137406680001"</f>
        <v>Ord# 137406680001</v>
      </c>
    </row>
    <row r="1391" spans="1:9" x14ac:dyDescent="0.3">
      <c r="A1391" t="str">
        <f>""</f>
        <v/>
      </c>
      <c r="F1391" t="str">
        <f>""</f>
        <v/>
      </c>
      <c r="G1391" t="str">
        <f>""</f>
        <v/>
      </c>
      <c r="I1391" t="str">
        <f>"Ord# 137406681001"</f>
        <v>Ord# 137406681001</v>
      </c>
    </row>
    <row r="1392" spans="1:9" x14ac:dyDescent="0.3">
      <c r="A1392" t="str">
        <f>""</f>
        <v/>
      </c>
      <c r="F1392" t="str">
        <f>""</f>
        <v/>
      </c>
      <c r="G1392" t="str">
        <f>""</f>
        <v/>
      </c>
      <c r="I1392" t="str">
        <f>"Ord# 140540263001"</f>
        <v>Ord# 140540263001</v>
      </c>
    </row>
    <row r="1393" spans="1:9" x14ac:dyDescent="0.3">
      <c r="A1393" t="str">
        <f>""</f>
        <v/>
      </c>
      <c r="F1393" t="str">
        <f>""</f>
        <v/>
      </c>
      <c r="G1393" t="str">
        <f>""</f>
        <v/>
      </c>
      <c r="I1393" t="str">
        <f>"Ord# 140541405001"</f>
        <v>Ord# 140541405001</v>
      </c>
    </row>
    <row r="1394" spans="1:9" x14ac:dyDescent="0.3">
      <c r="A1394" t="str">
        <f>""</f>
        <v/>
      </c>
      <c r="F1394" t="str">
        <f>""</f>
        <v/>
      </c>
      <c r="G1394" t="str">
        <f>""</f>
        <v/>
      </c>
      <c r="I1394" t="str">
        <f>"Ord# 135692015001"</f>
        <v>Ord# 135692015001</v>
      </c>
    </row>
    <row r="1395" spans="1:9" x14ac:dyDescent="0.3">
      <c r="A1395" t="str">
        <f>""</f>
        <v/>
      </c>
      <c r="F1395" t="str">
        <f>""</f>
        <v/>
      </c>
      <c r="G1395" t="str">
        <f>""</f>
        <v/>
      </c>
      <c r="I1395" t="str">
        <f>"Ord# 139592941001"</f>
        <v>Ord# 139592941001</v>
      </c>
    </row>
    <row r="1396" spans="1:9" x14ac:dyDescent="0.3">
      <c r="A1396" t="str">
        <f>""</f>
        <v/>
      </c>
      <c r="F1396" t="str">
        <f>""</f>
        <v/>
      </c>
      <c r="G1396" t="str">
        <f>""</f>
        <v/>
      </c>
      <c r="I1396" t="str">
        <f>"Ord# 139599456001"</f>
        <v>Ord# 139599456001</v>
      </c>
    </row>
    <row r="1397" spans="1:9" x14ac:dyDescent="0.3">
      <c r="A1397" t="str">
        <f>""</f>
        <v/>
      </c>
      <c r="F1397" t="str">
        <f>""</f>
        <v/>
      </c>
      <c r="G1397" t="str">
        <f>""</f>
        <v/>
      </c>
      <c r="I1397" t="str">
        <f>"Ord# 139599457001"</f>
        <v>Ord# 139599457001</v>
      </c>
    </row>
    <row r="1398" spans="1:9" x14ac:dyDescent="0.3">
      <c r="A1398" t="str">
        <f>""</f>
        <v/>
      </c>
      <c r="F1398" t="str">
        <f>""</f>
        <v/>
      </c>
      <c r="G1398" t="str">
        <f>""</f>
        <v/>
      </c>
      <c r="I1398" t="str">
        <f>"Ord# 135646088001"</f>
        <v>Ord# 135646088001</v>
      </c>
    </row>
    <row r="1399" spans="1:9" x14ac:dyDescent="0.3">
      <c r="A1399" t="str">
        <f>""</f>
        <v/>
      </c>
      <c r="F1399" t="str">
        <f>""</f>
        <v/>
      </c>
      <c r="G1399" t="str">
        <f>""</f>
        <v/>
      </c>
      <c r="I1399" t="str">
        <f>"Ord# 135178526"</f>
        <v>Ord# 135178526</v>
      </c>
    </row>
    <row r="1400" spans="1:9" x14ac:dyDescent="0.3">
      <c r="A1400" t="str">
        <f>""</f>
        <v/>
      </c>
      <c r="F1400" t="str">
        <f>""</f>
        <v/>
      </c>
      <c r="G1400" t="str">
        <f>""</f>
        <v/>
      </c>
      <c r="I1400" t="str">
        <f>"Ord# 135176634001"</f>
        <v>Ord# 135176634001</v>
      </c>
    </row>
    <row r="1401" spans="1:9" x14ac:dyDescent="0.3">
      <c r="A1401" t="str">
        <f>""</f>
        <v/>
      </c>
      <c r="F1401" t="str">
        <f>""</f>
        <v/>
      </c>
      <c r="G1401" t="str">
        <f>""</f>
        <v/>
      </c>
      <c r="I1401" t="str">
        <f>"Ord# 13537534001"</f>
        <v>Ord# 13537534001</v>
      </c>
    </row>
    <row r="1402" spans="1:9" x14ac:dyDescent="0.3">
      <c r="A1402" t="str">
        <f>""</f>
        <v/>
      </c>
      <c r="F1402" t="str">
        <f>""</f>
        <v/>
      </c>
      <c r="G1402" t="str">
        <f>""</f>
        <v/>
      </c>
      <c r="I1402" t="str">
        <f>"Ord# 138753580001"</f>
        <v>Ord# 138753580001</v>
      </c>
    </row>
    <row r="1403" spans="1:9" x14ac:dyDescent="0.3">
      <c r="A1403" t="str">
        <f>""</f>
        <v/>
      </c>
      <c r="F1403" t="str">
        <f>""</f>
        <v/>
      </c>
      <c r="G1403" t="str">
        <f>""</f>
        <v/>
      </c>
      <c r="I1403" t="str">
        <f>"Ord# 140091925001"</f>
        <v>Ord# 140091925001</v>
      </c>
    </row>
    <row r="1404" spans="1:9" x14ac:dyDescent="0.3">
      <c r="A1404" t="str">
        <f>""</f>
        <v/>
      </c>
      <c r="F1404" t="str">
        <f>""</f>
        <v/>
      </c>
      <c r="G1404" t="str">
        <f>""</f>
        <v/>
      </c>
      <c r="I1404" t="str">
        <f>"Ord# 140094157001"</f>
        <v>Ord# 140094157001</v>
      </c>
    </row>
    <row r="1405" spans="1:9" x14ac:dyDescent="0.3">
      <c r="A1405" t="str">
        <f>""</f>
        <v/>
      </c>
      <c r="F1405" t="str">
        <f>""</f>
        <v/>
      </c>
      <c r="G1405" t="str">
        <f>""</f>
        <v/>
      </c>
      <c r="I1405" t="str">
        <f>"Ord# 135713481001"</f>
        <v>Ord# 135713481001</v>
      </c>
    </row>
    <row r="1406" spans="1:9" x14ac:dyDescent="0.3">
      <c r="A1406" t="str">
        <f>""</f>
        <v/>
      </c>
      <c r="F1406" t="str">
        <f>""</f>
        <v/>
      </c>
      <c r="G1406" t="str">
        <f>""</f>
        <v/>
      </c>
      <c r="I1406" t="str">
        <f>"Ord# 1362177336001"</f>
        <v>Ord# 1362177336001</v>
      </c>
    </row>
    <row r="1407" spans="1:9" x14ac:dyDescent="0.3">
      <c r="A1407" t="str">
        <f>""</f>
        <v/>
      </c>
      <c r="F1407" t="str">
        <f>""</f>
        <v/>
      </c>
      <c r="G1407" t="str">
        <f>""</f>
        <v/>
      </c>
      <c r="I1407" t="str">
        <f>"Ord# 136217736001"</f>
        <v>Ord# 136217736001</v>
      </c>
    </row>
    <row r="1408" spans="1:9" x14ac:dyDescent="0.3">
      <c r="A1408" t="str">
        <f>""</f>
        <v/>
      </c>
      <c r="F1408" t="str">
        <f>""</f>
        <v/>
      </c>
      <c r="G1408" t="str">
        <f>""</f>
        <v/>
      </c>
      <c r="I1408" t="str">
        <f>"Ord# 13801416001"</f>
        <v>Ord# 13801416001</v>
      </c>
    </row>
    <row r="1409" spans="1:9" x14ac:dyDescent="0.3">
      <c r="A1409" t="str">
        <f>""</f>
        <v/>
      </c>
      <c r="F1409" t="str">
        <f>""</f>
        <v/>
      </c>
      <c r="G1409" t="str">
        <f>""</f>
        <v/>
      </c>
      <c r="I1409" t="str">
        <f>"Ord# 138019768001"</f>
        <v>Ord# 138019768001</v>
      </c>
    </row>
    <row r="1410" spans="1:9" x14ac:dyDescent="0.3">
      <c r="A1410" t="str">
        <f>""</f>
        <v/>
      </c>
      <c r="F1410" t="str">
        <f>""</f>
        <v/>
      </c>
      <c r="G1410" t="str">
        <f>""</f>
        <v/>
      </c>
      <c r="I1410" t="str">
        <f>"Ord# 138019769002"</f>
        <v>Ord# 138019769002</v>
      </c>
    </row>
    <row r="1411" spans="1:9" x14ac:dyDescent="0.3">
      <c r="A1411" t="str">
        <f>""</f>
        <v/>
      </c>
      <c r="F1411" t="str">
        <f>""</f>
        <v/>
      </c>
      <c r="G1411" t="str">
        <f>""</f>
        <v/>
      </c>
      <c r="I1411" t="str">
        <f>"Ord# 137136999001"</f>
        <v>Ord# 137136999001</v>
      </c>
    </row>
    <row r="1412" spans="1:9" x14ac:dyDescent="0.3">
      <c r="A1412" t="str">
        <f>""</f>
        <v/>
      </c>
      <c r="F1412" t="str">
        <f>""</f>
        <v/>
      </c>
      <c r="G1412" t="str">
        <f>""</f>
        <v/>
      </c>
      <c r="I1412" t="str">
        <f>"Ord# 137138185001"</f>
        <v>Ord# 137138185001</v>
      </c>
    </row>
    <row r="1413" spans="1:9" x14ac:dyDescent="0.3">
      <c r="A1413" t="str">
        <f>""</f>
        <v/>
      </c>
      <c r="F1413" t="str">
        <f>""</f>
        <v/>
      </c>
      <c r="G1413" t="str">
        <f>""</f>
        <v/>
      </c>
      <c r="I1413" t="str">
        <f>"Ord# 135301344001"</f>
        <v>Ord# 135301344001</v>
      </c>
    </row>
    <row r="1414" spans="1:9" x14ac:dyDescent="0.3">
      <c r="A1414" t="str">
        <f>""</f>
        <v/>
      </c>
      <c r="F1414" t="str">
        <f>""</f>
        <v/>
      </c>
      <c r="G1414" t="str">
        <f>""</f>
        <v/>
      </c>
      <c r="I1414" t="str">
        <f>"Ord# 135303289001"</f>
        <v>Ord# 135303289001</v>
      </c>
    </row>
    <row r="1415" spans="1:9" x14ac:dyDescent="0.3">
      <c r="A1415" t="str">
        <f>"T3548"</f>
        <v>T3548</v>
      </c>
      <c r="B1415" t="s">
        <v>403</v>
      </c>
      <c r="C1415">
        <v>76940</v>
      </c>
      <c r="D1415" s="2">
        <v>285</v>
      </c>
      <c r="E1415" s="1">
        <v>43249</v>
      </c>
      <c r="F1415" t="str">
        <f>"TRAINING-M.GARCIA"</f>
        <v>TRAINING-M.GARCIA</v>
      </c>
      <c r="G1415" t="str">
        <f>"M. GARCIA 06/18-06/19/18"</f>
        <v>M. GARCIA 06/18-06/19/18</v>
      </c>
      <c r="H1415">
        <v>285</v>
      </c>
      <c r="I1415" t="str">
        <f>"M. GARCIA 06/18-06/19/18"</f>
        <v>M. GARCIA 06/18-06/19/18</v>
      </c>
    </row>
    <row r="1416" spans="1:9" x14ac:dyDescent="0.3">
      <c r="A1416" t="str">
        <f>"T3313"</f>
        <v>T3313</v>
      </c>
      <c r="B1416" t="s">
        <v>404</v>
      </c>
      <c r="C1416">
        <v>76941</v>
      </c>
      <c r="D1416" s="2">
        <v>1656</v>
      </c>
      <c r="E1416" s="1">
        <v>43249</v>
      </c>
      <c r="F1416" t="str">
        <f>"354738"</f>
        <v>354738</v>
      </c>
      <c r="G1416" t="str">
        <f>"INV# 354738"</f>
        <v>INV# 354738</v>
      </c>
      <c r="H1416">
        <v>1656</v>
      </c>
      <c r="I1416" t="str">
        <f>"Payment"</f>
        <v>Payment</v>
      </c>
    </row>
    <row r="1417" spans="1:9" x14ac:dyDescent="0.3">
      <c r="A1417" t="str">
        <f>"004879"</f>
        <v>004879</v>
      </c>
      <c r="B1417" t="s">
        <v>405</v>
      </c>
      <c r="C1417">
        <v>76942</v>
      </c>
      <c r="D1417" s="2">
        <v>4947.25</v>
      </c>
      <c r="E1417" s="1">
        <v>43249</v>
      </c>
      <c r="F1417" t="str">
        <f>"200668659"</f>
        <v>200668659</v>
      </c>
      <c r="G1417" t="str">
        <f>"CUST#255120/COLD MIX/PCT#2"</f>
        <v>CUST#255120/COLD MIX/PCT#2</v>
      </c>
      <c r="H1417">
        <v>4947.25</v>
      </c>
      <c r="I1417" t="str">
        <f>"CUST#255120/COLD MIX/PCT#2"</f>
        <v>CUST#255120/COLD MIX/PCT#2</v>
      </c>
    </row>
    <row r="1418" spans="1:9" x14ac:dyDescent="0.3">
      <c r="A1418" t="str">
        <f>"004309"</f>
        <v>004309</v>
      </c>
      <c r="B1418" t="s">
        <v>406</v>
      </c>
      <c r="C1418">
        <v>76943</v>
      </c>
      <c r="D1418" s="2">
        <v>482.28</v>
      </c>
      <c r="E1418" s="1">
        <v>43249</v>
      </c>
      <c r="F1418" t="str">
        <f>"N1045721"</f>
        <v>N1045721</v>
      </c>
      <c r="G1418" t="str">
        <f>"INV ORDER N1045721"</f>
        <v>INV ORDER N1045721</v>
      </c>
      <c r="H1418">
        <v>482.28</v>
      </c>
      <c r="I1418" t="str">
        <f>"INV ORDER N1045721"</f>
        <v>INV ORDER N1045721</v>
      </c>
    </row>
    <row r="1419" spans="1:9" x14ac:dyDescent="0.3">
      <c r="A1419" t="str">
        <f>"OMNIBA"</f>
        <v>OMNIBA</v>
      </c>
      <c r="B1419" t="s">
        <v>407</v>
      </c>
      <c r="C1419">
        <v>76944</v>
      </c>
      <c r="D1419" s="2">
        <v>468</v>
      </c>
      <c r="E1419" s="1">
        <v>43249</v>
      </c>
      <c r="F1419" t="str">
        <f>"118-002011"</f>
        <v>118-002011</v>
      </c>
      <c r="G1419" t="str">
        <f>"1ST QTR ACTIVITY/PCT#2"</f>
        <v>1ST QTR ACTIVITY/PCT#2</v>
      </c>
      <c r="H1419">
        <v>468</v>
      </c>
      <c r="I1419" t="str">
        <f>"1ST QTR ACTIVITY/PCT#2"</f>
        <v>1ST QTR ACTIVITY/PCT#2</v>
      </c>
    </row>
    <row r="1420" spans="1:9" x14ac:dyDescent="0.3">
      <c r="A1420" t="str">
        <f>"OP"</f>
        <v>OP</v>
      </c>
      <c r="B1420" t="s">
        <v>408</v>
      </c>
      <c r="C1420">
        <v>76945</v>
      </c>
      <c r="D1420" s="2">
        <v>120</v>
      </c>
      <c r="E1420" s="1">
        <v>43249</v>
      </c>
      <c r="F1420" t="str">
        <f>"17526"</f>
        <v>17526</v>
      </c>
      <c r="G1420" t="str">
        <f>"CHECK TOILET/LABOR/ANNEX BLDG"</f>
        <v>CHECK TOILET/LABOR/ANNEX BLDG</v>
      </c>
      <c r="H1420">
        <v>120</v>
      </c>
      <c r="I1420" t="str">
        <f>"CHECK TOILET/LABOR/ANNEX BLDG"</f>
        <v>CHECK TOILET/LABOR/ANNEX BLDG</v>
      </c>
    </row>
    <row r="1421" spans="1:9" x14ac:dyDescent="0.3">
      <c r="A1421" t="str">
        <f>"005152"</f>
        <v>005152</v>
      </c>
      <c r="B1421" t="s">
        <v>409</v>
      </c>
      <c r="C1421">
        <v>76946</v>
      </c>
      <c r="D1421" s="2">
        <v>378</v>
      </c>
      <c r="E1421" s="1">
        <v>43249</v>
      </c>
      <c r="F1421" t="str">
        <f>"251815"</f>
        <v>251815</v>
      </c>
      <c r="G1421" t="str">
        <f>"COVERED BLANK  12 X 6"</f>
        <v>COVERED BLANK  12 X 6</v>
      </c>
      <c r="H1421">
        <v>378</v>
      </c>
      <c r="I1421" t="str">
        <f>"CB1S 12 X 6 HREC IV"</f>
        <v>CB1S 12 X 6 HREC IV</v>
      </c>
    </row>
    <row r="1422" spans="1:9" x14ac:dyDescent="0.3">
      <c r="A1422" t="str">
        <f>"004123"</f>
        <v>004123</v>
      </c>
      <c r="B1422" t="s">
        <v>410</v>
      </c>
      <c r="C1422">
        <v>76705</v>
      </c>
      <c r="D1422" s="2">
        <v>100.28</v>
      </c>
      <c r="E1422" s="1">
        <v>43234</v>
      </c>
      <c r="F1422" t="str">
        <f>"201804250461"</f>
        <v>201804250461</v>
      </c>
      <c r="G1422" t="str">
        <f>"MILEAGE REIMBURSEMENT"</f>
        <v>MILEAGE REIMBURSEMENT</v>
      </c>
      <c r="H1422">
        <v>100.28</v>
      </c>
      <c r="I1422" t="str">
        <f>"MILEAGE REIMBURSEMENT"</f>
        <v>MILEAGE REIMBURSEMENT</v>
      </c>
    </row>
    <row r="1423" spans="1:9" x14ac:dyDescent="0.3">
      <c r="A1423" t="str">
        <f>"005521"</f>
        <v>005521</v>
      </c>
      <c r="B1423" t="s">
        <v>411</v>
      </c>
      <c r="C1423">
        <v>76706</v>
      </c>
      <c r="D1423" s="2">
        <v>157.65</v>
      </c>
      <c r="E1423" s="1">
        <v>43234</v>
      </c>
      <c r="F1423" t="str">
        <f>"201804250457"</f>
        <v>201804250457</v>
      </c>
      <c r="G1423" t="str">
        <f>"LODGING-CONFERENCE"</f>
        <v>LODGING-CONFERENCE</v>
      </c>
      <c r="H1423">
        <v>157.65</v>
      </c>
      <c r="I1423" t="str">
        <f>"LODGING-CONFERENCE"</f>
        <v>LODGING-CONFERENCE</v>
      </c>
    </row>
    <row r="1424" spans="1:9" x14ac:dyDescent="0.3">
      <c r="A1424" t="str">
        <f>"PAIGE"</f>
        <v>PAIGE</v>
      </c>
      <c r="B1424" t="s">
        <v>412</v>
      </c>
      <c r="C1424">
        <v>76707</v>
      </c>
      <c r="D1424" s="2">
        <v>741.51</v>
      </c>
      <c r="E1424" s="1">
        <v>43234</v>
      </c>
      <c r="F1424" t="str">
        <f>"201805010481"</f>
        <v>201805010481</v>
      </c>
      <c r="G1424" t="str">
        <f>"TRIMMER/GEN SVCS"</f>
        <v>TRIMMER/GEN SVCS</v>
      </c>
      <c r="H1424">
        <v>479.98</v>
      </c>
      <c r="I1424" t="str">
        <f>"TRIMMER/GEN SVCS"</f>
        <v>TRIMMER/GEN SVCS</v>
      </c>
    </row>
    <row r="1425" spans="1:9" x14ac:dyDescent="0.3">
      <c r="A1425" t="str">
        <f>""</f>
        <v/>
      </c>
      <c r="F1425" t="str">
        <f>"60844"</f>
        <v>60844</v>
      </c>
      <c r="G1425" t="str">
        <f>"USED MOWER/PCT#2"</f>
        <v>USED MOWER/PCT#2</v>
      </c>
      <c r="H1425">
        <v>100</v>
      </c>
      <c r="I1425" t="str">
        <f>"USED MOWER/PCT#2"</f>
        <v>USED MOWER/PCT#2</v>
      </c>
    </row>
    <row r="1426" spans="1:9" x14ac:dyDescent="0.3">
      <c r="A1426" t="str">
        <f>""</f>
        <v/>
      </c>
      <c r="F1426" t="str">
        <f>"QUOTE 4/12/18"</f>
        <v>QUOTE 4/12/18</v>
      </c>
      <c r="G1426" t="str">
        <f>"CARBURETOR/FUEL/LABOR/GEN SVCS"</f>
        <v>CARBURETOR/FUEL/LABOR/GEN SVCS</v>
      </c>
      <c r="H1426">
        <v>161.53</v>
      </c>
      <c r="I1426" t="str">
        <f>"CARBURETOR/FUEL/LABOR/GEN SVCS"</f>
        <v>CARBURETOR/FUEL/LABOR/GEN SVCS</v>
      </c>
    </row>
    <row r="1427" spans="1:9" x14ac:dyDescent="0.3">
      <c r="A1427" t="str">
        <f>"PAIGE"</f>
        <v>PAIGE</v>
      </c>
      <c r="B1427" t="s">
        <v>412</v>
      </c>
      <c r="C1427">
        <v>76947</v>
      </c>
      <c r="D1427" s="2">
        <v>32.97</v>
      </c>
      <c r="E1427" s="1">
        <v>43249</v>
      </c>
      <c r="F1427" t="str">
        <f>"61163"</f>
        <v>61163</v>
      </c>
      <c r="G1427" t="str">
        <f>"SMV SIGN/PCT#4"</f>
        <v>SMV SIGN/PCT#4</v>
      </c>
      <c r="H1427">
        <v>32.97</v>
      </c>
      <c r="I1427" t="str">
        <f>"SMV SIGN/PCT#4"</f>
        <v>SMV SIGN/PCT#4</v>
      </c>
    </row>
    <row r="1428" spans="1:9" x14ac:dyDescent="0.3">
      <c r="A1428" t="str">
        <f>"003566"</f>
        <v>003566</v>
      </c>
      <c r="B1428" t="s">
        <v>413</v>
      </c>
      <c r="C1428">
        <v>76708</v>
      </c>
      <c r="D1428" s="2">
        <v>912.58</v>
      </c>
      <c r="E1428" s="1">
        <v>43234</v>
      </c>
      <c r="F1428" t="str">
        <f>"201805040780"</f>
        <v>201805040780</v>
      </c>
      <c r="G1428" t="str">
        <f>"ACCT#1137/PCT#4"</f>
        <v>ACCT#1137/PCT#4</v>
      </c>
      <c r="H1428">
        <v>912.58</v>
      </c>
      <c r="I1428" t="str">
        <f>"ACCT#1137/PCT#4"</f>
        <v>ACCT#1137/PCT#4</v>
      </c>
    </row>
    <row r="1429" spans="1:9" x14ac:dyDescent="0.3">
      <c r="A1429" t="str">
        <f>"T5411"</f>
        <v>T5411</v>
      </c>
      <c r="B1429" t="s">
        <v>414</v>
      </c>
      <c r="C1429">
        <v>76948</v>
      </c>
      <c r="D1429" s="2">
        <v>244.8</v>
      </c>
      <c r="E1429" s="1">
        <v>43249</v>
      </c>
      <c r="F1429" t="str">
        <f>"027165"</f>
        <v>027165</v>
      </c>
      <c r="G1429" t="str">
        <f>"Avery Vinyl"</f>
        <v>Avery Vinyl</v>
      </c>
      <c r="H1429">
        <v>244.8</v>
      </c>
      <c r="I1429" t="str">
        <f>"Avery Vinyl"</f>
        <v>Avery Vinyl</v>
      </c>
    </row>
    <row r="1430" spans="1:9" x14ac:dyDescent="0.3">
      <c r="A1430" t="str">
        <f>"WEBSTE"</f>
        <v>WEBSTE</v>
      </c>
      <c r="B1430" t="s">
        <v>415</v>
      </c>
      <c r="C1430">
        <v>76709</v>
      </c>
      <c r="D1430" s="2">
        <v>3666.9</v>
      </c>
      <c r="E1430" s="1">
        <v>43234</v>
      </c>
      <c r="F1430" t="str">
        <f>"201805090979"</f>
        <v>201805090979</v>
      </c>
      <c r="G1430" t="str">
        <f>"ACCT#0200140783/BCAS"</f>
        <v>ACCT#0200140783/BCAS</v>
      </c>
      <c r="H1430">
        <v>3666.9</v>
      </c>
      <c r="I1430" t="str">
        <f>"ACCT#0200140783/BCAS"</f>
        <v>ACCT#0200140783/BCAS</v>
      </c>
    </row>
    <row r="1431" spans="1:9" x14ac:dyDescent="0.3">
      <c r="A1431" t="str">
        <f>""</f>
        <v/>
      </c>
      <c r="F1431" t="str">
        <f>""</f>
        <v/>
      </c>
      <c r="G1431" t="str">
        <f>""</f>
        <v/>
      </c>
      <c r="I1431" t="str">
        <f>"ACCT#0200140783/BCAS"</f>
        <v>ACCT#0200140783/BCAS</v>
      </c>
    </row>
    <row r="1432" spans="1:9" x14ac:dyDescent="0.3">
      <c r="A1432" t="str">
        <f>""</f>
        <v/>
      </c>
      <c r="F1432" t="str">
        <f>""</f>
        <v/>
      </c>
      <c r="G1432" t="str">
        <f>""</f>
        <v/>
      </c>
      <c r="I1432" t="str">
        <f>"ACCT#0200140783/BCAS"</f>
        <v>ACCT#0200140783/BCAS</v>
      </c>
    </row>
    <row r="1433" spans="1:9" x14ac:dyDescent="0.3">
      <c r="A1433" t="str">
        <f>"002963"</f>
        <v>002963</v>
      </c>
      <c r="B1433" t="s">
        <v>416</v>
      </c>
      <c r="C1433">
        <v>76949</v>
      </c>
      <c r="D1433" s="2">
        <v>37.840000000000003</v>
      </c>
      <c r="E1433" s="1">
        <v>43249</v>
      </c>
      <c r="F1433" t="str">
        <f>"201805221105"</f>
        <v>201805221105</v>
      </c>
      <c r="G1433" t="str">
        <f>"REIMBURSE MEALS/PARKING"</f>
        <v>REIMBURSE MEALS/PARKING</v>
      </c>
      <c r="H1433">
        <v>37.840000000000003</v>
      </c>
      <c r="I1433" t="str">
        <f>"REIMBURSE MEALS/PARKING"</f>
        <v>REIMBURSE MEALS/PARKING</v>
      </c>
    </row>
    <row r="1434" spans="1:9" x14ac:dyDescent="0.3">
      <c r="A1434" t="str">
        <f>"PET"</f>
        <v>PET</v>
      </c>
      <c r="B1434" t="s">
        <v>417</v>
      </c>
      <c r="C1434">
        <v>76710</v>
      </c>
      <c r="D1434" s="2">
        <v>1645.7</v>
      </c>
      <c r="E1434" s="1">
        <v>43234</v>
      </c>
      <c r="F1434" t="str">
        <f>"SIUN11635008"</f>
        <v>SIUN11635008</v>
      </c>
      <c r="G1434" t="str">
        <f>"CUST#CUN000000233/ANIMAL CONT"</f>
        <v>CUST#CUN000000233/ANIMAL CONT</v>
      </c>
      <c r="H1434">
        <v>1587.5</v>
      </c>
      <c r="I1434" t="str">
        <f>"CUST#CUN000000233/ANIMAL CONT"</f>
        <v>CUST#CUN000000233/ANIMAL CONT</v>
      </c>
    </row>
    <row r="1435" spans="1:9" x14ac:dyDescent="0.3">
      <c r="A1435" t="str">
        <f>""</f>
        <v/>
      </c>
      <c r="F1435" t="str">
        <f>"SIUN11664589"</f>
        <v>SIUN11664589</v>
      </c>
      <c r="G1435" t="str">
        <f>"ACCT#CUN000000233/BCAS"</f>
        <v>ACCT#CUN000000233/BCAS</v>
      </c>
      <c r="H1435">
        <v>58.2</v>
      </c>
      <c r="I1435" t="str">
        <f>"ACCT#CUN000000233/BCAS"</f>
        <v>ACCT#CUN000000233/BCAS</v>
      </c>
    </row>
    <row r="1436" spans="1:9" x14ac:dyDescent="0.3">
      <c r="A1436" t="str">
        <f>"000192"</f>
        <v>000192</v>
      </c>
      <c r="B1436" t="s">
        <v>418</v>
      </c>
      <c r="C1436">
        <v>76711</v>
      </c>
      <c r="D1436" s="2">
        <v>125</v>
      </c>
      <c r="E1436" s="1">
        <v>43234</v>
      </c>
      <c r="F1436" t="str">
        <f>"201804250462"</f>
        <v>201804250462</v>
      </c>
      <c r="G1436" t="str">
        <f>"REIMBURSEMENT-TEX BOARD FEES"</f>
        <v>REIMBURSEMENT-TEX BOARD FEES</v>
      </c>
      <c r="H1436">
        <v>125</v>
      </c>
      <c r="I1436" t="str">
        <f>"REIMBURSEMENT-TEX BOARD FEES"</f>
        <v>REIMBURSEMENT-TEX BOARD FEES</v>
      </c>
    </row>
    <row r="1437" spans="1:9" x14ac:dyDescent="0.3">
      <c r="A1437" t="str">
        <f>"PRD"</f>
        <v>PRD</v>
      </c>
      <c r="B1437" t="s">
        <v>419</v>
      </c>
      <c r="C1437">
        <v>999999</v>
      </c>
      <c r="D1437" s="2">
        <v>3792</v>
      </c>
      <c r="E1437" s="1">
        <v>43235</v>
      </c>
      <c r="F1437" t="str">
        <f>"201805040830"</f>
        <v>201805040830</v>
      </c>
      <c r="G1437" t="str">
        <f>"J-3139"</f>
        <v>J-3139</v>
      </c>
      <c r="H1437">
        <v>250</v>
      </c>
      <c r="I1437" t="str">
        <f>"J-3139"</f>
        <v>J-3139</v>
      </c>
    </row>
    <row r="1438" spans="1:9" x14ac:dyDescent="0.3">
      <c r="A1438" t="str">
        <f>""</f>
        <v/>
      </c>
      <c r="F1438" t="str">
        <f>"201805040831"</f>
        <v>201805040831</v>
      </c>
      <c r="G1438" t="str">
        <f>"17-18617"</f>
        <v>17-18617</v>
      </c>
      <c r="H1438">
        <v>302</v>
      </c>
      <c r="I1438" t="str">
        <f>"17-18617"</f>
        <v>17-18617</v>
      </c>
    </row>
    <row r="1439" spans="1:9" x14ac:dyDescent="0.3">
      <c r="A1439" t="str">
        <f>""</f>
        <v/>
      </c>
      <c r="F1439" t="str">
        <f>"201805040832"</f>
        <v>201805040832</v>
      </c>
      <c r="G1439" t="str">
        <f>"18-18992"</f>
        <v>18-18992</v>
      </c>
      <c r="H1439">
        <v>405</v>
      </c>
      <c r="I1439" t="str">
        <f>"18-18992"</f>
        <v>18-18992</v>
      </c>
    </row>
    <row r="1440" spans="1:9" x14ac:dyDescent="0.3">
      <c r="A1440" t="str">
        <f>""</f>
        <v/>
      </c>
      <c r="F1440" t="str">
        <f>"201805040833"</f>
        <v>201805040833</v>
      </c>
      <c r="G1440" t="str">
        <f>"17-18119"</f>
        <v>17-18119</v>
      </c>
      <c r="H1440">
        <v>670</v>
      </c>
      <c r="I1440" t="str">
        <f>"17-18119"</f>
        <v>17-18119</v>
      </c>
    </row>
    <row r="1441" spans="1:9" x14ac:dyDescent="0.3">
      <c r="A1441" t="str">
        <f>""</f>
        <v/>
      </c>
      <c r="F1441" t="str">
        <f>"201805090933"</f>
        <v>201805090933</v>
      </c>
      <c r="G1441" t="str">
        <f>"17-18493"</f>
        <v>17-18493</v>
      </c>
      <c r="H1441">
        <v>445</v>
      </c>
      <c r="I1441" t="str">
        <f>"17-18493"</f>
        <v>17-18493</v>
      </c>
    </row>
    <row r="1442" spans="1:9" x14ac:dyDescent="0.3">
      <c r="A1442" t="str">
        <f>""</f>
        <v/>
      </c>
      <c r="F1442" t="str">
        <f>"201805090934"</f>
        <v>201805090934</v>
      </c>
      <c r="G1442" t="str">
        <f>"18-18992"</f>
        <v>18-18992</v>
      </c>
      <c r="H1442">
        <v>550</v>
      </c>
      <c r="I1442" t="str">
        <f>"18-18992"</f>
        <v>18-18992</v>
      </c>
    </row>
    <row r="1443" spans="1:9" x14ac:dyDescent="0.3">
      <c r="A1443" t="str">
        <f>""</f>
        <v/>
      </c>
      <c r="F1443" t="str">
        <f>"201805090935"</f>
        <v>201805090935</v>
      </c>
      <c r="G1443" t="str">
        <f>"17-18718"</f>
        <v>17-18718</v>
      </c>
      <c r="H1443">
        <v>423</v>
      </c>
      <c r="I1443" t="str">
        <f>"17-18718"</f>
        <v>17-18718</v>
      </c>
    </row>
    <row r="1444" spans="1:9" x14ac:dyDescent="0.3">
      <c r="A1444" t="str">
        <f>""</f>
        <v/>
      </c>
      <c r="F1444" t="str">
        <f>"201805090938"</f>
        <v>201805090938</v>
      </c>
      <c r="G1444" t="str">
        <f>"J-3136"</f>
        <v>J-3136</v>
      </c>
      <c r="H1444">
        <v>250</v>
      </c>
      <c r="I1444" t="str">
        <f>"J-3136"</f>
        <v>J-3136</v>
      </c>
    </row>
    <row r="1445" spans="1:9" x14ac:dyDescent="0.3">
      <c r="A1445" t="str">
        <f>""</f>
        <v/>
      </c>
      <c r="F1445" t="str">
        <f>"201805090939"</f>
        <v>201805090939</v>
      </c>
      <c r="G1445" t="str">
        <f>"18-18908"</f>
        <v>18-18908</v>
      </c>
      <c r="H1445">
        <v>497</v>
      </c>
      <c r="I1445" t="str">
        <f>"18-18908"</f>
        <v>18-18908</v>
      </c>
    </row>
    <row r="1446" spans="1:9" x14ac:dyDescent="0.3">
      <c r="A1446" t="str">
        <f>"PRD"</f>
        <v>PRD</v>
      </c>
      <c r="B1446" t="s">
        <v>419</v>
      </c>
      <c r="C1446">
        <v>999999</v>
      </c>
      <c r="D1446" s="2">
        <v>700</v>
      </c>
      <c r="E1446" s="1">
        <v>43250</v>
      </c>
      <c r="F1446" t="str">
        <f>"201805221140"</f>
        <v>201805221140</v>
      </c>
      <c r="G1446" t="str">
        <f>"BISD 18BO063"</f>
        <v>BISD 18BO063</v>
      </c>
      <c r="H1446">
        <v>100</v>
      </c>
      <c r="I1446" t="str">
        <f>"BISD 18BO063"</f>
        <v>BISD 18BO063</v>
      </c>
    </row>
    <row r="1447" spans="1:9" x14ac:dyDescent="0.3">
      <c r="A1447" t="str">
        <f>""</f>
        <v/>
      </c>
      <c r="F1447" t="str">
        <f>"201805221141"</f>
        <v>201805221141</v>
      </c>
      <c r="G1447" t="str">
        <f>"18-B-0067"</f>
        <v>18-B-0067</v>
      </c>
      <c r="H1447">
        <v>100</v>
      </c>
      <c r="I1447" t="str">
        <f>"18-B-0067"</f>
        <v>18-B-0067</v>
      </c>
    </row>
    <row r="1448" spans="1:9" x14ac:dyDescent="0.3">
      <c r="A1448" t="str">
        <f>""</f>
        <v/>
      </c>
      <c r="F1448" t="str">
        <f>"201805231152"</f>
        <v>201805231152</v>
      </c>
      <c r="G1448" t="str">
        <f>"55484"</f>
        <v>55484</v>
      </c>
      <c r="H1448">
        <v>250</v>
      </c>
      <c r="I1448" t="str">
        <f>"55484"</f>
        <v>55484</v>
      </c>
    </row>
    <row r="1449" spans="1:9" x14ac:dyDescent="0.3">
      <c r="A1449" t="str">
        <f>""</f>
        <v/>
      </c>
      <c r="F1449" t="str">
        <f>"201805231165"</f>
        <v>201805231165</v>
      </c>
      <c r="G1449" t="str">
        <f>"55890"</f>
        <v>55890</v>
      </c>
      <c r="H1449">
        <v>250</v>
      </c>
      <c r="I1449" t="str">
        <f>"55890"</f>
        <v>55890</v>
      </c>
    </row>
    <row r="1450" spans="1:9" x14ac:dyDescent="0.3">
      <c r="A1450" t="str">
        <f>"003293"</f>
        <v>003293</v>
      </c>
      <c r="B1450" t="s">
        <v>420</v>
      </c>
      <c r="C1450">
        <v>76712</v>
      </c>
      <c r="D1450" s="2">
        <v>1000</v>
      </c>
      <c r="E1450" s="1">
        <v>43234</v>
      </c>
      <c r="F1450" t="str">
        <f>"201805040834"</f>
        <v>201805040834</v>
      </c>
      <c r="G1450" t="str">
        <f>"55 889"</f>
        <v>55 889</v>
      </c>
      <c r="H1450">
        <v>250</v>
      </c>
      <c r="I1450" t="str">
        <f>"55 889"</f>
        <v>55 889</v>
      </c>
    </row>
    <row r="1451" spans="1:9" x14ac:dyDescent="0.3">
      <c r="A1451" t="str">
        <f>""</f>
        <v/>
      </c>
      <c r="F1451" t="str">
        <f>"201805040835"</f>
        <v>201805040835</v>
      </c>
      <c r="G1451" t="str">
        <f>"54 020"</f>
        <v>54 020</v>
      </c>
      <c r="H1451">
        <v>250</v>
      </c>
      <c r="I1451" t="str">
        <f>"54 020"</f>
        <v>54 020</v>
      </c>
    </row>
    <row r="1452" spans="1:9" x14ac:dyDescent="0.3">
      <c r="A1452" t="str">
        <f>""</f>
        <v/>
      </c>
      <c r="F1452" t="str">
        <f>"201805040836"</f>
        <v>201805040836</v>
      </c>
      <c r="G1452" t="str">
        <f>"55 879"</f>
        <v>55 879</v>
      </c>
      <c r="H1452">
        <v>250</v>
      </c>
      <c r="I1452" t="str">
        <f>"55 879"</f>
        <v>55 879</v>
      </c>
    </row>
    <row r="1453" spans="1:9" x14ac:dyDescent="0.3">
      <c r="A1453" t="str">
        <f>""</f>
        <v/>
      </c>
      <c r="F1453" t="str">
        <f>"201805040837"</f>
        <v>201805040837</v>
      </c>
      <c r="G1453" t="str">
        <f>"55 885"</f>
        <v>55 885</v>
      </c>
      <c r="H1453">
        <v>250</v>
      </c>
      <c r="I1453" t="str">
        <f>"55 885"</f>
        <v>55 885</v>
      </c>
    </row>
    <row r="1454" spans="1:9" x14ac:dyDescent="0.3">
      <c r="A1454" t="str">
        <f>"PM"</f>
        <v>PM</v>
      </c>
      <c r="B1454" t="s">
        <v>421</v>
      </c>
      <c r="C1454">
        <v>76713</v>
      </c>
      <c r="D1454" s="2">
        <v>690</v>
      </c>
      <c r="E1454" s="1">
        <v>43234</v>
      </c>
      <c r="F1454" t="str">
        <f>"201804270468"</f>
        <v>201804270468</v>
      </c>
      <c r="G1454" t="str">
        <f>"BRM ANNUAL MAINTENANCE"</f>
        <v>BRM ANNUAL MAINTENANCE</v>
      </c>
      <c r="H1454">
        <v>690</v>
      </c>
      <c r="I1454" t="str">
        <f>"BRM ANNUAL MAINTENANCE"</f>
        <v>BRM ANNUAL MAINTENANCE</v>
      </c>
    </row>
    <row r="1455" spans="1:9" x14ac:dyDescent="0.3">
      <c r="A1455" t="str">
        <f>"PM"</f>
        <v>PM</v>
      </c>
      <c r="B1455" t="s">
        <v>421</v>
      </c>
      <c r="C1455">
        <v>76714</v>
      </c>
      <c r="D1455" s="2">
        <v>102</v>
      </c>
      <c r="E1455" s="1">
        <v>43234</v>
      </c>
      <c r="F1455" t="str">
        <f>"201805090998"</f>
        <v>201805090998</v>
      </c>
      <c r="G1455" t="str">
        <f>"BOX#336/JP#1"</f>
        <v>BOX#336/JP#1</v>
      </c>
      <c r="H1455">
        <v>102</v>
      </c>
      <c r="I1455" t="str">
        <f>"BOX#336/JP#1"</f>
        <v>BOX#336/JP#1</v>
      </c>
    </row>
    <row r="1456" spans="1:9" x14ac:dyDescent="0.3">
      <c r="A1456" t="str">
        <f>"005559"</f>
        <v>005559</v>
      </c>
      <c r="B1456" t="s">
        <v>422</v>
      </c>
      <c r="C1456">
        <v>76950</v>
      </c>
      <c r="D1456" s="2">
        <v>45</v>
      </c>
      <c r="E1456" s="1">
        <v>43249</v>
      </c>
      <c r="F1456" t="str">
        <f>"201805231184"</f>
        <v>201805231184</v>
      </c>
      <c r="G1456" t="str">
        <f>"ADOPTION REFUND"</f>
        <v>ADOPTION REFUND</v>
      </c>
      <c r="H1456">
        <v>45</v>
      </c>
      <c r="I1456" t="str">
        <f>"ADOPTION REFUND"</f>
        <v>ADOPTION REFUND</v>
      </c>
    </row>
    <row r="1457" spans="1:9" x14ac:dyDescent="0.3">
      <c r="A1457" t="str">
        <f>"T8663"</f>
        <v>T8663</v>
      </c>
      <c r="B1457" t="s">
        <v>423</v>
      </c>
      <c r="C1457">
        <v>76951</v>
      </c>
      <c r="D1457" s="2">
        <v>600</v>
      </c>
      <c r="E1457" s="1">
        <v>43249</v>
      </c>
      <c r="F1457" t="str">
        <f>"BCSD00782817"</f>
        <v>BCSD00782817</v>
      </c>
      <c r="G1457" t="str">
        <f>"TCLEDDS ASSISTANT PLUS RENEWAL"</f>
        <v>TCLEDDS ASSISTANT PLUS RENEWAL</v>
      </c>
      <c r="H1457">
        <v>300</v>
      </c>
    </row>
    <row r="1458" spans="1:9" x14ac:dyDescent="0.3">
      <c r="A1458" t="str">
        <f>""</f>
        <v/>
      </c>
      <c r="F1458" t="str">
        <f>"BCSD00782817 TCLED"</f>
        <v>BCSD00782817 TCLED</v>
      </c>
      <c r="G1458" t="str">
        <f>"INV BCSD00782817"</f>
        <v>INV BCSD00782817</v>
      </c>
      <c r="H1458">
        <v>300</v>
      </c>
    </row>
    <row r="1459" spans="1:9" x14ac:dyDescent="0.3">
      <c r="A1459" t="str">
        <f>"004709"</f>
        <v>004709</v>
      </c>
      <c r="B1459" t="s">
        <v>424</v>
      </c>
      <c r="C1459">
        <v>76715</v>
      </c>
      <c r="D1459" s="2">
        <v>495</v>
      </c>
      <c r="E1459" s="1">
        <v>43234</v>
      </c>
      <c r="F1459" t="str">
        <f>"228897"</f>
        <v>228897</v>
      </c>
      <c r="G1459" t="str">
        <f>"INV 228897 / D. NEWMAN"</f>
        <v>INV 228897 / D. NEWMAN</v>
      </c>
      <c r="H1459">
        <v>495</v>
      </c>
      <c r="I1459" t="str">
        <f>"INV 228897 / D. NEWMAN"</f>
        <v>INV 228897 / D. NEWMAN</v>
      </c>
    </row>
    <row r="1460" spans="1:9" x14ac:dyDescent="0.3">
      <c r="A1460" t="str">
        <f>"004709"</f>
        <v>004709</v>
      </c>
      <c r="B1460" t="s">
        <v>424</v>
      </c>
      <c r="C1460">
        <v>76952</v>
      </c>
      <c r="D1460" s="2">
        <v>495</v>
      </c>
      <c r="E1460" s="1">
        <v>43249</v>
      </c>
      <c r="F1460" t="str">
        <f>"TRAINING-M.PANZINO"</f>
        <v>TRAINING-M.PANZINO</v>
      </c>
      <c r="G1460" t="str">
        <f>"09/10-09/14 M. PANZINO"</f>
        <v>09/10-09/14 M. PANZINO</v>
      </c>
      <c r="H1460">
        <v>495</v>
      </c>
      <c r="I1460" t="str">
        <f>"09/10-09/14 M. PANZINO"</f>
        <v>09/10-09/14 M. PANZINO</v>
      </c>
    </row>
    <row r="1461" spans="1:9" x14ac:dyDescent="0.3">
      <c r="A1461" t="str">
        <f>"T11156"</f>
        <v>T11156</v>
      </c>
      <c r="B1461" t="s">
        <v>425</v>
      </c>
      <c r="C1461">
        <v>76716</v>
      </c>
      <c r="D1461" s="2">
        <v>176.43</v>
      </c>
      <c r="E1461" s="1">
        <v>43234</v>
      </c>
      <c r="F1461" t="str">
        <f>"201805090989"</f>
        <v>201805090989</v>
      </c>
      <c r="G1461" t="str">
        <f>"INDIGENT HEALTH"</f>
        <v>INDIGENT HEALTH</v>
      </c>
      <c r="H1461">
        <v>176.43</v>
      </c>
      <c r="I1461" t="str">
        <f>"INDIGENT HEALTH"</f>
        <v>INDIGENT HEALTH</v>
      </c>
    </row>
    <row r="1462" spans="1:9" x14ac:dyDescent="0.3">
      <c r="A1462" t="str">
        <f>"000303"</f>
        <v>000303</v>
      </c>
      <c r="B1462" t="s">
        <v>426</v>
      </c>
      <c r="C1462">
        <v>76717</v>
      </c>
      <c r="D1462" s="2">
        <v>667.34</v>
      </c>
      <c r="E1462" s="1">
        <v>43234</v>
      </c>
      <c r="F1462" t="str">
        <f>"201805080899"</f>
        <v>201805080899</v>
      </c>
      <c r="G1462" t="str">
        <f>"REIMBURSE-CAR WASH"</f>
        <v>REIMBURSE-CAR WASH</v>
      </c>
      <c r="H1462">
        <v>25</v>
      </c>
      <c r="I1462" t="str">
        <f>"REIMBURSE-CAR WASH"</f>
        <v>REIMBURSE-CAR WASH</v>
      </c>
    </row>
    <row r="1463" spans="1:9" x14ac:dyDescent="0.3">
      <c r="A1463" t="str">
        <f>""</f>
        <v/>
      </c>
      <c r="F1463" t="str">
        <f>"201805080900"</f>
        <v>201805080900</v>
      </c>
      <c r="G1463" t="str">
        <f>"REIMBURSE-REGISTRATION"</f>
        <v>REIMBURSE-REGISTRATION</v>
      </c>
      <c r="H1463">
        <v>252.26</v>
      </c>
      <c r="I1463" t="str">
        <f>"REIMBURSE-REGISTRATION"</f>
        <v>REIMBURSE-REGISTRATION</v>
      </c>
    </row>
    <row r="1464" spans="1:9" x14ac:dyDescent="0.3">
      <c r="A1464" t="str">
        <f>""</f>
        <v/>
      </c>
      <c r="F1464" t="str">
        <f>"201805080901"</f>
        <v>201805080901</v>
      </c>
      <c r="G1464" t="str">
        <f>"REIMBURSE MEALS/HOTEL"</f>
        <v>REIMBURSE MEALS/HOTEL</v>
      </c>
      <c r="H1464">
        <v>126.29</v>
      </c>
      <c r="I1464" t="str">
        <f>"REIMBURSE MEALS/HOTEL"</f>
        <v>REIMBURSE MEALS/HOTEL</v>
      </c>
    </row>
    <row r="1465" spans="1:9" x14ac:dyDescent="0.3">
      <c r="A1465" t="str">
        <f>""</f>
        <v/>
      </c>
      <c r="F1465" t="str">
        <f>"201805080902"</f>
        <v>201805080902</v>
      </c>
      <c r="G1465" t="str">
        <f>"REIMBURSE PER DIEM/HOTEL"</f>
        <v>REIMBURSE PER DIEM/HOTEL</v>
      </c>
      <c r="H1465">
        <v>263.79000000000002</v>
      </c>
      <c r="I1465" t="str">
        <f>"REIMBURSE PER DIEM/HOTEL"</f>
        <v>REIMBURSE PER DIEM/HOTEL</v>
      </c>
    </row>
    <row r="1466" spans="1:9" x14ac:dyDescent="0.3">
      <c r="A1466" t="str">
        <f>"000303"</f>
        <v>000303</v>
      </c>
      <c r="B1466" t="s">
        <v>426</v>
      </c>
      <c r="C1466">
        <v>999999</v>
      </c>
      <c r="D1466" s="2">
        <v>275</v>
      </c>
      <c r="E1466" s="1">
        <v>43250</v>
      </c>
      <c r="F1466" t="str">
        <f>"201805211103"</f>
        <v>201805211103</v>
      </c>
      <c r="G1466" t="str">
        <f>"WINDOW TINT FOR COUNTY VEHICLE"</f>
        <v>WINDOW TINT FOR COUNTY VEHICLE</v>
      </c>
      <c r="H1466">
        <v>275</v>
      </c>
      <c r="I1466" t="str">
        <f>"WINDOW TINT FOR COUNTY VEHICLE"</f>
        <v>WINDOW TINT FOR COUNTY VEHICLE</v>
      </c>
    </row>
    <row r="1467" spans="1:9" x14ac:dyDescent="0.3">
      <c r="A1467" t="str">
        <f>"T5995"</f>
        <v>T5995</v>
      </c>
      <c r="B1467" t="s">
        <v>427</v>
      </c>
      <c r="C1467">
        <v>76718</v>
      </c>
      <c r="D1467" s="2">
        <v>327.47000000000003</v>
      </c>
      <c r="E1467" s="1">
        <v>43234</v>
      </c>
      <c r="F1467" t="str">
        <f>"201805010479"</f>
        <v>201805010479</v>
      </c>
      <c r="G1467" t="str">
        <f>"REIMBURSE FOOD/LODGING"</f>
        <v>REIMBURSE FOOD/LODGING</v>
      </c>
      <c r="H1467">
        <v>327.47000000000003</v>
      </c>
      <c r="I1467" t="str">
        <f>"REIMBURSE FOOD/LODGING"</f>
        <v>REIMBURSE FOOD/LODGING</v>
      </c>
    </row>
    <row r="1468" spans="1:9" x14ac:dyDescent="0.3">
      <c r="A1468" t="str">
        <f>"005153"</f>
        <v>005153</v>
      </c>
      <c r="B1468" t="s">
        <v>428</v>
      </c>
      <c r="C1468">
        <v>76719</v>
      </c>
      <c r="D1468" s="2">
        <v>275</v>
      </c>
      <c r="E1468" s="1">
        <v>43234</v>
      </c>
      <c r="F1468" t="str">
        <f>"132304"</f>
        <v>132304</v>
      </c>
      <c r="G1468" t="str">
        <f>"BLK NERF BARS/INSTALL/PCT#4"</f>
        <v>BLK NERF BARS/INSTALL/PCT#4</v>
      </c>
      <c r="H1468">
        <v>275</v>
      </c>
      <c r="I1468" t="str">
        <f>"BLK NERF BARS/INSTALL/PCT#4"</f>
        <v>BLK NERF BARS/INSTALL/PCT#4</v>
      </c>
    </row>
    <row r="1469" spans="1:9" x14ac:dyDescent="0.3">
      <c r="A1469" t="str">
        <f>"000591"</f>
        <v>000591</v>
      </c>
      <c r="B1469" t="s">
        <v>429</v>
      </c>
      <c r="C1469">
        <v>999999</v>
      </c>
      <c r="D1469" s="2">
        <v>151.75</v>
      </c>
      <c r="E1469" s="1">
        <v>43250</v>
      </c>
      <c r="F1469" t="str">
        <f>"08E0121569859-A"</f>
        <v>08E0121569859-A</v>
      </c>
      <c r="G1469" t="str">
        <f>"ACCT#0121569859/JP#4"</f>
        <v>ACCT#0121569859/JP#4</v>
      </c>
      <c r="H1469">
        <v>28.93</v>
      </c>
      <c r="I1469" t="str">
        <f>"ACCT#0121569859/JP#4"</f>
        <v>ACCT#0121569859/JP#4</v>
      </c>
    </row>
    <row r="1470" spans="1:9" x14ac:dyDescent="0.3">
      <c r="A1470" t="str">
        <f>""</f>
        <v/>
      </c>
      <c r="F1470" t="str">
        <f>"08E0121587851"</f>
        <v>08E0121587851</v>
      </c>
      <c r="G1470" t="str">
        <f>"ACCT#0121587851/PCT#4"</f>
        <v>ACCT#0121587851/PCT#4</v>
      </c>
      <c r="H1470">
        <v>122.82</v>
      </c>
      <c r="I1470" t="str">
        <f>"ACCT#0121587851/PCT#4"</f>
        <v>ACCT#0121587851/PCT#4</v>
      </c>
    </row>
    <row r="1471" spans="1:9" x14ac:dyDescent="0.3">
      <c r="A1471" t="str">
        <f>"T13964"</f>
        <v>T13964</v>
      </c>
      <c r="B1471" t="s">
        <v>430</v>
      </c>
      <c r="C1471">
        <v>76953</v>
      </c>
      <c r="D1471" s="2">
        <v>500</v>
      </c>
      <c r="E1471" s="1">
        <v>43249</v>
      </c>
      <c r="F1471" t="str">
        <f>"20180510019610"</f>
        <v>20180510019610</v>
      </c>
      <c r="G1471" t="str">
        <f>"ACCT#19610/GEN SVCS"</f>
        <v>ACCT#19610/GEN SVCS</v>
      </c>
      <c r="H1471">
        <v>500</v>
      </c>
      <c r="I1471" t="str">
        <f>"ACCT#19610/GEN SVCS"</f>
        <v>ACCT#19610/GEN SVCS</v>
      </c>
    </row>
    <row r="1472" spans="1:9" x14ac:dyDescent="0.3">
      <c r="A1472" t="str">
        <f>""</f>
        <v/>
      </c>
      <c r="F1472" t="str">
        <f>""</f>
        <v/>
      </c>
      <c r="G1472" t="str">
        <f>""</f>
        <v/>
      </c>
      <c r="I1472" t="str">
        <f>"ACCT#19610/GEN SVCS"</f>
        <v>ACCT#19610/GEN SVCS</v>
      </c>
    </row>
    <row r="1473" spans="1:9" x14ac:dyDescent="0.3">
      <c r="A1473" t="str">
        <f>"003737"</f>
        <v>003737</v>
      </c>
      <c r="B1473" t="s">
        <v>431</v>
      </c>
      <c r="C1473">
        <v>76529</v>
      </c>
      <c r="D1473" s="2">
        <v>2680.4</v>
      </c>
      <c r="E1473" s="1">
        <v>43231</v>
      </c>
      <c r="F1473" t="str">
        <f>"0843-001454477"</f>
        <v>0843-001454477</v>
      </c>
      <c r="G1473" t="str">
        <f>"ACCT#3-0843-1269216 / 04/26/18"</f>
        <v>ACCT#3-0843-1269216 / 04/26/18</v>
      </c>
      <c r="H1473">
        <v>630.88</v>
      </c>
      <c r="I1473" t="str">
        <f>"ACCT#3-0843-1269216 / 04/26/18"</f>
        <v>ACCT#3-0843-1269216 / 04/26/18</v>
      </c>
    </row>
    <row r="1474" spans="1:9" x14ac:dyDescent="0.3">
      <c r="A1474" t="str">
        <f>""</f>
        <v/>
      </c>
      <c r="F1474" t="str">
        <f>"0843-001455552"</f>
        <v>0843-001455552</v>
      </c>
      <c r="G1474" t="str">
        <f>"ACCT#3-0843-0017094 / 04/30/18"</f>
        <v>ACCT#3-0843-0017094 / 04/30/18</v>
      </c>
      <c r="H1474">
        <v>2049.52</v>
      </c>
      <c r="I1474" t="str">
        <f>"ACCT#3-0843-0017094 / 04/30/18"</f>
        <v>ACCT#3-0843-0017094 / 04/30/18</v>
      </c>
    </row>
    <row r="1475" spans="1:9" x14ac:dyDescent="0.3">
      <c r="A1475" t="str">
        <f>"004822"</f>
        <v>004822</v>
      </c>
      <c r="B1475" t="s">
        <v>432</v>
      </c>
      <c r="C1475">
        <v>76720</v>
      </c>
      <c r="D1475" s="2">
        <v>10397.16</v>
      </c>
      <c r="E1475" s="1">
        <v>43234</v>
      </c>
      <c r="F1475" t="str">
        <f>"0000009733"</f>
        <v>0000009733</v>
      </c>
      <c r="G1475" t="str">
        <f>"WK ORD#0000010693/PCT#4"</f>
        <v>WK ORD#0000010693/PCT#4</v>
      </c>
      <c r="H1475">
        <v>1075.43</v>
      </c>
      <c r="I1475" t="str">
        <f>"WK ORD#0000010693/PCT#4"</f>
        <v>WK ORD#0000010693/PCT#4</v>
      </c>
    </row>
    <row r="1476" spans="1:9" x14ac:dyDescent="0.3">
      <c r="A1476" t="str">
        <f>""</f>
        <v/>
      </c>
      <c r="F1476" t="str">
        <f>"0000009787"</f>
        <v>0000009787</v>
      </c>
      <c r="G1476" t="str">
        <f>"WK ORD#0000010711/PCT#4"</f>
        <v>WK ORD#0000010711/PCT#4</v>
      </c>
      <c r="H1476">
        <v>9321.73</v>
      </c>
      <c r="I1476" t="str">
        <f>"WK ORD#0000010711/PCT#4"</f>
        <v>WK ORD#0000010711/PCT#4</v>
      </c>
    </row>
    <row r="1477" spans="1:9" x14ac:dyDescent="0.3">
      <c r="A1477" t="str">
        <f>"004822"</f>
        <v>004822</v>
      </c>
      <c r="B1477" t="s">
        <v>432</v>
      </c>
      <c r="C1477">
        <v>76954</v>
      </c>
      <c r="D1477" s="2">
        <v>1032.2</v>
      </c>
      <c r="E1477" s="1">
        <v>43249</v>
      </c>
      <c r="F1477" t="str">
        <f>"0000009906"</f>
        <v>0000009906</v>
      </c>
      <c r="G1477" t="str">
        <f>"WK ORD#0000010889/PCT#4"</f>
        <v>WK ORD#0000010889/PCT#4</v>
      </c>
      <c r="H1477">
        <v>1032.2</v>
      </c>
      <c r="I1477" t="str">
        <f>"WK ORD#0000010889/PCT#4"</f>
        <v>WK ORD#0000010889/PCT#4</v>
      </c>
    </row>
    <row r="1478" spans="1:9" x14ac:dyDescent="0.3">
      <c r="A1478" t="str">
        <f>"004766"</f>
        <v>004766</v>
      </c>
      <c r="B1478" t="s">
        <v>433</v>
      </c>
      <c r="C1478">
        <v>76955</v>
      </c>
      <c r="D1478" s="2">
        <v>7664</v>
      </c>
      <c r="E1478" s="1">
        <v>43249</v>
      </c>
      <c r="F1478" t="str">
        <f>"201805231171"</f>
        <v>201805231171</v>
      </c>
      <c r="G1478" t="str">
        <f>"ADD ON TRIPLE BOX/PCT#2"</f>
        <v>ADD ON TRIPLE BOX/PCT#2</v>
      </c>
      <c r="H1478">
        <v>6999</v>
      </c>
      <c r="I1478" t="str">
        <f>"ADD ON TRIPLE BOX/PCT#2"</f>
        <v>ADD ON TRIPLE BOX/PCT#2</v>
      </c>
    </row>
    <row r="1479" spans="1:9" x14ac:dyDescent="0.3">
      <c r="A1479" t="str">
        <f>""</f>
        <v/>
      </c>
      <c r="F1479" t="str">
        <f>"201805231175"</f>
        <v>201805231175</v>
      </c>
      <c r="G1479" t="str">
        <f>"FILL IN &amp; CUT OUT HOLES/PCT#2"</f>
        <v>FILL IN &amp; CUT OUT HOLES/PCT#2</v>
      </c>
      <c r="H1479">
        <v>665</v>
      </c>
      <c r="I1479" t="str">
        <f>"FILL IN &amp; CUT OUT HOLES/PCT#2"</f>
        <v>FILL IN &amp; CUT OUT HOLES/PCT#2</v>
      </c>
    </row>
    <row r="1480" spans="1:9" x14ac:dyDescent="0.3">
      <c r="A1480" t="str">
        <f>"RESERV"</f>
        <v>RESERV</v>
      </c>
      <c r="B1480" t="s">
        <v>434</v>
      </c>
      <c r="C1480">
        <v>76956</v>
      </c>
      <c r="D1480" s="2">
        <v>9000</v>
      </c>
      <c r="E1480" s="1">
        <v>43249</v>
      </c>
      <c r="F1480" t="str">
        <f>"201805161024"</f>
        <v>201805161024</v>
      </c>
      <c r="G1480" t="str">
        <f>"ACCT#34549337/POSTAGE"</f>
        <v>ACCT#34549337/POSTAGE</v>
      </c>
      <c r="H1480">
        <v>9000</v>
      </c>
      <c r="I1480" t="str">
        <f>"ACCT#34549337/POSTAGE"</f>
        <v>ACCT#34549337/POSTAGE</v>
      </c>
    </row>
    <row r="1481" spans="1:9" x14ac:dyDescent="0.3">
      <c r="A1481" t="str">
        <f>"T11385"</f>
        <v>T11385</v>
      </c>
      <c r="B1481" t="s">
        <v>435</v>
      </c>
      <c r="C1481">
        <v>999999</v>
      </c>
      <c r="D1481" s="2">
        <v>875</v>
      </c>
      <c r="E1481" s="1">
        <v>43235</v>
      </c>
      <c r="F1481" t="str">
        <f>"201805040789"</f>
        <v>201805040789</v>
      </c>
      <c r="G1481" t="str">
        <f>"409206-11M  2/22/18"</f>
        <v>409206-11M  2/22/18</v>
      </c>
      <c r="H1481">
        <v>250</v>
      </c>
      <c r="I1481" t="str">
        <f>"409206-11M"</f>
        <v>409206-11M</v>
      </c>
    </row>
    <row r="1482" spans="1:9" x14ac:dyDescent="0.3">
      <c r="A1482" t="str">
        <f>""</f>
        <v/>
      </c>
      <c r="F1482" t="str">
        <f>"201805040790"</f>
        <v>201805040790</v>
      </c>
      <c r="G1482" t="str">
        <f>"55 838"</f>
        <v>55 838</v>
      </c>
      <c r="H1482">
        <v>250</v>
      </c>
      <c r="I1482" t="str">
        <f>"55 838"</f>
        <v>55 838</v>
      </c>
    </row>
    <row r="1483" spans="1:9" x14ac:dyDescent="0.3">
      <c r="A1483" t="str">
        <f>""</f>
        <v/>
      </c>
      <c r="F1483" t="str">
        <f>"201805040791"</f>
        <v>201805040791</v>
      </c>
      <c r="G1483" t="str">
        <f>"55 316  1JP101117C"</f>
        <v>55 316  1JP101117C</v>
      </c>
      <c r="H1483">
        <v>375</v>
      </c>
      <c r="I1483" t="str">
        <f>"55 316  1JP101117C"</f>
        <v>55 316  1JP101117C</v>
      </c>
    </row>
    <row r="1484" spans="1:9" x14ac:dyDescent="0.3">
      <c r="A1484" t="str">
        <f>"T11385"</f>
        <v>T11385</v>
      </c>
      <c r="B1484" t="s">
        <v>435</v>
      </c>
      <c r="C1484">
        <v>999999</v>
      </c>
      <c r="D1484" s="2">
        <v>450</v>
      </c>
      <c r="E1484" s="1">
        <v>43250</v>
      </c>
      <c r="F1484" t="str">
        <f>"201805221133"</f>
        <v>201805221133</v>
      </c>
      <c r="G1484" t="str">
        <f>"18-19047"</f>
        <v>18-19047</v>
      </c>
      <c r="H1484">
        <v>100</v>
      </c>
      <c r="I1484" t="str">
        <f>"18-19047"</f>
        <v>18-19047</v>
      </c>
    </row>
    <row r="1485" spans="1:9" x14ac:dyDescent="0.3">
      <c r="A1485" t="str">
        <f>""</f>
        <v/>
      </c>
      <c r="F1485" t="str">
        <f>"201805221134"</f>
        <v>201805221134</v>
      </c>
      <c r="G1485" t="str">
        <f>"18-19048"</f>
        <v>18-19048</v>
      </c>
      <c r="H1485">
        <v>100</v>
      </c>
      <c r="I1485" t="str">
        <f>"18-19048"</f>
        <v>18-19048</v>
      </c>
    </row>
    <row r="1486" spans="1:9" x14ac:dyDescent="0.3">
      <c r="A1486" t="str">
        <f>""</f>
        <v/>
      </c>
      <c r="F1486" t="str">
        <f>"201805231168"</f>
        <v>201805231168</v>
      </c>
      <c r="G1486" t="str">
        <f>"CH-20170923  #55 942"</f>
        <v>CH-20170923  #55 942</v>
      </c>
      <c r="H1486">
        <v>250</v>
      </c>
      <c r="I1486" t="str">
        <f>"CH-20170923  #55 942"</f>
        <v>CH-20170923  #55 942</v>
      </c>
    </row>
    <row r="1487" spans="1:9" x14ac:dyDescent="0.3">
      <c r="A1487" t="str">
        <f>"T10310"</f>
        <v>T10310</v>
      </c>
      <c r="B1487" t="s">
        <v>436</v>
      </c>
      <c r="C1487">
        <v>76721</v>
      </c>
      <c r="D1487" s="2">
        <v>61.78</v>
      </c>
      <c r="E1487" s="1">
        <v>43234</v>
      </c>
      <c r="F1487" t="str">
        <f>"78520"</f>
        <v>78520</v>
      </c>
      <c r="G1487" t="str">
        <f>"ACCT#3510/PCT#4"</f>
        <v>ACCT#3510/PCT#4</v>
      </c>
      <c r="H1487">
        <v>61.78</v>
      </c>
      <c r="I1487" t="str">
        <f>"ACCT#3510/PCT#4"</f>
        <v>ACCT#3510/PCT#4</v>
      </c>
    </row>
    <row r="1488" spans="1:9" x14ac:dyDescent="0.3">
      <c r="A1488" t="str">
        <f>"T9868"</f>
        <v>T9868</v>
      </c>
      <c r="B1488" t="s">
        <v>437</v>
      </c>
      <c r="C1488">
        <v>76722</v>
      </c>
      <c r="D1488" s="2">
        <v>1525</v>
      </c>
      <c r="E1488" s="1">
        <v>43234</v>
      </c>
      <c r="F1488" t="str">
        <f>"201805080888"</f>
        <v>201805080888</v>
      </c>
      <c r="G1488" t="str">
        <f>"16 448"</f>
        <v>16 448</v>
      </c>
      <c r="H1488">
        <v>1525</v>
      </c>
      <c r="I1488" t="str">
        <f>"16 448"</f>
        <v>16 448</v>
      </c>
    </row>
    <row r="1489" spans="1:9" x14ac:dyDescent="0.3">
      <c r="A1489" t="str">
        <f>"T9868"</f>
        <v>T9868</v>
      </c>
      <c r="B1489" t="s">
        <v>437</v>
      </c>
      <c r="C1489">
        <v>76957</v>
      </c>
      <c r="D1489" s="2">
        <v>1300</v>
      </c>
      <c r="E1489" s="1">
        <v>43249</v>
      </c>
      <c r="F1489" t="str">
        <f>"201805221116"</f>
        <v>201805221116</v>
      </c>
      <c r="G1489" t="str">
        <f>"16 350"</f>
        <v>16 350</v>
      </c>
      <c r="H1489">
        <v>1300</v>
      </c>
      <c r="I1489" t="str">
        <f>"16 350"</f>
        <v>16 350</v>
      </c>
    </row>
    <row r="1490" spans="1:9" x14ac:dyDescent="0.3">
      <c r="A1490" t="str">
        <f>"005533"</f>
        <v>005533</v>
      </c>
      <c r="B1490" t="s">
        <v>438</v>
      </c>
      <c r="C1490">
        <v>76723</v>
      </c>
      <c r="D1490" s="2">
        <v>216.49</v>
      </c>
      <c r="E1490" s="1">
        <v>43234</v>
      </c>
      <c r="F1490" t="str">
        <f>"201805020501"</f>
        <v>201805020501</v>
      </c>
      <c r="G1490" t="str">
        <f>"REIMBURSE BOOTS/PCT#3"</f>
        <v>REIMBURSE BOOTS/PCT#3</v>
      </c>
      <c r="H1490">
        <v>216.49</v>
      </c>
      <c r="I1490" t="str">
        <f>"REIMBURSE BOOTS/PCT#3"</f>
        <v>REIMBURSE BOOTS/PCT#3</v>
      </c>
    </row>
    <row r="1491" spans="1:9" x14ac:dyDescent="0.3">
      <c r="A1491" t="str">
        <f>"001322"</f>
        <v>001322</v>
      </c>
      <c r="B1491" t="s">
        <v>439</v>
      </c>
      <c r="C1491">
        <v>999999</v>
      </c>
      <c r="D1491" s="2">
        <v>1319.15</v>
      </c>
      <c r="E1491" s="1">
        <v>43235</v>
      </c>
      <c r="F1491" t="str">
        <f>"5053156666"</f>
        <v>5053156666</v>
      </c>
      <c r="G1491" t="str">
        <f>"CONTRACT#4457471"</f>
        <v>CONTRACT#4457471</v>
      </c>
      <c r="H1491">
        <v>1241.24</v>
      </c>
      <c r="I1491" t="str">
        <f t="shared" ref="I1491:I1507" si="12">"CONTRACT#4457471"</f>
        <v>CONTRACT#4457471</v>
      </c>
    </row>
    <row r="1492" spans="1:9" x14ac:dyDescent="0.3">
      <c r="A1492" t="str">
        <f>""</f>
        <v/>
      </c>
      <c r="F1492" t="str">
        <f>""</f>
        <v/>
      </c>
      <c r="G1492" t="str">
        <f>""</f>
        <v/>
      </c>
      <c r="I1492" t="str">
        <f t="shared" si="12"/>
        <v>CONTRACT#4457471</v>
      </c>
    </row>
    <row r="1493" spans="1:9" x14ac:dyDescent="0.3">
      <c r="A1493" t="str">
        <f>""</f>
        <v/>
      </c>
      <c r="F1493" t="str">
        <f>""</f>
        <v/>
      </c>
      <c r="G1493" t="str">
        <f>""</f>
        <v/>
      </c>
      <c r="I1493" t="str">
        <f t="shared" si="12"/>
        <v>CONTRACT#4457471</v>
      </c>
    </row>
    <row r="1494" spans="1:9" x14ac:dyDescent="0.3">
      <c r="A1494" t="str">
        <f>""</f>
        <v/>
      </c>
      <c r="F1494" t="str">
        <f>""</f>
        <v/>
      </c>
      <c r="G1494" t="str">
        <f>""</f>
        <v/>
      </c>
      <c r="I1494" t="str">
        <f t="shared" si="12"/>
        <v>CONTRACT#4457471</v>
      </c>
    </row>
    <row r="1495" spans="1:9" x14ac:dyDescent="0.3">
      <c r="A1495" t="str">
        <f>""</f>
        <v/>
      </c>
      <c r="F1495" t="str">
        <f>""</f>
        <v/>
      </c>
      <c r="G1495" t="str">
        <f>""</f>
        <v/>
      </c>
      <c r="I1495" t="str">
        <f t="shared" si="12"/>
        <v>CONTRACT#4457471</v>
      </c>
    </row>
    <row r="1496" spans="1:9" x14ac:dyDescent="0.3">
      <c r="A1496" t="str">
        <f>""</f>
        <v/>
      </c>
      <c r="F1496" t="str">
        <f>""</f>
        <v/>
      </c>
      <c r="G1496" t="str">
        <f>""</f>
        <v/>
      </c>
      <c r="I1496" t="str">
        <f t="shared" si="12"/>
        <v>CONTRACT#4457471</v>
      </c>
    </row>
    <row r="1497" spans="1:9" x14ac:dyDescent="0.3">
      <c r="A1497" t="str">
        <f>""</f>
        <v/>
      </c>
      <c r="F1497" t="str">
        <f>""</f>
        <v/>
      </c>
      <c r="G1497" t="str">
        <f>""</f>
        <v/>
      </c>
      <c r="I1497" t="str">
        <f t="shared" si="12"/>
        <v>CONTRACT#4457471</v>
      </c>
    </row>
    <row r="1498" spans="1:9" x14ac:dyDescent="0.3">
      <c r="A1498" t="str">
        <f>""</f>
        <v/>
      </c>
      <c r="F1498" t="str">
        <f>""</f>
        <v/>
      </c>
      <c r="G1498" t="str">
        <f>""</f>
        <v/>
      </c>
      <c r="I1498" t="str">
        <f t="shared" si="12"/>
        <v>CONTRACT#4457471</v>
      </c>
    </row>
    <row r="1499" spans="1:9" x14ac:dyDescent="0.3">
      <c r="A1499" t="str">
        <f>""</f>
        <v/>
      </c>
      <c r="F1499" t="str">
        <f>""</f>
        <v/>
      </c>
      <c r="G1499" t="str">
        <f>""</f>
        <v/>
      </c>
      <c r="I1499" t="str">
        <f t="shared" si="12"/>
        <v>CONTRACT#4457471</v>
      </c>
    </row>
    <row r="1500" spans="1:9" x14ac:dyDescent="0.3">
      <c r="A1500" t="str">
        <f>""</f>
        <v/>
      </c>
      <c r="F1500" t="str">
        <f>""</f>
        <v/>
      </c>
      <c r="G1500" t="str">
        <f>""</f>
        <v/>
      </c>
      <c r="I1500" t="str">
        <f t="shared" si="12"/>
        <v>CONTRACT#4457471</v>
      </c>
    </row>
    <row r="1501" spans="1:9" x14ac:dyDescent="0.3">
      <c r="A1501" t="str">
        <f>""</f>
        <v/>
      </c>
      <c r="F1501" t="str">
        <f>""</f>
        <v/>
      </c>
      <c r="G1501" t="str">
        <f>""</f>
        <v/>
      </c>
      <c r="I1501" t="str">
        <f t="shared" si="12"/>
        <v>CONTRACT#4457471</v>
      </c>
    </row>
    <row r="1502" spans="1:9" x14ac:dyDescent="0.3">
      <c r="A1502" t="str">
        <f>""</f>
        <v/>
      </c>
      <c r="F1502" t="str">
        <f>""</f>
        <v/>
      </c>
      <c r="G1502" t="str">
        <f>""</f>
        <v/>
      </c>
      <c r="I1502" t="str">
        <f t="shared" si="12"/>
        <v>CONTRACT#4457471</v>
      </c>
    </row>
    <row r="1503" spans="1:9" x14ac:dyDescent="0.3">
      <c r="A1503" t="str">
        <f>""</f>
        <v/>
      </c>
      <c r="F1503" t="str">
        <f>""</f>
        <v/>
      </c>
      <c r="G1503" t="str">
        <f>""</f>
        <v/>
      </c>
      <c r="I1503" t="str">
        <f t="shared" si="12"/>
        <v>CONTRACT#4457471</v>
      </c>
    </row>
    <row r="1504" spans="1:9" x14ac:dyDescent="0.3">
      <c r="A1504" t="str">
        <f>""</f>
        <v/>
      </c>
      <c r="F1504" t="str">
        <f>""</f>
        <v/>
      </c>
      <c r="G1504" t="str">
        <f>""</f>
        <v/>
      </c>
      <c r="I1504" t="str">
        <f t="shared" si="12"/>
        <v>CONTRACT#4457471</v>
      </c>
    </row>
    <row r="1505" spans="1:9" x14ac:dyDescent="0.3">
      <c r="A1505" t="str">
        <f>""</f>
        <v/>
      </c>
      <c r="F1505" t="str">
        <f>""</f>
        <v/>
      </c>
      <c r="G1505" t="str">
        <f>""</f>
        <v/>
      </c>
      <c r="I1505" t="str">
        <f t="shared" si="12"/>
        <v>CONTRACT#4457471</v>
      </c>
    </row>
    <row r="1506" spans="1:9" x14ac:dyDescent="0.3">
      <c r="A1506" t="str">
        <f>""</f>
        <v/>
      </c>
      <c r="F1506" t="str">
        <f>""</f>
        <v/>
      </c>
      <c r="G1506" t="str">
        <f>""</f>
        <v/>
      </c>
      <c r="I1506" t="str">
        <f t="shared" si="12"/>
        <v>CONTRACT#4457471</v>
      </c>
    </row>
    <row r="1507" spans="1:9" x14ac:dyDescent="0.3">
      <c r="A1507" t="str">
        <f>""</f>
        <v/>
      </c>
      <c r="F1507" t="str">
        <f>""</f>
        <v/>
      </c>
      <c r="G1507" t="str">
        <f>""</f>
        <v/>
      </c>
      <c r="I1507" t="str">
        <f t="shared" si="12"/>
        <v>CONTRACT#4457471</v>
      </c>
    </row>
    <row r="1508" spans="1:9" x14ac:dyDescent="0.3">
      <c r="A1508" t="str">
        <f>""</f>
        <v/>
      </c>
      <c r="F1508" t="str">
        <f>"5053156666 P2"</f>
        <v>5053156666 P2</v>
      </c>
      <c r="G1508" t="str">
        <f>"CONTRACT#4457471/PCT#2"</f>
        <v>CONTRACT#4457471/PCT#2</v>
      </c>
      <c r="H1508">
        <v>77.91</v>
      </c>
      <c r="I1508" t="str">
        <f>"CONTRACT#4457471/PCT#2"</f>
        <v>CONTRACT#4457471/PCT#2</v>
      </c>
    </row>
    <row r="1509" spans="1:9" x14ac:dyDescent="0.3">
      <c r="A1509" t="str">
        <f>"000972"</f>
        <v>000972</v>
      </c>
      <c r="B1509" t="s">
        <v>440</v>
      </c>
      <c r="C1509">
        <v>76724</v>
      </c>
      <c r="D1509" s="2">
        <v>7517.62</v>
      </c>
      <c r="E1509" s="1">
        <v>43234</v>
      </c>
      <c r="F1509" t="str">
        <f>"31823648"</f>
        <v>31823648</v>
      </c>
      <c r="G1509" t="str">
        <f>"CUST#2000172616"</f>
        <v>CUST#2000172616</v>
      </c>
      <c r="H1509">
        <v>7517.62</v>
      </c>
      <c r="I1509" t="str">
        <f t="shared" ref="I1509:I1536" si="13">"CUST#2000172616"</f>
        <v>CUST#2000172616</v>
      </c>
    </row>
    <row r="1510" spans="1:9" x14ac:dyDescent="0.3">
      <c r="A1510" t="str">
        <f>""</f>
        <v/>
      </c>
      <c r="F1510" t="str">
        <f>""</f>
        <v/>
      </c>
      <c r="G1510" t="str">
        <f>""</f>
        <v/>
      </c>
      <c r="I1510" t="str">
        <f t="shared" si="13"/>
        <v>CUST#2000172616</v>
      </c>
    </row>
    <row r="1511" spans="1:9" x14ac:dyDescent="0.3">
      <c r="A1511" t="str">
        <f>""</f>
        <v/>
      </c>
      <c r="F1511" t="str">
        <f>""</f>
        <v/>
      </c>
      <c r="G1511" t="str">
        <f>""</f>
        <v/>
      </c>
      <c r="I1511" t="str">
        <f t="shared" si="13"/>
        <v>CUST#2000172616</v>
      </c>
    </row>
    <row r="1512" spans="1:9" x14ac:dyDescent="0.3">
      <c r="A1512" t="str">
        <f>""</f>
        <v/>
      </c>
      <c r="F1512" t="str">
        <f>""</f>
        <v/>
      </c>
      <c r="G1512" t="str">
        <f>""</f>
        <v/>
      </c>
      <c r="I1512" t="str">
        <f t="shared" si="13"/>
        <v>CUST#2000172616</v>
      </c>
    </row>
    <row r="1513" spans="1:9" x14ac:dyDescent="0.3">
      <c r="A1513" t="str">
        <f>""</f>
        <v/>
      </c>
      <c r="F1513" t="str">
        <f>""</f>
        <v/>
      </c>
      <c r="G1513" t="str">
        <f>""</f>
        <v/>
      </c>
      <c r="I1513" t="str">
        <f t="shared" si="13"/>
        <v>CUST#2000172616</v>
      </c>
    </row>
    <row r="1514" spans="1:9" x14ac:dyDescent="0.3">
      <c r="A1514" t="str">
        <f>""</f>
        <v/>
      </c>
      <c r="F1514" t="str">
        <f>""</f>
        <v/>
      </c>
      <c r="G1514" t="str">
        <f>""</f>
        <v/>
      </c>
      <c r="I1514" t="str">
        <f t="shared" si="13"/>
        <v>CUST#2000172616</v>
      </c>
    </row>
    <row r="1515" spans="1:9" x14ac:dyDescent="0.3">
      <c r="A1515" t="str">
        <f>""</f>
        <v/>
      </c>
      <c r="F1515" t="str">
        <f>""</f>
        <v/>
      </c>
      <c r="G1515" t="str">
        <f>""</f>
        <v/>
      </c>
      <c r="I1515" t="str">
        <f t="shared" si="13"/>
        <v>CUST#2000172616</v>
      </c>
    </row>
    <row r="1516" spans="1:9" x14ac:dyDescent="0.3">
      <c r="A1516" t="str">
        <f>""</f>
        <v/>
      </c>
      <c r="F1516" t="str">
        <f>""</f>
        <v/>
      </c>
      <c r="G1516" t="str">
        <f>""</f>
        <v/>
      </c>
      <c r="I1516" t="str">
        <f t="shared" si="13"/>
        <v>CUST#2000172616</v>
      </c>
    </row>
    <row r="1517" spans="1:9" x14ac:dyDescent="0.3">
      <c r="A1517" t="str">
        <f>""</f>
        <v/>
      </c>
      <c r="F1517" t="str">
        <f>""</f>
        <v/>
      </c>
      <c r="G1517" t="str">
        <f>""</f>
        <v/>
      </c>
      <c r="I1517" t="str">
        <f t="shared" si="13"/>
        <v>CUST#2000172616</v>
      </c>
    </row>
    <row r="1518" spans="1:9" x14ac:dyDescent="0.3">
      <c r="A1518" t="str">
        <f>""</f>
        <v/>
      </c>
      <c r="F1518" t="str">
        <f>""</f>
        <v/>
      </c>
      <c r="G1518" t="str">
        <f>""</f>
        <v/>
      </c>
      <c r="I1518" t="str">
        <f t="shared" si="13"/>
        <v>CUST#2000172616</v>
      </c>
    </row>
    <row r="1519" spans="1:9" x14ac:dyDescent="0.3">
      <c r="A1519" t="str">
        <f>""</f>
        <v/>
      </c>
      <c r="F1519" t="str">
        <f>""</f>
        <v/>
      </c>
      <c r="G1519" t="str">
        <f>""</f>
        <v/>
      </c>
      <c r="I1519" t="str">
        <f t="shared" si="13"/>
        <v>CUST#2000172616</v>
      </c>
    </row>
    <row r="1520" spans="1:9" x14ac:dyDescent="0.3">
      <c r="A1520" t="str">
        <f>""</f>
        <v/>
      </c>
      <c r="F1520" t="str">
        <f>""</f>
        <v/>
      </c>
      <c r="G1520" t="str">
        <f>""</f>
        <v/>
      </c>
      <c r="I1520" t="str">
        <f t="shared" si="13"/>
        <v>CUST#2000172616</v>
      </c>
    </row>
    <row r="1521" spans="1:9" x14ac:dyDescent="0.3">
      <c r="A1521" t="str">
        <f>""</f>
        <v/>
      </c>
      <c r="F1521" t="str">
        <f>""</f>
        <v/>
      </c>
      <c r="G1521" t="str">
        <f>""</f>
        <v/>
      </c>
      <c r="I1521" t="str">
        <f t="shared" si="13"/>
        <v>CUST#2000172616</v>
      </c>
    </row>
    <row r="1522" spans="1:9" x14ac:dyDescent="0.3">
      <c r="A1522" t="str">
        <f>""</f>
        <v/>
      </c>
      <c r="F1522" t="str">
        <f>""</f>
        <v/>
      </c>
      <c r="G1522" t="str">
        <f>""</f>
        <v/>
      </c>
      <c r="I1522" t="str">
        <f t="shared" si="13"/>
        <v>CUST#2000172616</v>
      </c>
    </row>
    <row r="1523" spans="1:9" x14ac:dyDescent="0.3">
      <c r="A1523" t="str">
        <f>""</f>
        <v/>
      </c>
      <c r="F1523" t="str">
        <f>""</f>
        <v/>
      </c>
      <c r="G1523" t="str">
        <f>""</f>
        <v/>
      </c>
      <c r="I1523" t="str">
        <f t="shared" si="13"/>
        <v>CUST#2000172616</v>
      </c>
    </row>
    <row r="1524" spans="1:9" x14ac:dyDescent="0.3">
      <c r="A1524" t="str">
        <f>""</f>
        <v/>
      </c>
      <c r="F1524" t="str">
        <f>""</f>
        <v/>
      </c>
      <c r="G1524" t="str">
        <f>""</f>
        <v/>
      </c>
      <c r="I1524" t="str">
        <f t="shared" si="13"/>
        <v>CUST#2000172616</v>
      </c>
    </row>
    <row r="1525" spans="1:9" x14ac:dyDescent="0.3">
      <c r="A1525" t="str">
        <f>""</f>
        <v/>
      </c>
      <c r="F1525" t="str">
        <f>""</f>
        <v/>
      </c>
      <c r="G1525" t="str">
        <f>""</f>
        <v/>
      </c>
      <c r="I1525" t="str">
        <f t="shared" si="13"/>
        <v>CUST#2000172616</v>
      </c>
    </row>
    <row r="1526" spans="1:9" x14ac:dyDescent="0.3">
      <c r="A1526" t="str">
        <f>""</f>
        <v/>
      </c>
      <c r="F1526" t="str">
        <f>""</f>
        <v/>
      </c>
      <c r="G1526" t="str">
        <f>""</f>
        <v/>
      </c>
      <c r="I1526" t="str">
        <f t="shared" si="13"/>
        <v>CUST#2000172616</v>
      </c>
    </row>
    <row r="1527" spans="1:9" x14ac:dyDescent="0.3">
      <c r="A1527" t="str">
        <f>""</f>
        <v/>
      </c>
      <c r="F1527" t="str">
        <f>""</f>
        <v/>
      </c>
      <c r="G1527" t="str">
        <f>""</f>
        <v/>
      </c>
      <c r="I1527" t="str">
        <f t="shared" si="13"/>
        <v>CUST#2000172616</v>
      </c>
    </row>
    <row r="1528" spans="1:9" x14ac:dyDescent="0.3">
      <c r="A1528" t="str">
        <f>""</f>
        <v/>
      </c>
      <c r="F1528" t="str">
        <f>""</f>
        <v/>
      </c>
      <c r="G1528" t="str">
        <f>""</f>
        <v/>
      </c>
      <c r="I1528" t="str">
        <f t="shared" si="13"/>
        <v>CUST#2000172616</v>
      </c>
    </row>
    <row r="1529" spans="1:9" x14ac:dyDescent="0.3">
      <c r="A1529" t="str">
        <f>""</f>
        <v/>
      </c>
      <c r="F1529" t="str">
        <f>""</f>
        <v/>
      </c>
      <c r="G1529" t="str">
        <f>""</f>
        <v/>
      </c>
      <c r="I1529" t="str">
        <f t="shared" si="13"/>
        <v>CUST#2000172616</v>
      </c>
    </row>
    <row r="1530" spans="1:9" x14ac:dyDescent="0.3">
      <c r="A1530" t="str">
        <f>""</f>
        <v/>
      </c>
      <c r="F1530" t="str">
        <f>""</f>
        <v/>
      </c>
      <c r="G1530" t="str">
        <f>""</f>
        <v/>
      </c>
      <c r="I1530" t="str">
        <f t="shared" si="13"/>
        <v>CUST#2000172616</v>
      </c>
    </row>
    <row r="1531" spans="1:9" x14ac:dyDescent="0.3">
      <c r="A1531" t="str">
        <f>""</f>
        <v/>
      </c>
      <c r="F1531" t="str">
        <f>""</f>
        <v/>
      </c>
      <c r="G1531" t="str">
        <f>""</f>
        <v/>
      </c>
      <c r="I1531" t="str">
        <f t="shared" si="13"/>
        <v>CUST#2000172616</v>
      </c>
    </row>
    <row r="1532" spans="1:9" x14ac:dyDescent="0.3">
      <c r="A1532" t="str">
        <f>""</f>
        <v/>
      </c>
      <c r="F1532" t="str">
        <f>""</f>
        <v/>
      </c>
      <c r="G1532" t="str">
        <f>""</f>
        <v/>
      </c>
      <c r="I1532" t="str">
        <f t="shared" si="13"/>
        <v>CUST#2000172616</v>
      </c>
    </row>
    <row r="1533" spans="1:9" x14ac:dyDescent="0.3">
      <c r="A1533" t="str">
        <f>""</f>
        <v/>
      </c>
      <c r="F1533" t="str">
        <f>""</f>
        <v/>
      </c>
      <c r="G1533" t="str">
        <f>""</f>
        <v/>
      </c>
      <c r="I1533" t="str">
        <f t="shared" si="13"/>
        <v>CUST#2000172616</v>
      </c>
    </row>
    <row r="1534" spans="1:9" x14ac:dyDescent="0.3">
      <c r="A1534" t="str">
        <f>""</f>
        <v/>
      </c>
      <c r="F1534" t="str">
        <f>""</f>
        <v/>
      </c>
      <c r="G1534" t="str">
        <f>""</f>
        <v/>
      </c>
      <c r="I1534" t="str">
        <f t="shared" si="13"/>
        <v>CUST#2000172616</v>
      </c>
    </row>
    <row r="1535" spans="1:9" x14ac:dyDescent="0.3">
      <c r="A1535" t="str">
        <f>""</f>
        <v/>
      </c>
      <c r="F1535" t="str">
        <f>""</f>
        <v/>
      </c>
      <c r="G1535" t="str">
        <f>""</f>
        <v/>
      </c>
      <c r="I1535" t="str">
        <f t="shared" si="13"/>
        <v>CUST#2000172616</v>
      </c>
    </row>
    <row r="1536" spans="1:9" x14ac:dyDescent="0.3">
      <c r="A1536" t="str">
        <f>""</f>
        <v/>
      </c>
      <c r="F1536" t="str">
        <f>""</f>
        <v/>
      </c>
      <c r="G1536" t="str">
        <f>""</f>
        <v/>
      </c>
      <c r="I1536" t="str">
        <f t="shared" si="13"/>
        <v>CUST#2000172616</v>
      </c>
    </row>
    <row r="1537" spans="1:9" x14ac:dyDescent="0.3">
      <c r="A1537" t="str">
        <f>"000374"</f>
        <v>000374</v>
      </c>
      <c r="B1537" t="s">
        <v>441</v>
      </c>
      <c r="C1537">
        <v>76725</v>
      </c>
      <c r="D1537" s="2">
        <v>40</v>
      </c>
      <c r="E1537" s="1">
        <v>43234</v>
      </c>
      <c r="F1537" t="str">
        <f>"I011906"</f>
        <v>I011906</v>
      </c>
      <c r="G1537" t="str">
        <f>"INV I011906 / UNIT 0126"</f>
        <v>INV I011906 / UNIT 0126</v>
      </c>
      <c r="H1537">
        <v>40</v>
      </c>
      <c r="I1537" t="str">
        <f>"INV I011906"</f>
        <v>INV I011906</v>
      </c>
    </row>
    <row r="1538" spans="1:9" x14ac:dyDescent="0.3">
      <c r="A1538" t="str">
        <f>"004417"</f>
        <v>004417</v>
      </c>
      <c r="B1538" t="s">
        <v>442</v>
      </c>
      <c r="C1538">
        <v>999999</v>
      </c>
      <c r="D1538" s="2">
        <v>450</v>
      </c>
      <c r="E1538" s="1">
        <v>43250</v>
      </c>
      <c r="F1538" t="str">
        <f>"BCAPR18-XRAY"</f>
        <v>BCAPR18-XRAY</v>
      </c>
      <c r="G1538" t="str">
        <f>"INV BCAPR18"</f>
        <v>INV BCAPR18</v>
      </c>
      <c r="H1538">
        <v>450</v>
      </c>
      <c r="I1538" t="str">
        <f>"INV BCAPR18"</f>
        <v>INV BCAPR18</v>
      </c>
    </row>
    <row r="1539" spans="1:9" x14ac:dyDescent="0.3">
      <c r="A1539" t="str">
        <f>"MADDEN"</f>
        <v>MADDEN</v>
      </c>
      <c r="B1539" t="s">
        <v>443</v>
      </c>
      <c r="C1539">
        <v>76726</v>
      </c>
      <c r="D1539" s="2">
        <v>492.02</v>
      </c>
      <c r="E1539" s="1">
        <v>43234</v>
      </c>
      <c r="F1539" t="str">
        <f>"4257188"</f>
        <v>4257188</v>
      </c>
      <c r="G1539" t="str">
        <f>"CUST#90564/ORD#2243816/BCAS"</f>
        <v>CUST#90564/ORD#2243816/BCAS</v>
      </c>
      <c r="H1539">
        <v>318</v>
      </c>
      <c r="I1539" t="str">
        <f>"CUST#90564/ORD#2243816/BCAS"</f>
        <v>CUST#90564/ORD#2243816/BCAS</v>
      </c>
    </row>
    <row r="1540" spans="1:9" x14ac:dyDescent="0.3">
      <c r="A1540" t="str">
        <f>""</f>
        <v/>
      </c>
      <c r="F1540" t="str">
        <f>"4257195"</f>
        <v>4257195</v>
      </c>
      <c r="G1540" t="str">
        <f>"CUST#90564/ORD#2243829/GEN SVC"</f>
        <v>CUST#90564/ORD#2243829/GEN SVC</v>
      </c>
      <c r="H1540">
        <v>26.32</v>
      </c>
      <c r="I1540" t="str">
        <f>"CUST#90564/ORD#2243829/GEN SVC"</f>
        <v>CUST#90564/ORD#2243829/GEN SVC</v>
      </c>
    </row>
    <row r="1541" spans="1:9" x14ac:dyDescent="0.3">
      <c r="A1541" t="str">
        <f>""</f>
        <v/>
      </c>
      <c r="F1541" t="str">
        <f>"4257894"</f>
        <v>4257894</v>
      </c>
      <c r="G1541" t="str">
        <f>"CUST#90564/ANIMAL SHELTER"</f>
        <v>CUST#90564/ANIMAL SHELTER</v>
      </c>
      <c r="H1541">
        <v>147.69999999999999</v>
      </c>
      <c r="I1541" t="str">
        <f>"CUST#90564/ANIMAL SHELTER"</f>
        <v>CUST#90564/ANIMAL SHELTER</v>
      </c>
    </row>
    <row r="1542" spans="1:9" x14ac:dyDescent="0.3">
      <c r="A1542" t="str">
        <f>"003619"</f>
        <v>003619</v>
      </c>
      <c r="B1542" t="s">
        <v>444</v>
      </c>
      <c r="C1542">
        <v>76727</v>
      </c>
      <c r="D1542" s="2">
        <v>123</v>
      </c>
      <c r="E1542" s="1">
        <v>43234</v>
      </c>
      <c r="F1542" t="str">
        <f>"180304-2"</f>
        <v>180304-2</v>
      </c>
      <c r="G1542" t="str">
        <f>"STAFF SHIRTS/911 COMMUNICATION"</f>
        <v>STAFF SHIRTS/911 COMMUNICATION</v>
      </c>
      <c r="H1542">
        <v>123</v>
      </c>
      <c r="I1542" t="str">
        <f>"STAFF SHIRTS/911 COMMUNICATION"</f>
        <v>STAFF SHIRTS/911 COMMUNICATION</v>
      </c>
    </row>
    <row r="1543" spans="1:9" x14ac:dyDescent="0.3">
      <c r="A1543" t="str">
        <f>"005556"</f>
        <v>005556</v>
      </c>
      <c r="B1543" t="s">
        <v>445</v>
      </c>
      <c r="C1543">
        <v>76958</v>
      </c>
      <c r="D1543" s="2">
        <v>1516</v>
      </c>
      <c r="E1543" s="1">
        <v>43249</v>
      </c>
      <c r="F1543" t="str">
        <f>"DENTURES FOR INMAT"</f>
        <v>DENTURES FOR INMAT</v>
      </c>
      <c r="G1543" t="str">
        <f>"ROMNEY LASSEN DENTAL  PLLC"</f>
        <v>ROMNEY LASSEN DENTAL  PLLC</v>
      </c>
      <c r="H1543">
        <v>1516</v>
      </c>
      <c r="I1543" t="str">
        <f>""</f>
        <v/>
      </c>
    </row>
    <row r="1544" spans="1:9" x14ac:dyDescent="0.3">
      <c r="A1544" t="str">
        <f>"004991"</f>
        <v>004991</v>
      </c>
      <c r="B1544" t="s">
        <v>446</v>
      </c>
      <c r="C1544">
        <v>76728</v>
      </c>
      <c r="D1544" s="2">
        <v>264</v>
      </c>
      <c r="E1544" s="1">
        <v>43234</v>
      </c>
      <c r="F1544" t="str">
        <f>"201805080871"</f>
        <v>201805080871</v>
      </c>
      <c r="G1544" t="str">
        <f>"LPHCP RECORDING FEES"</f>
        <v>LPHCP RECORDING FEES</v>
      </c>
      <c r="H1544">
        <v>264</v>
      </c>
      <c r="I1544" t="str">
        <f>"LPHCP RECORDING FEES"</f>
        <v>LPHCP RECORDING FEES</v>
      </c>
    </row>
    <row r="1545" spans="1:9" x14ac:dyDescent="0.3">
      <c r="A1545" t="str">
        <f>"RP-CC"</f>
        <v>RP-CC</v>
      </c>
      <c r="B1545" t="s">
        <v>446</v>
      </c>
      <c r="C1545">
        <v>76729</v>
      </c>
      <c r="D1545" s="2">
        <v>455</v>
      </c>
      <c r="E1545" s="1">
        <v>43234</v>
      </c>
      <c r="F1545" t="str">
        <f>"201805090968"</f>
        <v>201805090968</v>
      </c>
      <c r="G1545" t="str">
        <f>"DEVELOPMENT SVCS RECORDING FEE"</f>
        <v>DEVELOPMENT SVCS RECORDING FEE</v>
      </c>
      <c r="H1545">
        <v>455</v>
      </c>
      <c r="I1545" t="str">
        <f>"DEVELOPMENT SVCS RECORDING FEE"</f>
        <v>DEVELOPMENT SVCS RECORDING FEE</v>
      </c>
    </row>
    <row r="1546" spans="1:9" x14ac:dyDescent="0.3">
      <c r="A1546" t="str">
        <f>"004991"</f>
        <v>004991</v>
      </c>
      <c r="B1546" t="s">
        <v>446</v>
      </c>
      <c r="C1546">
        <v>76959</v>
      </c>
      <c r="D1546" s="2">
        <v>132</v>
      </c>
      <c r="E1546" s="1">
        <v>43249</v>
      </c>
      <c r="F1546" t="str">
        <f>"201805221108"</f>
        <v>201805221108</v>
      </c>
      <c r="G1546" t="str">
        <f>"LPHCP RECORDING FEES"</f>
        <v>LPHCP RECORDING FEES</v>
      </c>
      <c r="H1546">
        <v>132</v>
      </c>
      <c r="I1546" t="str">
        <f>"LPHCP RECORDING FEES"</f>
        <v>LPHCP RECORDING FEES</v>
      </c>
    </row>
    <row r="1547" spans="1:9" x14ac:dyDescent="0.3">
      <c r="A1547" t="str">
        <f>"005159"</f>
        <v>005159</v>
      </c>
      <c r="B1547" t="s">
        <v>447</v>
      </c>
      <c r="C1547">
        <v>76960</v>
      </c>
      <c r="D1547" s="2">
        <v>618.97</v>
      </c>
      <c r="E1547" s="1">
        <v>43249</v>
      </c>
      <c r="F1547" t="str">
        <f>"3010543667"</f>
        <v>3010543667</v>
      </c>
      <c r="G1547" t="str">
        <f>"CUST#109334/PCT#3"</f>
        <v>CUST#109334/PCT#3</v>
      </c>
      <c r="H1547">
        <v>17.989999999999998</v>
      </c>
      <c r="I1547" t="str">
        <f>"CUST#109334/PCT#3"</f>
        <v>CUST#109334/PCT#3</v>
      </c>
    </row>
    <row r="1548" spans="1:9" x14ac:dyDescent="0.3">
      <c r="A1548" t="str">
        <f>""</f>
        <v/>
      </c>
      <c r="F1548" t="str">
        <f>"3010580768"</f>
        <v>3010580768</v>
      </c>
      <c r="G1548" t="str">
        <f>"CUST#109334/PCT#3"</f>
        <v>CUST#109334/PCT#3</v>
      </c>
      <c r="H1548">
        <v>600.98</v>
      </c>
      <c r="I1548" t="str">
        <f>"CUST#109334/PCT#3"</f>
        <v>CUST#109334/PCT#3</v>
      </c>
    </row>
    <row r="1549" spans="1:9" x14ac:dyDescent="0.3">
      <c r="A1549" t="str">
        <f>"004125"</f>
        <v>004125</v>
      </c>
      <c r="B1549" t="s">
        <v>448</v>
      </c>
      <c r="C1549">
        <v>76730</v>
      </c>
      <c r="D1549" s="2">
        <v>1667</v>
      </c>
      <c r="E1549" s="1">
        <v>43234</v>
      </c>
      <c r="F1549" t="str">
        <f>"201805090959"</f>
        <v>201805090959</v>
      </c>
      <c r="G1549" t="str">
        <f>"SANE EXAM-CASE#18-S-01430"</f>
        <v>SANE EXAM-CASE#18-S-01430</v>
      </c>
      <c r="H1549">
        <v>733</v>
      </c>
      <c r="I1549" t="str">
        <f>"SANE EXAM-CASE#18-S-01430"</f>
        <v>SANE EXAM-CASE#18-S-01430</v>
      </c>
    </row>
    <row r="1550" spans="1:9" x14ac:dyDescent="0.3">
      <c r="A1550" t="str">
        <f>""</f>
        <v/>
      </c>
      <c r="F1550" t="str">
        <f>"201805090960"</f>
        <v>201805090960</v>
      </c>
      <c r="G1550" t="str">
        <f>"SANE EXAM-CASE#18-S-013940"</f>
        <v>SANE EXAM-CASE#18-S-013940</v>
      </c>
      <c r="H1550">
        <v>934</v>
      </c>
      <c r="I1550" t="str">
        <f>"SANE EXAM-CASE#18-S-013940"</f>
        <v>SANE EXAM-CASE#18-S-013940</v>
      </c>
    </row>
    <row r="1551" spans="1:9" x14ac:dyDescent="0.3">
      <c r="A1551" t="str">
        <f>"T11973"</f>
        <v>T11973</v>
      </c>
      <c r="B1551" t="s">
        <v>449</v>
      </c>
      <c r="C1551">
        <v>999999</v>
      </c>
      <c r="D1551" s="2">
        <v>509.75</v>
      </c>
      <c r="E1551" s="1">
        <v>43235</v>
      </c>
      <c r="F1551" t="str">
        <f>"201805090990"</f>
        <v>201805090990</v>
      </c>
      <c r="G1551" t="str">
        <f>"INDIGENT HEALTH"</f>
        <v>INDIGENT HEALTH</v>
      </c>
      <c r="H1551">
        <v>509.75</v>
      </c>
      <c r="I1551" t="str">
        <f>"INDIGENT HEALTH"</f>
        <v>INDIGENT HEALTH</v>
      </c>
    </row>
    <row r="1552" spans="1:9" x14ac:dyDescent="0.3">
      <c r="A1552" t="str">
        <f>""</f>
        <v/>
      </c>
      <c r="F1552" t="str">
        <f>""</f>
        <v/>
      </c>
      <c r="G1552" t="str">
        <f>""</f>
        <v/>
      </c>
      <c r="I1552" t="str">
        <f>"INDIGENT HEALTH"</f>
        <v>INDIGENT HEALTH</v>
      </c>
    </row>
    <row r="1553" spans="1:9" x14ac:dyDescent="0.3">
      <c r="A1553" t="str">
        <f>"T13173"</f>
        <v>T13173</v>
      </c>
      <c r="B1553" t="s">
        <v>450</v>
      </c>
      <c r="C1553">
        <v>999999</v>
      </c>
      <c r="D1553" s="2">
        <v>510.1</v>
      </c>
      <c r="E1553" s="1">
        <v>43250</v>
      </c>
      <c r="F1553" t="str">
        <f>"061783"</f>
        <v>061783</v>
      </c>
      <c r="G1553" t="str">
        <f>"CASEBINDER/TRACKING#SW04118502"</f>
        <v>CASEBINDER/TRACKING#SW04118502</v>
      </c>
      <c r="H1553">
        <v>510.1</v>
      </c>
      <c r="I1553" t="str">
        <f>"CASEBINDER/TRACKING#SW04118502"</f>
        <v>CASEBINDER/TRACKING#SW04118502</v>
      </c>
    </row>
    <row r="1554" spans="1:9" x14ac:dyDescent="0.3">
      <c r="A1554" t="str">
        <f>"T4840"</f>
        <v>T4840</v>
      </c>
      <c r="B1554" t="s">
        <v>451</v>
      </c>
      <c r="C1554">
        <v>76961</v>
      </c>
      <c r="D1554" s="2">
        <v>420</v>
      </c>
      <c r="E1554" s="1">
        <v>43249</v>
      </c>
      <c r="F1554" t="str">
        <f>"15321"</f>
        <v>15321</v>
      </c>
      <c r="G1554" t="str">
        <f>"CNTY ELECT OFFICIAL-K. MILES"</f>
        <v>CNTY ELECT OFFICIAL-K. MILES</v>
      </c>
      <c r="H1554">
        <v>210</v>
      </c>
      <c r="I1554" t="str">
        <f>"CNTY ELECT OFFICIAL-K. MILES"</f>
        <v>CNTY ELECT OFFICIAL-K. MILES</v>
      </c>
    </row>
    <row r="1555" spans="1:9" x14ac:dyDescent="0.3">
      <c r="A1555" t="str">
        <f>""</f>
        <v/>
      </c>
      <c r="F1555" t="str">
        <f>"15340"</f>
        <v>15340</v>
      </c>
      <c r="G1555" t="str">
        <f>"CNTY ELECT OFFICIAL-B ESCOBEDO"</f>
        <v>CNTY ELECT OFFICIAL-B ESCOBEDO</v>
      </c>
      <c r="H1555">
        <v>210</v>
      </c>
      <c r="I1555" t="str">
        <f>"CNTY ELECT OFFICIAL-B ESCOBEDO"</f>
        <v>CNTY ELECT OFFICIAL-B ESCOBEDO</v>
      </c>
    </row>
    <row r="1556" spans="1:9" x14ac:dyDescent="0.3">
      <c r="A1556" t="str">
        <f>"T12303"</f>
        <v>T12303</v>
      </c>
      <c r="B1556" t="s">
        <v>452</v>
      </c>
      <c r="C1556">
        <v>999999</v>
      </c>
      <c r="D1556" s="2">
        <v>42650</v>
      </c>
      <c r="E1556" s="1">
        <v>43235</v>
      </c>
      <c r="F1556" t="str">
        <f>"5786"</f>
        <v>5786</v>
      </c>
      <c r="G1556" t="str">
        <f>"Wave Plus System"</f>
        <v>Wave Plus System</v>
      </c>
      <c r="H1556">
        <v>42650</v>
      </c>
      <c r="I1556" t="str">
        <f>"Wave Plus Panel"</f>
        <v>Wave Plus Panel</v>
      </c>
    </row>
    <row r="1557" spans="1:9" x14ac:dyDescent="0.3">
      <c r="A1557" t="str">
        <f>""</f>
        <v/>
      </c>
      <c r="F1557" t="str">
        <f>""</f>
        <v/>
      </c>
      <c r="G1557" t="str">
        <f>""</f>
        <v/>
      </c>
      <c r="I1557" t="str">
        <f>"Button Duress Alarm"</f>
        <v>Button Duress Alarm</v>
      </c>
    </row>
    <row r="1558" spans="1:9" x14ac:dyDescent="0.3">
      <c r="A1558" t="str">
        <f>""</f>
        <v/>
      </c>
      <c r="F1558" t="str">
        <f>""</f>
        <v/>
      </c>
      <c r="G1558" t="str">
        <f>""</f>
        <v/>
      </c>
      <c r="I1558" t="str">
        <f>"Remote Receiver"</f>
        <v>Remote Receiver</v>
      </c>
    </row>
    <row r="1559" spans="1:9" x14ac:dyDescent="0.3">
      <c r="A1559" t="str">
        <f>""</f>
        <v/>
      </c>
      <c r="F1559" t="str">
        <f>""</f>
        <v/>
      </c>
      <c r="G1559" t="str">
        <f>""</f>
        <v/>
      </c>
      <c r="I1559" t="str">
        <f>"On Site Training"</f>
        <v>On Site Training</v>
      </c>
    </row>
    <row r="1560" spans="1:9" x14ac:dyDescent="0.3">
      <c r="A1560" t="str">
        <f>"003194"</f>
        <v>003194</v>
      </c>
      <c r="B1560" t="s">
        <v>453</v>
      </c>
      <c r="C1560">
        <v>999999</v>
      </c>
      <c r="D1560" s="2">
        <v>6987</v>
      </c>
      <c r="E1560" s="1">
        <v>43235</v>
      </c>
      <c r="F1560" t="str">
        <f>"PPDINV0010059/60"</f>
        <v>PPDINV0010059/60</v>
      </c>
      <c r="G1560" t="str">
        <f>"INV PPDINV0010059"</f>
        <v>INV PPDINV0010059</v>
      </c>
      <c r="H1560">
        <v>6987</v>
      </c>
      <c r="I1560" t="str">
        <f>"INV PPDINV0010059"</f>
        <v>INV PPDINV0010059</v>
      </c>
    </row>
    <row r="1561" spans="1:9" x14ac:dyDescent="0.3">
      <c r="A1561" t="str">
        <f>""</f>
        <v/>
      </c>
      <c r="F1561" t="str">
        <f>""</f>
        <v/>
      </c>
      <c r="G1561" t="str">
        <f>""</f>
        <v/>
      </c>
      <c r="I1561" t="str">
        <f>"INV PPDINV0010060"</f>
        <v>INV PPDINV0010060</v>
      </c>
    </row>
    <row r="1562" spans="1:9" x14ac:dyDescent="0.3">
      <c r="A1562" t="str">
        <f>"003194"</f>
        <v>003194</v>
      </c>
      <c r="B1562" t="s">
        <v>453</v>
      </c>
      <c r="C1562">
        <v>999999</v>
      </c>
      <c r="D1562" s="2">
        <v>3501</v>
      </c>
      <c r="E1562" s="1">
        <v>43250</v>
      </c>
      <c r="F1562" t="str">
        <f>"PPDINV0010186"</f>
        <v>PPDINV0010186</v>
      </c>
      <c r="G1562" t="str">
        <f>"INV PPDINV0010186"</f>
        <v>INV PPDINV0010186</v>
      </c>
      <c r="H1562">
        <v>3501</v>
      </c>
      <c r="I1562" t="str">
        <f>"INV PPDINV0010186"</f>
        <v>INV PPDINV0010186</v>
      </c>
    </row>
    <row r="1563" spans="1:9" x14ac:dyDescent="0.3">
      <c r="A1563" t="str">
        <f>"003131"</f>
        <v>003131</v>
      </c>
      <c r="B1563" t="s">
        <v>454</v>
      </c>
      <c r="C1563">
        <v>76731</v>
      </c>
      <c r="D1563" s="2">
        <v>3333</v>
      </c>
      <c r="E1563" s="1">
        <v>43234</v>
      </c>
      <c r="F1563" t="str">
        <f>"320181"</f>
        <v>320181</v>
      </c>
      <c r="G1563" t="str">
        <f>"NPI:1156412638/RX ASSISTANCE"</f>
        <v>NPI:1156412638/RX ASSISTANCE</v>
      </c>
      <c r="H1563">
        <v>3333</v>
      </c>
      <c r="I1563" t="str">
        <f>"NPI:1156412638/RX ASSISTANCE"</f>
        <v>NPI:1156412638/RX ASSISTANCE</v>
      </c>
    </row>
    <row r="1564" spans="1:9" x14ac:dyDescent="0.3">
      <c r="A1564" t="str">
        <f>"003086"</f>
        <v>003086</v>
      </c>
      <c r="B1564" t="s">
        <v>455</v>
      </c>
      <c r="C1564">
        <v>76732</v>
      </c>
      <c r="D1564" s="2">
        <v>11813.39</v>
      </c>
      <c r="E1564" s="1">
        <v>43234</v>
      </c>
      <c r="F1564" t="str">
        <f>"201805090964"</f>
        <v>201805090964</v>
      </c>
      <c r="G1564" t="str">
        <f>"4383*9804*1/JAIL MEDICAL"</f>
        <v>4383*9804*1/JAIL MEDICAL</v>
      </c>
      <c r="H1564">
        <v>1457.19</v>
      </c>
      <c r="I1564" t="str">
        <f>"4383*9804*1/JAIL MEDICAL"</f>
        <v>4383*9804*1/JAIL MEDICAL</v>
      </c>
    </row>
    <row r="1565" spans="1:9" x14ac:dyDescent="0.3">
      <c r="A1565" t="str">
        <f>""</f>
        <v/>
      </c>
      <c r="F1565" t="str">
        <f>"201805090992"</f>
        <v>201805090992</v>
      </c>
      <c r="G1565" t="str">
        <f>"INDIGENT HEALTH"</f>
        <v>INDIGENT HEALTH</v>
      </c>
      <c r="H1565">
        <v>10356.200000000001</v>
      </c>
      <c r="I1565" t="str">
        <f>"INDIGENT HEALTH"</f>
        <v>INDIGENT HEALTH</v>
      </c>
    </row>
    <row r="1566" spans="1:9" x14ac:dyDescent="0.3">
      <c r="A1566" t="str">
        <f>"005081"</f>
        <v>005081</v>
      </c>
      <c r="B1566" t="s">
        <v>456</v>
      </c>
      <c r="C1566">
        <v>76733</v>
      </c>
      <c r="D1566" s="2">
        <v>425.36</v>
      </c>
      <c r="E1566" s="1">
        <v>43234</v>
      </c>
      <c r="F1566" t="str">
        <f>"201805020505"</f>
        <v>201805020505</v>
      </c>
      <c r="G1566" t="str">
        <f>"ACCT#20147/BCAS"</f>
        <v>ACCT#20147/BCAS</v>
      </c>
      <c r="H1566">
        <v>425.36</v>
      </c>
      <c r="I1566" t="str">
        <f>"ACCT#20147/BCAS"</f>
        <v>ACCT#20147/BCAS</v>
      </c>
    </row>
    <row r="1567" spans="1:9" x14ac:dyDescent="0.3">
      <c r="A1567" t="str">
        <f>"000291"</f>
        <v>000291</v>
      </c>
      <c r="B1567" t="s">
        <v>457</v>
      </c>
      <c r="C1567">
        <v>76734</v>
      </c>
      <c r="D1567" s="2">
        <v>13.24</v>
      </c>
      <c r="E1567" s="1">
        <v>43234</v>
      </c>
      <c r="F1567" t="str">
        <f>"2070-6"</f>
        <v>2070-6</v>
      </c>
      <c r="G1567" t="str">
        <f>"ACCT#4220-2556-9/BRUSH"</f>
        <v>ACCT#4220-2556-9/BRUSH</v>
      </c>
      <c r="H1567">
        <v>13.24</v>
      </c>
      <c r="I1567" t="str">
        <f>"ACCT#4220-2556-9/BRUSH"</f>
        <v>ACCT#4220-2556-9/BRUSH</v>
      </c>
    </row>
    <row r="1568" spans="1:9" x14ac:dyDescent="0.3">
      <c r="A1568" t="str">
        <f>"T10195"</f>
        <v>T10195</v>
      </c>
      <c r="B1568" t="s">
        <v>458</v>
      </c>
      <c r="C1568">
        <v>76735</v>
      </c>
      <c r="D1568" s="2">
        <v>6153.2</v>
      </c>
      <c r="E1568" s="1">
        <v>43234</v>
      </c>
      <c r="F1568" t="str">
        <f>"GB00275340"</f>
        <v>GB00275340</v>
      </c>
      <c r="G1568" t="str">
        <f>"Camera's for Animal Shelt"</f>
        <v>Camera's for Animal Shelt</v>
      </c>
      <c r="H1568">
        <v>5706.46</v>
      </c>
      <c r="I1568" t="str">
        <f>"Part# 01058-001"</f>
        <v>Part# 01058-001</v>
      </c>
    </row>
    <row r="1569" spans="1:9" x14ac:dyDescent="0.3">
      <c r="A1569" t="str">
        <f>""</f>
        <v/>
      </c>
      <c r="F1569" t="str">
        <f>""</f>
        <v/>
      </c>
      <c r="G1569" t="str">
        <f>""</f>
        <v/>
      </c>
      <c r="I1569" t="str">
        <f>"Part# 01063-001"</f>
        <v>Part# 01063-001</v>
      </c>
    </row>
    <row r="1570" spans="1:9" x14ac:dyDescent="0.3">
      <c r="A1570" t="str">
        <f>""</f>
        <v/>
      </c>
      <c r="F1570" t="str">
        <f>""</f>
        <v/>
      </c>
      <c r="G1570" t="str">
        <f>""</f>
        <v/>
      </c>
      <c r="I1570" t="str">
        <f>"Part# 0937-004"</f>
        <v>Part# 0937-004</v>
      </c>
    </row>
    <row r="1571" spans="1:9" x14ac:dyDescent="0.3">
      <c r="A1571" t="str">
        <f>""</f>
        <v/>
      </c>
      <c r="F1571" t="str">
        <f>"GB00278526"</f>
        <v>GB00278526</v>
      </c>
      <c r="G1571" t="str">
        <f>"Cradlepoint-Antenna"</f>
        <v>Cradlepoint-Antenna</v>
      </c>
      <c r="H1571">
        <v>116</v>
      </c>
      <c r="I1571" t="str">
        <f>"Part# 170669-000"</f>
        <v>Part# 170669-000</v>
      </c>
    </row>
    <row r="1572" spans="1:9" x14ac:dyDescent="0.3">
      <c r="A1572" t="str">
        <f>""</f>
        <v/>
      </c>
      <c r="F1572" t="str">
        <f>"GB00280194"</f>
        <v>GB00280194</v>
      </c>
      <c r="G1572" t="str">
        <f>"items OEM Mobile Network"</f>
        <v>items OEM Mobile Network</v>
      </c>
      <c r="H1572">
        <v>330.74</v>
      </c>
      <c r="I1572" t="str">
        <f>"Part#: 1SKB-R6W"</f>
        <v>Part#: 1SKB-R6W</v>
      </c>
    </row>
    <row r="1573" spans="1:9" x14ac:dyDescent="0.3">
      <c r="A1573" t="str">
        <f>""</f>
        <v/>
      </c>
      <c r="F1573" t="str">
        <f>""</f>
        <v/>
      </c>
      <c r="G1573" t="str">
        <f>""</f>
        <v/>
      </c>
      <c r="I1573" t="str">
        <f>"Part#: SC450RM1U"</f>
        <v>Part#: SC450RM1U</v>
      </c>
    </row>
    <row r="1574" spans="1:9" x14ac:dyDescent="0.3">
      <c r="A1574" t="str">
        <f>"T10195"</f>
        <v>T10195</v>
      </c>
      <c r="B1574" t="s">
        <v>458</v>
      </c>
      <c r="C1574">
        <v>76962</v>
      </c>
      <c r="D1574" s="2">
        <v>12046.24</v>
      </c>
      <c r="E1574" s="1">
        <v>43249</v>
      </c>
      <c r="F1574" t="str">
        <f>"GB00279370"</f>
        <v>GB00279370</v>
      </c>
      <c r="G1574" t="str">
        <f>"CUST#3000414/SALES#GS00427898"</f>
        <v>CUST#3000414/SALES#GS00427898</v>
      </c>
      <c r="H1574">
        <v>198.28</v>
      </c>
      <c r="I1574" t="str">
        <f>"CUST#3000414/SALES#GS00427898"</f>
        <v>CUST#3000414/SALES#GS00427898</v>
      </c>
    </row>
    <row r="1575" spans="1:9" x14ac:dyDescent="0.3">
      <c r="A1575" t="str">
        <f>""</f>
        <v/>
      </c>
      <c r="F1575" t="str">
        <f>"GB00279975"</f>
        <v>GB00279975</v>
      </c>
      <c r="G1575" t="str">
        <f>"CUST#3000414/ORD#GS00429007"</f>
        <v>CUST#3000414/ORD#GS00429007</v>
      </c>
      <c r="H1575">
        <v>1387.96</v>
      </c>
      <c r="I1575" t="str">
        <f>"CUST#3000414/ORD#GS00429007"</f>
        <v>CUST#3000414/ORD#GS00429007</v>
      </c>
    </row>
    <row r="1576" spans="1:9" x14ac:dyDescent="0.3">
      <c r="A1576" t="str">
        <f>""</f>
        <v/>
      </c>
      <c r="F1576" t="str">
        <f>"GB00280463"</f>
        <v>GB00280463</v>
      </c>
      <c r="G1576" t="str">
        <f>"AutoCAD Renewal"</f>
        <v>AutoCAD Renewal</v>
      </c>
      <c r="H1576">
        <v>384</v>
      </c>
      <c r="I1576" t="str">
        <f>"Single User License"</f>
        <v>Single User License</v>
      </c>
    </row>
    <row r="1577" spans="1:9" x14ac:dyDescent="0.3">
      <c r="A1577" t="str">
        <f>""</f>
        <v/>
      </c>
      <c r="F1577" t="str">
        <f>"GB00280585"</f>
        <v>GB00280585</v>
      </c>
      <c r="G1577" t="str">
        <f>"Cisco Merkai Module"</f>
        <v>Cisco Merkai Module</v>
      </c>
      <c r="H1577">
        <v>10076</v>
      </c>
      <c r="I1577" t="str">
        <f>"Part# MA-SFP-10GB-LR"</f>
        <v>Part# MA-SFP-10GB-LR</v>
      </c>
    </row>
    <row r="1578" spans="1:9" x14ac:dyDescent="0.3">
      <c r="A1578" t="str">
        <f>"004840"</f>
        <v>004840</v>
      </c>
      <c r="B1578" t="s">
        <v>459</v>
      </c>
      <c r="C1578">
        <v>76736</v>
      </c>
      <c r="D1578" s="2">
        <v>273.56</v>
      </c>
      <c r="E1578" s="1">
        <v>43234</v>
      </c>
      <c r="F1578" t="str">
        <f>"823147"</f>
        <v>823147</v>
      </c>
      <c r="G1578" t="str">
        <f>"ACCT#550615/GEN SVCS"</f>
        <v>ACCT#550615/GEN SVCS</v>
      </c>
      <c r="H1578">
        <v>273.56</v>
      </c>
      <c r="I1578" t="str">
        <f>"ACCT#550615/GEN SVCS"</f>
        <v>ACCT#550615/GEN SVCS</v>
      </c>
    </row>
    <row r="1579" spans="1:9" x14ac:dyDescent="0.3">
      <c r="A1579" t="str">
        <f>"004740"</f>
        <v>004740</v>
      </c>
      <c r="B1579" t="s">
        <v>460</v>
      </c>
      <c r="C1579">
        <v>76737</v>
      </c>
      <c r="D1579" s="2">
        <v>298</v>
      </c>
      <c r="E1579" s="1">
        <v>43234</v>
      </c>
      <c r="F1579" t="str">
        <f>"8124705441"</f>
        <v>8124705441</v>
      </c>
      <c r="G1579" t="str">
        <f>"INV 8124705441"</f>
        <v>INV 8124705441</v>
      </c>
      <c r="H1579">
        <v>122</v>
      </c>
      <c r="I1579" t="str">
        <f>"INV 8124705441 -LE"</f>
        <v>INV 8124705441 -LE</v>
      </c>
    </row>
    <row r="1580" spans="1:9" x14ac:dyDescent="0.3">
      <c r="A1580" t="str">
        <f>""</f>
        <v/>
      </c>
      <c r="F1580" t="str">
        <f>""</f>
        <v/>
      </c>
      <c r="G1580" t="str">
        <f>""</f>
        <v/>
      </c>
      <c r="I1580" t="str">
        <f>"INV 8124705441 -JAIL"</f>
        <v>INV 8124705441 -JAIL</v>
      </c>
    </row>
    <row r="1581" spans="1:9" x14ac:dyDescent="0.3">
      <c r="A1581" t="str">
        <f>""</f>
        <v/>
      </c>
      <c r="F1581" t="str">
        <f>"8124706120"</f>
        <v>8124706120</v>
      </c>
      <c r="G1581" t="str">
        <f>"CUST#16155373"</f>
        <v>CUST#16155373</v>
      </c>
      <c r="H1581">
        <v>73</v>
      </c>
      <c r="I1581" t="str">
        <f t="shared" ref="I1581:I1586" si="14">"CUST#16155373"</f>
        <v>CUST#16155373</v>
      </c>
    </row>
    <row r="1582" spans="1:9" x14ac:dyDescent="0.3">
      <c r="A1582" t="str">
        <f>""</f>
        <v/>
      </c>
      <c r="F1582" t="str">
        <f>""</f>
        <v/>
      </c>
      <c r="G1582" t="str">
        <f>""</f>
        <v/>
      </c>
      <c r="I1582" t="str">
        <f t="shared" si="14"/>
        <v>CUST#16155373</v>
      </c>
    </row>
    <row r="1583" spans="1:9" x14ac:dyDescent="0.3">
      <c r="A1583" t="str">
        <f>""</f>
        <v/>
      </c>
      <c r="F1583" t="str">
        <f>""</f>
        <v/>
      </c>
      <c r="G1583" t="str">
        <f>""</f>
        <v/>
      </c>
      <c r="I1583" t="str">
        <f t="shared" si="14"/>
        <v>CUST#16155373</v>
      </c>
    </row>
    <row r="1584" spans="1:9" x14ac:dyDescent="0.3">
      <c r="A1584" t="str">
        <f>""</f>
        <v/>
      </c>
      <c r="F1584" t="str">
        <f>""</f>
        <v/>
      </c>
      <c r="G1584" t="str">
        <f>""</f>
        <v/>
      </c>
      <c r="I1584" t="str">
        <f t="shared" si="14"/>
        <v>CUST#16155373</v>
      </c>
    </row>
    <row r="1585" spans="1:9" x14ac:dyDescent="0.3">
      <c r="A1585" t="str">
        <f>""</f>
        <v/>
      </c>
      <c r="F1585" t="str">
        <f>""</f>
        <v/>
      </c>
      <c r="G1585" t="str">
        <f>""</f>
        <v/>
      </c>
      <c r="I1585" t="str">
        <f t="shared" si="14"/>
        <v>CUST#16155373</v>
      </c>
    </row>
    <row r="1586" spans="1:9" x14ac:dyDescent="0.3">
      <c r="A1586" t="str">
        <f>""</f>
        <v/>
      </c>
      <c r="F1586" t="str">
        <f>""</f>
        <v/>
      </c>
      <c r="G1586" t="str">
        <f>""</f>
        <v/>
      </c>
      <c r="I1586" t="str">
        <f t="shared" si="14"/>
        <v>CUST#16155373</v>
      </c>
    </row>
    <row r="1587" spans="1:9" x14ac:dyDescent="0.3">
      <c r="A1587" t="str">
        <f>""</f>
        <v/>
      </c>
      <c r="F1587" t="str">
        <f>"8124706175"</f>
        <v>8124706175</v>
      </c>
      <c r="G1587" t="str">
        <f>"CUST#16156071/TAX OFFICE"</f>
        <v>CUST#16156071/TAX OFFICE</v>
      </c>
      <c r="H1587">
        <v>51.5</v>
      </c>
      <c r="I1587" t="str">
        <f>"CUST#16156071/TAX OFFICE"</f>
        <v>CUST#16156071/TAX OFFICE</v>
      </c>
    </row>
    <row r="1588" spans="1:9" x14ac:dyDescent="0.3">
      <c r="A1588" t="str">
        <f>""</f>
        <v/>
      </c>
      <c r="F1588" t="str">
        <f>"8124706271"</f>
        <v>8124706271</v>
      </c>
      <c r="G1588" t="str">
        <f>"CUST#16158670/JP#4"</f>
        <v>CUST#16158670/JP#4</v>
      </c>
      <c r="H1588">
        <v>51.5</v>
      </c>
      <c r="I1588" t="str">
        <f>"CUST#16158670/JP#4"</f>
        <v>CUST#16158670/JP#4</v>
      </c>
    </row>
    <row r="1589" spans="1:9" x14ac:dyDescent="0.3">
      <c r="A1589" t="str">
        <f>"001260"</f>
        <v>001260</v>
      </c>
      <c r="B1589" t="s">
        <v>461</v>
      </c>
      <c r="C1589">
        <v>76738</v>
      </c>
      <c r="D1589" s="2">
        <v>273.01</v>
      </c>
      <c r="E1589" s="1">
        <v>43234</v>
      </c>
      <c r="F1589" t="str">
        <f>"201805090993"</f>
        <v>201805090993</v>
      </c>
      <c r="G1589" t="str">
        <f>"INDIGENT HEALTH"</f>
        <v>INDIGENT HEALTH</v>
      </c>
      <c r="H1589">
        <v>273.01</v>
      </c>
      <c r="I1589" t="str">
        <f>"INDIGENT HEALTH"</f>
        <v>INDIGENT HEALTH</v>
      </c>
    </row>
    <row r="1590" spans="1:9" x14ac:dyDescent="0.3">
      <c r="A1590" t="str">
        <f>"SS"</f>
        <v>SS</v>
      </c>
      <c r="B1590" t="s">
        <v>462</v>
      </c>
      <c r="C1590">
        <v>76739</v>
      </c>
      <c r="D1590" s="2">
        <v>1166.57</v>
      </c>
      <c r="E1590" s="1">
        <v>43234</v>
      </c>
      <c r="F1590" t="str">
        <f>"201805080875"</f>
        <v>201805080875</v>
      </c>
      <c r="G1590" t="str">
        <f>"STATEMENT#27253/PCT#2"</f>
        <v>STATEMENT#27253/PCT#2</v>
      </c>
      <c r="H1590">
        <v>554.37</v>
      </c>
      <c r="I1590" t="str">
        <f>"STATEMENT#27253/PCT#2"</f>
        <v>STATEMENT#27253/PCT#2</v>
      </c>
    </row>
    <row r="1591" spans="1:9" x14ac:dyDescent="0.3">
      <c r="A1591" t="str">
        <f>""</f>
        <v/>
      </c>
      <c r="F1591" t="str">
        <f>"379695"</f>
        <v>379695</v>
      </c>
      <c r="G1591" t="str">
        <f>"STATEMENT#27252/PCT#1"</f>
        <v>STATEMENT#27252/PCT#1</v>
      </c>
      <c r="H1591">
        <v>612.20000000000005</v>
      </c>
      <c r="I1591" t="str">
        <f>"STATEMENT#27252/PCT#1"</f>
        <v>STATEMENT#27252/PCT#1</v>
      </c>
    </row>
    <row r="1592" spans="1:9" x14ac:dyDescent="0.3">
      <c r="A1592" t="str">
        <f>"SAP"</f>
        <v>SAP</v>
      </c>
      <c r="B1592" t="s">
        <v>463</v>
      </c>
      <c r="C1592">
        <v>76740</v>
      </c>
      <c r="D1592" s="2">
        <v>1474.57</v>
      </c>
      <c r="E1592" s="1">
        <v>43234</v>
      </c>
      <c r="F1592" t="str">
        <f>"201805080876"</f>
        <v>201805080876</v>
      </c>
      <c r="G1592" t="str">
        <f>"ACCT#260/PCT#2"</f>
        <v>ACCT#260/PCT#2</v>
      </c>
      <c r="H1592">
        <v>1474.57</v>
      </c>
      <c r="I1592" t="str">
        <f>"ACCT#260/PCT#2"</f>
        <v>ACCT#260/PCT#2</v>
      </c>
    </row>
    <row r="1593" spans="1:9" x14ac:dyDescent="0.3">
      <c r="A1593" t="str">
        <f>"STM"</f>
        <v>STM</v>
      </c>
      <c r="B1593" t="s">
        <v>464</v>
      </c>
      <c r="C1593">
        <v>76741</v>
      </c>
      <c r="D1593" s="2">
        <v>3828</v>
      </c>
      <c r="E1593" s="1">
        <v>43234</v>
      </c>
      <c r="F1593" t="str">
        <f>"63246359"</f>
        <v>63246359</v>
      </c>
      <c r="G1593" t="str">
        <f>"CUST#52157/PCT#4"</f>
        <v>CUST#52157/PCT#4</v>
      </c>
      <c r="H1593">
        <v>1334</v>
      </c>
      <c r="I1593" t="str">
        <f>"CUST#52157/PCT#4"</f>
        <v>CUST#52157/PCT#4</v>
      </c>
    </row>
    <row r="1594" spans="1:9" x14ac:dyDescent="0.3">
      <c r="A1594" t="str">
        <f>""</f>
        <v/>
      </c>
      <c r="F1594" t="str">
        <f>"63247671"</f>
        <v>63247671</v>
      </c>
      <c r="G1594" t="str">
        <f>"CUST#52157/PCT#3"</f>
        <v>CUST#52157/PCT#3</v>
      </c>
      <c r="H1594">
        <v>176.5</v>
      </c>
      <c r="I1594" t="str">
        <f>"CUST#52157/PCT#3"</f>
        <v>CUST#52157/PCT#3</v>
      </c>
    </row>
    <row r="1595" spans="1:9" x14ac:dyDescent="0.3">
      <c r="A1595" t="str">
        <f>""</f>
        <v/>
      </c>
      <c r="F1595" t="str">
        <f>"63248453"</f>
        <v>63248453</v>
      </c>
      <c r="G1595" t="str">
        <f>"CUST#52157/PCT#3"</f>
        <v>CUST#52157/PCT#3</v>
      </c>
      <c r="H1595">
        <v>333.5</v>
      </c>
      <c r="I1595" t="str">
        <f>"CUST#52157/PCT#3"</f>
        <v>CUST#52157/PCT#3</v>
      </c>
    </row>
    <row r="1596" spans="1:9" x14ac:dyDescent="0.3">
      <c r="A1596" t="str">
        <f>""</f>
        <v/>
      </c>
      <c r="F1596" t="str">
        <f>"63248466"</f>
        <v>63248466</v>
      </c>
      <c r="G1596" t="str">
        <f>"CUST#52157/PCT#3"</f>
        <v>CUST#52157/PCT#3</v>
      </c>
      <c r="H1596">
        <v>1984</v>
      </c>
      <c r="I1596" t="str">
        <f>"CUST#52157/PCT#3"</f>
        <v>CUST#52157/PCT#3</v>
      </c>
    </row>
    <row r="1597" spans="1:9" x14ac:dyDescent="0.3">
      <c r="A1597" t="str">
        <f>"STM"</f>
        <v>STM</v>
      </c>
      <c r="B1597" t="s">
        <v>464</v>
      </c>
      <c r="C1597">
        <v>76963</v>
      </c>
      <c r="D1597" s="2">
        <v>3141.14</v>
      </c>
      <c r="E1597" s="1">
        <v>43249</v>
      </c>
      <c r="F1597" t="str">
        <f>"63249103"</f>
        <v>63249103</v>
      </c>
      <c r="G1597" t="str">
        <f>"CUST#52157/PCT#4"</f>
        <v>CUST#52157/PCT#4</v>
      </c>
      <c r="H1597">
        <v>666</v>
      </c>
      <c r="I1597" t="str">
        <f>"CUST#52157/PCT#4"</f>
        <v>CUST#52157/PCT#4</v>
      </c>
    </row>
    <row r="1598" spans="1:9" x14ac:dyDescent="0.3">
      <c r="A1598" t="str">
        <f>""</f>
        <v/>
      </c>
      <c r="F1598" t="str">
        <f>"63249104"</f>
        <v>63249104</v>
      </c>
      <c r="G1598" t="str">
        <f>"CUST#52157/PCT#4"</f>
        <v>CUST#52157/PCT#4</v>
      </c>
      <c r="H1598">
        <v>2475.14</v>
      </c>
      <c r="I1598" t="str">
        <f>"CUST#52157/PCT#4"</f>
        <v>CUST#52157/PCT#4</v>
      </c>
    </row>
    <row r="1599" spans="1:9" x14ac:dyDescent="0.3">
      <c r="A1599" t="str">
        <f>"T11061"</f>
        <v>T11061</v>
      </c>
      <c r="B1599" t="s">
        <v>465</v>
      </c>
      <c r="C1599">
        <v>76742</v>
      </c>
      <c r="D1599" s="2">
        <v>43.82</v>
      </c>
      <c r="E1599" s="1">
        <v>43234</v>
      </c>
      <c r="F1599" t="str">
        <f>"11969495 041318"</f>
        <v>11969495 041318</v>
      </c>
      <c r="G1599" t="str">
        <f>"ACCT#556850411969495/DA'S OFF"</f>
        <v>ACCT#556850411969495/DA'S OFF</v>
      </c>
      <c r="H1599">
        <v>24.69</v>
      </c>
      <c r="I1599" t="str">
        <f>"ACCT#556850411969495/DA'S OFF"</f>
        <v>ACCT#556850411969495/DA'S OFF</v>
      </c>
    </row>
    <row r="1600" spans="1:9" x14ac:dyDescent="0.3">
      <c r="A1600" t="str">
        <f>""</f>
        <v/>
      </c>
      <c r="F1600" t="str">
        <f>"9604456 042618"</f>
        <v>9604456 042618</v>
      </c>
      <c r="G1600" t="str">
        <f>"ACCT#46668439604456/JP#2"</f>
        <v>ACCT#46668439604456/JP#2</v>
      </c>
      <c r="H1600">
        <v>19.13</v>
      </c>
      <c r="I1600" t="str">
        <f>"ACCT#46668439604456/JP#2"</f>
        <v>ACCT#46668439604456/JP#2</v>
      </c>
    </row>
    <row r="1601" spans="1:9" x14ac:dyDescent="0.3">
      <c r="A1601" t="str">
        <f>"T11061"</f>
        <v>T11061</v>
      </c>
      <c r="B1601" t="s">
        <v>465</v>
      </c>
      <c r="C1601">
        <v>76964</v>
      </c>
      <c r="D1601" s="2">
        <v>122.55</v>
      </c>
      <c r="E1601" s="1">
        <v>43249</v>
      </c>
      <c r="F1601" t="str">
        <f>"11969495 051118"</f>
        <v>11969495 051118</v>
      </c>
      <c r="G1601" t="str">
        <f>"ACCT#556850411969495/DA'S OFF"</f>
        <v>ACCT#556850411969495/DA'S OFF</v>
      </c>
      <c r="H1601">
        <v>122.55</v>
      </c>
      <c r="I1601" t="str">
        <f>"ACCT#556850411969495/DA'S OFF"</f>
        <v>ACCT#556850411969495/DA'S OFF</v>
      </c>
    </row>
    <row r="1602" spans="1:9" x14ac:dyDescent="0.3">
      <c r="A1602" t="str">
        <f>"003747"</f>
        <v>003747</v>
      </c>
      <c r="B1602" t="s">
        <v>466</v>
      </c>
      <c r="C1602">
        <v>76743</v>
      </c>
      <c r="D1602" s="2">
        <v>65.540000000000006</v>
      </c>
      <c r="E1602" s="1">
        <v>43234</v>
      </c>
      <c r="F1602" t="str">
        <f>"B0698356Q"</f>
        <v>B0698356Q</v>
      </c>
      <c r="G1602" t="str">
        <f>"ACCT#0698356-3/IT"</f>
        <v>ACCT#0698356-3/IT</v>
      </c>
      <c r="H1602">
        <v>65.540000000000006</v>
      </c>
      <c r="I1602" t="str">
        <f>"ACCT#0698356-3/IT"</f>
        <v>ACCT#0698356-3/IT</v>
      </c>
    </row>
    <row r="1603" spans="1:9" x14ac:dyDescent="0.3">
      <c r="A1603" t="str">
        <f>"REDDY"</f>
        <v>REDDY</v>
      </c>
      <c r="B1603" t="s">
        <v>467</v>
      </c>
      <c r="C1603">
        <v>76744</v>
      </c>
      <c r="D1603" s="2">
        <v>112.5</v>
      </c>
      <c r="E1603" s="1">
        <v>43234</v>
      </c>
      <c r="F1603" t="str">
        <f>"201805090994"</f>
        <v>201805090994</v>
      </c>
      <c r="G1603" t="str">
        <f>"INDIGENT HEALTH"</f>
        <v>INDIGENT HEALTH</v>
      </c>
      <c r="H1603">
        <v>112.5</v>
      </c>
      <c r="I1603" t="str">
        <f>"INDIGENT HEALTH"</f>
        <v>INDIGENT HEALTH</v>
      </c>
    </row>
    <row r="1604" spans="1:9" x14ac:dyDescent="0.3">
      <c r="A1604" t="str">
        <f>"SDHCS"</f>
        <v>SDHCS</v>
      </c>
      <c r="B1604" t="s">
        <v>468</v>
      </c>
      <c r="C1604">
        <v>76745</v>
      </c>
      <c r="D1604" s="2">
        <v>24200.94</v>
      </c>
      <c r="E1604" s="1">
        <v>43234</v>
      </c>
      <c r="F1604" t="str">
        <f>"201805090996"</f>
        <v>201805090996</v>
      </c>
      <c r="G1604" t="str">
        <f>"INDIGENT HEALTH"</f>
        <v>INDIGENT HEALTH</v>
      </c>
      <c r="H1604">
        <v>19862.310000000001</v>
      </c>
      <c r="I1604" t="str">
        <f>"INDIGENT HEALTH"</f>
        <v>INDIGENT HEALTH</v>
      </c>
    </row>
    <row r="1605" spans="1:9" x14ac:dyDescent="0.3">
      <c r="A1605" t="str">
        <f>""</f>
        <v/>
      </c>
      <c r="F1605" t="str">
        <f>""</f>
        <v/>
      </c>
      <c r="G1605" t="str">
        <f>""</f>
        <v/>
      </c>
      <c r="I1605" t="str">
        <f>"INDIGENT HEALTH"</f>
        <v>INDIGENT HEALTH</v>
      </c>
    </row>
    <row r="1606" spans="1:9" x14ac:dyDescent="0.3">
      <c r="A1606" t="str">
        <f>""</f>
        <v/>
      </c>
      <c r="F1606" t="str">
        <f>"201805090997"</f>
        <v>201805090997</v>
      </c>
      <c r="G1606" t="str">
        <f>"INDIGENT HEALTH"</f>
        <v>INDIGENT HEALTH</v>
      </c>
      <c r="H1606">
        <v>4338.63</v>
      </c>
      <c r="I1606" t="str">
        <f>"INDIGENT HEALTH"</f>
        <v>INDIGENT HEALTH</v>
      </c>
    </row>
    <row r="1607" spans="1:9" x14ac:dyDescent="0.3">
      <c r="A1607" t="str">
        <f>"003508"</f>
        <v>003508</v>
      </c>
      <c r="B1607" t="s">
        <v>469</v>
      </c>
      <c r="C1607">
        <v>76746</v>
      </c>
      <c r="D1607" s="2">
        <v>2189.5100000000002</v>
      </c>
      <c r="E1607" s="1">
        <v>43234</v>
      </c>
      <c r="F1607" t="str">
        <f>"8049541689"</f>
        <v>8049541689</v>
      </c>
      <c r="G1607" t="str">
        <f>"Sum. Inv. 8049541689"</f>
        <v>Sum. Inv. 8049541689</v>
      </c>
      <c r="H1607">
        <v>2189.5100000000002</v>
      </c>
      <c r="I1607" t="str">
        <f>"Inv# 3375229378"</f>
        <v>Inv# 3375229378</v>
      </c>
    </row>
    <row r="1608" spans="1:9" x14ac:dyDescent="0.3">
      <c r="A1608" t="str">
        <f>""</f>
        <v/>
      </c>
      <c r="F1608" t="str">
        <f>""</f>
        <v/>
      </c>
      <c r="G1608" t="str">
        <f>""</f>
        <v/>
      </c>
      <c r="I1608" t="str">
        <f>"Inv# 3375229376"</f>
        <v>Inv# 3375229376</v>
      </c>
    </row>
    <row r="1609" spans="1:9" x14ac:dyDescent="0.3">
      <c r="A1609" t="str">
        <f>""</f>
        <v/>
      </c>
      <c r="F1609" t="str">
        <f>""</f>
        <v/>
      </c>
      <c r="G1609" t="str">
        <f>""</f>
        <v/>
      </c>
      <c r="I1609" t="str">
        <f>"Inv# 3375229377"</f>
        <v>Inv# 3375229377</v>
      </c>
    </row>
    <row r="1610" spans="1:9" x14ac:dyDescent="0.3">
      <c r="A1610" t="str">
        <f>""</f>
        <v/>
      </c>
      <c r="F1610" t="str">
        <f>""</f>
        <v/>
      </c>
      <c r="G1610" t="str">
        <f>""</f>
        <v/>
      </c>
      <c r="I1610" t="str">
        <f>"Inv# 3375229372"</f>
        <v>Inv# 3375229372</v>
      </c>
    </row>
    <row r="1611" spans="1:9" x14ac:dyDescent="0.3">
      <c r="A1611" t="str">
        <f>""</f>
        <v/>
      </c>
      <c r="F1611" t="str">
        <f>""</f>
        <v/>
      </c>
      <c r="G1611" t="str">
        <f>""</f>
        <v/>
      </c>
      <c r="I1611" t="str">
        <f>"Inv# 3375229373"</f>
        <v>Inv# 3375229373</v>
      </c>
    </row>
    <row r="1612" spans="1:9" x14ac:dyDescent="0.3">
      <c r="A1612" t="str">
        <f>""</f>
        <v/>
      </c>
      <c r="F1612" t="str">
        <f>""</f>
        <v/>
      </c>
      <c r="G1612" t="str">
        <f>""</f>
        <v/>
      </c>
      <c r="I1612" t="str">
        <f>"Inv# 3375229374"</f>
        <v>Inv# 3375229374</v>
      </c>
    </row>
    <row r="1613" spans="1:9" x14ac:dyDescent="0.3">
      <c r="A1613" t="str">
        <f>""</f>
        <v/>
      </c>
      <c r="F1613" t="str">
        <f>""</f>
        <v/>
      </c>
      <c r="G1613" t="str">
        <f>""</f>
        <v/>
      </c>
      <c r="I1613" t="str">
        <f>"Inv# 3375229382"</f>
        <v>Inv# 3375229382</v>
      </c>
    </row>
    <row r="1614" spans="1:9" x14ac:dyDescent="0.3">
      <c r="A1614" t="str">
        <f>""</f>
        <v/>
      </c>
      <c r="F1614" t="str">
        <f>""</f>
        <v/>
      </c>
      <c r="G1614" t="str">
        <f>""</f>
        <v/>
      </c>
      <c r="I1614" t="str">
        <f>"Inv# 3375229383"</f>
        <v>Inv# 3375229383</v>
      </c>
    </row>
    <row r="1615" spans="1:9" x14ac:dyDescent="0.3">
      <c r="A1615" t="str">
        <f>""</f>
        <v/>
      </c>
      <c r="F1615" t="str">
        <f>""</f>
        <v/>
      </c>
      <c r="G1615" t="str">
        <f>""</f>
        <v/>
      </c>
      <c r="I1615" t="str">
        <f>"Inv# 3375229384"</f>
        <v>Inv# 3375229384</v>
      </c>
    </row>
    <row r="1616" spans="1:9" x14ac:dyDescent="0.3">
      <c r="A1616" t="str">
        <f>""</f>
        <v/>
      </c>
      <c r="F1616" t="str">
        <f>""</f>
        <v/>
      </c>
      <c r="G1616" t="str">
        <f>""</f>
        <v/>
      </c>
      <c r="I1616" t="str">
        <f>"Inv# 3375229381"</f>
        <v>Inv# 3375229381</v>
      </c>
    </row>
    <row r="1617" spans="1:9" x14ac:dyDescent="0.3">
      <c r="A1617" t="str">
        <f>""</f>
        <v/>
      </c>
      <c r="F1617" t="str">
        <f>""</f>
        <v/>
      </c>
      <c r="G1617" t="str">
        <f>""</f>
        <v/>
      </c>
      <c r="I1617" t="str">
        <f>"Inv# 3375229380"</f>
        <v>Inv# 3375229380</v>
      </c>
    </row>
    <row r="1618" spans="1:9" x14ac:dyDescent="0.3">
      <c r="A1618" t="str">
        <f>""</f>
        <v/>
      </c>
      <c r="F1618" t="str">
        <f>""</f>
        <v/>
      </c>
      <c r="G1618" t="str">
        <f>""</f>
        <v/>
      </c>
      <c r="I1618" t="str">
        <f>"Inv# 3375229375"</f>
        <v>Inv# 3375229375</v>
      </c>
    </row>
    <row r="1619" spans="1:9" x14ac:dyDescent="0.3">
      <c r="A1619" t="str">
        <f>""</f>
        <v/>
      </c>
      <c r="F1619" t="str">
        <f>""</f>
        <v/>
      </c>
      <c r="G1619" t="str">
        <f>""</f>
        <v/>
      </c>
      <c r="I1619" t="str">
        <f>"Inv# 3375229377"</f>
        <v>Inv# 3375229377</v>
      </c>
    </row>
    <row r="1620" spans="1:9" x14ac:dyDescent="0.3">
      <c r="A1620" t="str">
        <f>""</f>
        <v/>
      </c>
      <c r="F1620" t="str">
        <f>""</f>
        <v/>
      </c>
      <c r="G1620" t="str">
        <f>""</f>
        <v/>
      </c>
      <c r="I1620" t="str">
        <f>"Inv# 3375229371"</f>
        <v>Inv# 3375229371</v>
      </c>
    </row>
    <row r="1621" spans="1:9" x14ac:dyDescent="0.3">
      <c r="A1621" t="str">
        <f>"003508"</f>
        <v>003508</v>
      </c>
      <c r="B1621" t="s">
        <v>469</v>
      </c>
      <c r="C1621">
        <v>76965</v>
      </c>
      <c r="D1621" s="2">
        <v>2123.3200000000002</v>
      </c>
      <c r="E1621" s="1">
        <v>43249</v>
      </c>
      <c r="F1621" t="str">
        <f>"SUM INV#8049725980"</f>
        <v>SUM INV#8049725980</v>
      </c>
      <c r="G1621" t="str">
        <f>"Sum. Inv# 8049725980"</f>
        <v>Sum. Inv# 8049725980</v>
      </c>
      <c r="H1621">
        <v>2123.3200000000002</v>
      </c>
      <c r="I1621" t="str">
        <f>"Inv# 3376776219"</f>
        <v>Inv# 3376776219</v>
      </c>
    </row>
    <row r="1622" spans="1:9" x14ac:dyDescent="0.3">
      <c r="A1622" t="str">
        <f>""</f>
        <v/>
      </c>
      <c r="F1622" t="str">
        <f>""</f>
        <v/>
      </c>
      <c r="G1622" t="str">
        <f>""</f>
        <v/>
      </c>
      <c r="I1622" t="str">
        <f>"Inv# 3376776248"</f>
        <v>Inv# 3376776248</v>
      </c>
    </row>
    <row r="1623" spans="1:9" x14ac:dyDescent="0.3">
      <c r="A1623" t="str">
        <f>""</f>
        <v/>
      </c>
      <c r="F1623" t="str">
        <f>""</f>
        <v/>
      </c>
      <c r="G1623" t="str">
        <f>""</f>
        <v/>
      </c>
      <c r="I1623" t="str">
        <f>"Inv# 3376776249"</f>
        <v>Inv# 3376776249</v>
      </c>
    </row>
    <row r="1624" spans="1:9" x14ac:dyDescent="0.3">
      <c r="A1624" t="str">
        <f>""</f>
        <v/>
      </c>
      <c r="F1624" t="str">
        <f>""</f>
        <v/>
      </c>
      <c r="G1624" t="str">
        <f>""</f>
        <v/>
      </c>
      <c r="I1624" t="str">
        <f>"Inv# 3376776243"</f>
        <v>Inv# 3376776243</v>
      </c>
    </row>
    <row r="1625" spans="1:9" x14ac:dyDescent="0.3">
      <c r="A1625" t="str">
        <f>""</f>
        <v/>
      </c>
      <c r="F1625" t="str">
        <f>""</f>
        <v/>
      </c>
      <c r="G1625" t="str">
        <f>""</f>
        <v/>
      </c>
      <c r="I1625" t="str">
        <f>"Inv# 3376776244"</f>
        <v>Inv# 3376776244</v>
      </c>
    </row>
    <row r="1626" spans="1:9" x14ac:dyDescent="0.3">
      <c r="A1626" t="str">
        <f>""</f>
        <v/>
      </c>
      <c r="F1626" t="str">
        <f>""</f>
        <v/>
      </c>
      <c r="G1626" t="str">
        <f>""</f>
        <v/>
      </c>
      <c r="I1626" t="str">
        <f>"Inv# 3376776245"</f>
        <v>Inv# 3376776245</v>
      </c>
    </row>
    <row r="1627" spans="1:9" x14ac:dyDescent="0.3">
      <c r="A1627" t="str">
        <f>""</f>
        <v/>
      </c>
      <c r="F1627" t="str">
        <f>""</f>
        <v/>
      </c>
      <c r="G1627" t="str">
        <f>""</f>
        <v/>
      </c>
      <c r="I1627" t="str">
        <f>"Inv# 3376776256"</f>
        <v>Inv# 3376776256</v>
      </c>
    </row>
    <row r="1628" spans="1:9" x14ac:dyDescent="0.3">
      <c r="A1628" t="str">
        <f>""</f>
        <v/>
      </c>
      <c r="F1628" t="str">
        <f>""</f>
        <v/>
      </c>
      <c r="G1628" t="str">
        <f>""</f>
        <v/>
      </c>
      <c r="I1628" t="str">
        <f>"Inv# 3376776257"</f>
        <v>Inv# 3376776257</v>
      </c>
    </row>
    <row r="1629" spans="1:9" x14ac:dyDescent="0.3">
      <c r="A1629" t="str">
        <f>""</f>
        <v/>
      </c>
      <c r="F1629" t="str">
        <f>""</f>
        <v/>
      </c>
      <c r="G1629" t="str">
        <f>""</f>
        <v/>
      </c>
      <c r="I1629" t="str">
        <f>"Inv# 3376776250"</f>
        <v>Inv# 3376776250</v>
      </c>
    </row>
    <row r="1630" spans="1:9" x14ac:dyDescent="0.3">
      <c r="A1630" t="str">
        <f>""</f>
        <v/>
      </c>
      <c r="F1630" t="str">
        <f>""</f>
        <v/>
      </c>
      <c r="G1630" t="str">
        <f>""</f>
        <v/>
      </c>
      <c r="I1630" t="str">
        <f>"Inv# 3376776251"</f>
        <v>Inv# 3376776251</v>
      </c>
    </row>
    <row r="1631" spans="1:9" x14ac:dyDescent="0.3">
      <c r="A1631" t="str">
        <f>""</f>
        <v/>
      </c>
      <c r="F1631" t="str">
        <f>""</f>
        <v/>
      </c>
      <c r="G1631" t="str">
        <f>""</f>
        <v/>
      </c>
      <c r="I1631" t="str">
        <f>"Inv# 3376776253"</f>
        <v>Inv# 3376776253</v>
      </c>
    </row>
    <row r="1632" spans="1:9" x14ac:dyDescent="0.3">
      <c r="A1632" t="str">
        <f>""</f>
        <v/>
      </c>
      <c r="F1632" t="str">
        <f>""</f>
        <v/>
      </c>
      <c r="G1632" t="str">
        <f>""</f>
        <v/>
      </c>
      <c r="I1632" t="str">
        <f>"Inv# 3376776255"</f>
        <v>Inv# 3376776255</v>
      </c>
    </row>
    <row r="1633" spans="1:9" x14ac:dyDescent="0.3">
      <c r="A1633" t="str">
        <f>""</f>
        <v/>
      </c>
      <c r="F1633" t="str">
        <f>""</f>
        <v/>
      </c>
      <c r="G1633" t="str">
        <f>""</f>
        <v/>
      </c>
      <c r="I1633" t="str">
        <f>"Inv# 3376776246"</f>
        <v>Inv# 3376776246</v>
      </c>
    </row>
    <row r="1634" spans="1:9" x14ac:dyDescent="0.3">
      <c r="A1634" t="str">
        <f>""</f>
        <v/>
      </c>
      <c r="F1634" t="str">
        <f>""</f>
        <v/>
      </c>
      <c r="G1634" t="str">
        <f>""</f>
        <v/>
      </c>
      <c r="I1634" t="str">
        <f>"Inv# 3376776241"</f>
        <v>Inv# 3376776241</v>
      </c>
    </row>
    <row r="1635" spans="1:9" x14ac:dyDescent="0.3">
      <c r="A1635" t="str">
        <f>""</f>
        <v/>
      </c>
      <c r="F1635" t="str">
        <f>""</f>
        <v/>
      </c>
      <c r="G1635" t="str">
        <f>""</f>
        <v/>
      </c>
      <c r="I1635" t="str">
        <f>"Inv# 3376776242"</f>
        <v>Inv# 3376776242</v>
      </c>
    </row>
    <row r="1636" spans="1:9" x14ac:dyDescent="0.3">
      <c r="A1636" t="str">
        <f>"T459"</f>
        <v>T459</v>
      </c>
      <c r="B1636" t="s">
        <v>470</v>
      </c>
      <c r="C1636">
        <v>76747</v>
      </c>
      <c r="D1636" s="2">
        <v>620</v>
      </c>
      <c r="E1636" s="1">
        <v>43234</v>
      </c>
      <c r="F1636" t="str">
        <f>"201805010476"</f>
        <v>201805010476</v>
      </c>
      <c r="G1636" t="str">
        <f>"MARCH 2018"</f>
        <v>MARCH 2018</v>
      </c>
      <c r="H1636">
        <v>620</v>
      </c>
      <c r="I1636" t="str">
        <f>"MARCH 2018"</f>
        <v>MARCH 2018</v>
      </c>
    </row>
    <row r="1637" spans="1:9" x14ac:dyDescent="0.3">
      <c r="A1637" t="str">
        <f>"T459"</f>
        <v>T459</v>
      </c>
      <c r="B1637" t="s">
        <v>470</v>
      </c>
      <c r="C1637">
        <v>76966</v>
      </c>
      <c r="D1637" s="2">
        <v>501.16</v>
      </c>
      <c r="E1637" s="1">
        <v>43249</v>
      </c>
      <c r="F1637" t="str">
        <f>"201805161032"</f>
        <v>201805161032</v>
      </c>
      <c r="G1637" t="str">
        <f>"APRIL 2018"</f>
        <v>APRIL 2018</v>
      </c>
      <c r="H1637">
        <v>501.16</v>
      </c>
      <c r="I1637" t="str">
        <f>"APRIL 2018"</f>
        <v>APRIL 2018</v>
      </c>
    </row>
    <row r="1638" spans="1:9" x14ac:dyDescent="0.3">
      <c r="A1638" t="str">
        <f>"001687"</f>
        <v>001687</v>
      </c>
      <c r="B1638" t="s">
        <v>471</v>
      </c>
      <c r="C1638">
        <v>76967</v>
      </c>
      <c r="D1638" s="2">
        <v>919.75</v>
      </c>
      <c r="E1638" s="1">
        <v>43249</v>
      </c>
      <c r="F1638" t="str">
        <f>"201805171056"</f>
        <v>201805171056</v>
      </c>
      <c r="G1638" t="str">
        <f>"TESTING ADMIN/TRAVEL"</f>
        <v>TESTING ADMIN/TRAVEL</v>
      </c>
      <c r="H1638">
        <v>919.75</v>
      </c>
      <c r="I1638" t="str">
        <f>"TESTING ADMIN/TRAVEL"</f>
        <v>TESTING ADMIN/TRAVEL</v>
      </c>
    </row>
    <row r="1639" spans="1:9" x14ac:dyDescent="0.3">
      <c r="A1639" t="str">
        <f>"T8648"</f>
        <v>T8648</v>
      </c>
      <c r="B1639" t="s">
        <v>472</v>
      </c>
      <c r="C1639">
        <v>76748</v>
      </c>
      <c r="D1639" s="2">
        <v>723.61</v>
      </c>
      <c r="E1639" s="1">
        <v>43234</v>
      </c>
      <c r="F1639" t="str">
        <f>"4007793627"</f>
        <v>4007793627</v>
      </c>
      <c r="G1639" t="str">
        <f>"INV 4007793627"</f>
        <v>INV 4007793627</v>
      </c>
      <c r="H1639">
        <v>723.61</v>
      </c>
      <c r="I1639" t="str">
        <f>"INV 4007793627"</f>
        <v>INV 4007793627</v>
      </c>
    </row>
    <row r="1640" spans="1:9" x14ac:dyDescent="0.3">
      <c r="A1640" t="str">
        <f>"T8648"</f>
        <v>T8648</v>
      </c>
      <c r="B1640" t="s">
        <v>472</v>
      </c>
      <c r="C1640">
        <v>76968</v>
      </c>
      <c r="D1640" s="2">
        <v>723.61</v>
      </c>
      <c r="E1640" s="1">
        <v>43249</v>
      </c>
      <c r="F1640" t="str">
        <f>"4007855839"</f>
        <v>4007855839</v>
      </c>
      <c r="G1640" t="str">
        <f>"INV 4007855839"</f>
        <v>INV 4007855839</v>
      </c>
      <c r="H1640">
        <v>723.61</v>
      </c>
      <c r="I1640" t="str">
        <f>"INV 4007855839"</f>
        <v>INV 4007855839</v>
      </c>
    </row>
    <row r="1641" spans="1:9" x14ac:dyDescent="0.3">
      <c r="A1641" t="str">
        <f>"002260"</f>
        <v>002260</v>
      </c>
      <c r="B1641" t="s">
        <v>473</v>
      </c>
      <c r="C1641">
        <v>76749</v>
      </c>
      <c r="D1641" s="2">
        <v>591.5</v>
      </c>
      <c r="E1641" s="1">
        <v>43234</v>
      </c>
      <c r="F1641" t="str">
        <f>"201805090953"</f>
        <v>201805090953</v>
      </c>
      <c r="G1641" t="str">
        <f>"TRASH REMOVAL 05/01-05/11/PCT4"</f>
        <v>TRASH REMOVAL 05/01-05/11/PCT4</v>
      </c>
      <c r="H1641">
        <v>370.5</v>
      </c>
      <c r="I1641" t="str">
        <f>"TRASH REMOVAL 05/01-05/11/PCT4"</f>
        <v>TRASH REMOVAL 05/01-05/11/PCT4</v>
      </c>
    </row>
    <row r="1642" spans="1:9" x14ac:dyDescent="0.3">
      <c r="A1642" t="str">
        <f>""</f>
        <v/>
      </c>
      <c r="F1642" t="str">
        <f>"201805090954"</f>
        <v>201805090954</v>
      </c>
      <c r="G1642" t="str">
        <f>"TRASH REMOVAL 4/23-4/30"</f>
        <v>TRASH REMOVAL 4/23-4/30</v>
      </c>
      <c r="H1642">
        <v>221</v>
      </c>
      <c r="I1642" t="str">
        <f>"TRASH REMOVAL 4/23-4/30"</f>
        <v>TRASH REMOVAL 4/23-4/30</v>
      </c>
    </row>
    <row r="1643" spans="1:9" x14ac:dyDescent="0.3">
      <c r="A1643" t="str">
        <f>"002260"</f>
        <v>002260</v>
      </c>
      <c r="B1643" t="s">
        <v>473</v>
      </c>
      <c r="C1643">
        <v>76969</v>
      </c>
      <c r="D1643" s="2">
        <v>416</v>
      </c>
      <c r="E1643" s="1">
        <v>43249</v>
      </c>
      <c r="F1643" t="str">
        <f>"201805211087"</f>
        <v>201805211087</v>
      </c>
      <c r="G1643" t="str">
        <f>"TRASH REMOVAL/05/17-05/24/PCT4"</f>
        <v>TRASH REMOVAL/05/17-05/24/PCT4</v>
      </c>
      <c r="H1643">
        <v>416</v>
      </c>
      <c r="I1643" t="str">
        <f>"TRASH REMOVAL/05/17-05/24/PCT4"</f>
        <v>TRASH REMOVAL/05/17-05/24/PCT4</v>
      </c>
    </row>
    <row r="1644" spans="1:9" x14ac:dyDescent="0.3">
      <c r="A1644" t="str">
        <f>"005542"</f>
        <v>005542</v>
      </c>
      <c r="B1644" t="s">
        <v>474</v>
      </c>
      <c r="C1644">
        <v>76750</v>
      </c>
      <c r="D1644" s="2">
        <v>28.82</v>
      </c>
      <c r="E1644" s="1">
        <v>43234</v>
      </c>
      <c r="F1644" t="str">
        <f>"201805090908"</f>
        <v>201805090908</v>
      </c>
      <c r="G1644" t="str">
        <f>"REIMBURSE PARKING"</f>
        <v>REIMBURSE PARKING</v>
      </c>
      <c r="H1644">
        <v>28.82</v>
      </c>
      <c r="I1644" t="str">
        <f>"REIMBURSE PARKING"</f>
        <v>REIMBURSE PARKING</v>
      </c>
    </row>
    <row r="1645" spans="1:9" x14ac:dyDescent="0.3">
      <c r="A1645" t="str">
        <f>"004775"</f>
        <v>004775</v>
      </c>
      <c r="B1645" t="s">
        <v>475</v>
      </c>
      <c r="C1645">
        <v>999999</v>
      </c>
      <c r="D1645" s="2">
        <v>8960</v>
      </c>
      <c r="E1645" s="1">
        <v>43235</v>
      </c>
      <c r="F1645" t="str">
        <f>"192"</f>
        <v>192</v>
      </c>
      <c r="G1645" t="str">
        <f>"MOWING/INDIAN &amp; THUNDERBIRD/P2"</f>
        <v>MOWING/INDIAN &amp; THUNDERBIRD/P2</v>
      </c>
      <c r="H1645">
        <v>8960</v>
      </c>
      <c r="I1645" t="str">
        <f>"MOWING/INDIAN &amp; THUNDERBIRD/P2"</f>
        <v>MOWING/INDIAN &amp; THUNDERBIRD/P2</v>
      </c>
    </row>
    <row r="1646" spans="1:9" x14ac:dyDescent="0.3">
      <c r="A1646" t="str">
        <f>"004775"</f>
        <v>004775</v>
      </c>
      <c r="B1646" t="s">
        <v>475</v>
      </c>
      <c r="C1646">
        <v>999999</v>
      </c>
      <c r="D1646" s="2">
        <v>10240</v>
      </c>
      <c r="E1646" s="1">
        <v>43250</v>
      </c>
      <c r="F1646" t="str">
        <f>"195"</f>
        <v>195</v>
      </c>
      <c r="G1646" t="str">
        <f>"SHREDDING/MOWING/PCT#2"</f>
        <v>SHREDDING/MOWING/PCT#2</v>
      </c>
      <c r="H1646">
        <v>10240</v>
      </c>
      <c r="I1646" t="str">
        <f>"SHREDDING/MOWING/PCT#2"</f>
        <v>SHREDDING/MOWING/PCT#2</v>
      </c>
    </row>
    <row r="1647" spans="1:9" x14ac:dyDescent="0.3">
      <c r="A1647" t="str">
        <f>"T12966"</f>
        <v>T12966</v>
      </c>
      <c r="B1647" t="s">
        <v>476</v>
      </c>
      <c r="C1647">
        <v>76751</v>
      </c>
      <c r="D1647" s="2">
        <v>99.99</v>
      </c>
      <c r="E1647" s="1">
        <v>43234</v>
      </c>
      <c r="F1647" t="str">
        <f>"213313"</f>
        <v>213313</v>
      </c>
      <c r="G1647" t="str">
        <f>"Smoke Detector Camera"</f>
        <v>Smoke Detector Camera</v>
      </c>
      <c r="H1647">
        <v>99.99</v>
      </c>
      <c r="I1647" t="str">
        <f>"Smoke Detector Camera"</f>
        <v>Smoke Detector Camera</v>
      </c>
    </row>
    <row r="1648" spans="1:9" x14ac:dyDescent="0.3">
      <c r="A1648" t="str">
        <f>"005530"</f>
        <v>005530</v>
      </c>
      <c r="B1648" t="s">
        <v>477</v>
      </c>
      <c r="C1648">
        <v>76752</v>
      </c>
      <c r="D1648" s="2">
        <v>1685.1</v>
      </c>
      <c r="E1648" s="1">
        <v>43234</v>
      </c>
      <c r="F1648" t="str">
        <f>"18-00220"</f>
        <v>18-00220</v>
      </c>
      <c r="G1648" t="str">
        <f>"Cleanout Inv# 18-00220"</f>
        <v>Cleanout Inv# 18-00220</v>
      </c>
      <c r="H1648">
        <v>1685.1</v>
      </c>
      <c r="I1648" t="str">
        <f>"LSL- Driver"</f>
        <v>LSL- Driver</v>
      </c>
    </row>
    <row r="1649" spans="1:9" x14ac:dyDescent="0.3">
      <c r="A1649" t="str">
        <f>""</f>
        <v/>
      </c>
      <c r="F1649" t="str">
        <f>""</f>
        <v/>
      </c>
      <c r="G1649" t="str">
        <f>""</f>
        <v/>
      </c>
      <c r="I1649" t="str">
        <f>"LSV-Vacuum"</f>
        <v>LSV-Vacuum</v>
      </c>
    </row>
    <row r="1650" spans="1:9" x14ac:dyDescent="0.3">
      <c r="A1650" t="str">
        <f>""</f>
        <v/>
      </c>
      <c r="F1650" t="str">
        <f>""</f>
        <v/>
      </c>
      <c r="G1650" t="str">
        <f>""</f>
        <v/>
      </c>
      <c r="I1650" t="str">
        <f>"LSV -Fuel Charge"</f>
        <v>LSV -Fuel Charge</v>
      </c>
    </row>
    <row r="1651" spans="1:9" x14ac:dyDescent="0.3">
      <c r="A1651" t="str">
        <f>""</f>
        <v/>
      </c>
      <c r="F1651" t="str">
        <f>""</f>
        <v/>
      </c>
      <c r="G1651" t="str">
        <f>""</f>
        <v/>
      </c>
      <c r="I1651" t="str">
        <f>"LSE- Hand Sprayer"</f>
        <v>LSE- Hand Sprayer</v>
      </c>
    </row>
    <row r="1652" spans="1:9" x14ac:dyDescent="0.3">
      <c r="A1652" t="str">
        <f>""</f>
        <v/>
      </c>
      <c r="F1652" t="str">
        <f>""</f>
        <v/>
      </c>
      <c r="G1652" t="str">
        <f>""</f>
        <v/>
      </c>
      <c r="I1652" t="str">
        <f>"LSM-Degreaser"</f>
        <v>LSM-Degreaser</v>
      </c>
    </row>
    <row r="1653" spans="1:9" x14ac:dyDescent="0.3">
      <c r="A1653" t="str">
        <f>""</f>
        <v/>
      </c>
      <c r="F1653" t="str">
        <f>""</f>
        <v/>
      </c>
      <c r="G1653" t="str">
        <f>""</f>
        <v/>
      </c>
      <c r="I1653" t="str">
        <f>"LSM-Level D PPE"</f>
        <v>LSM-Level D PPE</v>
      </c>
    </row>
    <row r="1654" spans="1:9" x14ac:dyDescent="0.3">
      <c r="A1654" t="str">
        <f>""</f>
        <v/>
      </c>
      <c r="F1654" t="str">
        <f>""</f>
        <v/>
      </c>
      <c r="G1654" t="str">
        <f>""</f>
        <v/>
      </c>
      <c r="I1654" t="str">
        <f>"LSLW-Lump Sum"</f>
        <v>LSLW-Lump Sum</v>
      </c>
    </row>
    <row r="1655" spans="1:9" x14ac:dyDescent="0.3">
      <c r="A1655" t="str">
        <f>""</f>
        <v/>
      </c>
      <c r="F1655" t="str">
        <f>""</f>
        <v/>
      </c>
      <c r="G1655" t="str">
        <f>""</f>
        <v/>
      </c>
      <c r="I1655" t="str">
        <f>"LSL- Vacuum Truck"</f>
        <v>LSL- Vacuum Truck</v>
      </c>
    </row>
    <row r="1656" spans="1:9" x14ac:dyDescent="0.3">
      <c r="A1656" t="str">
        <f>""</f>
        <v/>
      </c>
      <c r="F1656" t="str">
        <f>""</f>
        <v/>
      </c>
      <c r="G1656" t="str">
        <f>""</f>
        <v/>
      </c>
      <c r="I1656" t="str">
        <f>"Surcharge"</f>
        <v>Surcharge</v>
      </c>
    </row>
    <row r="1657" spans="1:9" x14ac:dyDescent="0.3">
      <c r="A1657" t="str">
        <f>""</f>
        <v/>
      </c>
      <c r="F1657" t="str">
        <f>""</f>
        <v/>
      </c>
      <c r="G1657" t="str">
        <f>""</f>
        <v/>
      </c>
      <c r="I1657" t="str">
        <f>"Processing"</f>
        <v>Processing</v>
      </c>
    </row>
    <row r="1658" spans="1:9" x14ac:dyDescent="0.3">
      <c r="A1658" t="str">
        <f>"005530"</f>
        <v>005530</v>
      </c>
      <c r="B1658" t="s">
        <v>477</v>
      </c>
      <c r="C1658">
        <v>76970</v>
      </c>
      <c r="D1658" s="2">
        <v>1960.25</v>
      </c>
      <c r="E1658" s="1">
        <v>43249</v>
      </c>
      <c r="F1658" t="str">
        <f>"15-00238"</f>
        <v>15-00238</v>
      </c>
      <c r="G1658" t="str">
        <f>"INV# 15-00238"</f>
        <v>INV# 15-00238</v>
      </c>
      <c r="H1658">
        <v>1960.25</v>
      </c>
      <c r="I1658" t="str">
        <f>"INV# 15-00238"</f>
        <v>INV# 15-00238</v>
      </c>
    </row>
    <row r="1659" spans="1:9" x14ac:dyDescent="0.3">
      <c r="A1659" t="str">
        <f>"004087"</f>
        <v>004087</v>
      </c>
      <c r="B1659" t="s">
        <v>478</v>
      </c>
      <c r="C1659">
        <v>999999</v>
      </c>
      <c r="D1659" s="2">
        <v>55.12</v>
      </c>
      <c r="E1659" s="1">
        <v>43235</v>
      </c>
      <c r="F1659" t="str">
        <f>"18050209"</f>
        <v>18050209</v>
      </c>
      <c r="G1659" t="str">
        <f>"SVC CONTRACT"</f>
        <v>SVC CONTRACT</v>
      </c>
      <c r="H1659">
        <v>55.12</v>
      </c>
      <c r="I1659" t="str">
        <f>"SVC CONTRACT"</f>
        <v>SVC CONTRACT</v>
      </c>
    </row>
    <row r="1660" spans="1:9" x14ac:dyDescent="0.3">
      <c r="A1660" t="str">
        <f>"T11929"</f>
        <v>T11929</v>
      </c>
      <c r="B1660" t="s">
        <v>479</v>
      </c>
      <c r="C1660">
        <v>76971</v>
      </c>
      <c r="D1660" s="2">
        <v>1180.5</v>
      </c>
      <c r="E1660" s="1">
        <v>43249</v>
      </c>
      <c r="F1660" t="str">
        <f>"75800"</f>
        <v>75800</v>
      </c>
      <c r="G1660" t="str">
        <f>"ACCT#0103-0903F/SVC CALL/GENSV"</f>
        <v>ACCT#0103-0903F/SVC CALL/GENSV</v>
      </c>
      <c r="H1660">
        <v>345</v>
      </c>
      <c r="I1660" t="str">
        <f>"ACCT#0103-0903F/SVC CALL/GENSV"</f>
        <v>ACCT#0103-0903F/SVC CALL/GENSV</v>
      </c>
    </row>
    <row r="1661" spans="1:9" x14ac:dyDescent="0.3">
      <c r="A1661" t="str">
        <f>""</f>
        <v/>
      </c>
      <c r="F1661" t="str">
        <f>"75801"</f>
        <v>75801</v>
      </c>
      <c r="G1661" t="str">
        <f>"ACCT#0103-0970F/SVC CALL/CTHOU"</f>
        <v>ACCT#0103-0970F/SVC CALL/CTHOU</v>
      </c>
      <c r="H1661">
        <v>835.5</v>
      </c>
      <c r="I1661" t="str">
        <f>"ACCT#0103-0970F/SVC CALL/CTHOU"</f>
        <v>ACCT#0103-0970F/SVC CALL/CTHOU</v>
      </c>
    </row>
    <row r="1662" spans="1:9" x14ac:dyDescent="0.3">
      <c r="A1662" t="str">
        <f>"T14477"</f>
        <v>T14477</v>
      </c>
      <c r="B1662" t="s">
        <v>480</v>
      </c>
      <c r="C1662">
        <v>76972</v>
      </c>
      <c r="D1662" s="2">
        <v>25</v>
      </c>
      <c r="E1662" s="1">
        <v>43249</v>
      </c>
      <c r="F1662" t="str">
        <f>"TCOLE-G. JUDD"</f>
        <v>TCOLE-G. JUDD</v>
      </c>
      <c r="G1662" t="str">
        <f>"TX COMM ON LAW ENFORCEMENT"</f>
        <v>TX COMM ON LAW ENFORCEMENT</v>
      </c>
      <c r="H1662">
        <v>25</v>
      </c>
      <c r="I1662" t="str">
        <f>""</f>
        <v/>
      </c>
    </row>
    <row r="1663" spans="1:9" x14ac:dyDescent="0.3">
      <c r="A1663" t="str">
        <f>"T7300"</f>
        <v>T7300</v>
      </c>
      <c r="B1663" t="s">
        <v>481</v>
      </c>
      <c r="C1663">
        <v>76753</v>
      </c>
      <c r="D1663" s="2">
        <v>350</v>
      </c>
      <c r="E1663" s="1">
        <v>43234</v>
      </c>
      <c r="F1663" t="str">
        <f>"138713"</f>
        <v>138713</v>
      </c>
      <c r="G1663" t="str">
        <f>"CONFERENCE-CRIMES AGAINST CHIL"</f>
        <v>CONFERENCE-CRIMES AGAINST CHIL</v>
      </c>
      <c r="H1663">
        <v>350</v>
      </c>
      <c r="I1663" t="str">
        <f>"CONFERENCE-CRIMES AGAINST CHIL"</f>
        <v>CONFERENCE-CRIMES AGAINST CHIL</v>
      </c>
    </row>
    <row r="1664" spans="1:9" x14ac:dyDescent="0.3">
      <c r="A1664" t="str">
        <f>"T8745"</f>
        <v>T8745</v>
      </c>
      <c r="B1664" t="s">
        <v>482</v>
      </c>
      <c r="C1664">
        <v>999999</v>
      </c>
      <c r="D1664" s="2">
        <v>201</v>
      </c>
      <c r="E1664" s="1">
        <v>43250</v>
      </c>
      <c r="F1664" t="str">
        <f>"1806061"</f>
        <v>1806061</v>
      </c>
      <c r="G1664" t="str">
        <f>"MONTHLY CONTRACT BILLING-CNTY"</f>
        <v>MONTHLY CONTRACT BILLING-CNTY</v>
      </c>
      <c r="H1664">
        <v>201</v>
      </c>
      <c r="I1664" t="str">
        <f>"MONTHLY CONTRACT BILLING-CNTY"</f>
        <v>MONTHLY CONTRACT BILLING-CNTY</v>
      </c>
    </row>
    <row r="1665" spans="1:9" x14ac:dyDescent="0.3">
      <c r="A1665" t="str">
        <f>"004677"</f>
        <v>004677</v>
      </c>
      <c r="B1665" t="s">
        <v>483</v>
      </c>
      <c r="C1665">
        <v>76754</v>
      </c>
      <c r="D1665" s="2">
        <v>432.77</v>
      </c>
      <c r="E1665" s="1">
        <v>43234</v>
      </c>
      <c r="F1665" t="str">
        <f>"CN 423-5021"</f>
        <v>CN 423-5021</v>
      </c>
      <c r="G1665" t="str">
        <f>"COURT REPORTING SVCS/MILEAGE"</f>
        <v>COURT REPORTING SVCS/MILEAGE</v>
      </c>
      <c r="H1665">
        <v>432.77</v>
      </c>
      <c r="I1665" t="str">
        <f>"COURT REPORTING SVCS/MILEAGE"</f>
        <v>COURT REPORTING SVCS/MILEAGE</v>
      </c>
    </row>
    <row r="1666" spans="1:9" x14ac:dyDescent="0.3">
      <c r="A1666" t="str">
        <f>"T11830"</f>
        <v>T11830</v>
      </c>
      <c r="B1666" t="s">
        <v>484</v>
      </c>
      <c r="C1666">
        <v>76755</v>
      </c>
      <c r="D1666" s="2">
        <v>130.80000000000001</v>
      </c>
      <c r="E1666" s="1">
        <v>43234</v>
      </c>
      <c r="F1666" t="str">
        <f>"201804270466"</f>
        <v>201804270466</v>
      </c>
      <c r="G1666" t="str">
        <f>"MILEAGE REIMBURSEMENT"</f>
        <v>MILEAGE REIMBURSEMENT</v>
      </c>
      <c r="H1666">
        <v>130.80000000000001</v>
      </c>
      <c r="I1666" t="str">
        <f>"MILEAGE REIMBURSEMENT"</f>
        <v>MILEAGE REIMBURSEMENT</v>
      </c>
    </row>
    <row r="1667" spans="1:9" x14ac:dyDescent="0.3">
      <c r="A1667" t="str">
        <f>"T13574"</f>
        <v>T13574</v>
      </c>
      <c r="B1667" t="s">
        <v>485</v>
      </c>
      <c r="C1667">
        <v>999999</v>
      </c>
      <c r="D1667" s="2">
        <v>17</v>
      </c>
      <c r="E1667" s="1">
        <v>43235</v>
      </c>
      <c r="F1667" t="str">
        <f>"76173"</f>
        <v>76173</v>
      </c>
      <c r="G1667" t="str">
        <f>"ACCT#63275/CUST ID:BASCO1/PCT3"</f>
        <v>ACCT#63275/CUST ID:BASCO1/PCT3</v>
      </c>
      <c r="H1667">
        <v>17</v>
      </c>
      <c r="I1667" t="str">
        <f>"ACCT#63275/CUST ID:BASCO1/PCT3"</f>
        <v>ACCT#63275/CUST ID:BASCO1/PCT3</v>
      </c>
    </row>
    <row r="1668" spans="1:9" x14ac:dyDescent="0.3">
      <c r="A1668" t="str">
        <f>"T6855"</f>
        <v>T6855</v>
      </c>
      <c r="B1668" t="s">
        <v>486</v>
      </c>
      <c r="C1668">
        <v>76756</v>
      </c>
      <c r="D1668" s="2">
        <v>23844.26</v>
      </c>
      <c r="E1668" s="1">
        <v>43234</v>
      </c>
      <c r="F1668" t="str">
        <f>"0739609-IN"</f>
        <v>0739609-IN</v>
      </c>
      <c r="G1668" t="str">
        <f>"ACCT#01-0112917/FUEL/PCT#3"</f>
        <v>ACCT#01-0112917/FUEL/PCT#3</v>
      </c>
      <c r="H1668">
        <v>4520.3100000000004</v>
      </c>
      <c r="I1668" t="str">
        <f>"ACCT#01-0112917/FUEL/PCT#3"</f>
        <v>ACCT#01-0112917/FUEL/PCT#3</v>
      </c>
    </row>
    <row r="1669" spans="1:9" x14ac:dyDescent="0.3">
      <c r="A1669" t="str">
        <f>""</f>
        <v/>
      </c>
      <c r="F1669" t="str">
        <f>"0740349-IN"</f>
        <v>0740349-IN</v>
      </c>
      <c r="G1669" t="str">
        <f>"ACCT#01-0112917/ITEM#402110/P1"</f>
        <v>ACCT#01-0112917/ITEM#402110/P1</v>
      </c>
      <c r="H1669">
        <v>1393.6</v>
      </c>
      <c r="I1669" t="str">
        <f>"ACCT#01-0112917/ITEM#402110/P1"</f>
        <v>ACCT#01-0112917/ITEM#402110/P1</v>
      </c>
    </row>
    <row r="1670" spans="1:9" x14ac:dyDescent="0.3">
      <c r="A1670" t="str">
        <f>""</f>
        <v/>
      </c>
      <c r="F1670" t="str">
        <f>"0740435-IN"</f>
        <v>0740435-IN</v>
      </c>
      <c r="G1670" t="str">
        <f>"ACCT#01-0112917/ITEM#204200/P2"</f>
        <v>ACCT#01-0112917/ITEM#204200/P2</v>
      </c>
      <c r="H1670">
        <v>3664.43</v>
      </c>
      <c r="I1670" t="str">
        <f>"ACCT#01-0112917/ITEM#204200/P2"</f>
        <v>ACCT#01-0112917/ITEM#204200/P2</v>
      </c>
    </row>
    <row r="1671" spans="1:9" x14ac:dyDescent="0.3">
      <c r="A1671" t="str">
        <f>""</f>
        <v/>
      </c>
      <c r="F1671" t="str">
        <f>"0743718-IN"</f>
        <v>0743718-IN</v>
      </c>
      <c r="G1671" t="str">
        <f>"ACCT#01-0112917/FUEL/PCT#3"</f>
        <v>ACCT#01-0112917/FUEL/PCT#3</v>
      </c>
      <c r="H1671">
        <v>5130.8999999999996</v>
      </c>
      <c r="I1671" t="str">
        <f>"ACCT#01-0112917/FUEL/PCT#3"</f>
        <v>ACCT#01-0112917/FUEL/PCT#3</v>
      </c>
    </row>
    <row r="1672" spans="1:9" x14ac:dyDescent="0.3">
      <c r="A1672" t="str">
        <f>""</f>
        <v/>
      </c>
      <c r="F1672" t="str">
        <f>"0743729-IN"</f>
        <v>0743729-IN</v>
      </c>
      <c r="G1672" t="str">
        <f>"ITEM#204200/ORD#0743729/PCT#2"</f>
        <v>ITEM#204200/ORD#0743729/PCT#2</v>
      </c>
      <c r="H1672">
        <v>3124.94</v>
      </c>
      <c r="I1672" t="str">
        <f>"ITEM#204200/ORD#0743729/PCT#2"</f>
        <v>ITEM#204200/ORD#0743729/PCT#2</v>
      </c>
    </row>
    <row r="1673" spans="1:9" x14ac:dyDescent="0.3">
      <c r="A1673" t="str">
        <f>""</f>
        <v/>
      </c>
      <c r="F1673" t="str">
        <f>"0743768-IN"</f>
        <v>0743768-IN</v>
      </c>
      <c r="G1673" t="str">
        <f>"ITEM#204200/BOL#269907/PCT#1"</f>
        <v>ITEM#204200/BOL#269907/PCT#1</v>
      </c>
      <c r="H1673">
        <v>6010.08</v>
      </c>
      <c r="I1673" t="str">
        <f>"ITEM#204200/BOL#269907/PCT#1"</f>
        <v>ITEM#204200/BOL#269907/PCT#1</v>
      </c>
    </row>
    <row r="1674" spans="1:9" x14ac:dyDescent="0.3">
      <c r="A1674" t="str">
        <f>"T6855"</f>
        <v>T6855</v>
      </c>
      <c r="B1674" t="s">
        <v>486</v>
      </c>
      <c r="C1674">
        <v>76973</v>
      </c>
      <c r="D1674" s="2">
        <v>16905.48</v>
      </c>
      <c r="E1674" s="1">
        <v>43249</v>
      </c>
      <c r="F1674" t="str">
        <f>"0745646-IN"</f>
        <v>0745646-IN</v>
      </c>
      <c r="G1674" t="str">
        <f>"ACCT#01-0112917/ORD#0745646/P1"</f>
        <v>ACCT#01-0112917/ORD#0745646/P1</v>
      </c>
      <c r="H1674">
        <v>4139.72</v>
      </c>
      <c r="I1674" t="str">
        <f>"ACCT#01-0112917/ORD#0745646/P1"</f>
        <v>ACCT#01-0112917/ORD#0745646/P1</v>
      </c>
    </row>
    <row r="1675" spans="1:9" x14ac:dyDescent="0.3">
      <c r="A1675" t="str">
        <f>""</f>
        <v/>
      </c>
      <c r="F1675" t="str">
        <f>"0745777-IN"</f>
        <v>0745777-IN</v>
      </c>
      <c r="G1675" t="str">
        <f>"ACCT#01-0112917/ORD#0745777/P2"</f>
        <v>ACCT#01-0112917/ORD#0745777/P2</v>
      </c>
      <c r="H1675">
        <v>3210.34</v>
      </c>
      <c r="I1675" t="str">
        <f>"ACCT#01-0112917/ORD#0745777/P2"</f>
        <v>ACCT#01-0112917/ORD#0745777/P2</v>
      </c>
    </row>
    <row r="1676" spans="1:9" x14ac:dyDescent="0.3">
      <c r="A1676" t="str">
        <f>""</f>
        <v/>
      </c>
      <c r="F1676" t="str">
        <f>"0746097-IN"</f>
        <v>0746097-IN</v>
      </c>
      <c r="G1676" t="str">
        <f>"ACCT#01-0112917/ORD#0746097/P3"</f>
        <v>ACCT#01-0112917/ORD#0746097/P3</v>
      </c>
      <c r="H1676">
        <v>948.69</v>
      </c>
      <c r="I1676" t="str">
        <f>"ACCT#01-0112917/ORD#0746097/P3"</f>
        <v>ACCT#01-0112917/ORD#0746097/P3</v>
      </c>
    </row>
    <row r="1677" spans="1:9" x14ac:dyDescent="0.3">
      <c r="A1677" t="str">
        <f>""</f>
        <v/>
      </c>
      <c r="F1677" t="str">
        <f>"0748010-IN"</f>
        <v>0748010-IN</v>
      </c>
      <c r="G1677" t="str">
        <f>"ACCT#01-0112917/IT#204200/PCT2"</f>
        <v>ACCT#01-0112917/IT#204200/PCT2</v>
      </c>
      <c r="H1677">
        <v>3235.83</v>
      </c>
      <c r="I1677" t="str">
        <f>"ACCT#01-0112917/IT#204200/PCT2"</f>
        <v>ACCT#01-0112917/IT#204200/PCT2</v>
      </c>
    </row>
    <row r="1678" spans="1:9" x14ac:dyDescent="0.3">
      <c r="A1678" t="str">
        <f>""</f>
        <v/>
      </c>
      <c r="F1678" t="str">
        <f>"0748344-IN"</f>
        <v>0748344-IN</v>
      </c>
      <c r="G1678" t="str">
        <f>"ACCT#01-0112917/FUEL/PCT#3"</f>
        <v>ACCT#01-0112917/FUEL/PCT#3</v>
      </c>
      <c r="H1678">
        <v>5370.9</v>
      </c>
      <c r="I1678" t="str">
        <f>"ACCT#01-0112917/FUEL/PCT#3"</f>
        <v>ACCT#01-0112917/FUEL/PCT#3</v>
      </c>
    </row>
    <row r="1679" spans="1:9" x14ac:dyDescent="0.3">
      <c r="A1679" t="str">
        <f>"T14371"</f>
        <v>T14371</v>
      </c>
      <c r="B1679" t="s">
        <v>487</v>
      </c>
      <c r="C1679">
        <v>76757</v>
      </c>
      <c r="D1679" s="2">
        <v>327.31</v>
      </c>
      <c r="E1679" s="1">
        <v>43234</v>
      </c>
      <c r="F1679" t="str">
        <f>"201805090999"</f>
        <v>201805090999</v>
      </c>
      <c r="G1679" t="str">
        <f>"INDIGENT HEALTH"</f>
        <v>INDIGENT HEALTH</v>
      </c>
      <c r="H1679">
        <v>327.31</v>
      </c>
      <c r="I1679" t="str">
        <f>"INDIGENT HEALTH"</f>
        <v>INDIGENT HEALTH</v>
      </c>
    </row>
    <row r="1680" spans="1:9" x14ac:dyDescent="0.3">
      <c r="A1680" t="str">
        <f>"T5495"</f>
        <v>T5495</v>
      </c>
      <c r="B1680" t="s">
        <v>488</v>
      </c>
      <c r="C1680">
        <v>76758</v>
      </c>
      <c r="D1680" s="2">
        <v>100</v>
      </c>
      <c r="E1680" s="1">
        <v>43234</v>
      </c>
      <c r="F1680" t="str">
        <f>"201805030728"</f>
        <v>201805030728</v>
      </c>
      <c r="G1680" t="str">
        <f>"CONFERENCE REGISTRATION"</f>
        <v>CONFERENCE REGISTRATION</v>
      </c>
      <c r="H1680">
        <v>50</v>
      </c>
      <c r="I1680" t="str">
        <f>"CONFERENCE REGISTRATION"</f>
        <v>CONFERENCE REGISTRATION</v>
      </c>
    </row>
    <row r="1681" spans="1:9" x14ac:dyDescent="0.3">
      <c r="A1681" t="str">
        <f>""</f>
        <v/>
      </c>
      <c r="F1681" t="str">
        <f>"E800638"</f>
        <v>E800638</v>
      </c>
      <c r="G1681" t="str">
        <f>"CUST#5000000000007/DIST10 MEET"</f>
        <v>CUST#5000000000007/DIST10 MEET</v>
      </c>
      <c r="H1681">
        <v>50</v>
      </c>
      <c r="I1681" t="str">
        <f>"CUST#5000000000007/DIST10 MEET"</f>
        <v>CUST#5000000000007/DIST10 MEET</v>
      </c>
    </row>
    <row r="1682" spans="1:9" x14ac:dyDescent="0.3">
      <c r="A1682" t="str">
        <f>"TXAGG"</f>
        <v>TXAGG</v>
      </c>
      <c r="B1682" t="s">
        <v>489</v>
      </c>
      <c r="C1682">
        <v>999999</v>
      </c>
      <c r="D1682" s="2">
        <v>495.6</v>
      </c>
      <c r="E1682" s="1">
        <v>43235</v>
      </c>
      <c r="F1682" t="str">
        <f>"94559"</f>
        <v>94559</v>
      </c>
      <c r="G1682" t="str">
        <f>"RIP RAP / PCT1"</f>
        <v>RIP RAP / PCT1</v>
      </c>
      <c r="H1682">
        <v>495.6</v>
      </c>
      <c r="I1682" t="str">
        <f>"RIP RAP / PCT1"</f>
        <v>RIP RAP / PCT1</v>
      </c>
    </row>
    <row r="1683" spans="1:9" x14ac:dyDescent="0.3">
      <c r="A1683" t="str">
        <f>"TXAGG"</f>
        <v>TXAGG</v>
      </c>
      <c r="B1683" t="s">
        <v>489</v>
      </c>
      <c r="C1683">
        <v>999999</v>
      </c>
      <c r="D1683" s="2">
        <v>940.8</v>
      </c>
      <c r="E1683" s="1">
        <v>43250</v>
      </c>
      <c r="F1683" t="str">
        <f>"94669"</f>
        <v>94669</v>
      </c>
      <c r="G1683" t="str">
        <f>"TCKT#1080813/1080817/RIPRAP/P1"</f>
        <v>TCKT#1080813/1080817/RIPRAP/P1</v>
      </c>
      <c r="H1683">
        <v>940.8</v>
      </c>
      <c r="I1683" t="str">
        <f>"TCKT#1080813/1080817/RIPRAP/P1"</f>
        <v>TCKT#1080813/1080817/RIPRAP/P1</v>
      </c>
    </row>
    <row r="1684" spans="1:9" x14ac:dyDescent="0.3">
      <c r="A1684" t="str">
        <f>"001468"</f>
        <v>001468</v>
      </c>
      <c r="B1684" t="s">
        <v>490</v>
      </c>
      <c r="C1684">
        <v>76759</v>
      </c>
      <c r="D1684" s="2">
        <v>400</v>
      </c>
      <c r="E1684" s="1">
        <v>43234</v>
      </c>
      <c r="F1684" t="str">
        <f>"BONDS"</f>
        <v>BONDS</v>
      </c>
      <c r="G1684" t="str">
        <f>"INV 1121/1122/1123/1124"</f>
        <v>INV 1121/1122/1123/1124</v>
      </c>
      <c r="H1684">
        <v>200</v>
      </c>
      <c r="I1684" t="str">
        <f>"INV 1121"</f>
        <v>INV 1121</v>
      </c>
    </row>
    <row r="1685" spans="1:9" x14ac:dyDescent="0.3">
      <c r="A1685" t="str">
        <f>""</f>
        <v/>
      </c>
      <c r="F1685" t="str">
        <f>""</f>
        <v/>
      </c>
      <c r="G1685" t="str">
        <f>""</f>
        <v/>
      </c>
      <c r="I1685" t="str">
        <f>"INV 1122"</f>
        <v>INV 1122</v>
      </c>
    </row>
    <row r="1686" spans="1:9" x14ac:dyDescent="0.3">
      <c r="A1686" t="str">
        <f>""</f>
        <v/>
      </c>
      <c r="F1686" t="str">
        <f>""</f>
        <v/>
      </c>
      <c r="G1686" t="str">
        <f>""</f>
        <v/>
      </c>
      <c r="I1686" t="str">
        <f>"INV 1123"</f>
        <v>INV 1123</v>
      </c>
    </row>
    <row r="1687" spans="1:9" x14ac:dyDescent="0.3">
      <c r="A1687" t="str">
        <f>""</f>
        <v/>
      </c>
      <c r="F1687" t="str">
        <f>""</f>
        <v/>
      </c>
      <c r="G1687" t="str">
        <f>""</f>
        <v/>
      </c>
      <c r="I1687" t="str">
        <f>"INV 1124"</f>
        <v>INV 1124</v>
      </c>
    </row>
    <row r="1688" spans="1:9" x14ac:dyDescent="0.3">
      <c r="A1688" t="str">
        <f>""</f>
        <v/>
      </c>
      <c r="F1688" t="str">
        <f>"MAY BOND RENEWALS"</f>
        <v>MAY BOND RENEWALS</v>
      </c>
      <c r="G1688" t="str">
        <f>"MAY BOND RENEWALS"</f>
        <v>MAY BOND RENEWALS</v>
      </c>
      <c r="H1688">
        <v>200</v>
      </c>
      <c r="I1688" t="str">
        <f>"MAY BOND RENEWALS"</f>
        <v>MAY BOND RENEWALS</v>
      </c>
    </row>
    <row r="1689" spans="1:9" x14ac:dyDescent="0.3">
      <c r="A1689" t="str">
        <f>"001468"</f>
        <v>001468</v>
      </c>
      <c r="B1689" t="s">
        <v>490</v>
      </c>
      <c r="C1689">
        <v>76974</v>
      </c>
      <c r="D1689" s="2">
        <v>142</v>
      </c>
      <c r="E1689" s="1">
        <v>43249</v>
      </c>
      <c r="F1689" t="str">
        <f>"1229/1228"</f>
        <v>1229/1228</v>
      </c>
      <c r="G1689" t="str">
        <f>"INV 1229 / 1228"</f>
        <v>INV 1229 / 1228</v>
      </c>
      <c r="H1689">
        <v>142</v>
      </c>
      <c r="I1689" t="str">
        <f>"INV 1229 / 1228"</f>
        <v>INV 1229 / 1228</v>
      </c>
    </row>
    <row r="1690" spans="1:9" x14ac:dyDescent="0.3">
      <c r="A1690" t="str">
        <f>"TACRMP"</f>
        <v>TACRMP</v>
      </c>
      <c r="B1690" t="s">
        <v>491</v>
      </c>
      <c r="C1690">
        <v>76975</v>
      </c>
      <c r="D1690" s="2">
        <v>712.95</v>
      </c>
      <c r="E1690" s="1">
        <v>43249</v>
      </c>
      <c r="F1690" t="str">
        <f>"201805161023"</f>
        <v>201805161023</v>
      </c>
      <c r="G1690" t="str">
        <f>"PROCESSING FEE FOR DIRECT MAIL"</f>
        <v>PROCESSING FEE FOR DIRECT MAIL</v>
      </c>
      <c r="H1690">
        <v>712.95</v>
      </c>
      <c r="I1690" t="str">
        <f>"PROCESSING FEE FOR DIRECT MAIL"</f>
        <v>PROCESSING FEE FOR DIRECT MAIL</v>
      </c>
    </row>
    <row r="1691" spans="1:9" x14ac:dyDescent="0.3">
      <c r="A1691" t="str">
        <f>"TACUE"</f>
        <v>TACUE</v>
      </c>
      <c r="B1691" t="s">
        <v>491</v>
      </c>
      <c r="C1691">
        <v>76976</v>
      </c>
      <c r="D1691" s="2">
        <v>5410.5</v>
      </c>
      <c r="E1691" s="1">
        <v>43249</v>
      </c>
      <c r="F1691" t="str">
        <f>"DP-2017-4-0110"</f>
        <v>DP-2017-4-0110</v>
      </c>
      <c r="G1691" t="str">
        <f>"ONE YEAR RESERVE BALANCE"</f>
        <v>ONE YEAR RESERVE BALANCE</v>
      </c>
      <c r="H1691">
        <v>4791.33</v>
      </c>
      <c r="I1691" t="str">
        <f t="shared" ref="I1691:I1725" si="15">"ONE YEAR RESERVE BALANCE"</f>
        <v>ONE YEAR RESERVE BALANCE</v>
      </c>
    </row>
    <row r="1692" spans="1:9" x14ac:dyDescent="0.3">
      <c r="A1692" t="str">
        <f>""</f>
        <v/>
      </c>
      <c r="F1692" t="str">
        <f>""</f>
        <v/>
      </c>
      <c r="G1692" t="str">
        <f>""</f>
        <v/>
      </c>
      <c r="I1692" t="str">
        <f t="shared" si="15"/>
        <v>ONE YEAR RESERVE BALANCE</v>
      </c>
    </row>
    <row r="1693" spans="1:9" x14ac:dyDescent="0.3">
      <c r="A1693" t="str">
        <f>""</f>
        <v/>
      </c>
      <c r="F1693" t="str">
        <f>""</f>
        <v/>
      </c>
      <c r="G1693" t="str">
        <f>""</f>
        <v/>
      </c>
      <c r="I1693" t="str">
        <f t="shared" si="15"/>
        <v>ONE YEAR RESERVE BALANCE</v>
      </c>
    </row>
    <row r="1694" spans="1:9" x14ac:dyDescent="0.3">
      <c r="A1694" t="str">
        <f>""</f>
        <v/>
      </c>
      <c r="F1694" t="str">
        <f>""</f>
        <v/>
      </c>
      <c r="G1694" t="str">
        <f>""</f>
        <v/>
      </c>
      <c r="I1694" t="str">
        <f t="shared" si="15"/>
        <v>ONE YEAR RESERVE BALANCE</v>
      </c>
    </row>
    <row r="1695" spans="1:9" x14ac:dyDescent="0.3">
      <c r="A1695" t="str">
        <f>""</f>
        <v/>
      </c>
      <c r="F1695" t="str">
        <f>""</f>
        <v/>
      </c>
      <c r="G1695" t="str">
        <f>""</f>
        <v/>
      </c>
      <c r="I1695" t="str">
        <f t="shared" si="15"/>
        <v>ONE YEAR RESERVE BALANCE</v>
      </c>
    </row>
    <row r="1696" spans="1:9" x14ac:dyDescent="0.3">
      <c r="A1696" t="str">
        <f>""</f>
        <v/>
      </c>
      <c r="F1696" t="str">
        <f>""</f>
        <v/>
      </c>
      <c r="G1696" t="str">
        <f>""</f>
        <v/>
      </c>
      <c r="I1696" t="str">
        <f t="shared" si="15"/>
        <v>ONE YEAR RESERVE BALANCE</v>
      </c>
    </row>
    <row r="1697" spans="1:9" x14ac:dyDescent="0.3">
      <c r="A1697" t="str">
        <f>""</f>
        <v/>
      </c>
      <c r="F1697" t="str">
        <f>""</f>
        <v/>
      </c>
      <c r="G1697" t="str">
        <f>""</f>
        <v/>
      </c>
      <c r="I1697" t="str">
        <f t="shared" si="15"/>
        <v>ONE YEAR RESERVE BALANCE</v>
      </c>
    </row>
    <row r="1698" spans="1:9" x14ac:dyDescent="0.3">
      <c r="A1698" t="str">
        <f>""</f>
        <v/>
      </c>
      <c r="F1698" t="str">
        <f>""</f>
        <v/>
      </c>
      <c r="G1698" t="str">
        <f>""</f>
        <v/>
      </c>
      <c r="I1698" t="str">
        <f t="shared" si="15"/>
        <v>ONE YEAR RESERVE BALANCE</v>
      </c>
    </row>
    <row r="1699" spans="1:9" x14ac:dyDescent="0.3">
      <c r="A1699" t="str">
        <f>""</f>
        <v/>
      </c>
      <c r="F1699" t="str">
        <f>""</f>
        <v/>
      </c>
      <c r="G1699" t="str">
        <f>""</f>
        <v/>
      </c>
      <c r="I1699" t="str">
        <f t="shared" si="15"/>
        <v>ONE YEAR RESERVE BALANCE</v>
      </c>
    </row>
    <row r="1700" spans="1:9" x14ac:dyDescent="0.3">
      <c r="A1700" t="str">
        <f>""</f>
        <v/>
      </c>
      <c r="F1700" t="str">
        <f>""</f>
        <v/>
      </c>
      <c r="G1700" t="str">
        <f>""</f>
        <v/>
      </c>
      <c r="I1700" t="str">
        <f t="shared" si="15"/>
        <v>ONE YEAR RESERVE BALANCE</v>
      </c>
    </row>
    <row r="1701" spans="1:9" x14ac:dyDescent="0.3">
      <c r="A1701" t="str">
        <f>""</f>
        <v/>
      </c>
      <c r="F1701" t="str">
        <f>""</f>
        <v/>
      </c>
      <c r="G1701" t="str">
        <f>""</f>
        <v/>
      </c>
      <c r="I1701" t="str">
        <f t="shared" si="15"/>
        <v>ONE YEAR RESERVE BALANCE</v>
      </c>
    </row>
    <row r="1702" spans="1:9" x14ac:dyDescent="0.3">
      <c r="A1702" t="str">
        <f>""</f>
        <v/>
      </c>
      <c r="F1702" t="str">
        <f>""</f>
        <v/>
      </c>
      <c r="G1702" t="str">
        <f>""</f>
        <v/>
      </c>
      <c r="I1702" t="str">
        <f t="shared" si="15"/>
        <v>ONE YEAR RESERVE BALANCE</v>
      </c>
    </row>
    <row r="1703" spans="1:9" x14ac:dyDescent="0.3">
      <c r="A1703" t="str">
        <f>""</f>
        <v/>
      </c>
      <c r="F1703" t="str">
        <f>""</f>
        <v/>
      </c>
      <c r="G1703" t="str">
        <f>""</f>
        <v/>
      </c>
      <c r="I1703" t="str">
        <f t="shared" si="15"/>
        <v>ONE YEAR RESERVE BALANCE</v>
      </c>
    </row>
    <row r="1704" spans="1:9" x14ac:dyDescent="0.3">
      <c r="A1704" t="str">
        <f>""</f>
        <v/>
      </c>
      <c r="F1704" t="str">
        <f>""</f>
        <v/>
      </c>
      <c r="G1704" t="str">
        <f>""</f>
        <v/>
      </c>
      <c r="I1704" t="str">
        <f t="shared" si="15"/>
        <v>ONE YEAR RESERVE BALANCE</v>
      </c>
    </row>
    <row r="1705" spans="1:9" x14ac:dyDescent="0.3">
      <c r="A1705" t="str">
        <f>""</f>
        <v/>
      </c>
      <c r="F1705" t="str">
        <f>""</f>
        <v/>
      </c>
      <c r="G1705" t="str">
        <f>""</f>
        <v/>
      </c>
      <c r="I1705" t="str">
        <f t="shared" si="15"/>
        <v>ONE YEAR RESERVE BALANCE</v>
      </c>
    </row>
    <row r="1706" spans="1:9" x14ac:dyDescent="0.3">
      <c r="A1706" t="str">
        <f>""</f>
        <v/>
      </c>
      <c r="F1706" t="str">
        <f>""</f>
        <v/>
      </c>
      <c r="G1706" t="str">
        <f>""</f>
        <v/>
      </c>
      <c r="I1706" t="str">
        <f t="shared" si="15"/>
        <v>ONE YEAR RESERVE BALANCE</v>
      </c>
    </row>
    <row r="1707" spans="1:9" x14ac:dyDescent="0.3">
      <c r="A1707" t="str">
        <f>""</f>
        <v/>
      </c>
      <c r="F1707" t="str">
        <f>""</f>
        <v/>
      </c>
      <c r="G1707" t="str">
        <f>""</f>
        <v/>
      </c>
      <c r="I1707" t="str">
        <f t="shared" si="15"/>
        <v>ONE YEAR RESERVE BALANCE</v>
      </c>
    </row>
    <row r="1708" spans="1:9" x14ac:dyDescent="0.3">
      <c r="A1708" t="str">
        <f>""</f>
        <v/>
      </c>
      <c r="F1708" t="str">
        <f>""</f>
        <v/>
      </c>
      <c r="G1708" t="str">
        <f>""</f>
        <v/>
      </c>
      <c r="I1708" t="str">
        <f t="shared" si="15"/>
        <v>ONE YEAR RESERVE BALANCE</v>
      </c>
    </row>
    <row r="1709" spans="1:9" x14ac:dyDescent="0.3">
      <c r="A1709" t="str">
        <f>""</f>
        <v/>
      </c>
      <c r="F1709" t="str">
        <f>""</f>
        <v/>
      </c>
      <c r="G1709" t="str">
        <f>""</f>
        <v/>
      </c>
      <c r="I1709" t="str">
        <f t="shared" si="15"/>
        <v>ONE YEAR RESERVE BALANCE</v>
      </c>
    </row>
    <row r="1710" spans="1:9" x14ac:dyDescent="0.3">
      <c r="A1710" t="str">
        <f>""</f>
        <v/>
      </c>
      <c r="F1710" t="str">
        <f>""</f>
        <v/>
      </c>
      <c r="G1710" t="str">
        <f>""</f>
        <v/>
      </c>
      <c r="I1710" t="str">
        <f t="shared" si="15"/>
        <v>ONE YEAR RESERVE BALANCE</v>
      </c>
    </row>
    <row r="1711" spans="1:9" x14ac:dyDescent="0.3">
      <c r="A1711" t="str">
        <f>""</f>
        <v/>
      </c>
      <c r="F1711" t="str">
        <f>""</f>
        <v/>
      </c>
      <c r="G1711" t="str">
        <f>""</f>
        <v/>
      </c>
      <c r="I1711" t="str">
        <f t="shared" si="15"/>
        <v>ONE YEAR RESERVE BALANCE</v>
      </c>
    </row>
    <row r="1712" spans="1:9" x14ac:dyDescent="0.3">
      <c r="A1712" t="str">
        <f>""</f>
        <v/>
      </c>
      <c r="F1712" t="str">
        <f>""</f>
        <v/>
      </c>
      <c r="G1712" t="str">
        <f>""</f>
        <v/>
      </c>
      <c r="I1712" t="str">
        <f t="shared" si="15"/>
        <v>ONE YEAR RESERVE BALANCE</v>
      </c>
    </row>
    <row r="1713" spans="1:9" x14ac:dyDescent="0.3">
      <c r="A1713" t="str">
        <f>""</f>
        <v/>
      </c>
      <c r="F1713" t="str">
        <f>""</f>
        <v/>
      </c>
      <c r="G1713" t="str">
        <f>""</f>
        <v/>
      </c>
      <c r="I1713" t="str">
        <f t="shared" si="15"/>
        <v>ONE YEAR RESERVE BALANCE</v>
      </c>
    </row>
    <row r="1714" spans="1:9" x14ac:dyDescent="0.3">
      <c r="A1714" t="str">
        <f>""</f>
        <v/>
      </c>
      <c r="F1714" t="str">
        <f>""</f>
        <v/>
      </c>
      <c r="G1714" t="str">
        <f>""</f>
        <v/>
      </c>
      <c r="I1714" t="str">
        <f t="shared" si="15"/>
        <v>ONE YEAR RESERVE BALANCE</v>
      </c>
    </row>
    <row r="1715" spans="1:9" x14ac:dyDescent="0.3">
      <c r="A1715" t="str">
        <f>""</f>
        <v/>
      </c>
      <c r="F1715" t="str">
        <f>""</f>
        <v/>
      </c>
      <c r="G1715" t="str">
        <f>""</f>
        <v/>
      </c>
      <c r="I1715" t="str">
        <f t="shared" si="15"/>
        <v>ONE YEAR RESERVE BALANCE</v>
      </c>
    </row>
    <row r="1716" spans="1:9" x14ac:dyDescent="0.3">
      <c r="A1716" t="str">
        <f>""</f>
        <v/>
      </c>
      <c r="F1716" t="str">
        <f>""</f>
        <v/>
      </c>
      <c r="G1716" t="str">
        <f>""</f>
        <v/>
      </c>
      <c r="I1716" t="str">
        <f t="shared" si="15"/>
        <v>ONE YEAR RESERVE BALANCE</v>
      </c>
    </row>
    <row r="1717" spans="1:9" x14ac:dyDescent="0.3">
      <c r="A1717" t="str">
        <f>""</f>
        <v/>
      </c>
      <c r="F1717" t="str">
        <f>""</f>
        <v/>
      </c>
      <c r="G1717" t="str">
        <f>""</f>
        <v/>
      </c>
      <c r="I1717" t="str">
        <f t="shared" si="15"/>
        <v>ONE YEAR RESERVE BALANCE</v>
      </c>
    </row>
    <row r="1718" spans="1:9" x14ac:dyDescent="0.3">
      <c r="A1718" t="str">
        <f>""</f>
        <v/>
      </c>
      <c r="F1718" t="str">
        <f>""</f>
        <v/>
      </c>
      <c r="G1718" t="str">
        <f>""</f>
        <v/>
      </c>
      <c r="I1718" t="str">
        <f t="shared" si="15"/>
        <v>ONE YEAR RESERVE BALANCE</v>
      </c>
    </row>
    <row r="1719" spans="1:9" x14ac:dyDescent="0.3">
      <c r="A1719" t="str">
        <f>""</f>
        <v/>
      </c>
      <c r="F1719" t="str">
        <f>""</f>
        <v/>
      </c>
      <c r="G1719" t="str">
        <f>""</f>
        <v/>
      </c>
      <c r="I1719" t="str">
        <f t="shared" si="15"/>
        <v>ONE YEAR RESERVE BALANCE</v>
      </c>
    </row>
    <row r="1720" spans="1:9" x14ac:dyDescent="0.3">
      <c r="A1720" t="str">
        <f>""</f>
        <v/>
      </c>
      <c r="F1720" t="str">
        <f>""</f>
        <v/>
      </c>
      <c r="G1720" t="str">
        <f>""</f>
        <v/>
      </c>
      <c r="I1720" t="str">
        <f t="shared" si="15"/>
        <v>ONE YEAR RESERVE BALANCE</v>
      </c>
    </row>
    <row r="1721" spans="1:9" x14ac:dyDescent="0.3">
      <c r="A1721" t="str">
        <f>""</f>
        <v/>
      </c>
      <c r="F1721" t="str">
        <f>""</f>
        <v/>
      </c>
      <c r="G1721" t="str">
        <f>""</f>
        <v/>
      </c>
      <c r="I1721" t="str">
        <f t="shared" si="15"/>
        <v>ONE YEAR RESERVE BALANCE</v>
      </c>
    </row>
    <row r="1722" spans="1:9" x14ac:dyDescent="0.3">
      <c r="A1722" t="str">
        <f>""</f>
        <v/>
      </c>
      <c r="F1722" t="str">
        <f>""</f>
        <v/>
      </c>
      <c r="G1722" t="str">
        <f>""</f>
        <v/>
      </c>
      <c r="I1722" t="str">
        <f t="shared" si="15"/>
        <v>ONE YEAR RESERVE BALANCE</v>
      </c>
    </row>
    <row r="1723" spans="1:9" x14ac:dyDescent="0.3">
      <c r="A1723" t="str">
        <f>""</f>
        <v/>
      </c>
      <c r="F1723" t="str">
        <f>""</f>
        <v/>
      </c>
      <c r="G1723" t="str">
        <f>""</f>
        <v/>
      </c>
      <c r="I1723" t="str">
        <f t="shared" si="15"/>
        <v>ONE YEAR RESERVE BALANCE</v>
      </c>
    </row>
    <row r="1724" spans="1:9" x14ac:dyDescent="0.3">
      <c r="A1724" t="str">
        <f>""</f>
        <v/>
      </c>
      <c r="F1724" t="str">
        <f>""</f>
        <v/>
      </c>
      <c r="G1724" t="str">
        <f>""</f>
        <v/>
      </c>
      <c r="I1724" t="str">
        <f t="shared" si="15"/>
        <v>ONE YEAR RESERVE BALANCE</v>
      </c>
    </row>
    <row r="1725" spans="1:9" x14ac:dyDescent="0.3">
      <c r="A1725" t="str">
        <f>""</f>
        <v/>
      </c>
      <c r="F1725" t="str">
        <f>""</f>
        <v/>
      </c>
      <c r="G1725" t="str">
        <f>""</f>
        <v/>
      </c>
      <c r="I1725" t="str">
        <f t="shared" si="15"/>
        <v>ONE YEAR RESERVE BALANCE</v>
      </c>
    </row>
    <row r="1726" spans="1:9" x14ac:dyDescent="0.3">
      <c r="A1726" t="str">
        <f>""</f>
        <v/>
      </c>
      <c r="F1726" t="str">
        <f>"DP-2017-4-0110  P1"</f>
        <v>DP-2017-4-0110  P1</v>
      </c>
      <c r="G1726" t="str">
        <f>"ONE YEAR RESERVE BALANCE/PCT#1"</f>
        <v>ONE YEAR RESERVE BALANCE/PCT#1</v>
      </c>
      <c r="H1726">
        <v>119.86</v>
      </c>
      <c r="I1726" t="str">
        <f>"ONE YEAR RESERVE BALANCE/PCT#1"</f>
        <v>ONE YEAR RESERVE BALANCE/PCT#1</v>
      </c>
    </row>
    <row r="1727" spans="1:9" x14ac:dyDescent="0.3">
      <c r="A1727" t="str">
        <f>""</f>
        <v/>
      </c>
      <c r="F1727" t="str">
        <f>"DP-2017-4-0110  P2"</f>
        <v>DP-2017-4-0110  P2</v>
      </c>
      <c r="G1727" t="str">
        <f>"ONE YEAR RESERVE BALANCE/PCT#2"</f>
        <v>ONE YEAR RESERVE BALANCE/PCT#2</v>
      </c>
      <c r="H1727">
        <v>183.1</v>
      </c>
      <c r="I1727" t="str">
        <f>"ONE YEAR RESERVE BALANCE/PCT#2"</f>
        <v>ONE YEAR RESERVE BALANCE/PCT#2</v>
      </c>
    </row>
    <row r="1728" spans="1:9" x14ac:dyDescent="0.3">
      <c r="A1728" t="str">
        <f>""</f>
        <v/>
      </c>
      <c r="F1728" t="str">
        <f>"DP-2017-4-0110  P3"</f>
        <v>DP-2017-4-0110  P3</v>
      </c>
      <c r="G1728" t="str">
        <f>"ONE YEAR RESERVE BALANCE/PCT#3"</f>
        <v>ONE YEAR RESERVE BALANCE/PCT#3</v>
      </c>
      <c r="H1728">
        <v>144.55000000000001</v>
      </c>
      <c r="I1728" t="str">
        <f>"ONE YEAR RESERVE BALANCE/PCT#3"</f>
        <v>ONE YEAR RESERVE BALANCE/PCT#3</v>
      </c>
    </row>
    <row r="1729" spans="1:9" x14ac:dyDescent="0.3">
      <c r="A1729" t="str">
        <f>""</f>
        <v/>
      </c>
      <c r="F1729" t="str">
        <f>"DP-2017-4-0110  P4"</f>
        <v>DP-2017-4-0110  P4</v>
      </c>
      <c r="G1729" t="str">
        <f>"ONE YEAR RESERVE BALANCE/PCT#4"</f>
        <v>ONE YEAR RESERVE BALANCE/PCT#4</v>
      </c>
      <c r="H1729">
        <v>171.66</v>
      </c>
      <c r="I1729" t="str">
        <f>"ONE YEAR RESERVE BALANCE/PCT#4"</f>
        <v>ONE YEAR RESERVE BALANCE/PCT#4</v>
      </c>
    </row>
    <row r="1730" spans="1:9" x14ac:dyDescent="0.3">
      <c r="A1730" t="str">
        <f>"002122"</f>
        <v>002122</v>
      </c>
      <c r="B1730" t="s">
        <v>492</v>
      </c>
      <c r="C1730">
        <v>999999</v>
      </c>
      <c r="D1730" s="2">
        <v>826.11</v>
      </c>
      <c r="E1730" s="1">
        <v>43235</v>
      </c>
      <c r="F1730" t="str">
        <f>"201805070866"</f>
        <v>201805070866</v>
      </c>
      <c r="G1730" t="str">
        <f>"ACCT#0005/PCT#4"</f>
        <v>ACCT#0005/PCT#4</v>
      </c>
      <c r="H1730">
        <v>826.11</v>
      </c>
      <c r="I1730" t="str">
        <f>"ACCT#0005/PCT#4"</f>
        <v>ACCT#0005/PCT#4</v>
      </c>
    </row>
    <row r="1731" spans="1:9" x14ac:dyDescent="0.3">
      <c r="A1731" t="str">
        <f>"TDOL&amp;R"</f>
        <v>TDOL&amp;R</v>
      </c>
      <c r="B1731" t="s">
        <v>493</v>
      </c>
      <c r="C1731">
        <v>76760</v>
      </c>
      <c r="D1731" s="2">
        <v>40</v>
      </c>
      <c r="E1731" s="1">
        <v>43234</v>
      </c>
      <c r="F1731" t="str">
        <f>"57601"</f>
        <v>57601</v>
      </c>
      <c r="G1731" t="str">
        <f>"ELBI#18057/EQUIP DECAL:57601"</f>
        <v>ELBI#18057/EQUIP DECAL:57601</v>
      </c>
      <c r="H1731">
        <v>20</v>
      </c>
    </row>
    <row r="1732" spans="1:9" x14ac:dyDescent="0.3">
      <c r="A1732" t="str">
        <f>""</f>
        <v/>
      </c>
      <c r="F1732" t="str">
        <f>"57602"</f>
        <v>57602</v>
      </c>
      <c r="G1732" t="str">
        <f>"ELBI#18057/EQUIP DECAL:57602"</f>
        <v>ELBI#18057/EQUIP DECAL:57602</v>
      </c>
      <c r="H1732">
        <v>20</v>
      </c>
    </row>
    <row r="1733" spans="1:9" x14ac:dyDescent="0.3">
      <c r="A1733" t="str">
        <f>"001721"</f>
        <v>001721</v>
      </c>
      <c r="B1733" t="s">
        <v>494</v>
      </c>
      <c r="C1733">
        <v>76761</v>
      </c>
      <c r="D1733" s="2">
        <v>23</v>
      </c>
      <c r="E1733" s="1">
        <v>43234</v>
      </c>
      <c r="F1733" t="str">
        <f>"CRS-201803-142038"</f>
        <v>CRS-201803-142038</v>
      </c>
      <c r="G1733" t="str">
        <f>"CCH NAME SEARCH/HR"</f>
        <v>CCH NAME SEARCH/HR</v>
      </c>
      <c r="H1733">
        <v>23</v>
      </c>
      <c r="I1733" t="str">
        <f>"CCH NAME SEARCH/HR"</f>
        <v>CCH NAME SEARCH/HR</v>
      </c>
    </row>
    <row r="1734" spans="1:9" x14ac:dyDescent="0.3">
      <c r="A1734" t="str">
        <f>"001721"</f>
        <v>001721</v>
      </c>
      <c r="B1734" t="s">
        <v>494</v>
      </c>
      <c r="C1734">
        <v>76977</v>
      </c>
      <c r="D1734" s="2">
        <v>23</v>
      </c>
      <c r="E1734" s="1">
        <v>43249</v>
      </c>
      <c r="F1734" t="str">
        <f>"CRS-201804-144078"</f>
        <v>CRS-201804-144078</v>
      </c>
      <c r="G1734" t="str">
        <f>"CCH NAME SEARCH 04/03-04/30"</f>
        <v>CCH NAME SEARCH 04/03-04/30</v>
      </c>
      <c r="H1734">
        <v>23</v>
      </c>
      <c r="I1734" t="str">
        <f>"CCH NAME SEARCH 04/03-04/30"</f>
        <v>CCH NAME SEARCH 04/03-04/30</v>
      </c>
    </row>
    <row r="1735" spans="1:9" x14ac:dyDescent="0.3">
      <c r="A1735" t="str">
        <f>"002239"</f>
        <v>002239</v>
      </c>
      <c r="B1735" t="s">
        <v>495</v>
      </c>
      <c r="C1735">
        <v>76762</v>
      </c>
      <c r="D1735" s="2">
        <v>100</v>
      </c>
      <c r="E1735" s="1">
        <v>43234</v>
      </c>
      <c r="F1735" t="str">
        <f>"XBN7GRMLTJ5"</f>
        <v>XBN7GRMLTJ5</v>
      </c>
      <c r="G1735" t="str">
        <f>"CONFERENCE REGISTRATION"</f>
        <v>CONFERENCE REGISTRATION</v>
      </c>
      <c r="H1735">
        <v>100</v>
      </c>
      <c r="I1735" t="str">
        <f>"CONFERENCE REGISTRATION"</f>
        <v>CONFERENCE REGISTRATION</v>
      </c>
    </row>
    <row r="1736" spans="1:9" x14ac:dyDescent="0.3">
      <c r="A1736" t="str">
        <f>"005526"</f>
        <v>005526</v>
      </c>
      <c r="B1736" t="s">
        <v>496</v>
      </c>
      <c r="C1736">
        <v>76763</v>
      </c>
      <c r="D1736" s="2">
        <v>20925</v>
      </c>
      <c r="E1736" s="1">
        <v>43234</v>
      </c>
      <c r="F1736" t="str">
        <f>"2269"</f>
        <v>2269</v>
      </c>
      <c r="G1736" t="str">
        <f>"TEXAS ENERGY ENGINEERING SERVI"</f>
        <v>TEXAS ENERGY ENGINEERING SERVI</v>
      </c>
      <c r="H1736">
        <v>20925</v>
      </c>
      <c r="I1736" t="str">
        <f>"Pro MEP Services"</f>
        <v>Pro MEP Services</v>
      </c>
    </row>
    <row r="1737" spans="1:9" x14ac:dyDescent="0.3">
      <c r="A1737" t="str">
        <f>""</f>
        <v/>
      </c>
      <c r="F1737" t="str">
        <f>""</f>
        <v/>
      </c>
      <c r="G1737" t="str">
        <f>""</f>
        <v/>
      </c>
      <c r="I1737" t="str">
        <f>"Certified Testing"</f>
        <v>Certified Testing</v>
      </c>
    </row>
    <row r="1738" spans="1:9" x14ac:dyDescent="0.3">
      <c r="A1738" t="str">
        <f>"T7170"</f>
        <v>T7170</v>
      </c>
      <c r="B1738" t="s">
        <v>497</v>
      </c>
      <c r="C1738">
        <v>76764</v>
      </c>
      <c r="D1738" s="2">
        <v>1083.75</v>
      </c>
      <c r="E1738" s="1">
        <v>43234</v>
      </c>
      <c r="F1738" t="str">
        <f>"3CO-1322-18"</f>
        <v>3CO-1322-18</v>
      </c>
      <c r="G1738" t="str">
        <f>"A8243948-T. AKAPHAN"</f>
        <v>A8243948-T. AKAPHAN</v>
      </c>
      <c r="H1738">
        <v>157.25</v>
      </c>
      <c r="I1738" t="str">
        <f>"A8243948-T. AKAPHAN"</f>
        <v>A8243948-T. AKAPHAN</v>
      </c>
    </row>
    <row r="1739" spans="1:9" x14ac:dyDescent="0.3">
      <c r="A1739" t="str">
        <f>""</f>
        <v/>
      </c>
      <c r="F1739" t="str">
        <f>"3CO-1323-18"</f>
        <v>3CO-1323-18</v>
      </c>
      <c r="G1739" t="str">
        <f>"A8243948-T. AKAPHAN"</f>
        <v>A8243948-T. AKAPHAN</v>
      </c>
      <c r="H1739">
        <v>157.25</v>
      </c>
      <c r="I1739" t="str">
        <f>"A8243948-T. AKAPHAN"</f>
        <v>A8243948-T. AKAPHAN</v>
      </c>
    </row>
    <row r="1740" spans="1:9" x14ac:dyDescent="0.3">
      <c r="A1740" t="str">
        <f>""</f>
        <v/>
      </c>
      <c r="F1740" t="str">
        <f>"J2-55236"</f>
        <v>J2-55236</v>
      </c>
      <c r="G1740" t="str">
        <f>"A8258507-S. BENITEZ-JAIMES"</f>
        <v>A8258507-S. BENITEZ-JAIMES</v>
      </c>
      <c r="H1740">
        <v>80.75</v>
      </c>
      <c r="I1740" t="str">
        <f>"A8258507-S. BENITEZ-JAIMES"</f>
        <v>A8258507-S. BENITEZ-JAIMES</v>
      </c>
    </row>
    <row r="1741" spans="1:9" x14ac:dyDescent="0.3">
      <c r="A1741" t="str">
        <f>""</f>
        <v/>
      </c>
      <c r="F1741" t="str">
        <f>"J2-55237"</f>
        <v>J2-55237</v>
      </c>
      <c r="G1741" t="str">
        <f>"A8258509-N.J. BENITEZ"</f>
        <v>A8258509-N.J. BENITEZ</v>
      </c>
      <c r="H1741">
        <v>114.75</v>
      </c>
      <c r="I1741" t="str">
        <f>"A8258509-N.J. BENITEZ"</f>
        <v>A8258509-N.J. BENITEZ</v>
      </c>
    </row>
    <row r="1742" spans="1:9" x14ac:dyDescent="0.3">
      <c r="A1742" t="str">
        <f>""</f>
        <v/>
      </c>
      <c r="F1742" t="str">
        <f>"J2-55434"</f>
        <v>J2-55434</v>
      </c>
      <c r="G1742" t="str">
        <f>"A8258513-D. GONZALEZ"</f>
        <v>A8258513-D. GONZALEZ</v>
      </c>
      <c r="H1742">
        <v>114.75</v>
      </c>
      <c r="I1742" t="str">
        <f>"A8258513-D. GONZALEZ"</f>
        <v>A8258513-D. GONZALEZ</v>
      </c>
    </row>
    <row r="1743" spans="1:9" x14ac:dyDescent="0.3">
      <c r="A1743" t="str">
        <f>""</f>
        <v/>
      </c>
      <c r="F1743" t="str">
        <f>"J2-55450"</f>
        <v>J2-55450</v>
      </c>
      <c r="G1743" t="str">
        <f>"A8210968-W. BURNS"</f>
        <v>A8210968-W. BURNS</v>
      </c>
      <c r="H1743">
        <v>114.75</v>
      </c>
      <c r="I1743" t="str">
        <f>"A8210968-W. BURNS"</f>
        <v>A8210968-W. BURNS</v>
      </c>
    </row>
    <row r="1744" spans="1:9" x14ac:dyDescent="0.3">
      <c r="A1744" t="str">
        <f>""</f>
        <v/>
      </c>
      <c r="F1744" t="str">
        <f>"J2-55666"</f>
        <v>J2-55666</v>
      </c>
      <c r="G1744" t="str">
        <f>"A8210976-M.PORTILLO-ZAMORA"</f>
        <v>A8210976-M.PORTILLO-ZAMORA</v>
      </c>
      <c r="H1744">
        <v>114.75</v>
      </c>
      <c r="I1744" t="str">
        <f>"A8210976-M.PORTILLO-ZAMORA"</f>
        <v>A8210976-M.PORTILLO-ZAMORA</v>
      </c>
    </row>
    <row r="1745" spans="1:9" x14ac:dyDescent="0.3">
      <c r="A1745" t="str">
        <f>""</f>
        <v/>
      </c>
      <c r="F1745" t="str">
        <f>"J2-55669"</f>
        <v>J2-55669</v>
      </c>
      <c r="G1745" t="str">
        <f>"A8210982-FLORES"</f>
        <v>A8210982-FLORES</v>
      </c>
      <c r="H1745">
        <v>114.75</v>
      </c>
      <c r="I1745" t="str">
        <f>"A8210982-FLORES"</f>
        <v>A8210982-FLORES</v>
      </c>
    </row>
    <row r="1746" spans="1:9" x14ac:dyDescent="0.3">
      <c r="A1746" t="str">
        <f>""</f>
        <v/>
      </c>
      <c r="F1746" t="str">
        <f>"J2-55930"</f>
        <v>J2-55930</v>
      </c>
      <c r="G1746" t="str">
        <f>"A13324-C. CHANDER"</f>
        <v>A13324-C. CHANDER</v>
      </c>
      <c r="H1746">
        <v>114.75</v>
      </c>
      <c r="I1746" t="str">
        <f>"A13324-C. CHANDER"</f>
        <v>A13324-C. CHANDER</v>
      </c>
    </row>
    <row r="1747" spans="1:9" x14ac:dyDescent="0.3">
      <c r="A1747" t="str">
        <f>"T7170"</f>
        <v>T7170</v>
      </c>
      <c r="B1747" t="s">
        <v>497</v>
      </c>
      <c r="C1747">
        <v>76978</v>
      </c>
      <c r="D1747" s="2">
        <v>114.75</v>
      </c>
      <c r="E1747" s="1">
        <v>43249</v>
      </c>
      <c r="F1747" t="str">
        <f>"1CO-0156-18"</f>
        <v>1CO-0156-18</v>
      </c>
      <c r="G1747" t="str">
        <f>"A-11425-A.M. TRAVIS"</f>
        <v>A-11425-A.M. TRAVIS</v>
      </c>
      <c r="H1747">
        <v>114.75</v>
      </c>
      <c r="I1747" t="str">
        <f>"A-11425-A.M. TRAVIS"</f>
        <v>A-11425-A.M. TRAVIS</v>
      </c>
    </row>
    <row r="1748" spans="1:9" x14ac:dyDescent="0.3">
      <c r="A1748" t="str">
        <f>"005466"</f>
        <v>005466</v>
      </c>
      <c r="B1748" t="s">
        <v>498</v>
      </c>
      <c r="C1748">
        <v>76979</v>
      </c>
      <c r="D1748" s="2">
        <v>10000</v>
      </c>
      <c r="E1748" s="1">
        <v>43249</v>
      </c>
      <c r="F1748" t="str">
        <f>"SRV0123694"</f>
        <v>SRV0123694</v>
      </c>
      <c r="G1748" t="str">
        <f>"THE BRANDT COMPANIES  LLC"</f>
        <v>THE BRANDT COMPANIES  LLC</v>
      </c>
      <c r="H1748">
        <v>10000</v>
      </c>
      <c r="I1748" t="str">
        <f>"Boiler Rental"</f>
        <v>Boiler Rental</v>
      </c>
    </row>
    <row r="1749" spans="1:9" x14ac:dyDescent="0.3">
      <c r="A1749" t="str">
        <f>""</f>
        <v/>
      </c>
      <c r="F1749" t="str">
        <f>""</f>
        <v/>
      </c>
      <c r="G1749" t="str">
        <f>""</f>
        <v/>
      </c>
      <c r="I1749" t="str">
        <f>"boiler Set Up"</f>
        <v>boiler Set Up</v>
      </c>
    </row>
    <row r="1750" spans="1:9" x14ac:dyDescent="0.3">
      <c r="A1750" t="str">
        <f>"004635"</f>
        <v>004635</v>
      </c>
      <c r="B1750" t="s">
        <v>499</v>
      </c>
      <c r="C1750">
        <v>76580</v>
      </c>
      <c r="D1750" s="2">
        <v>1846</v>
      </c>
      <c r="E1750" s="1">
        <v>43234</v>
      </c>
      <c r="F1750" t="str">
        <f>"55126"</f>
        <v>55126</v>
      </c>
      <c r="G1750" t="str">
        <f>"ACCT#188757/JUV BOOT CAMP"</f>
        <v>ACCT#188757/JUV BOOT CAMP</v>
      </c>
      <c r="H1750">
        <v>118.5</v>
      </c>
      <c r="I1750" t="str">
        <f>"ACCT#188757/PEST PREVENTION"</f>
        <v>ACCT#188757/PEST PREVENTION</v>
      </c>
    </row>
    <row r="1751" spans="1:9" x14ac:dyDescent="0.3">
      <c r="A1751" t="str">
        <f>""</f>
        <v/>
      </c>
      <c r="F1751" t="str">
        <f>"55209"</f>
        <v>55209</v>
      </c>
      <c r="G1751" t="str">
        <f>"ACCT#188757/JP4/TAX OFFICE"</f>
        <v>ACCT#188757/JP4/TAX OFFICE</v>
      </c>
      <c r="H1751">
        <v>95</v>
      </c>
      <c r="I1751" t="str">
        <f>"ACCT#188757/JP4/TAX OFFICE"</f>
        <v>ACCT#188757/JP4/TAX OFFICE</v>
      </c>
    </row>
    <row r="1752" spans="1:9" x14ac:dyDescent="0.3">
      <c r="A1752" t="str">
        <f>""</f>
        <v/>
      </c>
      <c r="F1752" t="str">
        <f>"55286"</f>
        <v>55286</v>
      </c>
      <c r="G1752" t="str">
        <f>"ACCT#188757/MIKE FISHER BLDG"</f>
        <v>ACCT#188757/MIKE FISHER BLDG</v>
      </c>
      <c r="H1752">
        <v>112</v>
      </c>
      <c r="I1752" t="str">
        <f>"ACCT#188757/MIKE FISHER BLDG"</f>
        <v>ACCT#188757/MIKE FISHER BLDG</v>
      </c>
    </row>
    <row r="1753" spans="1:9" x14ac:dyDescent="0.3">
      <c r="A1753" t="str">
        <f>""</f>
        <v/>
      </c>
      <c r="F1753" t="str">
        <f>"55568"</f>
        <v>55568</v>
      </c>
      <c r="G1753" t="str">
        <f>"ACCT#188757/JP3 TAX OFFICE"</f>
        <v>ACCT#188757/JP3 TAX OFFICE</v>
      </c>
      <c r="H1753">
        <v>95</v>
      </c>
      <c r="I1753" t="str">
        <f>"ACCT#188757/JP3 TAX OFFICE"</f>
        <v>ACCT#188757/JP3 TAX OFFICE</v>
      </c>
    </row>
    <row r="1754" spans="1:9" x14ac:dyDescent="0.3">
      <c r="A1754" t="str">
        <f>""</f>
        <v/>
      </c>
      <c r="F1754" t="str">
        <f>"55686"</f>
        <v>55686</v>
      </c>
      <c r="G1754" t="str">
        <f>"ACCT#188757/JUVENILE PROBATION"</f>
        <v>ACCT#188757/JUVENILE PROBATION</v>
      </c>
      <c r="H1754">
        <v>132</v>
      </c>
      <c r="I1754" t="str">
        <f>"ACCT#188757/JUVENILE PROBATION"</f>
        <v>ACCT#188757/JUVENILE PROBATION</v>
      </c>
    </row>
    <row r="1755" spans="1:9" x14ac:dyDescent="0.3">
      <c r="A1755" t="str">
        <f>""</f>
        <v/>
      </c>
      <c r="F1755" t="str">
        <f>"55690"</f>
        <v>55690</v>
      </c>
      <c r="G1755" t="str">
        <f>"ACCT#188757/DPS/TDL"</f>
        <v>ACCT#188757/DPS/TDL</v>
      </c>
      <c r="H1755">
        <v>76</v>
      </c>
      <c r="I1755" t="str">
        <f>"ACCT#188757/DPS/TDL"</f>
        <v>ACCT#188757/DPS/TDL</v>
      </c>
    </row>
    <row r="1756" spans="1:9" x14ac:dyDescent="0.3">
      <c r="A1756" t="str">
        <f>""</f>
        <v/>
      </c>
      <c r="F1756" t="str">
        <f>"55745"</f>
        <v>55745</v>
      </c>
      <c r="G1756" t="str">
        <f>"ACCT#188757/HISTORIC JAIL"</f>
        <v>ACCT#188757/HISTORIC JAIL</v>
      </c>
      <c r="H1756">
        <v>76</v>
      </c>
      <c r="I1756" t="str">
        <f>"ACCT#188757/HISTORIC JAIL"</f>
        <v>ACCT#188757/HISTORIC JAIL</v>
      </c>
    </row>
    <row r="1757" spans="1:9" x14ac:dyDescent="0.3">
      <c r="A1757" t="str">
        <f>""</f>
        <v/>
      </c>
      <c r="F1757" t="str">
        <f>"55816"</f>
        <v>55816</v>
      </c>
      <c r="G1757" t="str">
        <f>"ACCT#188757/COURTHOUSE &amp; ANNEX"</f>
        <v>ACCT#188757/COURTHOUSE &amp; ANNEX</v>
      </c>
      <c r="H1757">
        <v>137</v>
      </c>
      <c r="I1757" t="str">
        <f>"ACCT#188757/COURTHOUSE &amp; ANNEX"</f>
        <v>ACCT#188757/COURTHOUSE &amp; ANNEX</v>
      </c>
    </row>
    <row r="1758" spans="1:9" x14ac:dyDescent="0.3">
      <c r="A1758" t="str">
        <f>""</f>
        <v/>
      </c>
      <c r="F1758" t="str">
        <f>"55817"</f>
        <v>55817</v>
      </c>
      <c r="G1758" t="str">
        <f>"ACCT#188757/PCT#3 WAREHOUSE"</f>
        <v>ACCT#188757/PCT#3 WAREHOUSE</v>
      </c>
      <c r="H1758">
        <v>95</v>
      </c>
      <c r="I1758" t="str">
        <f>"ACCT#188757/PCT#3 WAREHOUSE"</f>
        <v>ACCT#188757/PCT#3 WAREHOUSE</v>
      </c>
    </row>
    <row r="1759" spans="1:9" x14ac:dyDescent="0.3">
      <c r="A1759" t="str">
        <f>""</f>
        <v/>
      </c>
      <c r="F1759" t="str">
        <f>"55824"</f>
        <v>55824</v>
      </c>
      <c r="G1759" t="str">
        <f>"ACCT#188757/EXTENSION/HABITAT"</f>
        <v>ACCT#188757/EXTENSION/HABITAT</v>
      </c>
      <c r="H1759">
        <v>89</v>
      </c>
      <c r="I1759" t="str">
        <f>"ACCT#188757/EXTENSION/HABITAT"</f>
        <v>ACCT#188757/EXTENSION/HABITAT</v>
      </c>
    </row>
    <row r="1760" spans="1:9" x14ac:dyDescent="0.3">
      <c r="A1760" t="str">
        <f>""</f>
        <v/>
      </c>
      <c r="F1760" t="str">
        <f>"55973"</f>
        <v>55973</v>
      </c>
      <c r="G1760" t="str">
        <f>"ACCT#188757/LOST PINES PARK"</f>
        <v>ACCT#188757/LOST PINES PARK</v>
      </c>
      <c r="H1760">
        <v>75</v>
      </c>
      <c r="I1760" t="str">
        <f>"ACCT#188757/LOST PINES PARK"</f>
        <v>ACCT#188757/LOST PINES PARK</v>
      </c>
    </row>
    <row r="1761" spans="1:9" x14ac:dyDescent="0.3">
      <c r="A1761" t="str">
        <f>""</f>
        <v/>
      </c>
      <c r="F1761" t="str">
        <f>"56090"</f>
        <v>56090</v>
      </c>
      <c r="G1761" t="str">
        <f>"ACCT#188757/TAX OFFICE"</f>
        <v>ACCT#188757/TAX OFFICE</v>
      </c>
      <c r="H1761">
        <v>102</v>
      </c>
      <c r="I1761" t="str">
        <f>"ACCT#188757/TAX OFFICE"</f>
        <v>ACCT#188757/TAX OFFICE</v>
      </c>
    </row>
    <row r="1762" spans="1:9" x14ac:dyDescent="0.3">
      <c r="A1762" t="str">
        <f>""</f>
        <v/>
      </c>
      <c r="F1762" t="str">
        <f>"56139"</f>
        <v>56139</v>
      </c>
      <c r="G1762" t="str">
        <f>"ACCT#56139/LBJ/HEALTH/WIC"</f>
        <v>ACCT#56139/LBJ/HEALTH/WIC</v>
      </c>
      <c r="H1762">
        <v>69</v>
      </c>
      <c r="I1762" t="str">
        <f>"ACCT#56139/LBJ/HEALTH/WIC"</f>
        <v>ACCT#56139/LBJ/HEALTH/WIC</v>
      </c>
    </row>
    <row r="1763" spans="1:9" x14ac:dyDescent="0.3">
      <c r="A1763" t="str">
        <f>""</f>
        <v/>
      </c>
      <c r="F1763" t="str">
        <f>"56163"</f>
        <v>56163</v>
      </c>
      <c r="G1763" t="str">
        <f>"ACCT#188757/JP2 ANNEX BLDG"</f>
        <v>ACCT#188757/JP2 ANNEX BLDG</v>
      </c>
      <c r="H1763">
        <v>95</v>
      </c>
      <c r="I1763" t="str">
        <f>"ACCT#188757/JP2 ANNEX BLDG"</f>
        <v>ACCT#188757/JP2 ANNEX BLDG</v>
      </c>
    </row>
    <row r="1764" spans="1:9" x14ac:dyDescent="0.3">
      <c r="A1764" t="str">
        <f>""</f>
        <v/>
      </c>
      <c r="F1764" t="str">
        <f>"56212"</f>
        <v>56212</v>
      </c>
      <c r="G1764" t="str">
        <f>"ACCT#188757/PCT#2 MAINT BARN"</f>
        <v>ACCT#188757/PCT#2 MAINT BARN</v>
      </c>
      <c r="H1764">
        <v>95</v>
      </c>
      <c r="I1764" t="str">
        <f>"ACCT#188757/PCT#2 MAINT BARN"</f>
        <v>ACCT#188757/PCT#2 MAINT BARN</v>
      </c>
    </row>
    <row r="1765" spans="1:9" x14ac:dyDescent="0.3">
      <c r="A1765" t="str">
        <f>""</f>
        <v/>
      </c>
      <c r="F1765" t="str">
        <f>"56374"</f>
        <v>56374</v>
      </c>
      <c r="G1765" t="str">
        <f>"ACCT#188757/CEDAR CREEK PARKS"</f>
        <v>ACCT#188757/CEDAR CREEK PARKS</v>
      </c>
      <c r="H1765">
        <v>69</v>
      </c>
      <c r="I1765" t="str">
        <f>"ACCT#188757/CEDAR CREEK PARKS"</f>
        <v>ACCT#188757/CEDAR CREEK PARKS</v>
      </c>
    </row>
    <row r="1766" spans="1:9" x14ac:dyDescent="0.3">
      <c r="A1766" t="str">
        <f>""</f>
        <v/>
      </c>
      <c r="F1766" t="str">
        <f>"56393"</f>
        <v>56393</v>
      </c>
      <c r="G1766" t="str">
        <f>"ACCT#188757/CEDAR CREEK PARK"</f>
        <v>ACCT#188757/CEDAR CREEK PARK</v>
      </c>
      <c r="H1766">
        <v>125</v>
      </c>
      <c r="I1766" t="str">
        <f>"ACCT#188757/CEDAR CREEK PARK"</f>
        <v>ACCT#188757/CEDAR CREEK PARK</v>
      </c>
    </row>
    <row r="1767" spans="1:9" x14ac:dyDescent="0.3">
      <c r="A1767" t="str">
        <f>""</f>
        <v/>
      </c>
      <c r="F1767" t="str">
        <f>"56595"</f>
        <v>56595</v>
      </c>
      <c r="G1767" t="str">
        <f>"ACCT#188757/STONY POINT PARK"</f>
        <v>ACCT#188757/STONY POINT PARK</v>
      </c>
      <c r="H1767">
        <v>95</v>
      </c>
      <c r="I1767" t="str">
        <f>"ACCT#188757/STONY POINT PARK"</f>
        <v>ACCT#188757/STONY POINT PARK</v>
      </c>
    </row>
    <row r="1768" spans="1:9" x14ac:dyDescent="0.3">
      <c r="A1768" t="str">
        <f>""</f>
        <v/>
      </c>
      <c r="F1768" t="str">
        <f>"57307"</f>
        <v>57307</v>
      </c>
      <c r="G1768" t="str">
        <f>"ACCT#188757/PCT#4 ROAD&amp;BRIDGE"</f>
        <v>ACCT#188757/PCT#4 ROAD&amp;BRIDGE</v>
      </c>
      <c r="H1768">
        <v>95.5</v>
      </c>
      <c r="I1768" t="str">
        <f>"ACCT#188757/PCT#4 ROAD&amp;BRIDGE"</f>
        <v>ACCT#188757/PCT#4 ROAD&amp;BRIDGE</v>
      </c>
    </row>
    <row r="1769" spans="1:9" x14ac:dyDescent="0.3">
      <c r="A1769" t="str">
        <f>"004635"</f>
        <v>004635</v>
      </c>
      <c r="B1769" t="s">
        <v>499</v>
      </c>
      <c r="C1769">
        <v>76854</v>
      </c>
      <c r="D1769" s="2">
        <v>325.5</v>
      </c>
      <c r="E1769" s="1">
        <v>43249</v>
      </c>
      <c r="F1769" t="str">
        <f>"58992"</f>
        <v>58992</v>
      </c>
      <c r="G1769" t="str">
        <f>"ACCT#188757/MIKE FISHER BLDG"</f>
        <v>ACCT#188757/MIKE FISHER BLDG</v>
      </c>
      <c r="H1769">
        <v>112</v>
      </c>
      <c r="I1769" t="str">
        <f>"ACCT#188757/MIKE FISHER BLDG"</f>
        <v>ACCT#188757/MIKE FISHER BLDG</v>
      </c>
    </row>
    <row r="1770" spans="1:9" x14ac:dyDescent="0.3">
      <c r="A1770" t="str">
        <f>""</f>
        <v/>
      </c>
      <c r="F1770" t="str">
        <f>"59546"</f>
        <v>59546</v>
      </c>
      <c r="G1770" t="str">
        <f>"ACCT#188757/R&amp;B OFFICE/SIGN SH"</f>
        <v>ACCT#188757/R&amp;B OFFICE/SIGN SH</v>
      </c>
      <c r="H1770">
        <v>95</v>
      </c>
      <c r="I1770" t="str">
        <f>"ACCT#188757/R&amp;B OFFICE/SIGN SH"</f>
        <v>ACCT#188757/R&amp;B OFFICE/SIGN SH</v>
      </c>
    </row>
    <row r="1771" spans="1:9" x14ac:dyDescent="0.3">
      <c r="A1771" t="str">
        <f>""</f>
        <v/>
      </c>
      <c r="F1771" t="str">
        <f>"59547"</f>
        <v>59547</v>
      </c>
      <c r="G1771" t="str">
        <f>"ACCT#188757/JUVENILE BOOT CAMP"</f>
        <v>ACCT#188757/JUVENILE BOOT CAMP</v>
      </c>
      <c r="H1771">
        <v>118.5</v>
      </c>
      <c r="I1771" t="str">
        <f>"ACCT#188757/JUVENILE BOOT CAMP"</f>
        <v>ACCT#188757/JUVENILE BOOT CAMP</v>
      </c>
    </row>
    <row r="1772" spans="1:9" x14ac:dyDescent="0.3">
      <c r="A1772" t="str">
        <f>"003873"</f>
        <v>003873</v>
      </c>
      <c r="B1772" t="s">
        <v>500</v>
      </c>
      <c r="C1772">
        <v>76980</v>
      </c>
      <c r="D1772" s="2">
        <v>275</v>
      </c>
      <c r="E1772" s="1">
        <v>43249</v>
      </c>
      <c r="F1772" t="str">
        <f>"185562001"</f>
        <v>185562001</v>
      </c>
      <c r="G1772" t="str">
        <f>"MEMBERSHIP-B.ESCOBEDO&amp;K.MILES"</f>
        <v>MEMBERSHIP-B.ESCOBEDO&amp;K.MILES</v>
      </c>
      <c r="H1772">
        <v>275</v>
      </c>
      <c r="I1772" t="str">
        <f>"MEMBERSHIP-B.ESCOBEDO&amp;K.MILES"</f>
        <v>MEMBERSHIP-B.ESCOBEDO&amp;K.MILES</v>
      </c>
    </row>
    <row r="1773" spans="1:9" x14ac:dyDescent="0.3">
      <c r="A1773" t="str">
        <f>"002317"</f>
        <v>002317</v>
      </c>
      <c r="B1773" t="s">
        <v>501</v>
      </c>
      <c r="C1773">
        <v>999999</v>
      </c>
      <c r="D1773" s="2">
        <v>6275</v>
      </c>
      <c r="E1773" s="1">
        <v>43235</v>
      </c>
      <c r="F1773" t="str">
        <f>"201804250437"</f>
        <v>201804250437</v>
      </c>
      <c r="G1773" t="str">
        <f>"15901"</f>
        <v>15901</v>
      </c>
      <c r="H1773">
        <v>400</v>
      </c>
      <c r="I1773" t="str">
        <f>"15901"</f>
        <v>15901</v>
      </c>
    </row>
    <row r="1774" spans="1:9" x14ac:dyDescent="0.3">
      <c r="A1774" t="str">
        <f>""</f>
        <v/>
      </c>
      <c r="F1774" t="str">
        <f>"201804250438"</f>
        <v>201804250438</v>
      </c>
      <c r="G1774" t="str">
        <f>"16159"</f>
        <v>16159</v>
      </c>
      <c r="H1774">
        <v>3200</v>
      </c>
      <c r="I1774" t="str">
        <f>"16159"</f>
        <v>16159</v>
      </c>
    </row>
    <row r="1775" spans="1:9" x14ac:dyDescent="0.3">
      <c r="A1775" t="str">
        <f>""</f>
        <v/>
      </c>
      <c r="F1775" t="str">
        <f>"201805010489"</f>
        <v>201805010489</v>
      </c>
      <c r="G1775" t="str">
        <f>"1JP-13018-A   1JP-13018-B"</f>
        <v>1JP-13018-A   1JP-13018-B</v>
      </c>
      <c r="H1775">
        <v>200</v>
      </c>
      <c r="I1775" t="str">
        <f>"1JP-13018-A   1JP-13018-B"</f>
        <v>1JP-13018-A   1JP-13018-B</v>
      </c>
    </row>
    <row r="1776" spans="1:9" x14ac:dyDescent="0.3">
      <c r="A1776" t="str">
        <f>""</f>
        <v/>
      </c>
      <c r="F1776" t="str">
        <f>"201805040838"</f>
        <v>201805040838</v>
      </c>
      <c r="G1776" t="str">
        <f>"55004 DCPC17-095 404248-4 4042"</f>
        <v>55004 DCPC17-095 404248-4 4042</v>
      </c>
      <c r="H1776">
        <v>625</v>
      </c>
      <c r="I1776" t="str">
        <f>"55004 DCPC17-095 404248-4 4042"</f>
        <v>55004 DCPC17-095 404248-4 4042</v>
      </c>
    </row>
    <row r="1777" spans="1:9" x14ac:dyDescent="0.3">
      <c r="A1777" t="str">
        <f>""</f>
        <v/>
      </c>
      <c r="F1777" t="str">
        <f>"201805040839"</f>
        <v>201805040839</v>
      </c>
      <c r="G1777" t="str">
        <f>"55 363"</f>
        <v>55 363</v>
      </c>
      <c r="H1777">
        <v>250</v>
      </c>
      <c r="I1777" t="str">
        <f>"55 363"</f>
        <v>55 363</v>
      </c>
    </row>
    <row r="1778" spans="1:9" x14ac:dyDescent="0.3">
      <c r="A1778" t="str">
        <f>""</f>
        <v/>
      </c>
      <c r="F1778" t="str">
        <f>"201805040840"</f>
        <v>201805040840</v>
      </c>
      <c r="G1778" t="str">
        <f>"55 755  55 852"</f>
        <v>55 755  55 852</v>
      </c>
      <c r="H1778">
        <v>375</v>
      </c>
      <c r="I1778" t="str">
        <f>"55 755  55 852"</f>
        <v>55 755  55 852</v>
      </c>
    </row>
    <row r="1779" spans="1:9" x14ac:dyDescent="0.3">
      <c r="A1779" t="str">
        <f>""</f>
        <v/>
      </c>
      <c r="F1779" t="str">
        <f>"201805040841"</f>
        <v>201805040841</v>
      </c>
      <c r="G1779" t="str">
        <f>"AC2017021100A  AC20180213"</f>
        <v>AC2017021100A  AC20180213</v>
      </c>
      <c r="H1779">
        <v>375</v>
      </c>
      <c r="I1779" t="str">
        <f>"AC2017021100A  AC20180213"</f>
        <v>AC2017021100A  AC20180213</v>
      </c>
    </row>
    <row r="1780" spans="1:9" x14ac:dyDescent="0.3">
      <c r="A1780" t="str">
        <f>""</f>
        <v/>
      </c>
      <c r="F1780" t="str">
        <f>"201805040842"</f>
        <v>201805040842</v>
      </c>
      <c r="G1780" t="str">
        <f>"55 869"</f>
        <v>55 869</v>
      </c>
      <c r="H1780">
        <v>250</v>
      </c>
      <c r="I1780" t="str">
        <f>"55 859"</f>
        <v>55 859</v>
      </c>
    </row>
    <row r="1781" spans="1:9" x14ac:dyDescent="0.3">
      <c r="A1781" t="str">
        <f>""</f>
        <v/>
      </c>
      <c r="F1781" t="str">
        <f>"201805040843"</f>
        <v>201805040843</v>
      </c>
      <c r="G1781" t="str">
        <f>"54 238"</f>
        <v>54 238</v>
      </c>
      <c r="H1781">
        <v>350</v>
      </c>
      <c r="I1781" t="str">
        <f>"54 238"</f>
        <v>54 238</v>
      </c>
    </row>
    <row r="1782" spans="1:9" x14ac:dyDescent="0.3">
      <c r="A1782" t="str">
        <f>""</f>
        <v/>
      </c>
      <c r="F1782" t="str">
        <f>"201805040844"</f>
        <v>201805040844</v>
      </c>
      <c r="G1782" t="str">
        <f>"410126-4"</f>
        <v>410126-4</v>
      </c>
      <c r="H1782">
        <v>250</v>
      </c>
      <c r="I1782" t="str">
        <f>"410126-4"</f>
        <v>410126-4</v>
      </c>
    </row>
    <row r="1783" spans="1:9" x14ac:dyDescent="0.3">
      <c r="A1783" t="str">
        <f>"002317"</f>
        <v>002317</v>
      </c>
      <c r="B1783" t="s">
        <v>501</v>
      </c>
      <c r="C1783">
        <v>999999</v>
      </c>
      <c r="D1783" s="2">
        <v>1100</v>
      </c>
      <c r="E1783" s="1">
        <v>43250</v>
      </c>
      <c r="F1783" t="str">
        <f>"201805161038"</f>
        <v>201805161038</v>
      </c>
      <c r="G1783" t="str">
        <f>"423-5696"</f>
        <v>423-5696</v>
      </c>
      <c r="H1783">
        <v>100</v>
      </c>
      <c r="I1783" t="str">
        <f>"423-5696"</f>
        <v>423-5696</v>
      </c>
    </row>
    <row r="1784" spans="1:9" x14ac:dyDescent="0.3">
      <c r="A1784" t="str">
        <f>""</f>
        <v/>
      </c>
      <c r="F1784" t="str">
        <f>"201805161039"</f>
        <v>201805161039</v>
      </c>
      <c r="G1784" t="str">
        <f>"302112018-C/DCPC18-013 /BF-02-"</f>
        <v>302112018-C/DCPC18-013 /BF-02-</v>
      </c>
      <c r="H1784">
        <v>300</v>
      </c>
      <c r="I1784" t="str">
        <f>"302112018-C/DCPC18-013 /BF-02-"</f>
        <v>302112018-C/DCPC18-013 /BF-02-</v>
      </c>
    </row>
    <row r="1785" spans="1:9" x14ac:dyDescent="0.3">
      <c r="A1785" t="str">
        <f>""</f>
        <v/>
      </c>
      <c r="F1785" t="str">
        <f>"201805161046"</f>
        <v>201805161046</v>
      </c>
      <c r="G1785" t="str">
        <f>"20180051 20180051-A 20180051-B"</f>
        <v>20180051 20180051-A 20180051-B</v>
      </c>
      <c r="H1785">
        <v>300</v>
      </c>
      <c r="I1785" t="str">
        <f>"20180051 20180051-A 20180051-B"</f>
        <v>20180051 20180051-A 20180051-B</v>
      </c>
    </row>
    <row r="1786" spans="1:9" x14ac:dyDescent="0.3">
      <c r="A1786" t="str">
        <f>""</f>
        <v/>
      </c>
      <c r="F1786" t="str">
        <f>"201805211084"</f>
        <v>201805211084</v>
      </c>
      <c r="G1786" t="str">
        <f>"410126-3"</f>
        <v>410126-3</v>
      </c>
      <c r="H1786">
        <v>400</v>
      </c>
      <c r="I1786" t="str">
        <f>"410126-3"</f>
        <v>410126-3</v>
      </c>
    </row>
    <row r="1787" spans="1:9" x14ac:dyDescent="0.3">
      <c r="A1787" t="str">
        <f>"003690"</f>
        <v>003690</v>
      </c>
      <c r="B1787" t="s">
        <v>502</v>
      </c>
      <c r="C1787">
        <v>76981</v>
      </c>
      <c r="D1787" s="2">
        <v>2214.4</v>
      </c>
      <c r="E1787" s="1">
        <v>43249</v>
      </c>
      <c r="F1787" t="str">
        <f>"000538014"</f>
        <v>000538014</v>
      </c>
      <c r="G1787" t="str">
        <f>"ACC#4812W1083/POL#15R29980-ZAS"</f>
        <v>ACC#4812W1083/POL#15R29980-ZAS</v>
      </c>
      <c r="H1787">
        <v>2214.4</v>
      </c>
      <c r="I1787" t="str">
        <f>"ACC#4812W1083/POL#15R29980-ZAS"</f>
        <v>ACC#4812W1083/POL#15R29980-ZAS</v>
      </c>
    </row>
    <row r="1788" spans="1:9" x14ac:dyDescent="0.3">
      <c r="A1788" t="str">
        <f>"002975"</f>
        <v>002975</v>
      </c>
      <c r="B1788" t="s">
        <v>503</v>
      </c>
      <c r="C1788">
        <v>76982</v>
      </c>
      <c r="D1788" s="2">
        <v>10050.75</v>
      </c>
      <c r="E1788" s="1">
        <v>43249</v>
      </c>
      <c r="F1788" t="str">
        <f>"018-26095"</f>
        <v>018-26095</v>
      </c>
      <c r="G1788" t="str">
        <f>"ANNUAL THLA MEMBERSHIP"</f>
        <v>ANNUAL THLA MEMBERSHIP</v>
      </c>
      <c r="H1788">
        <v>10050.75</v>
      </c>
      <c r="I1788" t="str">
        <f>"ANNUAL THLA MEMBERSHIP"</f>
        <v>ANNUAL THLA MEMBERSHIP</v>
      </c>
    </row>
    <row r="1789" spans="1:9" x14ac:dyDescent="0.3">
      <c r="A1789" t="str">
        <f>"TIME"</f>
        <v>TIME</v>
      </c>
      <c r="B1789" t="s">
        <v>504</v>
      </c>
      <c r="C1789">
        <v>76765</v>
      </c>
      <c r="D1789" s="2">
        <v>10695.54</v>
      </c>
      <c r="E1789" s="1">
        <v>43234</v>
      </c>
      <c r="F1789" t="str">
        <f>"201805080873"</f>
        <v>201805080873</v>
      </c>
      <c r="G1789" t="str">
        <f>"ACCT#8260163000003669"</f>
        <v>ACCT#8260163000003669</v>
      </c>
      <c r="H1789">
        <v>10695.54</v>
      </c>
      <c r="I1789" t="str">
        <f>"ACCT#8260163000003669"</f>
        <v>ACCT#8260163000003669</v>
      </c>
    </row>
    <row r="1790" spans="1:9" x14ac:dyDescent="0.3">
      <c r="A1790" t="str">
        <f>""</f>
        <v/>
      </c>
      <c r="F1790" t="str">
        <f>""</f>
        <v/>
      </c>
      <c r="G1790" t="str">
        <f>""</f>
        <v/>
      </c>
      <c r="I1790" t="str">
        <f>"ACCT#8260163000003669"</f>
        <v>ACCT#8260163000003669</v>
      </c>
    </row>
    <row r="1791" spans="1:9" x14ac:dyDescent="0.3">
      <c r="A1791" t="str">
        <f>""</f>
        <v/>
      </c>
      <c r="F1791" t="str">
        <f>""</f>
        <v/>
      </c>
      <c r="G1791" t="str">
        <f>""</f>
        <v/>
      </c>
      <c r="I1791" t="str">
        <f>"ACCT#8260163000003669"</f>
        <v>ACCT#8260163000003669</v>
      </c>
    </row>
    <row r="1792" spans="1:9" x14ac:dyDescent="0.3">
      <c r="A1792" t="str">
        <f>"005538"</f>
        <v>005538</v>
      </c>
      <c r="B1792" t="s">
        <v>505</v>
      </c>
      <c r="C1792">
        <v>76766</v>
      </c>
      <c r="D1792" s="2">
        <v>105</v>
      </c>
      <c r="E1792" s="1">
        <v>43234</v>
      </c>
      <c r="F1792" t="str">
        <f>"32805"</f>
        <v>32805</v>
      </c>
      <c r="G1792" t="str">
        <f>"INV 32805"</f>
        <v>INV 32805</v>
      </c>
      <c r="H1792">
        <v>105</v>
      </c>
      <c r="I1792" t="str">
        <f>"INV 32805"</f>
        <v>INV 32805</v>
      </c>
    </row>
    <row r="1793" spans="1:9" x14ac:dyDescent="0.3">
      <c r="A1793" t="str">
        <f>"T12691"</f>
        <v>T12691</v>
      </c>
      <c r="B1793" t="s">
        <v>506</v>
      </c>
      <c r="C1793">
        <v>76983</v>
      </c>
      <c r="D1793" s="2">
        <v>1332.06</v>
      </c>
      <c r="E1793" s="1">
        <v>43249</v>
      </c>
      <c r="F1793" t="str">
        <f>"39005651"</f>
        <v>39005651</v>
      </c>
      <c r="G1793" t="str">
        <f>"ACCT#2843373/GEN SVCS"</f>
        <v>ACCT#2843373/GEN SVCS</v>
      </c>
      <c r="H1793">
        <v>1332.06</v>
      </c>
      <c r="I1793" t="str">
        <f>"ACCT#2843373/GEN SVCS"</f>
        <v>ACCT#2843373/GEN SVCS</v>
      </c>
    </row>
    <row r="1794" spans="1:9" x14ac:dyDescent="0.3">
      <c r="A1794" t="str">
        <f>"002337"</f>
        <v>002337</v>
      </c>
      <c r="B1794" t="s">
        <v>507</v>
      </c>
      <c r="C1794">
        <v>76984</v>
      </c>
      <c r="D1794" s="2">
        <v>450</v>
      </c>
      <c r="E1794" s="1">
        <v>43249</v>
      </c>
      <c r="F1794" t="str">
        <f>"12168"</f>
        <v>12168</v>
      </c>
      <c r="G1794" t="str">
        <f>"SERVICE 02/27/2018"</f>
        <v>SERVICE 02/27/2018</v>
      </c>
      <c r="H1794">
        <v>75</v>
      </c>
      <c r="I1794" t="str">
        <f>"SERVICE 02/27/2018"</f>
        <v>SERVICE 02/27/2018</v>
      </c>
    </row>
    <row r="1795" spans="1:9" x14ac:dyDescent="0.3">
      <c r="A1795" t="str">
        <f>""</f>
        <v/>
      </c>
      <c r="F1795" t="str">
        <f>"12582"</f>
        <v>12582</v>
      </c>
      <c r="G1795" t="str">
        <f>"SERVICE  02/28/2018"</f>
        <v>SERVICE  02/28/2018</v>
      </c>
      <c r="H1795">
        <v>75</v>
      </c>
      <c r="I1795" t="str">
        <f>"SERVICE  02/28/2018"</f>
        <v>SERVICE  02/28/2018</v>
      </c>
    </row>
    <row r="1796" spans="1:9" x14ac:dyDescent="0.3">
      <c r="A1796" t="str">
        <f>""</f>
        <v/>
      </c>
      <c r="F1796" t="str">
        <f>"12608"</f>
        <v>12608</v>
      </c>
      <c r="G1796" t="str">
        <f>"SERVICE  03/02/2018"</f>
        <v>SERVICE  03/02/2018</v>
      </c>
      <c r="H1796">
        <v>75</v>
      </c>
      <c r="I1796" t="str">
        <f>"SERVICE  03/02/2018"</f>
        <v>SERVICE  03/02/2018</v>
      </c>
    </row>
    <row r="1797" spans="1:9" x14ac:dyDescent="0.3">
      <c r="A1797" t="str">
        <f>""</f>
        <v/>
      </c>
      <c r="F1797" t="str">
        <f>"12692"</f>
        <v>12692</v>
      </c>
      <c r="G1797" t="str">
        <f>"SERVICE  02/26/2018"</f>
        <v>SERVICE  02/26/2018</v>
      </c>
      <c r="H1797">
        <v>75</v>
      </c>
      <c r="I1797" t="str">
        <f>"SERVICE  02/26/2018"</f>
        <v>SERVICE  02/26/2018</v>
      </c>
    </row>
    <row r="1798" spans="1:9" x14ac:dyDescent="0.3">
      <c r="A1798" t="str">
        <f>""</f>
        <v/>
      </c>
      <c r="F1798" t="str">
        <f>"9635"</f>
        <v>9635</v>
      </c>
      <c r="G1798" t="str">
        <f>"SERVICE  02/27/18"</f>
        <v>SERVICE  02/27/18</v>
      </c>
      <c r="H1798">
        <v>150</v>
      </c>
      <c r="I1798" t="str">
        <f>"SERVICE  02/27/18"</f>
        <v>SERVICE  02/27/18</v>
      </c>
    </row>
    <row r="1799" spans="1:9" x14ac:dyDescent="0.3">
      <c r="A1799" t="str">
        <f>"TCC"</f>
        <v>TCC</v>
      </c>
      <c r="B1799" t="s">
        <v>508</v>
      </c>
      <c r="C1799">
        <v>76767</v>
      </c>
      <c r="D1799" s="2">
        <v>454</v>
      </c>
      <c r="E1799" s="1">
        <v>43234</v>
      </c>
      <c r="F1799" t="str">
        <f>"18-000741"</f>
        <v>18-000741</v>
      </c>
      <c r="G1799" t="str">
        <f>"CAUSE#C-1-MH-18-000741"</f>
        <v>CAUSE#C-1-MH-18-000741</v>
      </c>
      <c r="H1799">
        <v>454</v>
      </c>
      <c r="I1799" t="str">
        <f>"CAUSE#C-1-MH-18-000741"</f>
        <v>CAUSE#C-1-MH-18-000741</v>
      </c>
    </row>
    <row r="1800" spans="1:9" x14ac:dyDescent="0.3">
      <c r="A1800" t="str">
        <f>"005562"</f>
        <v>005562</v>
      </c>
      <c r="B1800" t="s">
        <v>509</v>
      </c>
      <c r="C1800">
        <v>76827</v>
      </c>
      <c r="D1800" s="2">
        <v>75</v>
      </c>
      <c r="E1800" s="1">
        <v>43244</v>
      </c>
      <c r="F1800" t="str">
        <f>"201805241194"</f>
        <v>201805241194</v>
      </c>
      <c r="G1800" t="str">
        <f>"SERVICE G-287"</f>
        <v>SERVICE G-287</v>
      </c>
      <c r="H1800">
        <v>75</v>
      </c>
      <c r="I1800" t="str">
        <f>"SERVICE G-287"</f>
        <v>SERVICE G-287</v>
      </c>
    </row>
    <row r="1801" spans="1:9" x14ac:dyDescent="0.3">
      <c r="A1801" t="str">
        <f>"TCC"</f>
        <v>TCC</v>
      </c>
      <c r="B1801" t="s">
        <v>508</v>
      </c>
      <c r="C1801">
        <v>76985</v>
      </c>
      <c r="D1801" s="2">
        <v>454</v>
      </c>
      <c r="E1801" s="1">
        <v>43249</v>
      </c>
      <c r="F1801" t="str">
        <f>"18-00757"</f>
        <v>18-00757</v>
      </c>
      <c r="G1801" t="str">
        <f>"CAUSE#C-1-MH-18-000757"</f>
        <v>CAUSE#C-1-MH-18-000757</v>
      </c>
      <c r="H1801">
        <v>454</v>
      </c>
      <c r="I1801" t="str">
        <f>"CAUSE#C-1-MH-18-000757"</f>
        <v>CAUSE#C-1-MH-18-000757</v>
      </c>
    </row>
    <row r="1802" spans="1:9" x14ac:dyDescent="0.3">
      <c r="A1802" t="str">
        <f>"005534"</f>
        <v>005534</v>
      </c>
      <c r="B1802" t="s">
        <v>510</v>
      </c>
      <c r="C1802">
        <v>76768</v>
      </c>
      <c r="D1802" s="2">
        <v>8700</v>
      </c>
      <c r="E1802" s="1">
        <v>43234</v>
      </c>
      <c r="F1802" t="str">
        <f>"3300001258"</f>
        <v>3300001258</v>
      </c>
      <c r="G1802" t="str">
        <f>"CUST#100009/AUTOPSY FEE"</f>
        <v>CUST#100009/AUTOPSY FEE</v>
      </c>
      <c r="H1802">
        <v>8700</v>
      </c>
      <c r="I1802" t="str">
        <f>"CUST#100009/AUTOPSY FEE"</f>
        <v>CUST#100009/AUTOPSY FEE</v>
      </c>
    </row>
    <row r="1803" spans="1:9" x14ac:dyDescent="0.3">
      <c r="A1803" t="str">
        <f>"002944"</f>
        <v>002944</v>
      </c>
      <c r="B1803" t="s">
        <v>511</v>
      </c>
      <c r="C1803">
        <v>999999</v>
      </c>
      <c r="D1803" s="2">
        <v>1943.99</v>
      </c>
      <c r="E1803" s="1">
        <v>43235</v>
      </c>
      <c r="F1803" t="str">
        <f>"705192"</f>
        <v>705192</v>
      </c>
      <c r="G1803" t="str">
        <f>"INV 705192 / UNIT 1666"</f>
        <v>INV 705192 / UNIT 1666</v>
      </c>
      <c r="H1803">
        <v>521.64</v>
      </c>
      <c r="I1803" t="str">
        <f>"INV 705192 / UNIT 1666"</f>
        <v>INV 705192 / UNIT 1666</v>
      </c>
    </row>
    <row r="1804" spans="1:9" x14ac:dyDescent="0.3">
      <c r="A1804" t="str">
        <f>""</f>
        <v/>
      </c>
      <c r="F1804" t="str">
        <f>"705193"</f>
        <v>705193</v>
      </c>
      <c r="G1804" t="str">
        <f>"INV 705193 / UNIT 0127"</f>
        <v>INV 705193 / UNIT 0127</v>
      </c>
      <c r="H1804">
        <v>260.82</v>
      </c>
      <c r="I1804" t="str">
        <f>"INV 705193 / UNIT 0127"</f>
        <v>INV 705193 / UNIT 0127</v>
      </c>
    </row>
    <row r="1805" spans="1:9" x14ac:dyDescent="0.3">
      <c r="A1805" t="str">
        <f>""</f>
        <v/>
      </c>
      <c r="F1805" t="str">
        <f>"705788"</f>
        <v>705788</v>
      </c>
      <c r="G1805" t="str">
        <f>"INV 705788 / UNIT 6532"</f>
        <v>INV 705788 / UNIT 6532</v>
      </c>
      <c r="H1805">
        <v>521.64</v>
      </c>
      <c r="I1805" t="str">
        <f>"INV 705788 / UNIT 6532"</f>
        <v>INV 705788 / UNIT 6532</v>
      </c>
    </row>
    <row r="1806" spans="1:9" x14ac:dyDescent="0.3">
      <c r="A1806" t="str">
        <f>""</f>
        <v/>
      </c>
      <c r="F1806" t="str">
        <f>"706470"</f>
        <v>706470</v>
      </c>
      <c r="G1806" t="str">
        <f>"INV 706470 / UNIT 0120"</f>
        <v>INV 706470 / UNIT 0120</v>
      </c>
      <c r="H1806">
        <v>130.41</v>
      </c>
      <c r="I1806" t="str">
        <f>"INV 706470 / UNIT 0120"</f>
        <v>INV 706470 / UNIT 0120</v>
      </c>
    </row>
    <row r="1807" spans="1:9" x14ac:dyDescent="0.3">
      <c r="A1807" t="str">
        <f>""</f>
        <v/>
      </c>
      <c r="F1807" t="str">
        <f>"707850"</f>
        <v>707850</v>
      </c>
      <c r="G1807" t="str">
        <f>"INV 707850 / UNIT 0312"</f>
        <v>INV 707850 / UNIT 0312</v>
      </c>
      <c r="H1807">
        <v>509.48</v>
      </c>
      <c r="I1807" t="str">
        <f>"INV 707850 / UNIT 0312"</f>
        <v>INV 707850 / UNIT 0312</v>
      </c>
    </row>
    <row r="1808" spans="1:9" x14ac:dyDescent="0.3">
      <c r="A1808" t="str">
        <f>"002944"</f>
        <v>002944</v>
      </c>
      <c r="B1808" t="s">
        <v>511</v>
      </c>
      <c r="C1808">
        <v>999999</v>
      </c>
      <c r="D1808" s="2">
        <v>414.72</v>
      </c>
      <c r="E1808" s="1">
        <v>43250</v>
      </c>
      <c r="F1808" t="str">
        <f>"708304"</f>
        <v>708304</v>
      </c>
      <c r="G1808" t="str">
        <f>"INV 708304 / UNIT 6539"</f>
        <v>INV 708304 / UNIT 6539</v>
      </c>
      <c r="H1808">
        <v>414.72</v>
      </c>
      <c r="I1808" t="str">
        <f>"INV 708304 / UNIT 6539"</f>
        <v>INV 708304 / UNIT 6539</v>
      </c>
    </row>
    <row r="1809" spans="1:9" x14ac:dyDescent="0.3">
      <c r="A1809" t="str">
        <f>"003838"</f>
        <v>003838</v>
      </c>
      <c r="B1809" t="s">
        <v>512</v>
      </c>
      <c r="C1809">
        <v>76769</v>
      </c>
      <c r="D1809" s="2">
        <v>80</v>
      </c>
      <c r="E1809" s="1">
        <v>43234</v>
      </c>
      <c r="F1809" t="str">
        <f>"201805090991"</f>
        <v>201805090991</v>
      </c>
      <c r="G1809" t="str">
        <f>"INDIGENT HEALTH"</f>
        <v>INDIGENT HEALTH</v>
      </c>
      <c r="H1809">
        <v>80</v>
      </c>
      <c r="I1809" t="str">
        <f>"INDIGENT HEALTH"</f>
        <v>INDIGENT HEALTH</v>
      </c>
    </row>
    <row r="1810" spans="1:9" x14ac:dyDescent="0.3">
      <c r="A1810" t="str">
        <f>"TRIPLE"</f>
        <v>TRIPLE</v>
      </c>
      <c r="B1810" t="s">
        <v>513</v>
      </c>
      <c r="C1810">
        <v>999999</v>
      </c>
      <c r="D1810" s="2">
        <v>6334.7</v>
      </c>
      <c r="E1810" s="1">
        <v>43235</v>
      </c>
      <c r="F1810" t="str">
        <f>"0015300-IN"</f>
        <v>0015300-IN</v>
      </c>
      <c r="G1810" t="str">
        <f>"CUST#0009087/DIESEL/PCT#4"</f>
        <v>CUST#0009087/DIESEL/PCT#4</v>
      </c>
      <c r="H1810">
        <v>6334.7</v>
      </c>
      <c r="I1810" t="str">
        <f>"CUST#0009087/DIESEL/PCT#4"</f>
        <v>CUST#0009087/DIESEL/PCT#4</v>
      </c>
    </row>
    <row r="1811" spans="1:9" x14ac:dyDescent="0.3">
      <c r="A1811" t="str">
        <f>"TRACTO"</f>
        <v>TRACTO</v>
      </c>
      <c r="B1811" t="s">
        <v>514</v>
      </c>
      <c r="C1811">
        <v>76770</v>
      </c>
      <c r="D1811" s="2">
        <v>1906.48</v>
      </c>
      <c r="E1811" s="1">
        <v>43234</v>
      </c>
      <c r="F1811" t="str">
        <f>"ACCT#XXXX 0982"</f>
        <v>ACCT#XXXX 0982</v>
      </c>
      <c r="G1811" t="str">
        <f>"Acct# 6035301200160982"</f>
        <v>Acct# 6035301200160982</v>
      </c>
      <c r="H1811">
        <v>1906.48</v>
      </c>
      <c r="I1811" t="str">
        <f>"Inv# 300450288"</f>
        <v>Inv# 300450288</v>
      </c>
    </row>
    <row r="1812" spans="1:9" x14ac:dyDescent="0.3">
      <c r="A1812" t="str">
        <f>""</f>
        <v/>
      </c>
      <c r="F1812" t="str">
        <f>""</f>
        <v/>
      </c>
      <c r="G1812" t="str">
        <f>""</f>
        <v/>
      </c>
      <c r="I1812" t="str">
        <f>"Inv# 300452619"</f>
        <v>Inv# 300452619</v>
      </c>
    </row>
    <row r="1813" spans="1:9" x14ac:dyDescent="0.3">
      <c r="A1813" t="str">
        <f>""</f>
        <v/>
      </c>
      <c r="F1813" t="str">
        <f>""</f>
        <v/>
      </c>
      <c r="G1813" t="str">
        <f>""</f>
        <v/>
      </c>
      <c r="I1813" t="str">
        <f>"Inv# 200482807"</f>
        <v>Inv# 200482807</v>
      </c>
    </row>
    <row r="1814" spans="1:9" x14ac:dyDescent="0.3">
      <c r="A1814" t="str">
        <f>""</f>
        <v/>
      </c>
      <c r="F1814" t="str">
        <f>""</f>
        <v/>
      </c>
      <c r="G1814" t="str">
        <f>""</f>
        <v/>
      </c>
      <c r="I1814" t="str">
        <f>"Inv# 300447096"</f>
        <v>Inv# 300447096</v>
      </c>
    </row>
    <row r="1815" spans="1:9" x14ac:dyDescent="0.3">
      <c r="A1815" t="str">
        <f>""</f>
        <v/>
      </c>
      <c r="F1815" t="str">
        <f>""</f>
        <v/>
      </c>
      <c r="G1815" t="str">
        <f>""</f>
        <v/>
      </c>
      <c r="I1815" t="str">
        <f>"Inv# 300447097"</f>
        <v>Inv# 300447097</v>
      </c>
    </row>
    <row r="1816" spans="1:9" x14ac:dyDescent="0.3">
      <c r="A1816" t="str">
        <f>""</f>
        <v/>
      </c>
      <c r="F1816" t="str">
        <f>""</f>
        <v/>
      </c>
      <c r="G1816" t="str">
        <f>""</f>
        <v/>
      </c>
      <c r="I1816" t="str">
        <f>"Inv# 100021855"</f>
        <v>Inv# 100021855</v>
      </c>
    </row>
    <row r="1817" spans="1:9" x14ac:dyDescent="0.3">
      <c r="A1817" t="str">
        <f>""</f>
        <v/>
      </c>
      <c r="F1817" t="str">
        <f>""</f>
        <v/>
      </c>
      <c r="G1817" t="str">
        <f>""</f>
        <v/>
      </c>
      <c r="I1817" t="str">
        <f>"Inv# 300452281"</f>
        <v>Inv# 300452281</v>
      </c>
    </row>
    <row r="1818" spans="1:9" x14ac:dyDescent="0.3">
      <c r="A1818" t="str">
        <f>""</f>
        <v/>
      </c>
      <c r="F1818" t="str">
        <f>""</f>
        <v/>
      </c>
      <c r="G1818" t="str">
        <f>""</f>
        <v/>
      </c>
      <c r="I1818" t="str">
        <f>"Inv# 200482408"</f>
        <v>Inv# 200482408</v>
      </c>
    </row>
    <row r="1819" spans="1:9" x14ac:dyDescent="0.3">
      <c r="A1819" t="str">
        <f>""</f>
        <v/>
      </c>
      <c r="F1819" t="str">
        <f>""</f>
        <v/>
      </c>
      <c r="G1819" t="str">
        <f>""</f>
        <v/>
      </c>
      <c r="I1819" t="str">
        <f>"Inv# 200482801"</f>
        <v>Inv# 200482801</v>
      </c>
    </row>
    <row r="1820" spans="1:9" x14ac:dyDescent="0.3">
      <c r="A1820" t="str">
        <f>""</f>
        <v/>
      </c>
      <c r="F1820" t="str">
        <f>""</f>
        <v/>
      </c>
      <c r="G1820" t="str">
        <f>""</f>
        <v/>
      </c>
      <c r="I1820" t="str">
        <f>"Inv# 300448577"</f>
        <v>Inv# 300448577</v>
      </c>
    </row>
    <row r="1821" spans="1:9" x14ac:dyDescent="0.3">
      <c r="A1821" t="str">
        <f>""</f>
        <v/>
      </c>
      <c r="F1821" t="str">
        <f>""</f>
        <v/>
      </c>
      <c r="G1821" t="str">
        <f>""</f>
        <v/>
      </c>
      <c r="I1821" t="str">
        <f>"Inv# 300453977"</f>
        <v>Inv# 300453977</v>
      </c>
    </row>
    <row r="1822" spans="1:9" x14ac:dyDescent="0.3">
      <c r="A1822" t="str">
        <f>""</f>
        <v/>
      </c>
      <c r="F1822" t="str">
        <f>""</f>
        <v/>
      </c>
      <c r="G1822" t="str">
        <f>""</f>
        <v/>
      </c>
      <c r="I1822" t="str">
        <f>"Inv# 300454025"</f>
        <v>Inv# 300454025</v>
      </c>
    </row>
    <row r="1823" spans="1:9" x14ac:dyDescent="0.3">
      <c r="A1823" t="str">
        <f>""</f>
        <v/>
      </c>
      <c r="F1823" t="str">
        <f>""</f>
        <v/>
      </c>
      <c r="G1823" t="str">
        <f>""</f>
        <v/>
      </c>
      <c r="I1823" t="str">
        <f>"Inv# 10022935"</f>
        <v>Inv# 10022935</v>
      </c>
    </row>
    <row r="1824" spans="1:9" x14ac:dyDescent="0.3">
      <c r="A1824" t="str">
        <f>""</f>
        <v/>
      </c>
      <c r="F1824" t="str">
        <f>""</f>
        <v/>
      </c>
      <c r="G1824" t="str">
        <f>""</f>
        <v/>
      </c>
      <c r="I1824" t="str">
        <f>"Inv# 10026080"</f>
        <v>Inv# 10026080</v>
      </c>
    </row>
    <row r="1825" spans="1:9" x14ac:dyDescent="0.3">
      <c r="A1825" t="str">
        <f>""</f>
        <v/>
      </c>
      <c r="F1825" t="str">
        <f>""</f>
        <v/>
      </c>
      <c r="G1825" t="str">
        <f>""</f>
        <v/>
      </c>
      <c r="I1825" t="str">
        <f>"Inv# 200455092"</f>
        <v>Inv# 200455092</v>
      </c>
    </row>
    <row r="1826" spans="1:9" x14ac:dyDescent="0.3">
      <c r="A1826" t="str">
        <f>""</f>
        <v/>
      </c>
      <c r="F1826" t="str">
        <f>""</f>
        <v/>
      </c>
      <c r="G1826" t="str">
        <f>""</f>
        <v/>
      </c>
      <c r="I1826" t="str">
        <f>"Inv# 100022062"</f>
        <v>Inv# 100022062</v>
      </c>
    </row>
    <row r="1827" spans="1:9" x14ac:dyDescent="0.3">
      <c r="A1827" t="str">
        <f>"TULL"</f>
        <v>TULL</v>
      </c>
      <c r="B1827" t="s">
        <v>515</v>
      </c>
      <c r="C1827">
        <v>999999</v>
      </c>
      <c r="D1827" s="2">
        <v>2450</v>
      </c>
      <c r="E1827" s="1">
        <v>43235</v>
      </c>
      <c r="F1827" t="str">
        <f>"201804250444"</f>
        <v>201804250444</v>
      </c>
      <c r="G1827" t="str">
        <f>"16 428  15 997"</f>
        <v>16 428  15 997</v>
      </c>
      <c r="H1827">
        <v>1050</v>
      </c>
      <c r="I1827" t="str">
        <f>"16 428  15 997"</f>
        <v>16 428  15 997</v>
      </c>
    </row>
    <row r="1828" spans="1:9" x14ac:dyDescent="0.3">
      <c r="A1828" t="str">
        <f>""</f>
        <v/>
      </c>
      <c r="F1828" t="str">
        <f>"201804250445"</f>
        <v>201804250445</v>
      </c>
      <c r="G1828" t="str">
        <f>"16 312"</f>
        <v>16 312</v>
      </c>
      <c r="H1828">
        <v>400</v>
      </c>
      <c r="I1828" t="str">
        <f>"16 312"</f>
        <v>16 312</v>
      </c>
    </row>
    <row r="1829" spans="1:9" x14ac:dyDescent="0.3">
      <c r="A1829" t="str">
        <f>""</f>
        <v/>
      </c>
      <c r="F1829" t="str">
        <f>"201805040845"</f>
        <v>201805040845</v>
      </c>
      <c r="G1829" t="str">
        <f>"55 699"</f>
        <v>55 699</v>
      </c>
      <c r="H1829">
        <v>250</v>
      </c>
      <c r="I1829" t="str">
        <f>"55 699"</f>
        <v>55 699</v>
      </c>
    </row>
    <row r="1830" spans="1:9" x14ac:dyDescent="0.3">
      <c r="A1830" t="str">
        <f>""</f>
        <v/>
      </c>
      <c r="F1830" t="str">
        <f>"201805040846"</f>
        <v>201805040846</v>
      </c>
      <c r="G1830" t="str">
        <f>"55 711"</f>
        <v>55 711</v>
      </c>
      <c r="H1830">
        <v>250</v>
      </c>
      <c r="I1830" t="str">
        <f>"55 711"</f>
        <v>55 711</v>
      </c>
    </row>
    <row r="1831" spans="1:9" x14ac:dyDescent="0.3">
      <c r="A1831" t="str">
        <f>""</f>
        <v/>
      </c>
      <c r="F1831" t="str">
        <f>"201805040847"</f>
        <v>201805040847</v>
      </c>
      <c r="G1831" t="str">
        <f>"55 853"</f>
        <v>55 853</v>
      </c>
      <c r="H1831">
        <v>250</v>
      </c>
      <c r="I1831" t="str">
        <f>"55 853"</f>
        <v>55 853</v>
      </c>
    </row>
    <row r="1832" spans="1:9" x14ac:dyDescent="0.3">
      <c r="A1832" t="str">
        <f>""</f>
        <v/>
      </c>
      <c r="F1832" t="str">
        <f>"201805040848"</f>
        <v>201805040848</v>
      </c>
      <c r="G1832" t="str">
        <f>"54 877"</f>
        <v>54 877</v>
      </c>
      <c r="H1832">
        <v>250</v>
      </c>
      <c r="I1832" t="str">
        <f>"54 877"</f>
        <v>54 877</v>
      </c>
    </row>
    <row r="1833" spans="1:9" x14ac:dyDescent="0.3">
      <c r="A1833" t="str">
        <f>"005340"</f>
        <v>005340</v>
      </c>
      <c r="B1833" t="s">
        <v>516</v>
      </c>
      <c r="C1833">
        <v>999999</v>
      </c>
      <c r="D1833" s="2">
        <v>1309.1400000000001</v>
      </c>
      <c r="E1833" s="1">
        <v>43235</v>
      </c>
      <c r="F1833" t="str">
        <f>"1136"</f>
        <v>1136</v>
      </c>
      <c r="G1833" t="str">
        <f>"2003 FRHT UNIT 453218/PCT#1"</f>
        <v>2003 FRHT UNIT 453218/PCT#1</v>
      </c>
      <c r="H1833">
        <v>742.3</v>
      </c>
      <c r="I1833" t="str">
        <f>"2003 FRHT UNIT 453218/PCT#1"</f>
        <v>2003 FRHT UNIT 453218/PCT#1</v>
      </c>
    </row>
    <row r="1834" spans="1:9" x14ac:dyDescent="0.3">
      <c r="A1834" t="str">
        <f>""</f>
        <v/>
      </c>
      <c r="F1834" t="str">
        <f>"1138"</f>
        <v>1138</v>
      </c>
      <c r="G1834" t="str">
        <f>"INSPECTIONS/PCT#2"</f>
        <v>INSPECTIONS/PCT#2</v>
      </c>
      <c r="H1834">
        <v>14</v>
      </c>
      <c r="I1834" t="str">
        <f>"INSPECTIONS/PCT#2"</f>
        <v>INSPECTIONS/PCT#2</v>
      </c>
    </row>
    <row r="1835" spans="1:9" x14ac:dyDescent="0.3">
      <c r="A1835" t="str">
        <f>""</f>
        <v/>
      </c>
      <c r="F1835" t="str">
        <f>"1142"</f>
        <v>1142</v>
      </c>
      <c r="G1835" t="str">
        <f>"JOB:UNIT DT 6/PCT#1"</f>
        <v>JOB:UNIT DT 6/PCT#1</v>
      </c>
      <c r="H1835">
        <v>552.84</v>
      </c>
      <c r="I1835" t="str">
        <f>"JOB:UNIT DT 6/PCT#1"</f>
        <v>JOB:UNIT DT 6/PCT#1</v>
      </c>
    </row>
    <row r="1836" spans="1:9" x14ac:dyDescent="0.3">
      <c r="A1836" t="str">
        <f>"005340"</f>
        <v>005340</v>
      </c>
      <c r="B1836" t="s">
        <v>516</v>
      </c>
      <c r="C1836">
        <v>999999</v>
      </c>
      <c r="D1836" s="2">
        <v>35</v>
      </c>
      <c r="E1836" s="1">
        <v>43250</v>
      </c>
      <c r="F1836" t="str">
        <f>"1145"</f>
        <v>1145</v>
      </c>
      <c r="G1836" t="str">
        <f>"INSPECTION/97 INTL/PCT#2"</f>
        <v>INSPECTION/97 INTL/PCT#2</v>
      </c>
      <c r="H1836">
        <v>7</v>
      </c>
      <c r="I1836" t="str">
        <f>"INSPECTION/97 INTL/PCT#2"</f>
        <v>INSPECTION/97 INTL/PCT#2</v>
      </c>
    </row>
    <row r="1837" spans="1:9" x14ac:dyDescent="0.3">
      <c r="A1837" t="str">
        <f>""</f>
        <v/>
      </c>
      <c r="F1837" t="str">
        <f>"1146"</f>
        <v>1146</v>
      </c>
      <c r="G1837" t="str">
        <f>"INSPECTION/02 GMC 1088598/PCT2"</f>
        <v>INSPECTION/02 GMC 1088598/PCT2</v>
      </c>
      <c r="H1837">
        <v>7</v>
      </c>
      <c r="I1837" t="str">
        <f>"INSPECTION/PCT#2"</f>
        <v>INSPECTION/PCT#2</v>
      </c>
    </row>
    <row r="1838" spans="1:9" x14ac:dyDescent="0.3">
      <c r="A1838" t="str">
        <f>""</f>
        <v/>
      </c>
      <c r="F1838" t="str">
        <f>"1147"</f>
        <v>1147</v>
      </c>
      <c r="G1838" t="str">
        <f>"INSPECTION/2015 FRHT/PCT#2"</f>
        <v>INSPECTION/2015 FRHT/PCT#2</v>
      </c>
      <c r="H1838">
        <v>7</v>
      </c>
      <c r="I1838" t="str">
        <f>"INSPECTION/PCT#2"</f>
        <v>INSPECTION/PCT#2</v>
      </c>
    </row>
    <row r="1839" spans="1:9" x14ac:dyDescent="0.3">
      <c r="A1839" t="str">
        <f>""</f>
        <v/>
      </c>
      <c r="F1839" t="str">
        <f>"1148"</f>
        <v>1148</v>
      </c>
      <c r="G1839" t="str">
        <f>"INSPECTION/99 GMC/PCT#2"</f>
        <v>INSPECTION/99 GMC/PCT#2</v>
      </c>
      <c r="H1839">
        <v>7</v>
      </c>
      <c r="I1839" t="str">
        <f>"INSPECTION/99 GMC/PCT#2"</f>
        <v>INSPECTION/99 GMC/PCT#2</v>
      </c>
    </row>
    <row r="1840" spans="1:9" x14ac:dyDescent="0.3">
      <c r="A1840" t="str">
        <f>""</f>
        <v/>
      </c>
      <c r="F1840" t="str">
        <f>"1149"</f>
        <v>1149</v>
      </c>
      <c r="G1840" t="str">
        <f>"INSPECTION/2002 GMC/PCT#2"</f>
        <v>INSPECTION/2002 GMC/PCT#2</v>
      </c>
      <c r="H1840">
        <v>7</v>
      </c>
      <c r="I1840" t="str">
        <f>"INSPECTION/2002 GMC/PCT#2"</f>
        <v>INSPECTION/2002 GMC/PCT#2</v>
      </c>
    </row>
    <row r="1841" spans="1:9" x14ac:dyDescent="0.3">
      <c r="A1841" t="str">
        <f>"003612"</f>
        <v>003612</v>
      </c>
      <c r="B1841" t="s">
        <v>517</v>
      </c>
      <c r="C1841">
        <v>76986</v>
      </c>
      <c r="D1841" s="2">
        <v>150</v>
      </c>
      <c r="E1841" s="1">
        <v>43249</v>
      </c>
      <c r="F1841" t="str">
        <f>"TCOLE EXAM-J.SCHWA"</f>
        <v>TCOLE EXAM-J.SCHWA</v>
      </c>
      <c r="G1841" t="str">
        <f t="shared" ref="G1841:G1846" si="16">"TX COMMISSION ON LAW ENFORCEME"</f>
        <v>TX COMMISSION ON LAW ENFORCEME</v>
      </c>
      <c r="H1841">
        <v>25</v>
      </c>
    </row>
    <row r="1842" spans="1:9" x14ac:dyDescent="0.3">
      <c r="A1842" t="str">
        <f>""</f>
        <v/>
      </c>
      <c r="F1842" t="str">
        <f>"TCOLE STATE EXAM"</f>
        <v>TCOLE STATE EXAM</v>
      </c>
      <c r="G1842" t="str">
        <f t="shared" si="16"/>
        <v>TX COMMISSION ON LAW ENFORCEME</v>
      </c>
      <c r="H1842">
        <v>25</v>
      </c>
    </row>
    <row r="1843" spans="1:9" x14ac:dyDescent="0.3">
      <c r="A1843" t="str">
        <f>""</f>
        <v/>
      </c>
      <c r="F1843" t="str">
        <f>"TCOLE-A.CHAVEZ"</f>
        <v>TCOLE-A.CHAVEZ</v>
      </c>
      <c r="G1843" t="str">
        <f t="shared" si="16"/>
        <v>TX COMMISSION ON LAW ENFORCEME</v>
      </c>
      <c r="H1843">
        <v>25</v>
      </c>
    </row>
    <row r="1844" spans="1:9" x14ac:dyDescent="0.3">
      <c r="A1844" t="str">
        <f>""</f>
        <v/>
      </c>
      <c r="F1844" t="str">
        <f>"TCOLE-I.CORONADO"</f>
        <v>TCOLE-I.CORONADO</v>
      </c>
      <c r="G1844" t="str">
        <f t="shared" si="16"/>
        <v>TX COMMISSION ON LAW ENFORCEME</v>
      </c>
      <c r="H1844">
        <v>25</v>
      </c>
    </row>
    <row r="1845" spans="1:9" x14ac:dyDescent="0.3">
      <c r="A1845" t="str">
        <f>""</f>
        <v/>
      </c>
      <c r="F1845" t="str">
        <f>"TCOLE-K.SIEGRIST"</f>
        <v>TCOLE-K.SIEGRIST</v>
      </c>
      <c r="G1845" t="str">
        <f t="shared" si="16"/>
        <v>TX COMMISSION ON LAW ENFORCEME</v>
      </c>
      <c r="H1845">
        <v>25</v>
      </c>
    </row>
    <row r="1846" spans="1:9" x14ac:dyDescent="0.3">
      <c r="A1846" t="str">
        <f>""</f>
        <v/>
      </c>
      <c r="F1846" t="str">
        <f>"TCOLE-S.STEINBARTH"</f>
        <v>TCOLE-S.STEINBARTH</v>
      </c>
      <c r="G1846" t="str">
        <f t="shared" si="16"/>
        <v>TX COMMISSION ON LAW ENFORCEME</v>
      </c>
      <c r="H1846">
        <v>25</v>
      </c>
    </row>
    <row r="1847" spans="1:9" x14ac:dyDescent="0.3">
      <c r="A1847" t="str">
        <f t="shared" ref="A1847:A1853" si="17">"003612"</f>
        <v>003612</v>
      </c>
      <c r="B1847" t="s">
        <v>517</v>
      </c>
      <c r="C1847">
        <v>76986</v>
      </c>
      <c r="D1847" s="2">
        <v>150</v>
      </c>
      <c r="E1847" s="1">
        <v>43249</v>
      </c>
      <c r="F1847" t="str">
        <f>"CHECK"</f>
        <v>CHECK</v>
      </c>
      <c r="G1847" t="str">
        <f>""</f>
        <v/>
      </c>
      <c r="H1847">
        <v>150</v>
      </c>
    </row>
    <row r="1848" spans="1:9" x14ac:dyDescent="0.3">
      <c r="A1848" t="str">
        <f t="shared" si="17"/>
        <v>003612</v>
      </c>
      <c r="B1848" t="s">
        <v>517</v>
      </c>
      <c r="C1848">
        <v>77010</v>
      </c>
      <c r="D1848" s="2">
        <v>25</v>
      </c>
      <c r="E1848" s="1">
        <v>43249</v>
      </c>
      <c r="F1848" t="str">
        <f>"J18-0549"</f>
        <v>J18-0549</v>
      </c>
      <c r="G1848" t="str">
        <f>"STATE EXAM - ISSAC CORONADO"</f>
        <v>STATE EXAM - ISSAC CORONADO</v>
      </c>
      <c r="H1848">
        <v>25</v>
      </c>
      <c r="I1848" t="str">
        <f>"STATE EXAM - ISSAC CORONADO"</f>
        <v>STATE EXAM - ISSAC CORONADO</v>
      </c>
    </row>
    <row r="1849" spans="1:9" x14ac:dyDescent="0.3">
      <c r="A1849" t="str">
        <f t="shared" si="17"/>
        <v>003612</v>
      </c>
      <c r="B1849" t="s">
        <v>517</v>
      </c>
      <c r="C1849">
        <v>77011</v>
      </c>
      <c r="D1849" s="2">
        <v>25</v>
      </c>
      <c r="E1849" s="1">
        <v>43249</v>
      </c>
      <c r="F1849" t="str">
        <f>"J18-0550"</f>
        <v>J18-0550</v>
      </c>
      <c r="G1849" t="str">
        <f>"STATE EXAM - SEAN STEINBARTH"</f>
        <v>STATE EXAM - SEAN STEINBARTH</v>
      </c>
      <c r="H1849">
        <v>25</v>
      </c>
      <c r="I1849" t="str">
        <f>"STATE EXAM - SEAN STEINBARTH"</f>
        <v>STATE EXAM - SEAN STEINBARTH</v>
      </c>
    </row>
    <row r="1850" spans="1:9" x14ac:dyDescent="0.3">
      <c r="A1850" t="str">
        <f t="shared" si="17"/>
        <v>003612</v>
      </c>
      <c r="B1850" t="s">
        <v>517</v>
      </c>
      <c r="C1850">
        <v>77012</v>
      </c>
      <c r="D1850" s="2">
        <v>25</v>
      </c>
      <c r="E1850" s="1">
        <v>43249</v>
      </c>
      <c r="F1850" t="str">
        <f>"J18-0551"</f>
        <v>J18-0551</v>
      </c>
      <c r="G1850" t="str">
        <f>"STATE EXAM - AARON CHAVEZ"</f>
        <v>STATE EXAM - AARON CHAVEZ</v>
      </c>
      <c r="H1850">
        <v>25</v>
      </c>
      <c r="I1850" t="str">
        <f>"STATE EXAM - AARON CHAVEZ"</f>
        <v>STATE EXAM - AARON CHAVEZ</v>
      </c>
    </row>
    <row r="1851" spans="1:9" x14ac:dyDescent="0.3">
      <c r="A1851" t="str">
        <f t="shared" si="17"/>
        <v>003612</v>
      </c>
      <c r="B1851" t="s">
        <v>517</v>
      </c>
      <c r="C1851">
        <v>77013</v>
      </c>
      <c r="D1851" s="2">
        <v>25</v>
      </c>
      <c r="E1851" s="1">
        <v>43249</v>
      </c>
      <c r="F1851" t="str">
        <f>"J18-0552"</f>
        <v>J18-0552</v>
      </c>
      <c r="G1851" t="str">
        <f>"STATE EXAM - JULIUS SCHWARTZ"</f>
        <v>STATE EXAM - JULIUS SCHWARTZ</v>
      </c>
      <c r="H1851">
        <v>25</v>
      </c>
      <c r="I1851" t="str">
        <f>"STATE EXAM - JULIUS SCHWARTZ"</f>
        <v>STATE EXAM - JULIUS SCHWARTZ</v>
      </c>
    </row>
    <row r="1852" spans="1:9" x14ac:dyDescent="0.3">
      <c r="A1852" t="str">
        <f t="shared" si="17"/>
        <v>003612</v>
      </c>
      <c r="B1852" t="s">
        <v>517</v>
      </c>
      <c r="C1852">
        <v>77014</v>
      </c>
      <c r="D1852" s="2">
        <v>25</v>
      </c>
      <c r="E1852" s="1">
        <v>43249</v>
      </c>
      <c r="F1852" t="str">
        <f>"J18-0553"</f>
        <v>J18-0553</v>
      </c>
      <c r="G1852" t="str">
        <f>"STATE EXAM - KELLY SIEGRIST"</f>
        <v>STATE EXAM - KELLY SIEGRIST</v>
      </c>
      <c r="H1852">
        <v>25</v>
      </c>
      <c r="I1852" t="str">
        <f>"STATE EXAM - KELLY SIEGRIST"</f>
        <v>STATE EXAM - KELLY SIEGRIST</v>
      </c>
    </row>
    <row r="1853" spans="1:9" x14ac:dyDescent="0.3">
      <c r="A1853" t="str">
        <f t="shared" si="17"/>
        <v>003612</v>
      </c>
      <c r="B1853" t="s">
        <v>517</v>
      </c>
      <c r="C1853">
        <v>77015</v>
      </c>
      <c r="D1853" s="2">
        <v>25</v>
      </c>
      <c r="E1853" s="1">
        <v>43249</v>
      </c>
      <c r="F1853" t="str">
        <f>"J18-0554"</f>
        <v>J18-0554</v>
      </c>
      <c r="G1853" t="str">
        <f>"STATE EXAM - TAMMY GOODSON"</f>
        <v>STATE EXAM - TAMMY GOODSON</v>
      </c>
      <c r="H1853">
        <v>25</v>
      </c>
      <c r="I1853" t="str">
        <f>"STATE EXAM - TAMMY GOODSON"</f>
        <v>STATE EXAM - TAMMY GOODSON</v>
      </c>
    </row>
    <row r="1854" spans="1:9" x14ac:dyDescent="0.3">
      <c r="A1854" t="str">
        <f>"T5493"</f>
        <v>T5493</v>
      </c>
      <c r="B1854" t="s">
        <v>518</v>
      </c>
      <c r="C1854">
        <v>76771</v>
      </c>
      <c r="D1854" s="2">
        <v>345</v>
      </c>
      <c r="E1854" s="1">
        <v>43234</v>
      </c>
      <c r="F1854" t="str">
        <f>"201805030735"</f>
        <v>201805030735</v>
      </c>
      <c r="G1854" t="str">
        <f>"ACCT#298344/PCT#2"</f>
        <v>ACCT#298344/PCT#2</v>
      </c>
      <c r="H1854">
        <v>345</v>
      </c>
      <c r="I1854" t="str">
        <f>"ACCT#298344/PCT#2"</f>
        <v>ACCT#298344/PCT#2</v>
      </c>
    </row>
    <row r="1855" spans="1:9" x14ac:dyDescent="0.3">
      <c r="A1855" t="str">
        <f>"TYLER"</f>
        <v>TYLER</v>
      </c>
      <c r="B1855" t="s">
        <v>519</v>
      </c>
      <c r="C1855">
        <v>999999</v>
      </c>
      <c r="D1855" s="2">
        <v>10783.96</v>
      </c>
      <c r="E1855" s="1">
        <v>43235</v>
      </c>
      <c r="F1855" t="str">
        <f>"025-220242"</f>
        <v>025-220242</v>
      </c>
      <c r="G1855" t="str">
        <f>"CUST#42161/ORD#92137"</f>
        <v>CUST#42161/ORD#92137</v>
      </c>
      <c r="H1855">
        <v>10783.96</v>
      </c>
      <c r="I1855" t="str">
        <f>"CUST#42161/ORD#92137"</f>
        <v>CUST#42161/ORD#92137</v>
      </c>
    </row>
    <row r="1856" spans="1:9" x14ac:dyDescent="0.3">
      <c r="A1856" t="str">
        <f>""</f>
        <v/>
      </c>
      <c r="F1856" t="str">
        <f>""</f>
        <v/>
      </c>
      <c r="G1856" t="str">
        <f>""</f>
        <v/>
      </c>
      <c r="I1856" t="str">
        <f>"CUST#42161/ORD#92137"</f>
        <v>CUST#42161/ORD#92137</v>
      </c>
    </row>
    <row r="1857" spans="1:10" x14ac:dyDescent="0.3">
      <c r="A1857" t="str">
        <f>"TYLER"</f>
        <v>TYLER</v>
      </c>
      <c r="B1857" t="s">
        <v>519</v>
      </c>
      <c r="C1857">
        <v>999999</v>
      </c>
      <c r="D1857" s="2">
        <v>752.4</v>
      </c>
      <c r="E1857" s="1">
        <v>43250</v>
      </c>
      <c r="F1857" t="str">
        <f>"025-223043"</f>
        <v>025-223043</v>
      </c>
      <c r="G1857" t="str">
        <f>"CUST#42161/ORD#93134"</f>
        <v>CUST#42161/ORD#93134</v>
      </c>
      <c r="H1857">
        <v>752.4</v>
      </c>
      <c r="I1857" t="str">
        <f>"CUST#42161/ORD#93134"</f>
        <v>CUST#42161/ORD#93134</v>
      </c>
    </row>
    <row r="1858" spans="1:10" x14ac:dyDescent="0.3">
      <c r="A1858" t="str">
        <f>""</f>
        <v/>
      </c>
      <c r="F1858" t="str">
        <f>""</f>
        <v/>
      </c>
      <c r="G1858" t="str">
        <f>""</f>
        <v/>
      </c>
      <c r="I1858" t="str">
        <f>"CUST#42161/ORD#93134"</f>
        <v>CUST#42161/ORD#93134</v>
      </c>
    </row>
    <row r="1859" spans="1:10" x14ac:dyDescent="0.3">
      <c r="A1859" t="str">
        <f>"004899"</f>
        <v>004899</v>
      </c>
      <c r="B1859" t="s">
        <v>520</v>
      </c>
      <c r="C1859">
        <v>999999</v>
      </c>
      <c r="D1859" s="2">
        <v>29522.2</v>
      </c>
      <c r="E1859" s="1">
        <v>43235</v>
      </c>
      <c r="F1859" t="s">
        <v>24</v>
      </c>
      <c r="G1859" t="s">
        <v>521</v>
      </c>
      <c r="H1859" t="str">
        <f>"LEGAL SVCS/07/30/17-03/31/18"</f>
        <v>LEGAL SVCS/07/30/17-03/31/18</v>
      </c>
      <c r="I1859" t="str">
        <f>"995-4105"</f>
        <v>995-4105</v>
      </c>
      <c r="J1859" t="str">
        <f>""</f>
        <v/>
      </c>
    </row>
    <row r="1860" spans="1:10" x14ac:dyDescent="0.3">
      <c r="A1860" t="str">
        <f>""</f>
        <v/>
      </c>
      <c r="F1860" t="s">
        <v>24</v>
      </c>
      <c r="G1860" t="s">
        <v>522</v>
      </c>
      <c r="H1860" t="str">
        <f>"PI SERVICES"</f>
        <v>PI SERVICES</v>
      </c>
      <c r="I1860" t="str">
        <f>"995-4105"</f>
        <v>995-4105</v>
      </c>
      <c r="J1860" t="str">
        <f>""</f>
        <v/>
      </c>
    </row>
    <row r="1861" spans="1:10" x14ac:dyDescent="0.3">
      <c r="A1861" t="str">
        <f>"000599"</f>
        <v>000599</v>
      </c>
      <c r="B1861" t="s">
        <v>523</v>
      </c>
      <c r="C1861">
        <v>76773</v>
      </c>
      <c r="D1861" s="2">
        <v>781</v>
      </c>
      <c r="E1861" s="1">
        <v>43234</v>
      </c>
      <c r="F1861" t="str">
        <f>"13076116"</f>
        <v>13076116</v>
      </c>
      <c r="G1861" t="str">
        <f>"Items for HHW"</f>
        <v>Items for HHW</v>
      </c>
      <c r="H1861">
        <v>781</v>
      </c>
      <c r="I1861" t="str">
        <f>"S-1428X"</f>
        <v>S-1428X</v>
      </c>
    </row>
    <row r="1862" spans="1:10" x14ac:dyDescent="0.3">
      <c r="A1862" t="str">
        <f>""</f>
        <v/>
      </c>
      <c r="F1862" t="str">
        <f>""</f>
        <v/>
      </c>
      <c r="G1862" t="str">
        <f>""</f>
        <v/>
      </c>
      <c r="I1862" t="str">
        <f>"S-14248L"</f>
        <v>S-14248L</v>
      </c>
    </row>
    <row r="1863" spans="1:10" x14ac:dyDescent="0.3">
      <c r="A1863" t="str">
        <f>""</f>
        <v/>
      </c>
      <c r="F1863" t="str">
        <f>""</f>
        <v/>
      </c>
      <c r="G1863" t="str">
        <f>""</f>
        <v/>
      </c>
      <c r="I1863" t="str">
        <f>"H-7192"</f>
        <v>H-7192</v>
      </c>
    </row>
    <row r="1864" spans="1:10" x14ac:dyDescent="0.3">
      <c r="A1864" t="str">
        <f>""</f>
        <v/>
      </c>
      <c r="F1864" t="str">
        <f>""</f>
        <v/>
      </c>
      <c r="G1864" t="str">
        <f>""</f>
        <v/>
      </c>
      <c r="I1864" t="str">
        <f>"S-8150"</f>
        <v>S-8150</v>
      </c>
    </row>
    <row r="1865" spans="1:10" x14ac:dyDescent="0.3">
      <c r="A1865" t="str">
        <f>""</f>
        <v/>
      </c>
      <c r="F1865" t="str">
        <f>""</f>
        <v/>
      </c>
      <c r="G1865" t="str">
        <f>""</f>
        <v/>
      </c>
      <c r="I1865" t="str">
        <f>"S-11683"</f>
        <v>S-11683</v>
      </c>
    </row>
    <row r="1866" spans="1:10" x14ac:dyDescent="0.3">
      <c r="A1866" t="str">
        <f>""</f>
        <v/>
      </c>
      <c r="F1866" t="str">
        <f>""</f>
        <v/>
      </c>
      <c r="G1866" t="str">
        <f>""</f>
        <v/>
      </c>
      <c r="I1866" t="str">
        <f>"S-11430"</f>
        <v>S-11430</v>
      </c>
    </row>
    <row r="1867" spans="1:10" x14ac:dyDescent="0.3">
      <c r="A1867" t="str">
        <f>""</f>
        <v/>
      </c>
      <c r="F1867" t="str">
        <f>""</f>
        <v/>
      </c>
      <c r="G1867" t="str">
        <f>""</f>
        <v/>
      </c>
      <c r="I1867" t="str">
        <f>"S-9943W"</f>
        <v>S-9943W</v>
      </c>
    </row>
    <row r="1868" spans="1:10" x14ac:dyDescent="0.3">
      <c r="A1868" t="str">
        <f>""</f>
        <v/>
      </c>
      <c r="F1868" t="str">
        <f>""</f>
        <v/>
      </c>
      <c r="G1868" t="str">
        <f>""</f>
        <v/>
      </c>
      <c r="I1868" t="str">
        <f>"S-9942W"</f>
        <v>S-9942W</v>
      </c>
    </row>
    <row r="1869" spans="1:10" x14ac:dyDescent="0.3">
      <c r="A1869" t="str">
        <f>""</f>
        <v/>
      </c>
      <c r="F1869" t="str">
        <f>""</f>
        <v/>
      </c>
      <c r="G1869" t="str">
        <f>""</f>
        <v/>
      </c>
      <c r="I1869" t="str">
        <f>"Shipping"</f>
        <v>Shipping</v>
      </c>
    </row>
    <row r="1870" spans="1:10" x14ac:dyDescent="0.3">
      <c r="A1870" t="str">
        <f>"000599"</f>
        <v>000599</v>
      </c>
      <c r="B1870" t="s">
        <v>523</v>
      </c>
      <c r="C1870">
        <v>76987</v>
      </c>
      <c r="D1870" s="2">
        <v>82.79</v>
      </c>
      <c r="E1870" s="1">
        <v>43249</v>
      </c>
      <c r="F1870" t="str">
        <f>"97189838"</f>
        <v>97189838</v>
      </c>
      <c r="G1870" t="str">
        <f>"Inv# 97189838"</f>
        <v>Inv# 97189838</v>
      </c>
      <c r="H1870">
        <v>82.79</v>
      </c>
      <c r="I1870" t="str">
        <f>"Inv# 97189838"</f>
        <v>Inv# 97189838</v>
      </c>
    </row>
    <row r="1871" spans="1:10" x14ac:dyDescent="0.3">
      <c r="A1871" t="str">
        <f>"001894"</f>
        <v>001894</v>
      </c>
      <c r="B1871" t="s">
        <v>524</v>
      </c>
      <c r="C1871">
        <v>76601</v>
      </c>
      <c r="D1871" s="2">
        <v>223.42</v>
      </c>
      <c r="E1871" s="1">
        <v>43234</v>
      </c>
      <c r="F1871" t="str">
        <f>"462219"</f>
        <v>462219</v>
      </c>
      <c r="G1871" t="str">
        <f>"ACCT#38049/FILTER/PCT#4"</f>
        <v>ACCT#38049/FILTER/PCT#4</v>
      </c>
      <c r="H1871">
        <v>43.02</v>
      </c>
      <c r="I1871" t="str">
        <f>"ACCT#38049/FILTER/PCT#4"</f>
        <v>ACCT#38049/FILTER/PCT#4</v>
      </c>
    </row>
    <row r="1872" spans="1:10" x14ac:dyDescent="0.3">
      <c r="A1872" t="str">
        <f>""</f>
        <v/>
      </c>
      <c r="F1872" t="str">
        <f>"472810"</f>
        <v>472810</v>
      </c>
      <c r="G1872" t="str">
        <f>"ACCT#38049/PCT#4"</f>
        <v>ACCT#38049/PCT#4</v>
      </c>
      <c r="H1872">
        <v>180.4</v>
      </c>
      <c r="I1872" t="str">
        <f>"ACCT#38049/PCT#4"</f>
        <v>ACCT#38049/PCT#4</v>
      </c>
    </row>
    <row r="1873" spans="1:9" x14ac:dyDescent="0.3">
      <c r="A1873" t="str">
        <f>"001894"</f>
        <v>001894</v>
      </c>
      <c r="B1873" t="s">
        <v>524</v>
      </c>
      <c r="C1873">
        <v>76871</v>
      </c>
      <c r="D1873" s="2">
        <v>1050.78</v>
      </c>
      <c r="E1873" s="1">
        <v>43249</v>
      </c>
      <c r="F1873" t="str">
        <f>"10001913"</f>
        <v>10001913</v>
      </c>
      <c r="G1873" t="str">
        <f>"#38049/SHOCKABSORBER/SPRING/P4"</f>
        <v>#38049/SHOCKABSORBER/SPRING/P4</v>
      </c>
      <c r="H1873">
        <v>968.38</v>
      </c>
      <c r="I1873" t="str">
        <f>"#38049/SHOCKABSORBER/SPRING/P4"</f>
        <v>#38049/SHOCKABSORBER/SPRING/P4</v>
      </c>
    </row>
    <row r="1874" spans="1:9" x14ac:dyDescent="0.3">
      <c r="A1874" t="str">
        <f>""</f>
        <v/>
      </c>
      <c r="F1874" t="str">
        <f>"10006652"</f>
        <v>10006652</v>
      </c>
      <c r="G1874" t="str">
        <f>"ACCT#38049/PART#R201481/PCT#4"</f>
        <v>ACCT#38049/PART#R201481/PCT#4</v>
      </c>
      <c r="H1874">
        <v>82.4</v>
      </c>
      <c r="I1874" t="str">
        <f>"ACCT#38049/PART#R201481/PCT#4"</f>
        <v>ACCT#38049/PART#R201481/PCT#4</v>
      </c>
    </row>
    <row r="1875" spans="1:9" x14ac:dyDescent="0.3">
      <c r="A1875" t="str">
        <f>"T5739"</f>
        <v>T5739</v>
      </c>
      <c r="B1875" t="s">
        <v>525</v>
      </c>
      <c r="C1875">
        <v>76774</v>
      </c>
      <c r="D1875" s="2">
        <v>61.22</v>
      </c>
      <c r="E1875" s="1">
        <v>43234</v>
      </c>
      <c r="F1875" t="str">
        <f>"61952791-00"</f>
        <v>61952791-00</v>
      </c>
      <c r="G1875" t="str">
        <f>"CUST#706810/ANIMAL SHELTER"</f>
        <v>CUST#706810/ANIMAL SHELTER</v>
      </c>
      <c r="H1875">
        <v>61.22</v>
      </c>
      <c r="I1875" t="str">
        <f>"CUST#706810/ANIMAL SHELTER"</f>
        <v>CUST#706810/ANIMAL SHELTER</v>
      </c>
    </row>
    <row r="1876" spans="1:9" x14ac:dyDescent="0.3">
      <c r="A1876" t="str">
        <f>"T5739"</f>
        <v>T5739</v>
      </c>
      <c r="B1876" t="s">
        <v>525</v>
      </c>
      <c r="C1876">
        <v>76988</v>
      </c>
      <c r="D1876" s="2">
        <v>1313.22</v>
      </c>
      <c r="E1876" s="1">
        <v>43249</v>
      </c>
      <c r="F1876" t="str">
        <f>"61828927-00"</f>
        <v>61828927-00</v>
      </c>
      <c r="G1876" t="str">
        <f>"CUST#706810/ANIMAL SHELTER"</f>
        <v>CUST#706810/ANIMAL SHELTER</v>
      </c>
      <c r="H1876">
        <v>175.02</v>
      </c>
      <c r="I1876" t="str">
        <f>"CUST#706810/ANIMAL SHELTER"</f>
        <v>CUST#706810/ANIMAL SHELTER</v>
      </c>
    </row>
    <row r="1877" spans="1:9" x14ac:dyDescent="0.3">
      <c r="A1877" t="str">
        <f>""</f>
        <v/>
      </c>
      <c r="F1877" t="str">
        <f>"62294179-00"</f>
        <v>62294179-00</v>
      </c>
      <c r="G1877" t="str">
        <f>"INV 62294179-00"</f>
        <v>INV 62294179-00</v>
      </c>
      <c r="H1877">
        <v>238.17</v>
      </c>
      <c r="I1877" t="str">
        <f>"INV 62294179-00"</f>
        <v>INV 62294179-00</v>
      </c>
    </row>
    <row r="1878" spans="1:9" x14ac:dyDescent="0.3">
      <c r="A1878" t="str">
        <f>""</f>
        <v/>
      </c>
      <c r="F1878" t="str">
        <f>"62314078-00"</f>
        <v>62314078-00</v>
      </c>
      <c r="G1878" t="str">
        <f>"INV 62314078-00"</f>
        <v>INV 62314078-00</v>
      </c>
      <c r="H1878">
        <v>900.03</v>
      </c>
      <c r="I1878" t="str">
        <f>"INV 62314078-00"</f>
        <v>INV 62314078-00</v>
      </c>
    </row>
    <row r="1879" spans="1:9" x14ac:dyDescent="0.3">
      <c r="A1879" t="str">
        <f>"T12006"</f>
        <v>T12006</v>
      </c>
      <c r="B1879" t="s">
        <v>526</v>
      </c>
      <c r="C1879">
        <v>76775</v>
      </c>
      <c r="D1879" s="2">
        <v>225</v>
      </c>
      <c r="E1879" s="1">
        <v>43234</v>
      </c>
      <c r="F1879" t="str">
        <f>"I011879"</f>
        <v>I011879</v>
      </c>
      <c r="G1879" t="str">
        <f>"WINDOW REPLACEMENT"</f>
        <v>WINDOW REPLACEMENT</v>
      </c>
      <c r="H1879">
        <v>225</v>
      </c>
      <c r="I1879" t="str">
        <f>"WINDOW REPLACEMENT"</f>
        <v>WINDOW REPLACEMENT</v>
      </c>
    </row>
    <row r="1880" spans="1:9" x14ac:dyDescent="0.3">
      <c r="A1880" t="str">
        <f>"T12006"</f>
        <v>T12006</v>
      </c>
      <c r="B1880" t="s">
        <v>526</v>
      </c>
      <c r="C1880">
        <v>76989</v>
      </c>
      <c r="D1880" s="2">
        <v>1145.45</v>
      </c>
      <c r="E1880" s="1">
        <v>43249</v>
      </c>
      <c r="F1880" t="str">
        <f>"I011975"</f>
        <v>I011975</v>
      </c>
      <c r="G1880" t="str">
        <f>"WINDSHIELD REPAIR"</f>
        <v>WINDSHIELD REPAIR</v>
      </c>
      <c r="H1880">
        <v>40</v>
      </c>
      <c r="I1880" t="str">
        <f>"WINDSHIELD REPAIR"</f>
        <v>WINDSHIELD REPAIR</v>
      </c>
    </row>
    <row r="1881" spans="1:9" x14ac:dyDescent="0.3">
      <c r="A1881" t="str">
        <f>""</f>
        <v/>
      </c>
      <c r="F1881" t="str">
        <f>"I011980"</f>
        <v>I011980</v>
      </c>
      <c r="G1881" t="str">
        <f>"WINDSHIELD REPLACEMENT"</f>
        <v>WINDSHIELD REPLACEMENT</v>
      </c>
      <c r="H1881">
        <v>500.45</v>
      </c>
      <c r="I1881" t="str">
        <f>"WINDSHIELD REPLACEMENT"</f>
        <v>WINDSHIELD REPLACEMENT</v>
      </c>
    </row>
    <row r="1882" spans="1:9" x14ac:dyDescent="0.3">
      <c r="A1882" t="str">
        <f>""</f>
        <v/>
      </c>
      <c r="F1882" t="str">
        <f>"W011538"</f>
        <v>W011538</v>
      </c>
      <c r="G1882" t="str">
        <f>"WINDSHIELD/2014 FORD"</f>
        <v>WINDSHIELD/2014 FORD</v>
      </c>
      <c r="H1882">
        <v>320</v>
      </c>
      <c r="I1882" t="str">
        <f>"WINDSHIELD/2014 FORD"</f>
        <v>WINDSHIELD/2014 FORD</v>
      </c>
    </row>
    <row r="1883" spans="1:9" x14ac:dyDescent="0.3">
      <c r="A1883" t="str">
        <f>""</f>
        <v/>
      </c>
      <c r="F1883" t="str">
        <f>"W011590"</f>
        <v>W011590</v>
      </c>
      <c r="G1883" t="str">
        <f>"WINDSHIELD/2014 FORD"</f>
        <v>WINDSHIELD/2014 FORD</v>
      </c>
      <c r="H1883">
        <v>285</v>
      </c>
      <c r="I1883" t="str">
        <f>"WINDSHIELD/2014 FORD"</f>
        <v>WINDSHIELD/2014 FORD</v>
      </c>
    </row>
    <row r="1884" spans="1:9" x14ac:dyDescent="0.3">
      <c r="A1884" t="str">
        <f>"005545"</f>
        <v>005545</v>
      </c>
      <c r="B1884" t="s">
        <v>527</v>
      </c>
      <c r="C1884">
        <v>999999</v>
      </c>
      <c r="D1884" s="2">
        <v>92</v>
      </c>
      <c r="E1884" s="1">
        <v>43250</v>
      </c>
      <c r="F1884" t="str">
        <f>"2018-04 CADET TRAI"</f>
        <v>2018-04 CADET TRAI</v>
      </c>
      <c r="G1884" t="str">
        <f>"INV 2018-04"</f>
        <v>INV 2018-04</v>
      </c>
      <c r="H1884">
        <v>92</v>
      </c>
      <c r="I1884" t="str">
        <f>"INV 2018-04"</f>
        <v>INV 2018-04</v>
      </c>
    </row>
    <row r="1885" spans="1:9" x14ac:dyDescent="0.3">
      <c r="A1885" t="str">
        <f>"000775"</f>
        <v>000775</v>
      </c>
      <c r="B1885" t="s">
        <v>528</v>
      </c>
      <c r="C1885">
        <v>76776</v>
      </c>
      <c r="D1885" s="2">
        <v>69.36</v>
      </c>
      <c r="E1885" s="1">
        <v>43234</v>
      </c>
      <c r="F1885" t="str">
        <f>"000018VW63158"</f>
        <v>000018VW63158</v>
      </c>
      <c r="G1885" t="str">
        <f>"SHIPPER#18VW63/SHIPPING"</f>
        <v>SHIPPER#18VW63/SHIPPING</v>
      </c>
      <c r="H1885">
        <v>28.84</v>
      </c>
      <c r="I1885" t="str">
        <f>"SHIPPER#18VW63/SHIPPING"</f>
        <v>SHIPPER#18VW63/SHIPPING</v>
      </c>
    </row>
    <row r="1886" spans="1:9" x14ac:dyDescent="0.3">
      <c r="A1886" t="str">
        <f>""</f>
        <v/>
      </c>
      <c r="F1886" t="str">
        <f>"000018VW63168"</f>
        <v>000018VW63168</v>
      </c>
      <c r="G1886" t="str">
        <f>"SHIPPER#18VW63/CONTROL#63V3"</f>
        <v>SHIPPER#18VW63/CONTROL#63V3</v>
      </c>
      <c r="H1886">
        <v>40.520000000000003</v>
      </c>
      <c r="I1886" t="str">
        <f>"SHIPPER#18VW63/CONTROL#63V3"</f>
        <v>SHIPPER#18VW63/CONTROL#63V3</v>
      </c>
    </row>
    <row r="1887" spans="1:9" x14ac:dyDescent="0.3">
      <c r="A1887" t="str">
        <f>"000775"</f>
        <v>000775</v>
      </c>
      <c r="B1887" t="s">
        <v>528</v>
      </c>
      <c r="C1887">
        <v>76990</v>
      </c>
      <c r="D1887" s="2">
        <v>14.28</v>
      </c>
      <c r="E1887" s="1">
        <v>43249</v>
      </c>
      <c r="F1887" t="str">
        <f>"000018VW63188"</f>
        <v>000018VW63188</v>
      </c>
      <c r="G1887" t="str">
        <f>"SHIPPER#18VW63/SHIPPING/GEN SV"</f>
        <v>SHIPPER#18VW63/SHIPPING/GEN SV</v>
      </c>
      <c r="H1887">
        <v>14.28</v>
      </c>
      <c r="I1887" t="str">
        <f>"SHIPPER#18VW63/SHIPPING/GEN SV"</f>
        <v>SHIPPER#18VW63/SHIPPING/GEN SV</v>
      </c>
    </row>
    <row r="1888" spans="1:9" x14ac:dyDescent="0.3">
      <c r="A1888" t="str">
        <f>"T5424"</f>
        <v>T5424</v>
      </c>
      <c r="B1888" t="s">
        <v>529</v>
      </c>
      <c r="C1888">
        <v>76991</v>
      </c>
      <c r="D1888" s="2">
        <v>240</v>
      </c>
      <c r="E1888" s="1">
        <v>43249</v>
      </c>
      <c r="F1888" t="str">
        <f>"201805231186"</f>
        <v>201805231186</v>
      </c>
      <c r="G1888" t="str">
        <f>"REIMBURSE-STATE BAR DUES"</f>
        <v>REIMBURSE-STATE BAR DUES</v>
      </c>
      <c r="H1888">
        <v>240</v>
      </c>
      <c r="I1888" t="str">
        <f>"REIMBURSE-STATE BAR DUES"</f>
        <v>REIMBURSE-STATE BAR DUES</v>
      </c>
    </row>
    <row r="1889" spans="1:9" x14ac:dyDescent="0.3">
      <c r="A1889" t="str">
        <f>"005528"</f>
        <v>005528</v>
      </c>
      <c r="B1889" t="s">
        <v>530</v>
      </c>
      <c r="C1889">
        <v>76702</v>
      </c>
      <c r="D1889" s="2">
        <v>66.540000000000006</v>
      </c>
      <c r="E1889" s="1">
        <v>43234</v>
      </c>
      <c r="F1889" t="str">
        <f>"201805090988"</f>
        <v>201805090988</v>
      </c>
      <c r="G1889" t="str">
        <f>"INDIGENT HEALTH"</f>
        <v>INDIGENT HEALTH</v>
      </c>
      <c r="H1889">
        <v>66.540000000000006</v>
      </c>
      <c r="I1889" t="str">
        <f>"INDIGENT HEALTH"</f>
        <v>INDIGENT HEALTH</v>
      </c>
    </row>
    <row r="1890" spans="1:9" x14ac:dyDescent="0.3">
      <c r="A1890" t="str">
        <f>"T6583"</f>
        <v>T6583</v>
      </c>
      <c r="B1890" t="s">
        <v>531</v>
      </c>
      <c r="C1890">
        <v>76992</v>
      </c>
      <c r="D1890" s="2">
        <v>1637.68</v>
      </c>
      <c r="E1890" s="1">
        <v>43249</v>
      </c>
      <c r="F1890" t="str">
        <f>"115675"</f>
        <v>115675</v>
      </c>
      <c r="G1890" t="str">
        <f>"ACCT#20065/ANIMAL CONTROL"</f>
        <v>ACCT#20065/ANIMAL CONTROL</v>
      </c>
      <c r="H1890">
        <v>1637.68</v>
      </c>
      <c r="I1890" t="str">
        <f>"ACCT#20065/ANIMAL CONTROL"</f>
        <v>ACCT#20065/ANIMAL CONTROL</v>
      </c>
    </row>
    <row r="1891" spans="1:9" x14ac:dyDescent="0.3">
      <c r="A1891" t="str">
        <f>"VMC"</f>
        <v>VMC</v>
      </c>
      <c r="B1891" t="s">
        <v>532</v>
      </c>
      <c r="C1891">
        <v>76993</v>
      </c>
      <c r="D1891" s="2">
        <v>3639.75</v>
      </c>
      <c r="E1891" s="1">
        <v>43249</v>
      </c>
      <c r="F1891" t="str">
        <f>"61736711"</f>
        <v>61736711</v>
      </c>
      <c r="G1891" t="str">
        <f>"CUST#90285-209209/PREMIX/PCT#1"</f>
        <v>CUST#90285-209209/PREMIX/PCT#1</v>
      </c>
      <c r="H1891">
        <v>3639.75</v>
      </c>
      <c r="I1891" t="str">
        <f>"CUST#90285-209209/PREMIX/PCT#1"</f>
        <v>CUST#90285-209209/PREMIX/PCT#1</v>
      </c>
    </row>
    <row r="1892" spans="1:9" x14ac:dyDescent="0.3">
      <c r="A1892" t="str">
        <f>"004767"</f>
        <v>004767</v>
      </c>
      <c r="B1892" t="s">
        <v>533</v>
      </c>
      <c r="C1892">
        <v>76994</v>
      </c>
      <c r="D1892" s="2">
        <v>97.9</v>
      </c>
      <c r="E1892" s="1">
        <v>43249</v>
      </c>
      <c r="F1892" t="str">
        <f>"0418-DR14926"</f>
        <v>0418-DR14926</v>
      </c>
      <c r="G1892" t="str">
        <f>"CLIENT ID:CXD 14926"</f>
        <v>CLIENT ID:CXD 14926</v>
      </c>
      <c r="H1892">
        <v>97.9</v>
      </c>
      <c r="I1892" t="str">
        <f>"CLIENT ID:CXD 14926"</f>
        <v>CLIENT ID:CXD 14926</v>
      </c>
    </row>
    <row r="1893" spans="1:9" x14ac:dyDescent="0.3">
      <c r="A1893" t="str">
        <f>"003629"</f>
        <v>003629</v>
      </c>
      <c r="B1893" t="s">
        <v>534</v>
      </c>
      <c r="C1893">
        <v>999999</v>
      </c>
      <c r="D1893" s="2">
        <v>7764.74</v>
      </c>
      <c r="E1893" s="1">
        <v>43235</v>
      </c>
      <c r="F1893" t="str">
        <f>"13903"</f>
        <v>13903</v>
      </c>
      <c r="G1893" t="str">
        <f>"COLD MIX/FREIGHT/PCT#4"</f>
        <v>COLD MIX/FREIGHT/PCT#4</v>
      </c>
      <c r="H1893">
        <v>2551.23</v>
      </c>
      <c r="I1893" t="str">
        <f>"COLD MIX/FREIGHT/PCT#4"</f>
        <v>COLD MIX/FREIGHT/PCT#4</v>
      </c>
    </row>
    <row r="1894" spans="1:9" x14ac:dyDescent="0.3">
      <c r="A1894" t="str">
        <f>""</f>
        <v/>
      </c>
      <c r="F1894" t="str">
        <f>"13971"</f>
        <v>13971</v>
      </c>
      <c r="G1894" t="str">
        <f>"COLD MIX/FREIGHT"</f>
        <v>COLD MIX/FREIGHT</v>
      </c>
      <c r="H1894">
        <v>2604.14</v>
      </c>
      <c r="I1894" t="str">
        <f>"COLD MIX/FREIGHT"</f>
        <v>COLD MIX/FREIGHT</v>
      </c>
    </row>
    <row r="1895" spans="1:9" x14ac:dyDescent="0.3">
      <c r="A1895" t="str">
        <f>""</f>
        <v/>
      </c>
      <c r="F1895" t="str">
        <f>"13982"</f>
        <v>13982</v>
      </c>
      <c r="G1895" t="str">
        <f>"COLD MIX / PCT1"</f>
        <v>COLD MIX / PCT1</v>
      </c>
      <c r="H1895">
        <v>2609.37</v>
      </c>
      <c r="I1895" t="str">
        <f>"COLD MIX / PCT1"</f>
        <v>COLD MIX / PCT1</v>
      </c>
    </row>
    <row r="1896" spans="1:9" x14ac:dyDescent="0.3">
      <c r="A1896" t="str">
        <f>"003629"</f>
        <v>003629</v>
      </c>
      <c r="B1896" t="s">
        <v>534</v>
      </c>
      <c r="C1896">
        <v>999999</v>
      </c>
      <c r="D1896" s="2">
        <v>2560.4499999999998</v>
      </c>
      <c r="E1896" s="1">
        <v>43250</v>
      </c>
      <c r="F1896" t="str">
        <f>"14045"</f>
        <v>14045</v>
      </c>
      <c r="G1896" t="str">
        <f>"PERFORMANCE COLD MIX/PCT#4"</f>
        <v>PERFORMANCE COLD MIX/PCT#4</v>
      </c>
      <c r="H1896">
        <v>2560.4499999999998</v>
      </c>
      <c r="I1896" t="str">
        <f>"PERFORMANCE COLD MIX/PCT#4"</f>
        <v>PERFORMANCE COLD MIX/PCT#4</v>
      </c>
    </row>
    <row r="1897" spans="1:9" x14ac:dyDescent="0.3">
      <c r="A1897" t="str">
        <f>"WALMAR"</f>
        <v>WALMAR</v>
      </c>
      <c r="B1897" t="s">
        <v>535</v>
      </c>
      <c r="C1897">
        <v>76777</v>
      </c>
      <c r="D1897" s="2">
        <v>589.58000000000004</v>
      </c>
      <c r="E1897" s="1">
        <v>43234</v>
      </c>
      <c r="F1897" t="str">
        <f>"ACCT#2202005312476"</f>
        <v>ACCT#2202005312476</v>
      </c>
      <c r="G1897" t="str">
        <f>"Acct# 6032202005312476"</f>
        <v>Acct# 6032202005312476</v>
      </c>
      <c r="H1897">
        <v>589.58000000000004</v>
      </c>
      <c r="I1897" t="str">
        <f>"Inv# 003868"</f>
        <v>Inv# 003868</v>
      </c>
    </row>
    <row r="1898" spans="1:9" x14ac:dyDescent="0.3">
      <c r="A1898" t="str">
        <f>""</f>
        <v/>
      </c>
      <c r="F1898" t="str">
        <f>""</f>
        <v/>
      </c>
      <c r="G1898" t="str">
        <f>""</f>
        <v/>
      </c>
      <c r="I1898" t="str">
        <f>"Inv# 000483"</f>
        <v>Inv# 000483</v>
      </c>
    </row>
    <row r="1899" spans="1:9" x14ac:dyDescent="0.3">
      <c r="A1899" t="str">
        <f>""</f>
        <v/>
      </c>
      <c r="F1899" t="str">
        <f>""</f>
        <v/>
      </c>
      <c r="G1899" t="str">
        <f>""</f>
        <v/>
      </c>
      <c r="I1899" t="str">
        <f>"Inv# 000283"</f>
        <v>Inv# 000283</v>
      </c>
    </row>
    <row r="1900" spans="1:9" x14ac:dyDescent="0.3">
      <c r="A1900" t="str">
        <f>""</f>
        <v/>
      </c>
      <c r="F1900" t="str">
        <f>""</f>
        <v/>
      </c>
      <c r="G1900" t="str">
        <f>""</f>
        <v/>
      </c>
      <c r="I1900" t="str">
        <f>"Inv# 009411"</f>
        <v>Inv# 009411</v>
      </c>
    </row>
    <row r="1901" spans="1:9" x14ac:dyDescent="0.3">
      <c r="A1901" t="str">
        <f>""</f>
        <v/>
      </c>
      <c r="F1901" t="str">
        <f>""</f>
        <v/>
      </c>
      <c r="G1901" t="str">
        <f>""</f>
        <v/>
      </c>
      <c r="I1901" t="str">
        <f>"Inv# 005379"</f>
        <v>Inv# 005379</v>
      </c>
    </row>
    <row r="1902" spans="1:9" x14ac:dyDescent="0.3">
      <c r="A1902" t="str">
        <f>""</f>
        <v/>
      </c>
      <c r="F1902" t="str">
        <f>""</f>
        <v/>
      </c>
      <c r="G1902" t="str">
        <f>""</f>
        <v/>
      </c>
      <c r="I1902" t="str">
        <f>"Inv# 005542"</f>
        <v>Inv# 005542</v>
      </c>
    </row>
    <row r="1903" spans="1:9" x14ac:dyDescent="0.3">
      <c r="A1903" t="str">
        <f>""</f>
        <v/>
      </c>
      <c r="F1903" t="str">
        <f>""</f>
        <v/>
      </c>
      <c r="G1903" t="str">
        <f>""</f>
        <v/>
      </c>
      <c r="I1903" t="str">
        <f>"Inv# 005800"</f>
        <v>Inv# 005800</v>
      </c>
    </row>
    <row r="1904" spans="1:9" x14ac:dyDescent="0.3">
      <c r="A1904" t="str">
        <f>""</f>
        <v/>
      </c>
      <c r="F1904" t="str">
        <f>""</f>
        <v/>
      </c>
      <c r="G1904" t="str">
        <f>""</f>
        <v/>
      </c>
      <c r="I1904" t="str">
        <f>"Inv# 003856"</f>
        <v>Inv# 003856</v>
      </c>
    </row>
    <row r="1905" spans="1:9" x14ac:dyDescent="0.3">
      <c r="A1905" t="str">
        <f>""</f>
        <v/>
      </c>
      <c r="F1905" t="str">
        <f>""</f>
        <v/>
      </c>
      <c r="G1905" t="str">
        <f>""</f>
        <v/>
      </c>
      <c r="I1905" t="str">
        <f>"Inv# 007854"</f>
        <v>Inv# 007854</v>
      </c>
    </row>
    <row r="1906" spans="1:9" x14ac:dyDescent="0.3">
      <c r="A1906" t="str">
        <f>"T5926"</f>
        <v>T5926</v>
      </c>
      <c r="B1906" t="s">
        <v>536</v>
      </c>
      <c r="C1906">
        <v>999999</v>
      </c>
      <c r="D1906" s="2">
        <v>104</v>
      </c>
      <c r="E1906" s="1">
        <v>43250</v>
      </c>
      <c r="F1906" t="str">
        <f>"SCAUS0055507"</f>
        <v>SCAUS0055507</v>
      </c>
      <c r="G1906" t="str">
        <f>"CUST ID#BASPR1/MYOCUM-LABOR"</f>
        <v>CUST ID#BASPR1/MYOCUM-LABOR</v>
      </c>
      <c r="H1906">
        <v>104</v>
      </c>
      <c r="I1906" t="str">
        <f>"CUST ID#BASPR1/MYOCUM-LABOR"</f>
        <v>CUST ID#BASPR1/MYOCUM-LABOR</v>
      </c>
    </row>
    <row r="1907" spans="1:9" x14ac:dyDescent="0.3">
      <c r="A1907" t="str">
        <f>"005266"</f>
        <v>005266</v>
      </c>
      <c r="B1907" t="s">
        <v>537</v>
      </c>
      <c r="C1907">
        <v>76778</v>
      </c>
      <c r="D1907" s="2">
        <v>419.73</v>
      </c>
      <c r="E1907" s="1">
        <v>43234</v>
      </c>
      <c r="F1907" t="str">
        <f>"181021"</f>
        <v>181021</v>
      </c>
      <c r="G1907" t="str">
        <f>"INV 181021"</f>
        <v>INV 181021</v>
      </c>
      <c r="H1907">
        <v>419.73</v>
      </c>
      <c r="I1907" t="str">
        <f>"INV 181021 - LAW ENF"</f>
        <v>INV 181021 - LAW ENF</v>
      </c>
    </row>
    <row r="1908" spans="1:9" x14ac:dyDescent="0.3">
      <c r="A1908" t="str">
        <f>""</f>
        <v/>
      </c>
      <c r="F1908" t="str">
        <f>""</f>
        <v/>
      </c>
      <c r="G1908" t="str">
        <f>""</f>
        <v/>
      </c>
      <c r="I1908" t="str">
        <f>"INV 181021 - JAIL"</f>
        <v>INV 181021 - JAIL</v>
      </c>
    </row>
    <row r="1909" spans="1:9" x14ac:dyDescent="0.3">
      <c r="A1909" t="str">
        <f>"005266"</f>
        <v>005266</v>
      </c>
      <c r="B1909" t="s">
        <v>537</v>
      </c>
      <c r="C1909">
        <v>76995</v>
      </c>
      <c r="D1909" s="2">
        <v>419.73</v>
      </c>
      <c r="E1909" s="1">
        <v>43249</v>
      </c>
      <c r="F1909" t="str">
        <f>"181021-JAIL/LE"</f>
        <v>181021-JAIL/LE</v>
      </c>
      <c r="G1909" t="str">
        <f>"INV 181021"</f>
        <v>INV 181021</v>
      </c>
      <c r="H1909">
        <v>419.73</v>
      </c>
      <c r="I1909" t="str">
        <f>"INV 181021 - LE"</f>
        <v>INV 181021 - LE</v>
      </c>
    </row>
    <row r="1910" spans="1:9" x14ac:dyDescent="0.3">
      <c r="A1910" t="str">
        <f>""</f>
        <v/>
      </c>
      <c r="F1910" t="str">
        <f>""</f>
        <v/>
      </c>
      <c r="G1910" t="str">
        <f>""</f>
        <v/>
      </c>
      <c r="I1910" t="str">
        <f>"INV 181021 - JAIL"</f>
        <v>INV 181021 - JAIL</v>
      </c>
    </row>
    <row r="1911" spans="1:9" x14ac:dyDescent="0.3">
      <c r="A1911" t="str">
        <f>"004877"</f>
        <v>004877</v>
      </c>
      <c r="B1911" t="s">
        <v>538</v>
      </c>
      <c r="C1911">
        <v>76817</v>
      </c>
      <c r="D1911" s="2">
        <v>15549.56</v>
      </c>
      <c r="E1911" s="1">
        <v>43237</v>
      </c>
      <c r="F1911" t="str">
        <f>"1701941718"</f>
        <v>1701941718</v>
      </c>
      <c r="G1911" t="str">
        <f>"ACCT#5151-005117630 / 043018"</f>
        <v>ACCT#5151-005117630 / 043018</v>
      </c>
      <c r="H1911">
        <v>238.37</v>
      </c>
      <c r="I1911" t="str">
        <f>"ACCT#5151-005117630 / 043018"</f>
        <v>ACCT#5151-005117630 / 043018</v>
      </c>
    </row>
    <row r="1912" spans="1:9" x14ac:dyDescent="0.3">
      <c r="A1912" t="str">
        <f>""</f>
        <v/>
      </c>
      <c r="F1912" t="str">
        <f>"1701941719"</f>
        <v>1701941719</v>
      </c>
      <c r="G1912" t="str">
        <f>"ACCT#5151-005117766 / 043018"</f>
        <v>ACCT#5151-005117766 / 043018</v>
      </c>
      <c r="H1912">
        <v>104.64</v>
      </c>
      <c r="I1912" t="str">
        <f>"ACCT#5151-005117766 / 043018"</f>
        <v>ACCT#5151-005117766 / 043018</v>
      </c>
    </row>
    <row r="1913" spans="1:9" x14ac:dyDescent="0.3">
      <c r="A1913" t="str">
        <f>""</f>
        <v/>
      </c>
      <c r="F1913" t="str">
        <f>"1701941720"</f>
        <v>1701941720</v>
      </c>
      <c r="G1913" t="str">
        <f>"ACCT#5151-005117838 / 043018"</f>
        <v>ACCT#5151-005117838 / 043018</v>
      </c>
      <c r="H1913">
        <v>96.85</v>
      </c>
      <c r="I1913" t="str">
        <f>"ACCT#5151-005117838 / 043018"</f>
        <v>ACCT#5151-005117838 / 043018</v>
      </c>
    </row>
    <row r="1914" spans="1:9" x14ac:dyDescent="0.3">
      <c r="A1914" t="str">
        <f>""</f>
        <v/>
      </c>
      <c r="F1914" t="str">
        <f>"1701941722"</f>
        <v>1701941722</v>
      </c>
      <c r="G1914" t="str">
        <f>"ACCT#5151-005117882 / 043018"</f>
        <v>ACCT#5151-005117882 / 043018</v>
      </c>
      <c r="H1914">
        <v>130.78</v>
      </c>
      <c r="I1914" t="str">
        <f>"ACCT#5151-005117882 / 043018"</f>
        <v>ACCT#5151-005117882 / 043018</v>
      </c>
    </row>
    <row r="1915" spans="1:9" x14ac:dyDescent="0.3">
      <c r="A1915" t="str">
        <f>""</f>
        <v/>
      </c>
      <c r="F1915" t="str">
        <f>"1701941724"</f>
        <v>1701941724</v>
      </c>
      <c r="G1915" t="str">
        <f>"ACCT#5151-005118183 / 043018"</f>
        <v>ACCT#5151-005118183 / 043018</v>
      </c>
      <c r="H1915">
        <v>561.41999999999996</v>
      </c>
      <c r="I1915" t="str">
        <f>"ACCT#5151-005118183 / 043018"</f>
        <v>ACCT#5151-005118183 / 043018</v>
      </c>
    </row>
    <row r="1916" spans="1:9" x14ac:dyDescent="0.3">
      <c r="A1916" t="str">
        <f>""</f>
        <v/>
      </c>
      <c r="F1916" t="str">
        <f>"1701941737"</f>
        <v>1701941737</v>
      </c>
      <c r="G1916" t="str">
        <f>"ACCT#5150-005129483 / 043018"</f>
        <v>ACCT#5150-005129483 / 043018</v>
      </c>
      <c r="H1916">
        <v>13561.5</v>
      </c>
      <c r="I1916" t="str">
        <f>"ACCT#5150-005129483 / 043018"</f>
        <v>ACCT#5150-005129483 / 043018</v>
      </c>
    </row>
    <row r="1917" spans="1:9" x14ac:dyDescent="0.3">
      <c r="A1917" t="str">
        <f>""</f>
        <v/>
      </c>
      <c r="F1917" t="str">
        <f>"1701941757"</f>
        <v>1701941757</v>
      </c>
      <c r="G1917" t="str">
        <f>"ACCT#5150-005150524 / 043018"</f>
        <v>ACCT#5150-005150524 / 043018</v>
      </c>
      <c r="H1917">
        <v>856</v>
      </c>
      <c r="I1917" t="str">
        <f>"ACCT#5150-005150524 / 043018"</f>
        <v>ACCT#5150-005150524 / 043018</v>
      </c>
    </row>
    <row r="1918" spans="1:9" x14ac:dyDescent="0.3">
      <c r="A1918" t="str">
        <f>"004874"</f>
        <v>004874</v>
      </c>
      <c r="B1918" t="s">
        <v>539</v>
      </c>
      <c r="C1918">
        <v>76779</v>
      </c>
      <c r="D1918" s="2">
        <v>380</v>
      </c>
      <c r="E1918" s="1">
        <v>43234</v>
      </c>
      <c r="F1918" t="str">
        <f>"2521"</f>
        <v>2521</v>
      </c>
      <c r="G1918" t="str">
        <f>"County Logo Shirts"</f>
        <v>County Logo Shirts</v>
      </c>
      <c r="H1918">
        <v>180</v>
      </c>
      <c r="I1918" t="str">
        <f>"L317 L"</f>
        <v>L317 L</v>
      </c>
    </row>
    <row r="1919" spans="1:9" x14ac:dyDescent="0.3">
      <c r="A1919" t="str">
        <f>""</f>
        <v/>
      </c>
      <c r="F1919" t="str">
        <f>""</f>
        <v/>
      </c>
      <c r="G1919" t="str">
        <f>""</f>
        <v/>
      </c>
      <c r="I1919" t="str">
        <f>"J317 L"</f>
        <v>J317 L</v>
      </c>
    </row>
    <row r="1920" spans="1:9" x14ac:dyDescent="0.3">
      <c r="A1920" t="str">
        <f>""</f>
        <v/>
      </c>
      <c r="F1920" t="str">
        <f>""</f>
        <v/>
      </c>
      <c r="G1920" t="str">
        <f>""</f>
        <v/>
      </c>
      <c r="I1920" t="str">
        <f>"L540 M"</f>
        <v>L540 M</v>
      </c>
    </row>
    <row r="1921" spans="1:10" x14ac:dyDescent="0.3">
      <c r="A1921" t="str">
        <f>""</f>
        <v/>
      </c>
      <c r="F1921" t="str">
        <f>""</f>
        <v/>
      </c>
      <c r="G1921" t="str">
        <f>""</f>
        <v/>
      </c>
      <c r="I1921" t="str">
        <f>"L540 XL"</f>
        <v>L540 XL</v>
      </c>
    </row>
    <row r="1922" spans="1:10" x14ac:dyDescent="0.3">
      <c r="A1922" t="str">
        <f>""</f>
        <v/>
      </c>
      <c r="F1922" t="str">
        <f>"2545"</f>
        <v>2545</v>
      </c>
      <c r="G1922" t="str">
        <f>"EMBROIDERY SVCS/PCT#3"</f>
        <v>EMBROIDERY SVCS/PCT#3</v>
      </c>
      <c r="H1922">
        <v>40</v>
      </c>
      <c r="I1922" t="str">
        <f>"EMBROIDERY SVCS/PCT#3"</f>
        <v>EMBROIDERY SVCS/PCT#3</v>
      </c>
    </row>
    <row r="1923" spans="1:10" x14ac:dyDescent="0.3">
      <c r="A1923" t="str">
        <f>""</f>
        <v/>
      </c>
      <c r="F1923" t="str">
        <f>"2545 P2"</f>
        <v>2545 P2</v>
      </c>
      <c r="G1923" t="str">
        <f>"EMBROIDERY-PCT#2"</f>
        <v>EMBROIDERY-PCT#2</v>
      </c>
      <c r="H1923">
        <v>112</v>
      </c>
      <c r="I1923" t="str">
        <f>"EMBROIDERY-PCT#2"</f>
        <v>EMBROIDERY-PCT#2</v>
      </c>
    </row>
    <row r="1924" spans="1:10" x14ac:dyDescent="0.3">
      <c r="A1924" t="str">
        <f>""</f>
        <v/>
      </c>
      <c r="F1924" t="str">
        <f>"2545 P4"</f>
        <v>2545 P4</v>
      </c>
      <c r="G1924" t="str">
        <f>"EMBROIDERY SVCS/PCT#4"</f>
        <v>EMBROIDERY SVCS/PCT#4</v>
      </c>
      <c r="H1924">
        <v>48</v>
      </c>
      <c r="I1924" t="str">
        <f>"EMBROIDERY SVCS/PCT#4"</f>
        <v>EMBROIDERY SVCS/PCT#4</v>
      </c>
    </row>
    <row r="1925" spans="1:10" x14ac:dyDescent="0.3">
      <c r="A1925" t="str">
        <f>"004874"</f>
        <v>004874</v>
      </c>
      <c r="B1925" t="s">
        <v>539</v>
      </c>
      <c r="C1925">
        <v>76996</v>
      </c>
      <c r="D1925" s="2">
        <v>240</v>
      </c>
      <c r="E1925" s="1">
        <v>43249</v>
      </c>
      <c r="F1925" t="str">
        <f>"2572"</f>
        <v>2572</v>
      </c>
      <c r="G1925" t="str">
        <f>"HATS/PCT#3"</f>
        <v>HATS/PCT#3</v>
      </c>
      <c r="H1925">
        <v>240</v>
      </c>
      <c r="I1925" t="str">
        <f>"HATS/PCT#3"</f>
        <v>HATS/PCT#3</v>
      </c>
    </row>
    <row r="1926" spans="1:10" x14ac:dyDescent="0.3">
      <c r="A1926" t="str">
        <f>"003479"</f>
        <v>003479</v>
      </c>
      <c r="B1926" t="s">
        <v>540</v>
      </c>
      <c r="C1926">
        <v>999999</v>
      </c>
      <c r="D1926" s="2">
        <v>2108.9499999999998</v>
      </c>
      <c r="E1926" s="1">
        <v>43235</v>
      </c>
      <c r="F1926" t="str">
        <f>"264757"</f>
        <v>264757</v>
      </c>
      <c r="G1926" t="str">
        <f>"BACKHOE RENTAL/PCT#2"</f>
        <v>BACKHOE RENTAL/PCT#2</v>
      </c>
      <c r="H1926">
        <v>2108.9499999999998</v>
      </c>
      <c r="I1926" t="str">
        <f>"BACKHOE RENTAL/PCT#2"</f>
        <v>BACKHOE RENTAL/PCT#2</v>
      </c>
    </row>
    <row r="1927" spans="1:10" x14ac:dyDescent="0.3">
      <c r="A1927" t="str">
        <f>"003479"</f>
        <v>003479</v>
      </c>
      <c r="B1927" t="s">
        <v>540</v>
      </c>
      <c r="C1927">
        <v>999999</v>
      </c>
      <c r="D1927" s="2">
        <v>1915</v>
      </c>
      <c r="E1927" s="1">
        <v>43250</v>
      </c>
      <c r="F1927" t="str">
        <f>"268879"</f>
        <v>268879</v>
      </c>
      <c r="G1927" t="str">
        <f>"LOADER/DELIVERY/PICKUP"</f>
        <v>LOADER/DELIVERY/PICKUP</v>
      </c>
      <c r="H1927">
        <v>1915</v>
      </c>
      <c r="I1927" t="str">
        <f>"LOADER/DELIVERY/PICKUP"</f>
        <v>LOADER/DELIVERY/PICKUP</v>
      </c>
    </row>
    <row r="1928" spans="1:10" x14ac:dyDescent="0.3">
      <c r="A1928" t="str">
        <f>"004207"</f>
        <v>004207</v>
      </c>
      <c r="B1928" t="s">
        <v>541</v>
      </c>
      <c r="C1928">
        <v>76997</v>
      </c>
      <c r="D1928" s="2">
        <v>80</v>
      </c>
      <c r="E1928" s="1">
        <v>43249</v>
      </c>
      <c r="F1928" t="s">
        <v>59</v>
      </c>
      <c r="G1928" t="s">
        <v>154</v>
      </c>
      <c r="H1928" t="str">
        <f>"SERVICE  03/28/18"</f>
        <v>SERVICE  03/28/18</v>
      </c>
      <c r="I1928" t="str">
        <f>"995-4110"</f>
        <v>995-4110</v>
      </c>
      <c r="J1928" t="str">
        <f>""</f>
        <v/>
      </c>
    </row>
    <row r="1929" spans="1:10" x14ac:dyDescent="0.3">
      <c r="A1929" t="str">
        <f>"005199"</f>
        <v>005199</v>
      </c>
      <c r="B1929" t="s">
        <v>542</v>
      </c>
      <c r="C1929">
        <v>76998</v>
      </c>
      <c r="D1929" s="2">
        <v>130.85</v>
      </c>
      <c r="E1929" s="1">
        <v>43249</v>
      </c>
      <c r="F1929" t="str">
        <f>"30984"</f>
        <v>30984</v>
      </c>
      <c r="G1929" t="str">
        <f>"Klorman Compact InLine"</f>
        <v>Klorman Compact InLine</v>
      </c>
      <c r="H1929">
        <v>130.85</v>
      </c>
      <c r="I1929" t="str">
        <f>"KCI 100"</f>
        <v>KCI 100</v>
      </c>
    </row>
    <row r="1930" spans="1:10" x14ac:dyDescent="0.3">
      <c r="A1930" t="str">
        <f>""</f>
        <v/>
      </c>
      <c r="F1930" t="str">
        <f>""</f>
        <v/>
      </c>
      <c r="G1930" t="str">
        <f>""</f>
        <v/>
      </c>
      <c r="I1930" t="str">
        <f>"FR"</f>
        <v>FR</v>
      </c>
    </row>
    <row r="1931" spans="1:10" x14ac:dyDescent="0.3">
      <c r="A1931" t="str">
        <f>"LIN"</f>
        <v>LIN</v>
      </c>
      <c r="B1931" t="s">
        <v>543</v>
      </c>
      <c r="C1931">
        <v>999999</v>
      </c>
      <c r="D1931" s="2">
        <v>12500</v>
      </c>
      <c r="E1931" s="1">
        <v>43250</v>
      </c>
      <c r="F1931" t="str">
        <f>"201805161033"</f>
        <v>201805161033</v>
      </c>
      <c r="G1931" t="str">
        <f>"MEDICAL CONTRACT"</f>
        <v>MEDICAL CONTRACT</v>
      </c>
      <c r="H1931">
        <v>12500</v>
      </c>
      <c r="I1931" t="str">
        <f>"MEDICAL CONTRACT"</f>
        <v>MEDICAL CONTRACT</v>
      </c>
    </row>
    <row r="1932" spans="1:10" x14ac:dyDescent="0.3">
      <c r="A1932" t="str">
        <f>"005544"</f>
        <v>005544</v>
      </c>
      <c r="B1932" t="s">
        <v>544</v>
      </c>
      <c r="C1932">
        <v>999999</v>
      </c>
      <c r="D1932" s="2">
        <v>72649</v>
      </c>
      <c r="E1932" s="1">
        <v>43235</v>
      </c>
      <c r="F1932" t="str">
        <f>"201805090967"</f>
        <v>201805090967</v>
      </c>
      <c r="G1932" t="str">
        <f>"15-0308-C277/423-4396/423-4773"</f>
        <v>15-0308-C277/423-4396/423-4773</v>
      </c>
      <c r="H1932">
        <v>72649</v>
      </c>
      <c r="I1932" t="str">
        <f>"15-0308-C277/423-4396/423-4773"</f>
        <v>15-0308-C277/423-4396/423-4773</v>
      </c>
    </row>
    <row r="1933" spans="1:10" x14ac:dyDescent="0.3">
      <c r="A1933" t="str">
        <f>"WPC"</f>
        <v>WPC</v>
      </c>
      <c r="B1933" t="s">
        <v>545</v>
      </c>
      <c r="C1933">
        <v>76780</v>
      </c>
      <c r="D1933" s="2">
        <v>850</v>
      </c>
      <c r="E1933" s="1">
        <v>43234</v>
      </c>
      <c r="F1933" t="str">
        <f>"838131360"</f>
        <v>838131360</v>
      </c>
      <c r="G1933" t="str">
        <f>"ACCT#1005022937/INFO CHARGES"</f>
        <v>ACCT#1005022937/INFO CHARGES</v>
      </c>
      <c r="H1933">
        <v>850</v>
      </c>
      <c r="I1933" t="str">
        <f>"ACCT#1005022937/INFO CHARGES"</f>
        <v>ACCT#1005022937/INFO CHARGES</v>
      </c>
    </row>
    <row r="1934" spans="1:10" x14ac:dyDescent="0.3">
      <c r="A1934" t="str">
        <f>"WPC"</f>
        <v>WPC</v>
      </c>
      <c r="B1934" t="s">
        <v>545</v>
      </c>
      <c r="C1934">
        <v>76999</v>
      </c>
      <c r="D1934" s="2">
        <v>6667</v>
      </c>
      <c r="E1934" s="1">
        <v>43249</v>
      </c>
      <c r="F1934" t="str">
        <f>"6121103393"</f>
        <v>6121103393</v>
      </c>
      <c r="G1934" t="str">
        <f>"ACCT#1000648597/ORD#202692297"</f>
        <v>ACCT#1000648597/ORD#202692297</v>
      </c>
      <c r="H1934">
        <v>5808.6</v>
      </c>
      <c r="I1934" t="str">
        <f>"ACCT#1000648597/ORD#202692297"</f>
        <v>ACCT#1000648597/ORD#202692297</v>
      </c>
    </row>
    <row r="1935" spans="1:10" x14ac:dyDescent="0.3">
      <c r="A1935" t="str">
        <f>""</f>
        <v/>
      </c>
      <c r="F1935" t="str">
        <f>"6121109045"</f>
        <v>6121109045</v>
      </c>
      <c r="G1935" t="str">
        <f>"ACCT#1000648597/ORD#202692297"</f>
        <v>ACCT#1000648597/ORD#202692297</v>
      </c>
      <c r="H1935">
        <v>338.4</v>
      </c>
      <c r="I1935" t="str">
        <f>"ACCT#1000648597/ORD#202692297"</f>
        <v>ACCT#1000648597/ORD#202692297</v>
      </c>
    </row>
    <row r="1936" spans="1:10" x14ac:dyDescent="0.3">
      <c r="A1936" t="str">
        <f>""</f>
        <v/>
      </c>
      <c r="F1936" t="str">
        <f>"838113452"</f>
        <v>838113452</v>
      </c>
      <c r="G1936" t="str">
        <f>"WEST INFO CHRG/ACCT#1000648597"</f>
        <v>WEST INFO CHRG/ACCT#1000648597</v>
      </c>
      <c r="H1936">
        <v>520</v>
      </c>
      <c r="I1936" t="str">
        <f>"WEST INFO CHRG/ACCT#1000648597"</f>
        <v>WEST INFO CHRG/ACCT#1000648597</v>
      </c>
    </row>
    <row r="1937" spans="1:9" x14ac:dyDescent="0.3">
      <c r="A1937" t="str">
        <f>"004074"</f>
        <v>004074</v>
      </c>
      <c r="B1937" t="s">
        <v>546</v>
      </c>
      <c r="C1937">
        <v>999999</v>
      </c>
      <c r="D1937" s="2">
        <v>12156.06</v>
      </c>
      <c r="E1937" s="1">
        <v>43250</v>
      </c>
      <c r="F1937" t="str">
        <f>"20201"</f>
        <v>20201</v>
      </c>
      <c r="G1937" t="str">
        <f>"INV 20201"</f>
        <v>INV 20201</v>
      </c>
      <c r="H1937">
        <v>12156.06</v>
      </c>
      <c r="I1937" t="str">
        <f>"INV 20201"</f>
        <v>INV 20201</v>
      </c>
    </row>
    <row r="1938" spans="1:9" x14ac:dyDescent="0.3">
      <c r="A1938" t="str">
        <f>"005541"</f>
        <v>005541</v>
      </c>
      <c r="B1938" t="s">
        <v>547</v>
      </c>
      <c r="C1938">
        <v>76781</v>
      </c>
      <c r="D1938" s="2">
        <v>500</v>
      </c>
      <c r="E1938" s="1">
        <v>43234</v>
      </c>
      <c r="F1938" t="str">
        <f>"041618.WC"</f>
        <v>041618.WC</v>
      </c>
      <c r="G1938" t="str">
        <f>"VENDOR AD-ANNUAL"</f>
        <v>VENDOR AD-ANNUAL</v>
      </c>
      <c r="H1938">
        <v>500</v>
      </c>
      <c r="I1938" t="str">
        <f>"VENDOR AD-ANNUAL"</f>
        <v>VENDOR AD-ANNUAL</v>
      </c>
    </row>
    <row r="1939" spans="1:9" x14ac:dyDescent="0.3">
      <c r="A1939" t="str">
        <f>"002550"</f>
        <v>002550</v>
      </c>
      <c r="B1939" t="s">
        <v>548</v>
      </c>
      <c r="C1939">
        <v>77000</v>
      </c>
      <c r="D1939" s="2">
        <v>70</v>
      </c>
      <c r="E1939" s="1">
        <v>43249</v>
      </c>
      <c r="F1939" t="str">
        <f>"12675"</f>
        <v>12675</v>
      </c>
      <c r="G1939" t="str">
        <f>"SERVICE  02/28/2018"</f>
        <v>SERVICE  02/28/2018</v>
      </c>
      <c r="H1939">
        <v>70</v>
      </c>
      <c r="I1939" t="str">
        <f>"SERVICE  02/28/2018"</f>
        <v>SERVICE  02/28/2018</v>
      </c>
    </row>
    <row r="1940" spans="1:9" x14ac:dyDescent="0.3">
      <c r="A1940" t="str">
        <f>"004240"</f>
        <v>004240</v>
      </c>
      <c r="B1940" t="s">
        <v>549</v>
      </c>
      <c r="C1940">
        <v>76782</v>
      </c>
      <c r="D1940" s="2">
        <v>94900</v>
      </c>
      <c r="E1940" s="1">
        <v>43234</v>
      </c>
      <c r="F1940" t="str">
        <f>"1312"</f>
        <v>1312</v>
      </c>
      <c r="G1940" t="str">
        <f>"STEEL FOR BOX CULVERTS/PCT#2"</f>
        <v>STEEL FOR BOX CULVERTS/PCT#2</v>
      </c>
      <c r="H1940">
        <v>13000</v>
      </c>
      <c r="I1940" t="str">
        <f>"STEEL FOR BOX CULVERTS/PCT#2"</f>
        <v>STEEL FOR BOX CULVERTS/PCT#2</v>
      </c>
    </row>
    <row r="1941" spans="1:9" x14ac:dyDescent="0.3">
      <c r="A1941" t="str">
        <f>""</f>
        <v/>
      </c>
      <c r="F1941" t="str">
        <f>"1316"</f>
        <v>1316</v>
      </c>
      <c r="G1941" t="str">
        <f>"EROSION MATS/BERMUDA/LABOR/P2"</f>
        <v>EROSION MATS/BERMUDA/LABOR/P2</v>
      </c>
      <c r="H1941">
        <v>8900</v>
      </c>
      <c r="I1941" t="str">
        <f>"EROSION MATS/BERMUDA/LABOR/P2"</f>
        <v>EROSION MATS/BERMUDA/LABOR/P2</v>
      </c>
    </row>
    <row r="1942" spans="1:9" x14ac:dyDescent="0.3">
      <c r="A1942" t="str">
        <f>""</f>
        <v/>
      </c>
      <c r="F1942" t="str">
        <f>"1318"</f>
        <v>1318</v>
      </c>
      <c r="G1942" t="str">
        <f>"BOX CULVERT INSTALLATION/PCT#2"</f>
        <v>BOX CULVERT INSTALLATION/PCT#2</v>
      </c>
      <c r="H1942">
        <v>73000</v>
      </c>
      <c r="I1942" t="str">
        <f>"BOX CULVERT INSTALLATION/PCT#2"</f>
        <v>BOX CULVERT INSTALLATION/PCT#2</v>
      </c>
    </row>
    <row r="1943" spans="1:9" x14ac:dyDescent="0.3">
      <c r="A1943" t="str">
        <f>"XEROXC"</f>
        <v>XEROXC</v>
      </c>
      <c r="B1943" t="s">
        <v>550</v>
      </c>
      <c r="C1943">
        <v>76783</v>
      </c>
      <c r="D1943" s="2">
        <v>177.35</v>
      </c>
      <c r="E1943" s="1">
        <v>43234</v>
      </c>
      <c r="F1943" t="str">
        <f>"093084878"</f>
        <v>093084878</v>
      </c>
      <c r="G1943" t="str">
        <f>"VTX00000X-000/662445931"</f>
        <v>VTX00000X-000/662445931</v>
      </c>
      <c r="H1943">
        <v>106.45</v>
      </c>
      <c r="I1943" t="str">
        <f>"VTX00000X-000/662445931"</f>
        <v>VTX00000X-000/662445931</v>
      </c>
    </row>
    <row r="1944" spans="1:9" x14ac:dyDescent="0.3">
      <c r="A1944" t="str">
        <f>""</f>
        <v/>
      </c>
      <c r="F1944" t="str">
        <f>"093084879"</f>
        <v>093084879</v>
      </c>
      <c r="G1944" t="str">
        <f>"REF#VTX00000X-000/C#662445931"</f>
        <v>REF#VTX00000X-000/C#662445931</v>
      </c>
      <c r="H1944">
        <v>35.450000000000003</v>
      </c>
      <c r="I1944" t="str">
        <f>"REF#VTX00000X-000/C#662445931"</f>
        <v>REF#VTX00000X-000/C#662445931</v>
      </c>
    </row>
    <row r="1945" spans="1:9" x14ac:dyDescent="0.3">
      <c r="A1945" t="str">
        <f>""</f>
        <v/>
      </c>
      <c r="F1945" t="str">
        <f>"093084892"</f>
        <v>093084892</v>
      </c>
      <c r="G1945" t="str">
        <f>"VTX00000X-000/CUST#723230843"</f>
        <v>VTX00000X-000/CUST#723230843</v>
      </c>
      <c r="H1945">
        <v>35.450000000000003</v>
      </c>
      <c r="I1945" t="str">
        <f>"VTX00000X-000/CUST#723230843"</f>
        <v>VTX00000X-000/CUST#723230843</v>
      </c>
    </row>
    <row r="1946" spans="1:9" x14ac:dyDescent="0.3">
      <c r="A1946" t="str">
        <f>"002955"</f>
        <v>002955</v>
      </c>
      <c r="B1946" t="s">
        <v>551</v>
      </c>
      <c r="C1946">
        <v>76784</v>
      </c>
      <c r="D1946" s="2">
        <v>1008.77</v>
      </c>
      <c r="E1946" s="1">
        <v>43234</v>
      </c>
      <c r="F1946" t="str">
        <f>"620-S400706"</f>
        <v>620-S400706</v>
      </c>
      <c r="G1946" t="str">
        <f>"ORDER 620-S400706"</f>
        <v>ORDER 620-S400706</v>
      </c>
      <c r="H1946">
        <v>1008.77</v>
      </c>
      <c r="I1946" t="str">
        <f>"ORDER 620-S400706"</f>
        <v>ORDER 620-S400706</v>
      </c>
    </row>
    <row r="1947" spans="1:9" x14ac:dyDescent="0.3">
      <c r="A1947" t="str">
        <f>"004928"</f>
        <v>004928</v>
      </c>
      <c r="B1947" t="s">
        <v>552</v>
      </c>
      <c r="C1947">
        <v>77001</v>
      </c>
      <c r="D1947" s="2">
        <v>962.57</v>
      </c>
      <c r="E1947" s="1">
        <v>43249</v>
      </c>
      <c r="F1947" t="str">
        <f>"INV4377200"</f>
        <v>INV4377200</v>
      </c>
      <c r="G1947" t="str">
        <f>"Parts"</f>
        <v>Parts</v>
      </c>
      <c r="H1947">
        <v>134.65</v>
      </c>
      <c r="I1947" t="str">
        <f>"Bracket"</f>
        <v>Bracket</v>
      </c>
    </row>
    <row r="1948" spans="1:9" x14ac:dyDescent="0.3">
      <c r="A1948" t="str">
        <f>""</f>
        <v/>
      </c>
      <c r="F1948" t="str">
        <f>""</f>
        <v/>
      </c>
      <c r="G1948" t="str">
        <f>""</f>
        <v/>
      </c>
      <c r="I1948" t="str">
        <f>"Filter/Regulator"</f>
        <v>Filter/Regulator</v>
      </c>
    </row>
    <row r="1949" spans="1:9" x14ac:dyDescent="0.3">
      <c r="A1949" t="str">
        <f>""</f>
        <v/>
      </c>
      <c r="F1949" t="str">
        <f>"S09615042"</f>
        <v>S09615042</v>
      </c>
      <c r="G1949" t="str">
        <f>"Fuel Transfer Pump"</f>
        <v>Fuel Transfer Pump</v>
      </c>
      <c r="H1949">
        <v>649.99</v>
      </c>
      <c r="I1949" t="str">
        <f>"Fuel Transfer Pump"</f>
        <v>Fuel Transfer Pump</v>
      </c>
    </row>
    <row r="1950" spans="1:9" x14ac:dyDescent="0.3">
      <c r="A1950" t="str">
        <f>""</f>
        <v/>
      </c>
      <c r="F1950" t="str">
        <f>"TICKET#8778"</f>
        <v>TICKET#8778</v>
      </c>
      <c r="G1950" t="str">
        <f>"Panel Dolly"</f>
        <v>Panel Dolly</v>
      </c>
      <c r="H1950">
        <v>177.93</v>
      </c>
      <c r="I1950" t="str">
        <f>"Zoro# G1155402"</f>
        <v>Zoro# G1155402</v>
      </c>
    </row>
    <row r="1951" spans="1:9" x14ac:dyDescent="0.3">
      <c r="A1951" t="str">
        <f>""</f>
        <v/>
      </c>
      <c r="F1951" t="str">
        <f>""</f>
        <v/>
      </c>
      <c r="G1951" t="str">
        <f>""</f>
        <v/>
      </c>
      <c r="I1951" t="str">
        <f>"Zoro# G5319797"</f>
        <v>Zoro# G5319797</v>
      </c>
    </row>
    <row r="1952" spans="1:9" x14ac:dyDescent="0.3">
      <c r="A1952" t="str">
        <f>"005237"</f>
        <v>005237</v>
      </c>
      <c r="B1952" t="s">
        <v>26</v>
      </c>
      <c r="C1952">
        <v>76824</v>
      </c>
      <c r="D1952" s="2">
        <v>393.84</v>
      </c>
      <c r="E1952" s="1">
        <v>43244</v>
      </c>
      <c r="F1952" t="str">
        <f>"1HYF-N1MT-TNYT"</f>
        <v>1HYF-N1MT-TNYT</v>
      </c>
      <c r="G1952" t="str">
        <f>"Body Camera"</f>
        <v>Body Camera</v>
      </c>
      <c r="H1952">
        <v>393.84</v>
      </c>
    </row>
    <row r="1953" spans="1:9" x14ac:dyDescent="0.3">
      <c r="A1953" t="str">
        <f>"005237"</f>
        <v>005237</v>
      </c>
      <c r="B1953" t="s">
        <v>26</v>
      </c>
      <c r="C1953">
        <v>76824</v>
      </c>
      <c r="D1953" s="2">
        <v>393.84</v>
      </c>
      <c r="E1953" s="1">
        <v>43244</v>
      </c>
      <c r="F1953" t="str">
        <f>"CHECK"</f>
        <v>CHECK</v>
      </c>
      <c r="G1953" t="str">
        <f>""</f>
        <v/>
      </c>
      <c r="H1953">
        <v>393.84</v>
      </c>
    </row>
    <row r="1954" spans="1:9" x14ac:dyDescent="0.3">
      <c r="A1954" t="str">
        <f>"005227"</f>
        <v>005227</v>
      </c>
      <c r="B1954" t="s">
        <v>553</v>
      </c>
      <c r="C1954">
        <v>76820</v>
      </c>
      <c r="D1954" s="2">
        <v>1512</v>
      </c>
      <c r="E1954" s="1">
        <v>43234</v>
      </c>
      <c r="F1954" t="str">
        <f>"S19132"</f>
        <v>S19132</v>
      </c>
      <c r="G1954" t="str">
        <f>"pipe for Marjess Drive"</f>
        <v>pipe for Marjess Drive</v>
      </c>
      <c r="H1954">
        <v>1512</v>
      </c>
      <c r="I1954" t="str">
        <f>"18  C76 T&amp;G RCP"</f>
        <v>18  C76 T&amp;G RCP</v>
      </c>
    </row>
    <row r="1955" spans="1:9" x14ac:dyDescent="0.3">
      <c r="A1955" t="str">
        <f>"AQUAB"</f>
        <v>AQUAB</v>
      </c>
      <c r="B1955" t="s">
        <v>34</v>
      </c>
      <c r="C1955">
        <v>76785</v>
      </c>
      <c r="D1955" s="2">
        <v>54.99</v>
      </c>
      <c r="E1955" s="1">
        <v>43234</v>
      </c>
      <c r="F1955" t="str">
        <f>"201805040781"</f>
        <v>201805040781</v>
      </c>
      <c r="G1955" t="str">
        <f>"ACCT#015397/JUVENILE BOOT CAMP"</f>
        <v>ACCT#015397/JUVENILE BOOT CAMP</v>
      </c>
      <c r="H1955">
        <v>54.99</v>
      </c>
      <c r="I1955" t="str">
        <f>"ACCT#015397/JUVENILE BOOT CAMP"</f>
        <v>ACCT#015397/JUVENILE BOOT CAMP</v>
      </c>
    </row>
    <row r="1956" spans="1:9" x14ac:dyDescent="0.3">
      <c r="A1956" t="str">
        <f>"B&amp;B"</f>
        <v>B&amp;B</v>
      </c>
      <c r="B1956" t="s">
        <v>52</v>
      </c>
      <c r="C1956">
        <v>76786</v>
      </c>
      <c r="D1956" s="2">
        <v>539.99</v>
      </c>
      <c r="E1956" s="1">
        <v>43234</v>
      </c>
      <c r="F1956" t="str">
        <f>"201805040782"</f>
        <v>201805040782</v>
      </c>
      <c r="G1956" t="str">
        <f>"CUST#1645/OEM"</f>
        <v>CUST#1645/OEM</v>
      </c>
      <c r="H1956">
        <v>539.99</v>
      </c>
      <c r="I1956" t="str">
        <f>"CUST#1645/OEM"</f>
        <v>CUST#1645/OEM</v>
      </c>
    </row>
    <row r="1957" spans="1:9" x14ac:dyDescent="0.3">
      <c r="A1957" t="str">
        <f>""</f>
        <v/>
      </c>
      <c r="F1957" t="str">
        <f>""</f>
        <v/>
      </c>
      <c r="G1957" t="str">
        <f>""</f>
        <v/>
      </c>
      <c r="I1957" t="str">
        <f>"CUST#1645/OEM"</f>
        <v>CUST#1645/OEM</v>
      </c>
    </row>
    <row r="1958" spans="1:9" x14ac:dyDescent="0.3">
      <c r="A1958" t="str">
        <f>"B&amp;B"</f>
        <v>B&amp;B</v>
      </c>
      <c r="B1958" t="s">
        <v>52</v>
      </c>
      <c r="C1958">
        <v>77002</v>
      </c>
      <c r="D1958" s="2">
        <v>32</v>
      </c>
      <c r="E1958" s="1">
        <v>43249</v>
      </c>
      <c r="F1958" t="str">
        <f>"201805171058"</f>
        <v>201805171058</v>
      </c>
      <c r="G1958" t="str">
        <f>"CUST#1595/BOOT CAMP"</f>
        <v>CUST#1595/BOOT CAMP</v>
      </c>
      <c r="H1958">
        <v>32</v>
      </c>
      <c r="I1958" t="str">
        <f>"CUST#1595/BOOT CAMP"</f>
        <v>CUST#1595/BOOT CAMP</v>
      </c>
    </row>
    <row r="1959" spans="1:9" x14ac:dyDescent="0.3">
      <c r="A1959" t="str">
        <f>"003696"</f>
        <v>003696</v>
      </c>
      <c r="B1959" t="s">
        <v>554</v>
      </c>
      <c r="C1959">
        <v>76787</v>
      </c>
      <c r="D1959" s="2">
        <v>367.84</v>
      </c>
      <c r="E1959" s="1">
        <v>43234</v>
      </c>
      <c r="F1959" t="str">
        <f>"1042"</f>
        <v>1042</v>
      </c>
      <c r="G1959" t="str">
        <f>"UNIFORMS/JUVENILE BOOT CAMP"</f>
        <v>UNIFORMS/JUVENILE BOOT CAMP</v>
      </c>
      <c r="H1959">
        <v>367.84</v>
      </c>
      <c r="I1959" t="str">
        <f>"UNIFORMS/JUVENILE BOOT CAMP"</f>
        <v>UNIFORMS/JUVENILE BOOT CAMP</v>
      </c>
    </row>
    <row r="1960" spans="1:9" x14ac:dyDescent="0.3">
      <c r="A1960" t="str">
        <f>"BTW"</f>
        <v>BTW</v>
      </c>
      <c r="B1960" t="s">
        <v>53</v>
      </c>
      <c r="C1960">
        <v>76788</v>
      </c>
      <c r="D1960" s="2">
        <v>154.49</v>
      </c>
      <c r="E1960" s="1">
        <v>43234</v>
      </c>
      <c r="F1960" t="str">
        <f>"349870"</f>
        <v>349870</v>
      </c>
      <c r="G1960" t="str">
        <f>"CUST#7788/LOOSE TIRE/OEM"</f>
        <v>CUST#7788/LOOSE TIRE/OEM</v>
      </c>
      <c r="H1960">
        <v>154.49</v>
      </c>
      <c r="I1960" t="str">
        <f>"CUST#7788/LOOSE TIRE/OEM"</f>
        <v>CUST#7788/LOOSE TIRE/OEM</v>
      </c>
    </row>
    <row r="1961" spans="1:9" x14ac:dyDescent="0.3">
      <c r="A1961" t="str">
        <f>""</f>
        <v/>
      </c>
      <c r="F1961" t="str">
        <f>""</f>
        <v/>
      </c>
      <c r="G1961" t="str">
        <f>""</f>
        <v/>
      </c>
      <c r="I1961" t="str">
        <f>"CUST#7788/LOOSE TIRE/OEM"</f>
        <v>CUST#7788/LOOSE TIRE/OEM</v>
      </c>
    </row>
    <row r="1962" spans="1:9" x14ac:dyDescent="0.3">
      <c r="A1962" t="str">
        <f>"BASCO"</f>
        <v>BASCO</v>
      </c>
      <c r="B1962" t="s">
        <v>62</v>
      </c>
      <c r="C1962">
        <v>76789</v>
      </c>
      <c r="D1962" s="2">
        <v>58.99</v>
      </c>
      <c r="E1962" s="1">
        <v>43234</v>
      </c>
      <c r="F1962" t="str">
        <f>"11436"</f>
        <v>11436</v>
      </c>
      <c r="G1962" t="str">
        <f>"ACCT#BC01"</f>
        <v>ACCT#BC01</v>
      </c>
      <c r="H1962">
        <v>58.99</v>
      </c>
      <c r="I1962" t="str">
        <f>"ACCT#BC01"</f>
        <v>ACCT#BC01</v>
      </c>
    </row>
    <row r="1963" spans="1:9" x14ac:dyDescent="0.3">
      <c r="A1963" t="str">
        <f>"T3799"</f>
        <v>T3799</v>
      </c>
      <c r="B1963" t="s">
        <v>555</v>
      </c>
      <c r="C1963">
        <v>76790</v>
      </c>
      <c r="D1963" s="2">
        <v>21440.82</v>
      </c>
      <c r="E1963" s="1">
        <v>43234</v>
      </c>
      <c r="F1963" t="str">
        <f>"1036"</f>
        <v>1036</v>
      </c>
      <c r="G1963" t="str">
        <f>"BOOT CAMP EXPS 3RD QTR 2017-18"</f>
        <v>BOOT CAMP EXPS 3RD QTR 2017-18</v>
      </c>
      <c r="H1963">
        <v>21440.82</v>
      </c>
      <c r="I1963" t="str">
        <f>"BOOT CAMP EXPS 3RD QTR 2017-18"</f>
        <v>BOOT CAMP EXPS 3RD QTR 2017-18</v>
      </c>
    </row>
    <row r="1964" spans="1:9" x14ac:dyDescent="0.3">
      <c r="A1964" t="str">
        <f>""</f>
        <v/>
      </c>
      <c r="F1964" t="str">
        <f>""</f>
        <v/>
      </c>
      <c r="G1964" t="str">
        <f>""</f>
        <v/>
      </c>
      <c r="I1964" t="str">
        <f>"BOOT CAMP EXPS 3RD QTR 2017-18"</f>
        <v>BOOT CAMP EXPS 3RD QTR 2017-18</v>
      </c>
    </row>
    <row r="1965" spans="1:9" x14ac:dyDescent="0.3">
      <c r="A1965" t="str">
        <f>""</f>
        <v/>
      </c>
      <c r="F1965" t="str">
        <f>""</f>
        <v/>
      </c>
      <c r="G1965" t="str">
        <f>""</f>
        <v/>
      </c>
      <c r="I1965" t="str">
        <f>"BOOT CAMP EXPS 3RD QTR 2017-18"</f>
        <v>BOOT CAMP EXPS 3RD QTR 2017-18</v>
      </c>
    </row>
    <row r="1966" spans="1:9" x14ac:dyDescent="0.3">
      <c r="A1966" t="str">
        <f>"T3799"</f>
        <v>T3799</v>
      </c>
      <c r="B1966" t="s">
        <v>555</v>
      </c>
      <c r="C1966">
        <v>77003</v>
      </c>
      <c r="D1966" s="2">
        <v>2591.39</v>
      </c>
      <c r="E1966" s="1">
        <v>43249</v>
      </c>
      <c r="F1966" t="str">
        <f>"FUELS MITAGATION"</f>
        <v>FUELS MITAGATION</v>
      </c>
      <c r="G1966" t="str">
        <f>"Inv# 188"</f>
        <v>Inv# 188</v>
      </c>
      <c r="H1966">
        <v>2591.39</v>
      </c>
      <c r="I1966" t="str">
        <f>"4/27/2018"</f>
        <v>4/27/2018</v>
      </c>
    </row>
    <row r="1967" spans="1:9" x14ac:dyDescent="0.3">
      <c r="A1967" t="str">
        <f>""</f>
        <v/>
      </c>
      <c r="F1967" t="str">
        <f>""</f>
        <v/>
      </c>
      <c r="G1967" t="str">
        <f>""</f>
        <v/>
      </c>
      <c r="I1967" t="str">
        <f>"4/12/2018"</f>
        <v>4/12/2018</v>
      </c>
    </row>
    <row r="1968" spans="1:9" x14ac:dyDescent="0.3">
      <c r="A1968" t="str">
        <f>""</f>
        <v/>
      </c>
      <c r="F1968" t="str">
        <f>""</f>
        <v/>
      </c>
      <c r="G1968" t="str">
        <f>""</f>
        <v/>
      </c>
      <c r="I1968" t="str">
        <f>"Vehicles Using Pumps"</f>
        <v>Vehicles Using Pumps</v>
      </c>
    </row>
    <row r="1969" spans="1:9" x14ac:dyDescent="0.3">
      <c r="A1969" t="str">
        <f>""</f>
        <v/>
      </c>
      <c r="F1969" t="str">
        <f>""</f>
        <v/>
      </c>
      <c r="G1969" t="str">
        <f>""</f>
        <v/>
      </c>
      <c r="I1969" t="str">
        <f>"4/27/2018"</f>
        <v>4/27/2018</v>
      </c>
    </row>
    <row r="1970" spans="1:9" x14ac:dyDescent="0.3">
      <c r="A1970" t="str">
        <f>""</f>
        <v/>
      </c>
      <c r="F1970" t="str">
        <f>""</f>
        <v/>
      </c>
      <c r="G1970" t="str">
        <f>""</f>
        <v/>
      </c>
      <c r="I1970" t="str">
        <f>"4/12/2018"</f>
        <v>4/12/2018</v>
      </c>
    </row>
    <row r="1971" spans="1:9" x14ac:dyDescent="0.3">
      <c r="A1971" t="str">
        <f>""</f>
        <v/>
      </c>
      <c r="F1971" t="str">
        <f>""</f>
        <v/>
      </c>
      <c r="G1971" t="str">
        <f>""</f>
        <v/>
      </c>
      <c r="I1971" t="str">
        <f>"Vehicles Using Pumps"</f>
        <v>Vehicles Using Pumps</v>
      </c>
    </row>
    <row r="1972" spans="1:9" x14ac:dyDescent="0.3">
      <c r="A1972" t="str">
        <f>"001081"</f>
        <v>001081</v>
      </c>
      <c r="B1972" t="s">
        <v>68</v>
      </c>
      <c r="C1972">
        <v>76791</v>
      </c>
      <c r="D1972" s="2">
        <v>15385.28</v>
      </c>
      <c r="E1972" s="1">
        <v>43234</v>
      </c>
      <c r="F1972" t="str">
        <f>"201804270475"</f>
        <v>201804270475</v>
      </c>
      <c r="G1972" t="str">
        <f>"381 AGREEMENT AD VALOREM 2018"</f>
        <v>381 AGREEMENT AD VALOREM 2018</v>
      </c>
      <c r="H1972">
        <v>15385.28</v>
      </c>
      <c r="I1972" t="str">
        <f>"381 AGREEMENT AD VALOREM 2018"</f>
        <v>381 AGREEMENT AD VALOREM 2018</v>
      </c>
    </row>
    <row r="1973" spans="1:9" x14ac:dyDescent="0.3">
      <c r="A1973" t="str">
        <f>"BEC"</f>
        <v>BEC</v>
      </c>
      <c r="B1973" t="s">
        <v>85</v>
      </c>
      <c r="C1973">
        <v>76819</v>
      </c>
      <c r="D1973" s="2">
        <v>120.31</v>
      </c>
      <c r="E1973" s="1">
        <v>43237</v>
      </c>
      <c r="F1973" t="str">
        <f>"201805171071"</f>
        <v>201805171071</v>
      </c>
      <c r="G1973" t="str">
        <f>"ACCT#5000057374 / 05/02/2018"</f>
        <v>ACCT#5000057374 / 05/02/2018</v>
      </c>
      <c r="H1973">
        <v>120.31</v>
      </c>
      <c r="I1973" t="str">
        <f>"ACCT#5000057374 / 05/02/2018"</f>
        <v>ACCT#5000057374 / 05/02/2018</v>
      </c>
    </row>
    <row r="1974" spans="1:9" x14ac:dyDescent="0.3">
      <c r="A1974" t="str">
        <f>"COB"</f>
        <v>COB</v>
      </c>
      <c r="B1974" t="s">
        <v>116</v>
      </c>
      <c r="C1974">
        <v>76792</v>
      </c>
      <c r="D1974" s="2">
        <v>182328.32000000001</v>
      </c>
      <c r="E1974" s="1">
        <v>43234</v>
      </c>
      <c r="F1974" t="str">
        <f>"201805090924"</f>
        <v>201805090924</v>
      </c>
      <c r="G1974" t="str">
        <f>"SHELTER GRANT REIMBURSEMENT #8"</f>
        <v>SHELTER GRANT REIMBURSEMENT #8</v>
      </c>
      <c r="H1974">
        <v>182328.32000000001</v>
      </c>
      <c r="I1974" t="str">
        <f>"SHELTER GRANT REIMBURSEMENT #8"</f>
        <v>SHELTER GRANT REIMBURSEMENT #8</v>
      </c>
    </row>
    <row r="1975" spans="1:9" x14ac:dyDescent="0.3">
      <c r="A1975" t="str">
        <f>"T11112"</f>
        <v>T11112</v>
      </c>
      <c r="B1975" t="s">
        <v>556</v>
      </c>
      <c r="C1975">
        <v>77004</v>
      </c>
      <c r="D1975" s="2">
        <v>3378.4</v>
      </c>
      <c r="E1975" s="1">
        <v>43249</v>
      </c>
      <c r="F1975" t="str">
        <f>"92384627"</f>
        <v>92384627</v>
      </c>
      <c r="G1975" t="str">
        <f>"Rebar Order"</f>
        <v>Rebar Order</v>
      </c>
      <c r="H1975">
        <v>3378.4</v>
      </c>
      <c r="I1975" t="str">
        <f>"#5 X 40'"</f>
        <v>#5 X 40'</v>
      </c>
    </row>
    <row r="1976" spans="1:9" x14ac:dyDescent="0.3">
      <c r="A1976" t="str">
        <f>""</f>
        <v/>
      </c>
      <c r="F1976" t="str">
        <f>""</f>
        <v/>
      </c>
      <c r="G1976" t="str">
        <f>""</f>
        <v/>
      </c>
      <c r="I1976" t="str">
        <f>"#5 corner Bars"</f>
        <v>#5 corner Bars</v>
      </c>
    </row>
    <row r="1977" spans="1:9" x14ac:dyDescent="0.3">
      <c r="A1977" t="str">
        <f>"FNB"</f>
        <v>FNB</v>
      </c>
      <c r="B1977" t="s">
        <v>557</v>
      </c>
      <c r="C1977">
        <v>0</v>
      </c>
      <c r="D1977" s="2">
        <v>4580137.5</v>
      </c>
      <c r="E1977" s="1">
        <v>43249</v>
      </c>
      <c r="F1977" t="str">
        <f>"201805291200"</f>
        <v>201805291200</v>
      </c>
      <c r="G1977" t="str">
        <f>"DEBT SERVICE PMT - SERIES 2009"</f>
        <v>DEBT SERVICE PMT - SERIES 2009</v>
      </c>
      <c r="H1977">
        <v>463200</v>
      </c>
      <c r="I1977" t="str">
        <f>"DEBT SERVICE PMT - SERIES 2009"</f>
        <v>DEBT SERVICE PMT - SERIES 2009</v>
      </c>
    </row>
    <row r="1978" spans="1:9" x14ac:dyDescent="0.3">
      <c r="A1978" t="str">
        <f>""</f>
        <v/>
      </c>
      <c r="F1978" t="str">
        <f>""</f>
        <v/>
      </c>
      <c r="G1978" t="str">
        <f>""</f>
        <v/>
      </c>
      <c r="I1978" t="str">
        <f>"DEBT SERVICE PMT - SERIES 2009"</f>
        <v>DEBT SERVICE PMT - SERIES 2009</v>
      </c>
    </row>
    <row r="1979" spans="1:9" x14ac:dyDescent="0.3">
      <c r="A1979" t="str">
        <f>""</f>
        <v/>
      </c>
      <c r="F1979" t="str">
        <f>"201805291201"</f>
        <v>201805291201</v>
      </c>
      <c r="G1979" t="str">
        <f>"DEBT SERVICE PMT - SERIES 2012"</f>
        <v>DEBT SERVICE PMT - SERIES 2012</v>
      </c>
      <c r="H1979">
        <v>625575</v>
      </c>
      <c r="I1979" t="str">
        <f>"DEBT SERVICE PMT - SERIES 2012"</f>
        <v>DEBT SERVICE PMT - SERIES 2012</v>
      </c>
    </row>
    <row r="1980" spans="1:9" x14ac:dyDescent="0.3">
      <c r="A1980" t="str">
        <f>""</f>
        <v/>
      </c>
      <c r="F1980" t="str">
        <f>""</f>
        <v/>
      </c>
      <c r="G1980" t="str">
        <f>""</f>
        <v/>
      </c>
      <c r="I1980" t="str">
        <f>"DEBT SERVICE PMT - SERIES 2012"</f>
        <v>DEBT SERVICE PMT - SERIES 2012</v>
      </c>
    </row>
    <row r="1981" spans="1:9" x14ac:dyDescent="0.3">
      <c r="A1981" t="str">
        <f>""</f>
        <v/>
      </c>
      <c r="F1981" t="str">
        <f>"201805291202"</f>
        <v>201805291202</v>
      </c>
      <c r="G1981" t="str">
        <f>"DEBT SERVICE PMT - SERIES 2013"</f>
        <v>DEBT SERVICE PMT - SERIES 2013</v>
      </c>
      <c r="H1981">
        <v>1029562.5</v>
      </c>
      <c r="I1981" t="str">
        <f>"DEBT SERVICE PMT - SERIES 2013"</f>
        <v>DEBT SERVICE PMT - SERIES 2013</v>
      </c>
    </row>
    <row r="1982" spans="1:9" x14ac:dyDescent="0.3">
      <c r="A1982" t="str">
        <f>""</f>
        <v/>
      </c>
      <c r="F1982" t="str">
        <f>""</f>
        <v/>
      </c>
      <c r="G1982" t="str">
        <f>""</f>
        <v/>
      </c>
      <c r="I1982" t="str">
        <f>"DEBT SERVICE PMT - SERIES 2013"</f>
        <v>DEBT SERVICE PMT - SERIES 2013</v>
      </c>
    </row>
    <row r="1983" spans="1:9" x14ac:dyDescent="0.3">
      <c r="A1983" t="str">
        <f>""</f>
        <v/>
      </c>
      <c r="F1983" t="str">
        <f>"201805291196"</f>
        <v>201805291196</v>
      </c>
      <c r="G1983" t="str">
        <f>"DEBT SERVICE PMT- SERIES 2015"</f>
        <v>DEBT SERVICE PMT- SERIES 2015</v>
      </c>
      <c r="H1983">
        <v>343462.5</v>
      </c>
    </row>
    <row r="1984" spans="1:9" x14ac:dyDescent="0.3">
      <c r="A1984" t="str">
        <f>""</f>
        <v/>
      </c>
      <c r="F1984" t="str">
        <f>"201805291197"</f>
        <v>201805291197</v>
      </c>
      <c r="G1984" t="str">
        <f>"DEBT SERVICE PMT- SERIES 2009"</f>
        <v>DEBT SERVICE PMT- SERIES 2009</v>
      </c>
      <c r="H1984">
        <v>463200</v>
      </c>
    </row>
    <row r="1985" spans="1:9" x14ac:dyDescent="0.3">
      <c r="A1985" t="str">
        <f>""</f>
        <v/>
      </c>
      <c r="F1985" t="str">
        <f>"201805291198"</f>
        <v>201805291198</v>
      </c>
      <c r="G1985" t="str">
        <f>"DEBT SERVICE PMT- SERIES 2012"</f>
        <v>DEBT SERVICE PMT- SERIES 2012</v>
      </c>
      <c r="H1985">
        <v>625575</v>
      </c>
    </row>
    <row r="1986" spans="1:9" x14ac:dyDescent="0.3">
      <c r="A1986" t="str">
        <f>""</f>
        <v/>
      </c>
      <c r="F1986" t="str">
        <f>"201805291199"</f>
        <v>201805291199</v>
      </c>
      <c r="G1986" t="str">
        <f>"DEBT SERVICE PMT- SERIES 2013"</f>
        <v>DEBT SERVICE PMT- SERIES 2013</v>
      </c>
      <c r="H1986">
        <v>1029562.5</v>
      </c>
    </row>
    <row r="1988" spans="1:9" x14ac:dyDescent="0.3">
      <c r="A1988" t="str">
        <f>"004691"</f>
        <v>004691</v>
      </c>
      <c r="B1988" t="s">
        <v>186</v>
      </c>
      <c r="C1988">
        <v>77006</v>
      </c>
      <c r="D1988" s="2">
        <v>14.81</v>
      </c>
      <c r="E1988" s="1">
        <v>43249</v>
      </c>
      <c r="F1988" t="str">
        <f>"NP53276666"</f>
        <v>NP53276666</v>
      </c>
      <c r="G1988" t="str">
        <f>"Stmt# NP53276666"</f>
        <v>Stmt# NP53276666</v>
      </c>
      <c r="H1988">
        <v>14.81</v>
      </c>
      <c r="I1988" t="str">
        <f>"OEM"</f>
        <v>OEM</v>
      </c>
    </row>
    <row r="1989" spans="1:9" x14ac:dyDescent="0.3">
      <c r="A1989" t="str">
        <f>"AP3545"</f>
        <v>AP3545</v>
      </c>
      <c r="B1989" t="s">
        <v>229</v>
      </c>
      <c r="C1989">
        <v>76793</v>
      </c>
      <c r="D1989" s="2">
        <v>9</v>
      </c>
      <c r="E1989" s="1">
        <v>43234</v>
      </c>
      <c r="F1989" t="str">
        <f>"171439"</f>
        <v>171439</v>
      </c>
      <c r="G1989" t="str">
        <f>"ITEM#568-910/BOSS O-RING/OEM"</f>
        <v>ITEM#568-910/BOSS O-RING/OEM</v>
      </c>
      <c r="H1989">
        <v>9</v>
      </c>
    </row>
    <row r="1990" spans="1:9" x14ac:dyDescent="0.3">
      <c r="A1990" t="str">
        <f>"AP3545"</f>
        <v>AP3545</v>
      </c>
      <c r="B1990" t="s">
        <v>229</v>
      </c>
      <c r="C1990">
        <v>76793</v>
      </c>
      <c r="D1990" s="2">
        <v>9</v>
      </c>
      <c r="E1990" s="1">
        <v>43244</v>
      </c>
      <c r="F1990" t="str">
        <f>"CHECK"</f>
        <v>CHECK</v>
      </c>
      <c r="G1990" t="str">
        <f>""</f>
        <v/>
      </c>
      <c r="H1990">
        <v>9</v>
      </c>
    </row>
    <row r="1991" spans="1:9" x14ac:dyDescent="0.3">
      <c r="A1991" t="str">
        <f>"JEG"</f>
        <v>JEG</v>
      </c>
      <c r="B1991" t="s">
        <v>558</v>
      </c>
      <c r="C1991">
        <v>76794</v>
      </c>
      <c r="D1991" s="2">
        <v>1200</v>
      </c>
      <c r="E1991" s="1">
        <v>43234</v>
      </c>
      <c r="F1991" t="str">
        <f>"579-17"</f>
        <v>579-17</v>
      </c>
      <c r="G1991" t="str">
        <f>"STAKE EXTENSION OLD PINEY TRL"</f>
        <v>STAKE EXTENSION OLD PINEY TRL</v>
      </c>
      <c r="H1991">
        <v>1200</v>
      </c>
      <c r="I1991" t="str">
        <f>"STAKE EXTENSION OLD PINEY TRL"</f>
        <v>STAKE EXTENSION OLD PINEY TRL</v>
      </c>
    </row>
    <row r="1992" spans="1:9" x14ac:dyDescent="0.3">
      <c r="A1992" t="str">
        <f>"005473"</f>
        <v>005473</v>
      </c>
      <c r="B1992" t="s">
        <v>559</v>
      </c>
      <c r="C1992">
        <v>76821</v>
      </c>
      <c r="D1992" s="2">
        <v>30645</v>
      </c>
      <c r="E1992" s="1">
        <v>43234</v>
      </c>
      <c r="F1992" t="str">
        <f>"16673"</f>
        <v>16673</v>
      </c>
      <c r="G1992" t="str">
        <f>"Fiber from Sheriff-tads"</f>
        <v>Fiber from Sheriff-tads</v>
      </c>
      <c r="H1992">
        <v>30645</v>
      </c>
      <c r="I1992" t="str">
        <f>"Core Sherriff to Tad"</f>
        <v>Core Sherriff to Tad</v>
      </c>
    </row>
    <row r="1993" spans="1:9" x14ac:dyDescent="0.3">
      <c r="A1993" t="str">
        <f>""</f>
        <v/>
      </c>
      <c r="F1993" t="str">
        <f>""</f>
        <v/>
      </c>
      <c r="G1993" t="str">
        <f>""</f>
        <v/>
      </c>
      <c r="I1993" t="str">
        <f>"Directional Bore"</f>
        <v>Directional Bore</v>
      </c>
    </row>
    <row r="1994" spans="1:9" x14ac:dyDescent="0.3">
      <c r="A1994" t="str">
        <f>""</f>
        <v/>
      </c>
      <c r="F1994" t="str">
        <f>""</f>
        <v/>
      </c>
      <c r="G1994" t="str">
        <f>""</f>
        <v/>
      </c>
      <c r="I1994" t="str">
        <f>"Open Trench"</f>
        <v>Open Trench</v>
      </c>
    </row>
    <row r="1995" spans="1:9" x14ac:dyDescent="0.3">
      <c r="A1995" t="str">
        <f>""</f>
        <v/>
      </c>
      <c r="F1995" t="str">
        <f>""</f>
        <v/>
      </c>
      <c r="G1995" t="str">
        <f>""</f>
        <v/>
      </c>
      <c r="I1995" t="str">
        <f>"24 X36  HH"</f>
        <v>24 X36  HH</v>
      </c>
    </row>
    <row r="1996" spans="1:9" x14ac:dyDescent="0.3">
      <c r="A1996" t="str">
        <f>""</f>
        <v/>
      </c>
      <c r="F1996" t="str">
        <f>""</f>
        <v/>
      </c>
      <c r="G1996" t="str">
        <f>""</f>
        <v/>
      </c>
      <c r="I1996" t="str">
        <f>"Pipe into Tads"</f>
        <v>Pipe into Tads</v>
      </c>
    </row>
    <row r="1997" spans="1:9" x14ac:dyDescent="0.3">
      <c r="A1997" t="str">
        <f>""</f>
        <v/>
      </c>
      <c r="F1997" t="str">
        <f>""</f>
        <v/>
      </c>
      <c r="G1997" t="str">
        <f>""</f>
        <v/>
      </c>
      <c r="I1997" t="str">
        <f>"Pull Fiber"</f>
        <v>Pull Fiber</v>
      </c>
    </row>
    <row r="1998" spans="1:9" x14ac:dyDescent="0.3">
      <c r="A1998" t="str">
        <f>""</f>
        <v/>
      </c>
      <c r="F1998" t="str">
        <f>""</f>
        <v/>
      </c>
      <c r="G1998" t="str">
        <f>""</f>
        <v/>
      </c>
      <c r="I1998" t="str">
        <f>"Traffic Control"</f>
        <v>Traffic Control</v>
      </c>
    </row>
    <row r="1999" spans="1:9" x14ac:dyDescent="0.3">
      <c r="A1999" t="str">
        <f>""</f>
        <v/>
      </c>
      <c r="F1999" t="str">
        <f>""</f>
        <v/>
      </c>
      <c r="G1999" t="str">
        <f>""</f>
        <v/>
      </c>
      <c r="I1999" t="str">
        <f>"Splic Fiber"</f>
        <v>Splic Fiber</v>
      </c>
    </row>
    <row r="2000" spans="1:9" x14ac:dyDescent="0.3">
      <c r="A2000" t="str">
        <f>""</f>
        <v/>
      </c>
      <c r="F2000" t="str">
        <f>""</f>
        <v/>
      </c>
      <c r="G2000" t="str">
        <f>""</f>
        <v/>
      </c>
      <c r="I2000" t="str">
        <f>"Prep and Place"</f>
        <v>Prep and Place</v>
      </c>
    </row>
    <row r="2001" spans="1:9" x14ac:dyDescent="0.3">
      <c r="A2001" t="str">
        <f>""</f>
        <v/>
      </c>
      <c r="F2001" t="str">
        <f>""</f>
        <v/>
      </c>
      <c r="G2001" t="str">
        <f>""</f>
        <v/>
      </c>
      <c r="I2001" t="str">
        <f>"Bi-Directional OTBR"</f>
        <v>Bi-Directional OTBR</v>
      </c>
    </row>
    <row r="2002" spans="1:9" x14ac:dyDescent="0.3">
      <c r="A2002" t="str">
        <f>""</f>
        <v/>
      </c>
      <c r="F2002" t="str">
        <f>""</f>
        <v/>
      </c>
      <c r="G2002" t="str">
        <f>""</f>
        <v/>
      </c>
      <c r="I2002" t="str">
        <f>"Power Meter"</f>
        <v>Power Meter</v>
      </c>
    </row>
    <row r="2003" spans="1:9" x14ac:dyDescent="0.3">
      <c r="A2003" t="str">
        <f>""</f>
        <v/>
      </c>
      <c r="F2003" t="str">
        <f>""</f>
        <v/>
      </c>
      <c r="G2003" t="str">
        <f>""</f>
        <v/>
      </c>
      <c r="I2003" t="str">
        <f>"Place Riser"</f>
        <v>Place Riser</v>
      </c>
    </row>
    <row r="2004" spans="1:9" x14ac:dyDescent="0.3">
      <c r="A2004" t="str">
        <f>""</f>
        <v/>
      </c>
      <c r="F2004" t="str">
        <f>""</f>
        <v/>
      </c>
      <c r="G2004" t="str">
        <f>""</f>
        <v/>
      </c>
      <c r="I2004" t="str">
        <f>"Muletap"</f>
        <v>Muletap</v>
      </c>
    </row>
    <row r="2005" spans="1:9" x14ac:dyDescent="0.3">
      <c r="A2005" t="str">
        <f>""</f>
        <v/>
      </c>
      <c r="F2005" t="str">
        <f>""</f>
        <v/>
      </c>
      <c r="G2005" t="str">
        <f>""</f>
        <v/>
      </c>
      <c r="I2005" t="str">
        <f>"Jetline"</f>
        <v>Jetline</v>
      </c>
    </row>
    <row r="2006" spans="1:9" x14ac:dyDescent="0.3">
      <c r="A2006" t="str">
        <f>""</f>
        <v/>
      </c>
      <c r="F2006" t="str">
        <f>""</f>
        <v/>
      </c>
      <c r="G2006" t="str">
        <f>""</f>
        <v/>
      </c>
      <c r="I2006" t="str">
        <f>"24 X36 HH"</f>
        <v>24 X36 HH</v>
      </c>
    </row>
    <row r="2007" spans="1:9" x14ac:dyDescent="0.3">
      <c r="A2007" t="str">
        <f>""</f>
        <v/>
      </c>
      <c r="F2007" t="str">
        <f>""</f>
        <v/>
      </c>
      <c r="G2007" t="str">
        <f>""</f>
        <v/>
      </c>
      <c r="I2007" t="str">
        <f>"48ct SM Armored"</f>
        <v>48ct SM Armored</v>
      </c>
    </row>
    <row r="2008" spans="1:9" x14ac:dyDescent="0.3">
      <c r="A2008" t="str">
        <f>""</f>
        <v/>
      </c>
      <c r="F2008" t="str">
        <f>""</f>
        <v/>
      </c>
      <c r="G2008" t="str">
        <f>""</f>
        <v/>
      </c>
      <c r="I2008" t="str">
        <f>"4U FDP"</f>
        <v>4U FDP</v>
      </c>
    </row>
    <row r="2009" spans="1:9" x14ac:dyDescent="0.3">
      <c r="A2009" t="str">
        <f>""</f>
        <v/>
      </c>
      <c r="F2009" t="str">
        <f>""</f>
        <v/>
      </c>
      <c r="G2009" t="str">
        <f>""</f>
        <v/>
      </c>
      <c r="I2009" t="str">
        <f>"1.25"</f>
        <v>1.25</v>
      </c>
    </row>
    <row r="2010" spans="1:9" x14ac:dyDescent="0.3">
      <c r="A2010" t="str">
        <f>""</f>
        <v/>
      </c>
      <c r="F2010" t="str">
        <f>""</f>
        <v/>
      </c>
      <c r="G2010" t="str">
        <f>""</f>
        <v/>
      </c>
      <c r="I2010" t="str">
        <f>"4  EMT"</f>
        <v>4  EMT</v>
      </c>
    </row>
    <row r="2011" spans="1:9" x14ac:dyDescent="0.3">
      <c r="A2011" t="str">
        <f>""</f>
        <v/>
      </c>
      <c r="F2011" t="str">
        <f>""</f>
        <v/>
      </c>
      <c r="G2011" t="str">
        <f>""</f>
        <v/>
      </c>
      <c r="I2011" t="str">
        <f>"2  EMT"</f>
        <v>2  EMT</v>
      </c>
    </row>
    <row r="2012" spans="1:9" x14ac:dyDescent="0.3">
      <c r="A2012" t="str">
        <f>""</f>
        <v/>
      </c>
      <c r="F2012" t="str">
        <f>""</f>
        <v/>
      </c>
      <c r="G2012" t="str">
        <f>""</f>
        <v/>
      </c>
      <c r="I2012" t="str">
        <f>"12 X12 X8"</f>
        <v>12 X12 X8</v>
      </c>
    </row>
    <row r="2013" spans="1:9" x14ac:dyDescent="0.3">
      <c r="A2013" t="str">
        <f>"005119"</f>
        <v>005119</v>
      </c>
      <c r="B2013" t="s">
        <v>560</v>
      </c>
      <c r="C2013">
        <v>76795</v>
      </c>
      <c r="D2013" s="2">
        <v>61865.75</v>
      </c>
      <c r="E2013" s="1">
        <v>43234</v>
      </c>
      <c r="F2013" t="str">
        <f>"201804062"</f>
        <v>201804062</v>
      </c>
      <c r="G2013" t="str">
        <f>"PROJECT:2017072/911 EMER OP"</f>
        <v>PROJECT:2017072/911 EMER OP</v>
      </c>
      <c r="H2013">
        <v>61865.75</v>
      </c>
      <c r="I2013" t="str">
        <f>"PROJECT:2017072/911 EMER OP"</f>
        <v>PROJECT:2017072/911 EMER OP</v>
      </c>
    </row>
    <row r="2014" spans="1:9" x14ac:dyDescent="0.3">
      <c r="A2014" t="str">
        <f>"T13475"</f>
        <v>T13475</v>
      </c>
      <c r="B2014" t="s">
        <v>561</v>
      </c>
      <c r="C2014">
        <v>76796</v>
      </c>
      <c r="D2014" s="2">
        <v>5250</v>
      </c>
      <c r="E2014" s="1">
        <v>43234</v>
      </c>
      <c r="F2014" t="str">
        <f>"3472"</f>
        <v>3472</v>
      </c>
      <c r="G2014" t="str">
        <f>"CONSTRUCTION PHASE OF PROJECT"</f>
        <v>CONSTRUCTION PHASE OF PROJECT</v>
      </c>
      <c r="H2014">
        <v>5250</v>
      </c>
      <c r="I2014" t="str">
        <f>"CONSTRUCTION PHASE OF PROJECT"</f>
        <v>CONSTRUCTION PHASE OF PROJECT</v>
      </c>
    </row>
    <row r="2015" spans="1:9" x14ac:dyDescent="0.3">
      <c r="A2015" t="str">
        <f>"T13475"</f>
        <v>T13475</v>
      </c>
      <c r="B2015" t="s">
        <v>561</v>
      </c>
      <c r="C2015">
        <v>76797</v>
      </c>
      <c r="D2015" s="2">
        <v>5612.67</v>
      </c>
      <c r="E2015" s="1">
        <v>43234</v>
      </c>
      <c r="F2015" t="str">
        <f>"3524"</f>
        <v>3524</v>
      </c>
      <c r="G2015" t="str">
        <f>"HMGP ADMIN/DR 4245-017"</f>
        <v>HMGP ADMIN/DR 4245-017</v>
      </c>
      <c r="H2015">
        <v>5612.67</v>
      </c>
      <c r="I2015" t="str">
        <f>"HMGP ADMIN/DR 4245-017"</f>
        <v>HMGP ADMIN/DR 4245-017</v>
      </c>
    </row>
    <row r="2016" spans="1:9" x14ac:dyDescent="0.3">
      <c r="A2016" t="str">
        <f>"T13475"</f>
        <v>T13475</v>
      </c>
      <c r="B2016" t="s">
        <v>561</v>
      </c>
      <c r="C2016">
        <v>76816</v>
      </c>
      <c r="D2016" s="2">
        <v>30150</v>
      </c>
      <c r="E2016" s="1">
        <v>43237</v>
      </c>
      <c r="F2016" t="str">
        <f>"3518"</f>
        <v>3518</v>
      </c>
      <c r="G2016" t="str">
        <f>"2017 DR PROJECT/GRANT FUNDS"</f>
        <v>2017 DR PROJECT/GRANT FUNDS</v>
      </c>
      <c r="H2016">
        <v>30150</v>
      </c>
      <c r="I2016" t="str">
        <f>"2017 DR PROJECT/GRANT FUNDS"</f>
        <v>2017 DR PROJECT/GRANT FUNDS</v>
      </c>
    </row>
    <row r="2017" spans="1:9" x14ac:dyDescent="0.3">
      <c r="A2017" t="str">
        <f>"189"</f>
        <v>189</v>
      </c>
      <c r="B2017" t="s">
        <v>393</v>
      </c>
      <c r="C2017">
        <v>77007</v>
      </c>
      <c r="D2017" s="2">
        <v>206425.4</v>
      </c>
      <c r="E2017" s="1">
        <v>43249</v>
      </c>
      <c r="F2017" t="str">
        <f>"41250275"</f>
        <v>41250275</v>
      </c>
      <c r="G2017" t="str">
        <f>"911 Move Equip Part 1"</f>
        <v>911 Move Equip Part 1</v>
      </c>
      <c r="H2017">
        <v>206425.4</v>
      </c>
      <c r="I2017" t="str">
        <f>"20% Down Payment"</f>
        <v>20% Down Payment</v>
      </c>
    </row>
    <row r="2018" spans="1:9" x14ac:dyDescent="0.3">
      <c r="A2018" t="str">
        <f>"004401"</f>
        <v>004401</v>
      </c>
      <c r="B2018" t="s">
        <v>562</v>
      </c>
      <c r="C2018">
        <v>76798</v>
      </c>
      <c r="D2018" s="2">
        <v>14067.01</v>
      </c>
      <c r="E2018" s="1">
        <v>43234</v>
      </c>
      <c r="F2018" t="str">
        <f>"WORK0932151"</f>
        <v>WORK0932151</v>
      </c>
      <c r="G2018" t="str">
        <f>"Inv# WORK0932151"</f>
        <v>Inv# WORK0932151</v>
      </c>
      <c r="H2018">
        <v>3686.68</v>
      </c>
      <c r="I2018" t="str">
        <f>"Inv# WORK0932151"</f>
        <v>Inv# WORK0932151</v>
      </c>
    </row>
    <row r="2019" spans="1:9" x14ac:dyDescent="0.3">
      <c r="A2019" t="str">
        <f>""</f>
        <v/>
      </c>
      <c r="F2019" t="str">
        <f>""</f>
        <v/>
      </c>
      <c r="G2019" t="str">
        <f>""</f>
        <v/>
      </c>
      <c r="I2019" t="str">
        <f>"Inv# WORK0932151"</f>
        <v>Inv# WORK0932151</v>
      </c>
    </row>
    <row r="2020" spans="1:9" x14ac:dyDescent="0.3">
      <c r="A2020" t="str">
        <f>""</f>
        <v/>
      </c>
      <c r="F2020" t="str">
        <f>"WORK0932153"</f>
        <v>WORK0932153</v>
      </c>
      <c r="G2020" t="str">
        <f>"Inv# WORK0932153"</f>
        <v>Inv# WORK0932153</v>
      </c>
      <c r="H2020">
        <v>10380.33</v>
      </c>
      <c r="I2020" t="str">
        <f>"Inv# WORK0932153"</f>
        <v>Inv# WORK0932153</v>
      </c>
    </row>
    <row r="2021" spans="1:9" x14ac:dyDescent="0.3">
      <c r="A2021" t="str">
        <f>""</f>
        <v/>
      </c>
      <c r="F2021" t="str">
        <f>""</f>
        <v/>
      </c>
      <c r="G2021" t="str">
        <f>""</f>
        <v/>
      </c>
      <c r="I2021" t="str">
        <f>"Inv# WORK0932153"</f>
        <v>Inv# WORK0932153</v>
      </c>
    </row>
    <row r="2022" spans="1:9" x14ac:dyDescent="0.3">
      <c r="A2022" t="str">
        <f>"004994"</f>
        <v>004994</v>
      </c>
      <c r="B2022" t="s">
        <v>563</v>
      </c>
      <c r="C2022">
        <v>76799</v>
      </c>
      <c r="D2022" s="2">
        <v>874.02</v>
      </c>
      <c r="E2022" s="1">
        <v>43234</v>
      </c>
      <c r="F2022" t="str">
        <f>"294"</f>
        <v>294</v>
      </c>
      <c r="G2022" t="str">
        <f>"MECHANICAL UNDERSTORY-5 ACRES"</f>
        <v>MECHANICAL UNDERSTORY-5 ACRES</v>
      </c>
      <c r="H2022">
        <v>874.02</v>
      </c>
      <c r="I2022" t="str">
        <f>"MECHANICAL UNDERSTORY-5 ACRES"</f>
        <v>MECHANICAL UNDERSTORY-5 ACRES</v>
      </c>
    </row>
    <row r="2023" spans="1:9" x14ac:dyDescent="0.3">
      <c r="A2023" t="str">
        <f>"T10195"</f>
        <v>T10195</v>
      </c>
      <c r="B2023" t="s">
        <v>458</v>
      </c>
      <c r="C2023">
        <v>76800</v>
      </c>
      <c r="D2023" s="2">
        <v>8381</v>
      </c>
      <c r="E2023" s="1">
        <v>43234</v>
      </c>
      <c r="F2023" t="str">
        <f>"GB00265833"</f>
        <v>GB00265833</v>
      </c>
      <c r="G2023" t="str">
        <f>"Inv# GB00265833"</f>
        <v>Inv# GB00265833</v>
      </c>
      <c r="H2023">
        <v>8381</v>
      </c>
      <c r="I2023" t="str">
        <f>"Inv# GB00265833"</f>
        <v>Inv# GB00265833</v>
      </c>
    </row>
    <row r="2024" spans="1:9" x14ac:dyDescent="0.3">
      <c r="A2024" t="str">
        <f>"TACUE"</f>
        <v>TACUE</v>
      </c>
      <c r="B2024" t="s">
        <v>491</v>
      </c>
      <c r="C2024">
        <v>77008</v>
      </c>
      <c r="D2024" s="2">
        <v>66.86</v>
      </c>
      <c r="E2024" s="1">
        <v>43249</v>
      </c>
      <c r="F2024" t="str">
        <f>"DP -2017-4-0110"</f>
        <v>DP -2017-4-0110</v>
      </c>
      <c r="G2024" t="str">
        <f>"ONE YEAR RESERVE BALANCE"</f>
        <v>ONE YEAR RESERVE BALANCE</v>
      </c>
      <c r="H2024">
        <v>66.86</v>
      </c>
      <c r="I2024" t="str">
        <f>"ONE YEAR RESERVE BALANCE"</f>
        <v>ONE YEAR RESERVE BALANCE</v>
      </c>
    </row>
    <row r="2025" spans="1:9" x14ac:dyDescent="0.3">
      <c r="A2025" t="str">
        <f>"003484"</f>
        <v>003484</v>
      </c>
      <c r="B2025" t="s">
        <v>564</v>
      </c>
      <c r="C2025">
        <v>76801</v>
      </c>
      <c r="D2025" s="2">
        <v>29055.200000000001</v>
      </c>
      <c r="E2025" s="1">
        <v>43234</v>
      </c>
      <c r="F2025" t="str">
        <f>"9-2184-2185"</f>
        <v>9-2184-2185</v>
      </c>
      <c r="G2025" t="str">
        <f>"Inv# 9-2184-2185"</f>
        <v>Inv# 9-2184-2185</v>
      </c>
      <c r="H2025">
        <v>29055.200000000001</v>
      </c>
      <c r="I2025" t="str">
        <f>"Inv# 9-2184-2185"</f>
        <v>Inv# 9-2184-2185</v>
      </c>
    </row>
    <row r="2026" spans="1:9" x14ac:dyDescent="0.3">
      <c r="A2026" t="str">
        <f>""</f>
        <v/>
      </c>
      <c r="F2026" t="str">
        <f>""</f>
        <v/>
      </c>
      <c r="G2026" t="str">
        <f>""</f>
        <v/>
      </c>
      <c r="I2026" t="str">
        <f>"Inv# 9-2184-2185"</f>
        <v>Inv# 9-2184-2185</v>
      </c>
    </row>
    <row r="2027" spans="1:9" x14ac:dyDescent="0.3">
      <c r="A2027" t="str">
        <f>"T12006"</f>
        <v>T12006</v>
      </c>
      <c r="B2027" t="s">
        <v>526</v>
      </c>
      <c r="C2027">
        <v>77009</v>
      </c>
      <c r="D2027" s="2">
        <v>217.99</v>
      </c>
      <c r="E2027" s="1">
        <v>43249</v>
      </c>
      <c r="F2027" t="str">
        <f>"I011945"</f>
        <v>I011945</v>
      </c>
      <c r="G2027" t="str">
        <f>"BRONZE BARS/LABOR"</f>
        <v>BRONZE BARS/LABOR</v>
      </c>
      <c r="H2027">
        <v>217.99</v>
      </c>
      <c r="I2027" t="str">
        <f>"BRONZE BARS/LABOR"</f>
        <v>BRONZE BARS/LABOR</v>
      </c>
    </row>
    <row r="2028" spans="1:9" x14ac:dyDescent="0.3">
      <c r="A2028" t="str">
        <f>"WALMAR"</f>
        <v>WALMAR</v>
      </c>
      <c r="B2028" t="s">
        <v>535</v>
      </c>
      <c r="C2028">
        <v>76802</v>
      </c>
      <c r="D2028" s="2">
        <v>175.95</v>
      </c>
      <c r="E2028" s="1">
        <v>43234</v>
      </c>
      <c r="F2028" t="str">
        <f>"007854"</f>
        <v>007854</v>
      </c>
      <c r="G2028" t="str">
        <f>"Acct# 6032202005312476"</f>
        <v>Acct# 6032202005312476</v>
      </c>
      <c r="H2028">
        <v>53.81</v>
      </c>
      <c r="I2028" t="str">
        <f>"Inv# 007854"</f>
        <v>Inv# 007854</v>
      </c>
    </row>
    <row r="2029" spans="1:9" x14ac:dyDescent="0.3">
      <c r="A2029" t="str">
        <f>""</f>
        <v/>
      </c>
      <c r="F2029" t="str">
        <f>"008645"</f>
        <v>008645</v>
      </c>
      <c r="G2029" t="str">
        <f>"Acct# 6032202005312476"</f>
        <v>Acct# 6032202005312476</v>
      </c>
      <c r="H2029">
        <v>122.14</v>
      </c>
      <c r="I2029" t="str">
        <f>"Inv# 008645"</f>
        <v>Inv# 008645</v>
      </c>
    </row>
    <row r="2030" spans="1:9" x14ac:dyDescent="0.3">
      <c r="A2030" t="str">
        <f>"ALLSTA"</f>
        <v>ALLSTA</v>
      </c>
      <c r="B2030" t="s">
        <v>565</v>
      </c>
      <c r="C2030">
        <v>0</v>
      </c>
      <c r="D2030" s="2">
        <v>7668.45</v>
      </c>
      <c r="E2030" s="1">
        <v>43242</v>
      </c>
      <c r="F2030" t="str">
        <f>"201805221107"</f>
        <v>201805221107</v>
      </c>
      <c r="G2030" t="str">
        <f>"ALLSTATE-AMERICAN HERITAGE LIF"</f>
        <v>ALLSTATE-AMERICAN HERITAGE LIF</v>
      </c>
      <c r="H2030">
        <v>7.0000000000000007E-2</v>
      </c>
      <c r="I2030" t="str">
        <f>"ALLSTATE-AMERICAN HERITAGE LIF"</f>
        <v>ALLSTATE-AMERICAN HERITAGE LIF</v>
      </c>
    </row>
    <row r="2031" spans="1:9" x14ac:dyDescent="0.3">
      <c r="A2031" t="str">
        <f>""</f>
        <v/>
      </c>
      <c r="F2031" t="str">
        <f>"AS 201805010494"</f>
        <v>AS 201805010494</v>
      </c>
      <c r="G2031" t="str">
        <f t="shared" ref="G2031:G2044" si="18">"ALLSTATE"</f>
        <v>ALLSTATE</v>
      </c>
      <c r="H2031">
        <v>751.7</v>
      </c>
      <c r="I2031" t="str">
        <f t="shared" ref="I2031:I2044" si="19">"ALLSTATE"</f>
        <v>ALLSTATE</v>
      </c>
    </row>
    <row r="2032" spans="1:9" x14ac:dyDescent="0.3">
      <c r="A2032" t="str">
        <f>""</f>
        <v/>
      </c>
      <c r="F2032" t="str">
        <f>"AS 201805010495"</f>
        <v>AS 201805010495</v>
      </c>
      <c r="G2032" t="str">
        <f t="shared" si="18"/>
        <v>ALLSTATE</v>
      </c>
      <c r="H2032">
        <v>36.14</v>
      </c>
      <c r="I2032" t="str">
        <f t="shared" si="19"/>
        <v>ALLSTATE</v>
      </c>
    </row>
    <row r="2033" spans="1:9" x14ac:dyDescent="0.3">
      <c r="A2033" t="str">
        <f>""</f>
        <v/>
      </c>
      <c r="F2033" t="str">
        <f>"AS 201805161053"</f>
        <v>AS 201805161053</v>
      </c>
      <c r="G2033" t="str">
        <f t="shared" si="18"/>
        <v>ALLSTATE</v>
      </c>
      <c r="H2033">
        <v>751.7</v>
      </c>
      <c r="I2033" t="str">
        <f t="shared" si="19"/>
        <v>ALLSTATE</v>
      </c>
    </row>
    <row r="2034" spans="1:9" x14ac:dyDescent="0.3">
      <c r="A2034" t="str">
        <f>""</f>
        <v/>
      </c>
      <c r="F2034" t="str">
        <f>"AS 201805161054"</f>
        <v>AS 201805161054</v>
      </c>
      <c r="G2034" t="str">
        <f t="shared" si="18"/>
        <v>ALLSTATE</v>
      </c>
      <c r="H2034">
        <v>36.14</v>
      </c>
      <c r="I2034" t="str">
        <f t="shared" si="19"/>
        <v>ALLSTATE</v>
      </c>
    </row>
    <row r="2035" spans="1:9" x14ac:dyDescent="0.3">
      <c r="A2035" t="str">
        <f>""</f>
        <v/>
      </c>
      <c r="F2035" t="str">
        <f>"ASD201805010494"</f>
        <v>ASD201805010494</v>
      </c>
      <c r="G2035" t="str">
        <f t="shared" si="18"/>
        <v>ALLSTATE</v>
      </c>
      <c r="H2035">
        <v>267.73</v>
      </c>
      <c r="I2035" t="str">
        <f t="shared" si="19"/>
        <v>ALLSTATE</v>
      </c>
    </row>
    <row r="2036" spans="1:9" x14ac:dyDescent="0.3">
      <c r="A2036" t="str">
        <f>""</f>
        <v/>
      </c>
      <c r="F2036" t="str">
        <f>"ASD201805161053"</f>
        <v>ASD201805161053</v>
      </c>
      <c r="G2036" t="str">
        <f t="shared" si="18"/>
        <v>ALLSTATE</v>
      </c>
      <c r="H2036">
        <v>267.73</v>
      </c>
      <c r="I2036" t="str">
        <f t="shared" si="19"/>
        <v>ALLSTATE</v>
      </c>
    </row>
    <row r="2037" spans="1:9" x14ac:dyDescent="0.3">
      <c r="A2037" t="str">
        <f>""</f>
        <v/>
      </c>
      <c r="F2037" t="str">
        <f>"ASI201805010494"</f>
        <v>ASI201805010494</v>
      </c>
      <c r="G2037" t="str">
        <f t="shared" si="18"/>
        <v>ALLSTATE</v>
      </c>
      <c r="H2037">
        <v>970.66</v>
      </c>
      <c r="I2037" t="str">
        <f t="shared" si="19"/>
        <v>ALLSTATE</v>
      </c>
    </row>
    <row r="2038" spans="1:9" x14ac:dyDescent="0.3">
      <c r="A2038" t="str">
        <f>""</f>
        <v/>
      </c>
      <c r="F2038" t="str">
        <f>"ASI201805010495"</f>
        <v>ASI201805010495</v>
      </c>
      <c r="G2038" t="str">
        <f t="shared" si="18"/>
        <v>ALLSTATE</v>
      </c>
      <c r="H2038">
        <v>100.63</v>
      </c>
      <c r="I2038" t="str">
        <f t="shared" si="19"/>
        <v>ALLSTATE</v>
      </c>
    </row>
    <row r="2039" spans="1:9" x14ac:dyDescent="0.3">
      <c r="A2039" t="str">
        <f>""</f>
        <v/>
      </c>
      <c r="F2039" t="str">
        <f>"ASI201805161053"</f>
        <v>ASI201805161053</v>
      </c>
      <c r="G2039" t="str">
        <f t="shared" si="18"/>
        <v>ALLSTATE</v>
      </c>
      <c r="H2039">
        <v>970.66</v>
      </c>
      <c r="I2039" t="str">
        <f t="shared" si="19"/>
        <v>ALLSTATE</v>
      </c>
    </row>
    <row r="2040" spans="1:9" x14ac:dyDescent="0.3">
      <c r="A2040" t="str">
        <f>""</f>
        <v/>
      </c>
      <c r="F2040" t="str">
        <f>"ASI201805161054"</f>
        <v>ASI201805161054</v>
      </c>
      <c r="G2040" t="str">
        <f t="shared" si="18"/>
        <v>ALLSTATE</v>
      </c>
      <c r="H2040">
        <v>100.63</v>
      </c>
      <c r="I2040" t="str">
        <f t="shared" si="19"/>
        <v>ALLSTATE</v>
      </c>
    </row>
    <row r="2041" spans="1:9" x14ac:dyDescent="0.3">
      <c r="A2041" t="str">
        <f>""</f>
        <v/>
      </c>
      <c r="F2041" t="str">
        <f>"AST201805010494"</f>
        <v>AST201805010494</v>
      </c>
      <c r="G2041" t="str">
        <f t="shared" si="18"/>
        <v>ALLSTATE</v>
      </c>
      <c r="H2041">
        <v>1653.5</v>
      </c>
      <c r="I2041" t="str">
        <f t="shared" si="19"/>
        <v>ALLSTATE</v>
      </c>
    </row>
    <row r="2042" spans="1:9" x14ac:dyDescent="0.3">
      <c r="A2042" t="str">
        <f>""</f>
        <v/>
      </c>
      <c r="F2042" t="str">
        <f>"AST201805010495"</f>
        <v>AST201805010495</v>
      </c>
      <c r="G2042" t="str">
        <f t="shared" si="18"/>
        <v>ALLSTATE</v>
      </c>
      <c r="H2042">
        <v>53.83</v>
      </c>
      <c r="I2042" t="str">
        <f t="shared" si="19"/>
        <v>ALLSTATE</v>
      </c>
    </row>
    <row r="2043" spans="1:9" x14ac:dyDescent="0.3">
      <c r="A2043" t="str">
        <f>""</f>
        <v/>
      </c>
      <c r="F2043" t="str">
        <f>"AST201805161053"</f>
        <v>AST201805161053</v>
      </c>
      <c r="G2043" t="str">
        <f t="shared" si="18"/>
        <v>ALLSTATE</v>
      </c>
      <c r="H2043">
        <v>1653.5</v>
      </c>
      <c r="I2043" t="str">
        <f t="shared" si="19"/>
        <v>ALLSTATE</v>
      </c>
    </row>
    <row r="2044" spans="1:9" x14ac:dyDescent="0.3">
      <c r="A2044" t="str">
        <f>""</f>
        <v/>
      </c>
      <c r="F2044" t="str">
        <f>"AST201805161054"</f>
        <v>AST201805161054</v>
      </c>
      <c r="G2044" t="str">
        <f t="shared" si="18"/>
        <v>ALLSTATE</v>
      </c>
      <c r="H2044">
        <v>53.83</v>
      </c>
      <c r="I2044" t="str">
        <f t="shared" si="19"/>
        <v>ALLSTATE</v>
      </c>
    </row>
    <row r="2045" spans="1:9" x14ac:dyDescent="0.3">
      <c r="A2045" t="str">
        <f>"T12180"</f>
        <v>T12180</v>
      </c>
      <c r="B2045" t="s">
        <v>566</v>
      </c>
      <c r="C2045">
        <v>0</v>
      </c>
      <c r="D2045" s="2">
        <v>3153.21</v>
      </c>
      <c r="E2045" s="1">
        <v>43224</v>
      </c>
      <c r="F2045" t="str">
        <f>"DDP201805010496"</f>
        <v>DDP201805010496</v>
      </c>
      <c r="G2045" t="str">
        <f>"AP - TEXAS DISCOUNT DENTAL"</f>
        <v>AP - TEXAS DISCOUNT DENTAL</v>
      </c>
      <c r="H2045">
        <v>6.53</v>
      </c>
      <c r="I2045" t="str">
        <f>"AP - TEXAS DISCOUNT DENTAL"</f>
        <v>AP - TEXAS DISCOUNT DENTAL</v>
      </c>
    </row>
    <row r="2046" spans="1:9" x14ac:dyDescent="0.3">
      <c r="A2046" t="str">
        <f>""</f>
        <v/>
      </c>
      <c r="F2046" t="str">
        <f>"DHM201805010496"</f>
        <v>DHM201805010496</v>
      </c>
      <c r="G2046" t="str">
        <f>"AP - DENTAL HMO"</f>
        <v>AP - DENTAL HMO</v>
      </c>
      <c r="H2046">
        <v>30.7</v>
      </c>
      <c r="I2046" t="str">
        <f>"AP - DENTAL HMO"</f>
        <v>AP - DENTAL HMO</v>
      </c>
    </row>
    <row r="2047" spans="1:9" x14ac:dyDescent="0.3">
      <c r="A2047" t="str">
        <f>""</f>
        <v/>
      </c>
      <c r="F2047" t="str">
        <f>"DTX201805010496"</f>
        <v>DTX201805010496</v>
      </c>
      <c r="G2047" t="str">
        <f>"AP - TEXAS DENTAL"</f>
        <v>AP - TEXAS DENTAL</v>
      </c>
      <c r="H2047">
        <v>397.64</v>
      </c>
      <c r="I2047" t="str">
        <f>"AP - TEXAS DENTAL"</f>
        <v>AP - TEXAS DENTAL</v>
      </c>
    </row>
    <row r="2048" spans="1:9" x14ac:dyDescent="0.3">
      <c r="A2048" t="str">
        <f>""</f>
        <v/>
      </c>
      <c r="F2048" t="str">
        <f>"FD 201805010496"</f>
        <v>FD 201805010496</v>
      </c>
      <c r="G2048" t="str">
        <f>"AP - FT DEARBORN PRE-TAX"</f>
        <v>AP - FT DEARBORN PRE-TAX</v>
      </c>
      <c r="H2048">
        <v>223.43</v>
      </c>
      <c r="I2048" t="str">
        <f>"AP - FT DEARBORN PRE-TAX"</f>
        <v>AP - FT DEARBORN PRE-TAX</v>
      </c>
    </row>
    <row r="2049" spans="1:9" x14ac:dyDescent="0.3">
      <c r="A2049" t="str">
        <f>""</f>
        <v/>
      </c>
      <c r="F2049" t="str">
        <f>"FDT201805010496"</f>
        <v>FDT201805010496</v>
      </c>
      <c r="G2049" t="str">
        <f>"AP - FT DEARBORN AFTER TAX"</f>
        <v>AP - FT DEARBORN AFTER TAX</v>
      </c>
      <c r="H2049">
        <v>86.54</v>
      </c>
      <c r="I2049" t="str">
        <f>"AP - FT DEARBORN AFTER TAX"</f>
        <v>AP - FT DEARBORN AFTER TAX</v>
      </c>
    </row>
    <row r="2050" spans="1:9" x14ac:dyDescent="0.3">
      <c r="A2050" t="str">
        <f>""</f>
        <v/>
      </c>
      <c r="F2050" t="str">
        <f>"FLX201805010496"</f>
        <v>FLX201805010496</v>
      </c>
      <c r="G2050" t="str">
        <f>"AP - TEX FLEX"</f>
        <v>AP - TEX FLEX</v>
      </c>
      <c r="H2050">
        <v>312</v>
      </c>
      <c r="I2050" t="str">
        <f>"AP - TEX FLEX"</f>
        <v>AP - TEX FLEX</v>
      </c>
    </row>
    <row r="2051" spans="1:9" x14ac:dyDescent="0.3">
      <c r="A2051" t="str">
        <f>""</f>
        <v/>
      </c>
      <c r="F2051" t="str">
        <f>"MHS201805010496"</f>
        <v>MHS201805010496</v>
      </c>
      <c r="G2051" t="str">
        <f>"AP - HEALTH SELECT MEDICAL"</f>
        <v>AP - HEALTH SELECT MEDICAL</v>
      </c>
      <c r="H2051">
        <v>1787.8</v>
      </c>
      <c r="I2051" t="str">
        <f>"AP - HEALTH SELECT MEDICAL"</f>
        <v>AP - HEALTH SELECT MEDICAL</v>
      </c>
    </row>
    <row r="2052" spans="1:9" x14ac:dyDescent="0.3">
      <c r="A2052" t="str">
        <f>""</f>
        <v/>
      </c>
      <c r="F2052" t="str">
        <f>"MSW201805010496"</f>
        <v>MSW201805010496</v>
      </c>
      <c r="G2052" t="str">
        <f>"AP - SCOTT &amp; WHITE MEDICAL"</f>
        <v>AP - SCOTT &amp; WHITE MEDICAL</v>
      </c>
      <c r="H2052">
        <v>291.82</v>
      </c>
      <c r="I2052" t="str">
        <f>"AP - SCOTT &amp; WHITE MEDICAL"</f>
        <v>AP - SCOTT &amp; WHITE MEDICAL</v>
      </c>
    </row>
    <row r="2053" spans="1:9" x14ac:dyDescent="0.3">
      <c r="A2053" t="str">
        <f>""</f>
        <v/>
      </c>
      <c r="F2053" t="str">
        <f>"SPE201805010496"</f>
        <v>SPE201805010496</v>
      </c>
      <c r="G2053" t="str">
        <f>"AP - STATE VISION"</f>
        <v>AP - STATE VISION</v>
      </c>
      <c r="H2053">
        <v>16.75</v>
      </c>
      <c r="I2053" t="str">
        <f>"AP - STATE VISION"</f>
        <v>AP - STATE VISION</v>
      </c>
    </row>
    <row r="2054" spans="1:9" x14ac:dyDescent="0.3">
      <c r="A2054" t="str">
        <f>"T12180"</f>
        <v>T12180</v>
      </c>
      <c r="B2054" t="s">
        <v>566</v>
      </c>
      <c r="C2054">
        <v>0</v>
      </c>
      <c r="D2054" s="2">
        <v>3153.21</v>
      </c>
      <c r="E2054" s="1">
        <v>43238</v>
      </c>
      <c r="F2054" t="str">
        <f>"DDP201805161055"</f>
        <v>DDP201805161055</v>
      </c>
      <c r="G2054" t="str">
        <f>"AP - TEXAS DISCOUNT DENTAL"</f>
        <v>AP - TEXAS DISCOUNT DENTAL</v>
      </c>
      <c r="H2054">
        <v>6.53</v>
      </c>
      <c r="I2054" t="str">
        <f>"AP - TEXAS DISCOUNT DENTAL"</f>
        <v>AP - TEXAS DISCOUNT DENTAL</v>
      </c>
    </row>
    <row r="2055" spans="1:9" x14ac:dyDescent="0.3">
      <c r="A2055" t="str">
        <f>""</f>
        <v/>
      </c>
      <c r="F2055" t="str">
        <f>"DHM201805161055"</f>
        <v>DHM201805161055</v>
      </c>
      <c r="G2055" t="str">
        <f>"AP - DENTAL HMO"</f>
        <v>AP - DENTAL HMO</v>
      </c>
      <c r="H2055">
        <v>30.7</v>
      </c>
      <c r="I2055" t="str">
        <f>"AP - DENTAL HMO"</f>
        <v>AP - DENTAL HMO</v>
      </c>
    </row>
    <row r="2056" spans="1:9" x14ac:dyDescent="0.3">
      <c r="A2056" t="str">
        <f>""</f>
        <v/>
      </c>
      <c r="F2056" t="str">
        <f>"DTX201805161055"</f>
        <v>DTX201805161055</v>
      </c>
      <c r="G2056" t="str">
        <f>"AP - TEXAS DENTAL"</f>
        <v>AP - TEXAS DENTAL</v>
      </c>
      <c r="H2056">
        <v>397.64</v>
      </c>
      <c r="I2056" t="str">
        <f>"AP - TEXAS DENTAL"</f>
        <v>AP - TEXAS DENTAL</v>
      </c>
    </row>
    <row r="2057" spans="1:9" x14ac:dyDescent="0.3">
      <c r="A2057" t="str">
        <f>""</f>
        <v/>
      </c>
      <c r="F2057" t="str">
        <f>"FD 201805161055"</f>
        <v>FD 201805161055</v>
      </c>
      <c r="G2057" t="str">
        <f>"AP - FT DEARBORN PRE-TAX"</f>
        <v>AP - FT DEARBORN PRE-TAX</v>
      </c>
      <c r="H2057">
        <v>223.43</v>
      </c>
      <c r="I2057" t="str">
        <f>"AP - FT DEARBORN PRE-TAX"</f>
        <v>AP - FT DEARBORN PRE-TAX</v>
      </c>
    </row>
    <row r="2058" spans="1:9" x14ac:dyDescent="0.3">
      <c r="A2058" t="str">
        <f>""</f>
        <v/>
      </c>
      <c r="F2058" t="str">
        <f>"FDT201805161055"</f>
        <v>FDT201805161055</v>
      </c>
      <c r="G2058" t="str">
        <f>"AP - FT DEARBORN AFTER TAX"</f>
        <v>AP - FT DEARBORN AFTER TAX</v>
      </c>
      <c r="H2058">
        <v>86.54</v>
      </c>
      <c r="I2058" t="str">
        <f>"AP - FT DEARBORN AFTER TAX"</f>
        <v>AP - FT DEARBORN AFTER TAX</v>
      </c>
    </row>
    <row r="2059" spans="1:9" x14ac:dyDescent="0.3">
      <c r="A2059" t="str">
        <f>""</f>
        <v/>
      </c>
      <c r="F2059" t="str">
        <f>"FLX201805161055"</f>
        <v>FLX201805161055</v>
      </c>
      <c r="G2059" t="str">
        <f>"AP - TEX FLEX"</f>
        <v>AP - TEX FLEX</v>
      </c>
      <c r="H2059">
        <v>312</v>
      </c>
      <c r="I2059" t="str">
        <f>"AP - TEX FLEX"</f>
        <v>AP - TEX FLEX</v>
      </c>
    </row>
    <row r="2060" spans="1:9" x14ac:dyDescent="0.3">
      <c r="A2060" t="str">
        <f>""</f>
        <v/>
      </c>
      <c r="F2060" t="str">
        <f>"MHS201805161055"</f>
        <v>MHS201805161055</v>
      </c>
      <c r="G2060" t="str">
        <f>"AP - HEALTH SELECT MEDICAL"</f>
        <v>AP - HEALTH SELECT MEDICAL</v>
      </c>
      <c r="H2060">
        <v>1787.8</v>
      </c>
      <c r="I2060" t="str">
        <f>"AP - HEALTH SELECT MEDICAL"</f>
        <v>AP - HEALTH SELECT MEDICAL</v>
      </c>
    </row>
    <row r="2061" spans="1:9" x14ac:dyDescent="0.3">
      <c r="A2061" t="str">
        <f>""</f>
        <v/>
      </c>
      <c r="F2061" t="str">
        <f>"MSW201805161055"</f>
        <v>MSW201805161055</v>
      </c>
      <c r="G2061" t="str">
        <f>"AP - SCOTT &amp; WHITE MEDICAL"</f>
        <v>AP - SCOTT &amp; WHITE MEDICAL</v>
      </c>
      <c r="H2061">
        <v>291.82</v>
      </c>
      <c r="I2061" t="str">
        <f>"AP - SCOTT &amp; WHITE MEDICAL"</f>
        <v>AP - SCOTT &amp; WHITE MEDICAL</v>
      </c>
    </row>
    <row r="2062" spans="1:9" x14ac:dyDescent="0.3">
      <c r="A2062" t="str">
        <f>""</f>
        <v/>
      </c>
      <c r="F2062" t="str">
        <f>"SPE201805161055"</f>
        <v>SPE201805161055</v>
      </c>
      <c r="G2062" t="str">
        <f>"AP - STATE VISION"</f>
        <v>AP - STATE VISION</v>
      </c>
      <c r="H2062">
        <v>16.75</v>
      </c>
      <c r="I2062" t="str">
        <f>"AP - STATE VISION"</f>
        <v>AP - STATE VISION</v>
      </c>
    </row>
    <row r="2063" spans="1:9" x14ac:dyDescent="0.3">
      <c r="A2063" t="str">
        <f>"COLONI"</f>
        <v>COLONI</v>
      </c>
      <c r="B2063" t="s">
        <v>567</v>
      </c>
      <c r="C2063">
        <v>0</v>
      </c>
      <c r="D2063" s="2">
        <v>5038.8599999999997</v>
      </c>
      <c r="E2063" s="1">
        <v>43242</v>
      </c>
      <c r="F2063" t="str">
        <f>"CL 201805010494"</f>
        <v>CL 201805010494</v>
      </c>
      <c r="G2063" t="str">
        <f t="shared" ref="G2063:G2084" si="20">"COLONIAL"</f>
        <v>COLONIAL</v>
      </c>
      <c r="H2063">
        <v>780.17</v>
      </c>
      <c r="I2063" t="str">
        <f t="shared" ref="I2063:I2084" si="21">"COLONIAL"</f>
        <v>COLONIAL</v>
      </c>
    </row>
    <row r="2064" spans="1:9" x14ac:dyDescent="0.3">
      <c r="A2064" t="str">
        <f>""</f>
        <v/>
      </c>
      <c r="F2064" t="str">
        <f>"CL 201805010495"</f>
        <v>CL 201805010495</v>
      </c>
      <c r="G2064" t="str">
        <f t="shared" si="20"/>
        <v>COLONIAL</v>
      </c>
      <c r="H2064">
        <v>14.49</v>
      </c>
      <c r="I2064" t="str">
        <f t="shared" si="21"/>
        <v>COLONIAL</v>
      </c>
    </row>
    <row r="2065" spans="1:9" x14ac:dyDescent="0.3">
      <c r="A2065" t="str">
        <f>""</f>
        <v/>
      </c>
      <c r="F2065" t="str">
        <f>"CL 201805161053"</f>
        <v>CL 201805161053</v>
      </c>
      <c r="G2065" t="str">
        <f t="shared" si="20"/>
        <v>COLONIAL</v>
      </c>
      <c r="H2065">
        <v>780.17</v>
      </c>
      <c r="I2065" t="str">
        <f t="shared" si="21"/>
        <v>COLONIAL</v>
      </c>
    </row>
    <row r="2066" spans="1:9" x14ac:dyDescent="0.3">
      <c r="A2066" t="str">
        <f>""</f>
        <v/>
      </c>
      <c r="F2066" t="str">
        <f>"CL 201805161054"</f>
        <v>CL 201805161054</v>
      </c>
      <c r="G2066" t="str">
        <f t="shared" si="20"/>
        <v>COLONIAL</v>
      </c>
      <c r="H2066">
        <v>14.49</v>
      </c>
      <c r="I2066" t="str">
        <f t="shared" si="21"/>
        <v>COLONIAL</v>
      </c>
    </row>
    <row r="2067" spans="1:9" x14ac:dyDescent="0.3">
      <c r="A2067" t="str">
        <f>""</f>
        <v/>
      </c>
      <c r="F2067" t="str">
        <f>"CLC201805010494"</f>
        <v>CLC201805010494</v>
      </c>
      <c r="G2067" t="str">
        <f t="shared" si="20"/>
        <v>COLONIAL</v>
      </c>
      <c r="H2067">
        <v>33.99</v>
      </c>
      <c r="I2067" t="str">
        <f t="shared" si="21"/>
        <v>COLONIAL</v>
      </c>
    </row>
    <row r="2068" spans="1:9" x14ac:dyDescent="0.3">
      <c r="A2068" t="str">
        <f>""</f>
        <v/>
      </c>
      <c r="F2068" t="str">
        <f>"CLC201805161053"</f>
        <v>CLC201805161053</v>
      </c>
      <c r="G2068" t="str">
        <f t="shared" si="20"/>
        <v>COLONIAL</v>
      </c>
      <c r="H2068">
        <v>33.99</v>
      </c>
      <c r="I2068" t="str">
        <f t="shared" si="21"/>
        <v>COLONIAL</v>
      </c>
    </row>
    <row r="2069" spans="1:9" x14ac:dyDescent="0.3">
      <c r="A2069" t="str">
        <f>""</f>
        <v/>
      </c>
      <c r="F2069" t="str">
        <f>"CLI201805010494"</f>
        <v>CLI201805010494</v>
      </c>
      <c r="G2069" t="str">
        <f t="shared" si="20"/>
        <v>COLONIAL</v>
      </c>
      <c r="H2069">
        <v>639.01</v>
      </c>
      <c r="I2069" t="str">
        <f t="shared" si="21"/>
        <v>COLONIAL</v>
      </c>
    </row>
    <row r="2070" spans="1:9" x14ac:dyDescent="0.3">
      <c r="A2070" t="str">
        <f>""</f>
        <v/>
      </c>
      <c r="F2070" t="str">
        <f>"CLI201805010495"</f>
        <v>CLI201805010495</v>
      </c>
      <c r="G2070" t="str">
        <f t="shared" si="20"/>
        <v>COLONIAL</v>
      </c>
      <c r="H2070">
        <v>17.53</v>
      </c>
      <c r="I2070" t="str">
        <f t="shared" si="21"/>
        <v>COLONIAL</v>
      </c>
    </row>
    <row r="2071" spans="1:9" x14ac:dyDescent="0.3">
      <c r="A2071" t="str">
        <f>""</f>
        <v/>
      </c>
      <c r="F2071" t="str">
        <f>"CLI201805161053"</f>
        <v>CLI201805161053</v>
      </c>
      <c r="G2071" t="str">
        <f t="shared" si="20"/>
        <v>COLONIAL</v>
      </c>
      <c r="H2071">
        <v>639.01</v>
      </c>
      <c r="I2071" t="str">
        <f t="shared" si="21"/>
        <v>COLONIAL</v>
      </c>
    </row>
    <row r="2072" spans="1:9" x14ac:dyDescent="0.3">
      <c r="A2072" t="str">
        <f>""</f>
        <v/>
      </c>
      <c r="F2072" t="str">
        <f>"CLI201805161054"</f>
        <v>CLI201805161054</v>
      </c>
      <c r="G2072" t="str">
        <f t="shared" si="20"/>
        <v>COLONIAL</v>
      </c>
      <c r="H2072">
        <v>17.53</v>
      </c>
      <c r="I2072" t="str">
        <f t="shared" si="21"/>
        <v>COLONIAL</v>
      </c>
    </row>
    <row r="2073" spans="1:9" x14ac:dyDescent="0.3">
      <c r="A2073" t="str">
        <f>""</f>
        <v/>
      </c>
      <c r="F2073" t="str">
        <f>"CLK201805010494"</f>
        <v>CLK201805010494</v>
      </c>
      <c r="G2073" t="str">
        <f t="shared" si="20"/>
        <v>COLONIAL</v>
      </c>
      <c r="H2073">
        <v>27.09</v>
      </c>
      <c r="I2073" t="str">
        <f t="shared" si="21"/>
        <v>COLONIAL</v>
      </c>
    </row>
    <row r="2074" spans="1:9" x14ac:dyDescent="0.3">
      <c r="A2074" t="str">
        <f>""</f>
        <v/>
      </c>
      <c r="F2074" t="str">
        <f>"CLK201805161053"</f>
        <v>CLK201805161053</v>
      </c>
      <c r="G2074" t="str">
        <f t="shared" si="20"/>
        <v>COLONIAL</v>
      </c>
      <c r="H2074">
        <v>27.09</v>
      </c>
      <c r="I2074" t="str">
        <f t="shared" si="21"/>
        <v>COLONIAL</v>
      </c>
    </row>
    <row r="2075" spans="1:9" x14ac:dyDescent="0.3">
      <c r="A2075" t="str">
        <f>""</f>
        <v/>
      </c>
      <c r="F2075" t="str">
        <f>"CLS201805010494"</f>
        <v>CLS201805010494</v>
      </c>
      <c r="G2075" t="str">
        <f t="shared" si="20"/>
        <v>COLONIAL</v>
      </c>
      <c r="H2075">
        <v>419.16</v>
      </c>
      <c r="I2075" t="str">
        <f t="shared" si="21"/>
        <v>COLONIAL</v>
      </c>
    </row>
    <row r="2076" spans="1:9" x14ac:dyDescent="0.3">
      <c r="A2076" t="str">
        <f>""</f>
        <v/>
      </c>
      <c r="F2076" t="str">
        <f>"CLS201805010495"</f>
        <v>CLS201805010495</v>
      </c>
      <c r="G2076" t="str">
        <f t="shared" si="20"/>
        <v>COLONIAL</v>
      </c>
      <c r="H2076">
        <v>12.84</v>
      </c>
      <c r="I2076" t="str">
        <f t="shared" si="21"/>
        <v>COLONIAL</v>
      </c>
    </row>
    <row r="2077" spans="1:9" x14ac:dyDescent="0.3">
      <c r="A2077" t="str">
        <f>""</f>
        <v/>
      </c>
      <c r="F2077" t="str">
        <f>"CLS201805161053"</f>
        <v>CLS201805161053</v>
      </c>
      <c r="G2077" t="str">
        <f t="shared" si="20"/>
        <v>COLONIAL</v>
      </c>
      <c r="H2077">
        <v>419.16</v>
      </c>
      <c r="I2077" t="str">
        <f t="shared" si="21"/>
        <v>COLONIAL</v>
      </c>
    </row>
    <row r="2078" spans="1:9" x14ac:dyDescent="0.3">
      <c r="A2078" t="str">
        <f>""</f>
        <v/>
      </c>
      <c r="F2078" t="str">
        <f>"CLS201805161054"</f>
        <v>CLS201805161054</v>
      </c>
      <c r="G2078" t="str">
        <f t="shared" si="20"/>
        <v>COLONIAL</v>
      </c>
      <c r="H2078">
        <v>12.84</v>
      </c>
      <c r="I2078" t="str">
        <f t="shared" si="21"/>
        <v>COLONIAL</v>
      </c>
    </row>
    <row r="2079" spans="1:9" x14ac:dyDescent="0.3">
      <c r="A2079" t="str">
        <f>""</f>
        <v/>
      </c>
      <c r="F2079" t="str">
        <f>"CLT201805010494"</f>
        <v>CLT201805010494</v>
      </c>
      <c r="G2079" t="str">
        <f t="shared" si="20"/>
        <v>COLONIAL</v>
      </c>
      <c r="H2079">
        <v>356.24</v>
      </c>
      <c r="I2079" t="str">
        <f t="shared" si="21"/>
        <v>COLONIAL</v>
      </c>
    </row>
    <row r="2080" spans="1:9" x14ac:dyDescent="0.3">
      <c r="A2080" t="str">
        <f>""</f>
        <v/>
      </c>
      <c r="F2080" t="str">
        <f>"CLT201805161053"</f>
        <v>CLT201805161053</v>
      </c>
      <c r="G2080" t="str">
        <f t="shared" si="20"/>
        <v>COLONIAL</v>
      </c>
      <c r="H2080">
        <v>356.24</v>
      </c>
      <c r="I2080" t="str">
        <f t="shared" si="21"/>
        <v>COLONIAL</v>
      </c>
    </row>
    <row r="2081" spans="1:9" x14ac:dyDescent="0.3">
      <c r="A2081" t="str">
        <f>""</f>
        <v/>
      </c>
      <c r="F2081" t="str">
        <f>"CLU201805010494"</f>
        <v>CLU201805010494</v>
      </c>
      <c r="G2081" t="str">
        <f t="shared" si="20"/>
        <v>COLONIAL</v>
      </c>
      <c r="H2081">
        <v>160.85</v>
      </c>
      <c r="I2081" t="str">
        <f t="shared" si="21"/>
        <v>COLONIAL</v>
      </c>
    </row>
    <row r="2082" spans="1:9" x14ac:dyDescent="0.3">
      <c r="A2082" t="str">
        <f>""</f>
        <v/>
      </c>
      <c r="F2082" t="str">
        <f>"CLU201805161053"</f>
        <v>CLU201805161053</v>
      </c>
      <c r="G2082" t="str">
        <f t="shared" si="20"/>
        <v>COLONIAL</v>
      </c>
      <c r="H2082">
        <v>160.85</v>
      </c>
      <c r="I2082" t="str">
        <f t="shared" si="21"/>
        <v>COLONIAL</v>
      </c>
    </row>
    <row r="2083" spans="1:9" x14ac:dyDescent="0.3">
      <c r="A2083" t="str">
        <f>""</f>
        <v/>
      </c>
      <c r="F2083" t="str">
        <f>"CLW201805010494"</f>
        <v>CLW201805010494</v>
      </c>
      <c r="G2083" t="str">
        <f t="shared" si="20"/>
        <v>COLONIAL</v>
      </c>
      <c r="H2083">
        <v>58.06</v>
      </c>
      <c r="I2083" t="str">
        <f t="shared" si="21"/>
        <v>COLONIAL</v>
      </c>
    </row>
    <row r="2084" spans="1:9" x14ac:dyDescent="0.3">
      <c r="A2084" t="str">
        <f>""</f>
        <v/>
      </c>
      <c r="F2084" t="str">
        <f>"CLW201805161053"</f>
        <v>CLW201805161053</v>
      </c>
      <c r="G2084" t="str">
        <f t="shared" si="20"/>
        <v>COLONIAL</v>
      </c>
      <c r="H2084">
        <v>58.06</v>
      </c>
      <c r="I2084" t="str">
        <f t="shared" si="21"/>
        <v>COLONIAL</v>
      </c>
    </row>
    <row r="2085" spans="1:9" x14ac:dyDescent="0.3">
      <c r="A2085" t="str">
        <f>"T14390"</f>
        <v>T14390</v>
      </c>
      <c r="B2085" t="s">
        <v>140</v>
      </c>
      <c r="C2085">
        <v>0</v>
      </c>
      <c r="D2085" s="2">
        <v>7660.71</v>
      </c>
      <c r="E2085" s="1">
        <v>43224</v>
      </c>
      <c r="F2085" t="str">
        <f>"CPI201805010494"</f>
        <v>CPI201805010494</v>
      </c>
      <c r="G2085" t="str">
        <f>"DEFERRED COMP 457B PAYABLE"</f>
        <v>DEFERRED COMP 457B PAYABLE</v>
      </c>
      <c r="H2085">
        <v>7553.21</v>
      </c>
      <c r="I2085" t="str">
        <f>"DEFERRED COMP 457B PAYABLE"</f>
        <v>DEFERRED COMP 457B PAYABLE</v>
      </c>
    </row>
    <row r="2086" spans="1:9" x14ac:dyDescent="0.3">
      <c r="A2086" t="str">
        <f>""</f>
        <v/>
      </c>
      <c r="F2086" t="str">
        <f>"CPI201805010495"</f>
        <v>CPI201805010495</v>
      </c>
      <c r="G2086" t="str">
        <f>"DEFERRED COMP 457B PAYABLE"</f>
        <v>DEFERRED COMP 457B PAYABLE</v>
      </c>
      <c r="H2086">
        <v>107.5</v>
      </c>
      <c r="I2086" t="str">
        <f>"DEFERRED COMP 457B PAYABLE"</f>
        <v>DEFERRED COMP 457B PAYABLE</v>
      </c>
    </row>
    <row r="2087" spans="1:9" x14ac:dyDescent="0.3">
      <c r="A2087" t="str">
        <f>"T14390"</f>
        <v>T14390</v>
      </c>
      <c r="B2087" t="s">
        <v>140</v>
      </c>
      <c r="C2087">
        <v>0</v>
      </c>
      <c r="D2087" s="2">
        <v>7517.3</v>
      </c>
      <c r="E2087" s="1">
        <v>43238</v>
      </c>
      <c r="F2087" t="str">
        <f>"CPI201805161053"</f>
        <v>CPI201805161053</v>
      </c>
      <c r="G2087" t="str">
        <f>"DEFERRED COMP 457B PAYABLE"</f>
        <v>DEFERRED COMP 457B PAYABLE</v>
      </c>
      <c r="H2087">
        <v>7409.8</v>
      </c>
      <c r="I2087" t="str">
        <f>"DEFERRED COMP 457B PAYABLE"</f>
        <v>DEFERRED COMP 457B PAYABLE</v>
      </c>
    </row>
    <row r="2088" spans="1:9" x14ac:dyDescent="0.3">
      <c r="A2088" t="str">
        <f>""</f>
        <v/>
      </c>
      <c r="F2088" t="str">
        <f>"CPI201805161054"</f>
        <v>CPI201805161054</v>
      </c>
      <c r="G2088" t="str">
        <f>"DEFERRED COMP 457B PAYABLE"</f>
        <v>DEFERRED COMP 457B PAYABLE</v>
      </c>
      <c r="H2088">
        <v>107.5</v>
      </c>
      <c r="I2088" t="str">
        <f>"DEFERRED COMP 457B PAYABLE"</f>
        <v>DEFERRED COMP 457B PAYABLE</v>
      </c>
    </row>
    <row r="2089" spans="1:9" x14ac:dyDescent="0.3">
      <c r="A2089" t="str">
        <f>"T10761"</f>
        <v>T10761</v>
      </c>
      <c r="B2089" t="s">
        <v>568</v>
      </c>
      <c r="C2089">
        <v>46308</v>
      </c>
      <c r="D2089" s="2">
        <v>1368.7</v>
      </c>
      <c r="E2089" s="1">
        <v>43224</v>
      </c>
      <c r="F2089" t="str">
        <f>"B13201805010494"</f>
        <v>B13201805010494</v>
      </c>
      <c r="G2089" t="str">
        <f>"Rosa Warren 15-10357-TMD"</f>
        <v>Rosa Warren 15-10357-TMD</v>
      </c>
      <c r="H2089">
        <v>853.85</v>
      </c>
      <c r="I2089" t="str">
        <f>"Rosa Warren 15-10357-TMD"</f>
        <v>Rosa Warren 15-10357-TMD</v>
      </c>
    </row>
    <row r="2090" spans="1:9" x14ac:dyDescent="0.3">
      <c r="A2090" t="str">
        <f>""</f>
        <v/>
      </c>
      <c r="F2090" t="str">
        <f>"BJL201805010494"</f>
        <v>BJL201805010494</v>
      </c>
      <c r="G2090" t="str">
        <f>"Julian Luna 14-10230-TMD"</f>
        <v>Julian Luna 14-10230-TMD</v>
      </c>
      <c r="H2090">
        <v>514.85</v>
      </c>
      <c r="I2090" t="str">
        <f>"Julian Luna 14-10230-TMD"</f>
        <v>Julian Luna 14-10230-TMD</v>
      </c>
    </row>
    <row r="2091" spans="1:9" x14ac:dyDescent="0.3">
      <c r="A2091" t="str">
        <f>"T10761"</f>
        <v>T10761</v>
      </c>
      <c r="B2091" t="s">
        <v>568</v>
      </c>
      <c r="C2091">
        <v>46349</v>
      </c>
      <c r="D2091" s="2">
        <v>1368.7</v>
      </c>
      <c r="E2091" s="1">
        <v>43238</v>
      </c>
      <c r="F2091" t="str">
        <f>"B13201805161053"</f>
        <v>B13201805161053</v>
      </c>
      <c r="G2091" t="str">
        <f>"Rosa Warren 15-10357-TMD"</f>
        <v>Rosa Warren 15-10357-TMD</v>
      </c>
      <c r="H2091">
        <v>853.85</v>
      </c>
      <c r="I2091" t="str">
        <f>"Rosa Warren 15-10357-TMD"</f>
        <v>Rosa Warren 15-10357-TMD</v>
      </c>
    </row>
    <row r="2092" spans="1:9" x14ac:dyDescent="0.3">
      <c r="A2092" t="str">
        <f>""</f>
        <v/>
      </c>
      <c r="F2092" t="str">
        <f>"BJL201805161053"</f>
        <v>BJL201805161053</v>
      </c>
      <c r="G2092" t="str">
        <f>"Julian Luna 14-10230-TMD"</f>
        <v>Julian Luna 14-10230-TMD</v>
      </c>
      <c r="H2092">
        <v>514.85</v>
      </c>
      <c r="I2092" t="str">
        <f>"Julian Luna 14-10230-TMD"</f>
        <v>Julian Luna 14-10230-TMD</v>
      </c>
    </row>
    <row r="2093" spans="1:9" x14ac:dyDescent="0.3">
      <c r="A2093" t="str">
        <f>"GUARD"</f>
        <v>GUARD</v>
      </c>
      <c r="B2093" t="s">
        <v>569</v>
      </c>
      <c r="C2093">
        <v>0</v>
      </c>
      <c r="D2093" s="2">
        <v>37669.25</v>
      </c>
      <c r="E2093" s="1">
        <v>43242</v>
      </c>
      <c r="F2093" t="str">
        <f>"201805211097"</f>
        <v>201805211097</v>
      </c>
      <c r="G2093" t="str">
        <f>"Dental Ded errors"</f>
        <v>Dental Ded errors</v>
      </c>
      <c r="H2093">
        <v>-5.97</v>
      </c>
      <c r="I2093" t="str">
        <f>"Dental Ded errors"</f>
        <v>Dental Ded errors</v>
      </c>
    </row>
    <row r="2094" spans="1:9" x14ac:dyDescent="0.3">
      <c r="A2094" t="str">
        <f>""</f>
        <v/>
      </c>
      <c r="F2094" t="str">
        <f>"201805211099"</f>
        <v>201805211099</v>
      </c>
      <c r="G2094" t="str">
        <f>"LTD Rounding"</f>
        <v>LTD Rounding</v>
      </c>
      <c r="H2094">
        <v>-0.43</v>
      </c>
      <c r="I2094" t="str">
        <f>"GUARDIAN"</f>
        <v>GUARDIAN</v>
      </c>
    </row>
    <row r="2095" spans="1:9" x14ac:dyDescent="0.3">
      <c r="A2095" t="str">
        <f>""</f>
        <v/>
      </c>
      <c r="F2095" t="str">
        <f>"201805211093"</f>
        <v>201805211093</v>
      </c>
      <c r="G2095" t="str">
        <f>"Retiree Dental/Vision Coverage"</f>
        <v>Retiree Dental/Vision Coverage</v>
      </c>
      <c r="H2095">
        <v>2997.81</v>
      </c>
      <c r="I2095" t="str">
        <f>"Retiree Dental/Vision Coverage"</f>
        <v>Retiree Dental/Vision Coverage</v>
      </c>
    </row>
    <row r="2096" spans="1:9" x14ac:dyDescent="0.3">
      <c r="A2096" t="str">
        <f>""</f>
        <v/>
      </c>
      <c r="F2096" t="str">
        <f>"201805211098"</f>
        <v>201805211098</v>
      </c>
      <c r="G2096" t="str">
        <f>"Retiree Life Coverage"</f>
        <v>Retiree Life Coverage</v>
      </c>
      <c r="H2096">
        <v>137.66</v>
      </c>
      <c r="I2096" t="str">
        <f>"Retiree Life Coverage"</f>
        <v>Retiree Life Coverage</v>
      </c>
    </row>
    <row r="2097" spans="1:9" x14ac:dyDescent="0.3">
      <c r="A2097" t="str">
        <f>""</f>
        <v/>
      </c>
      <c r="F2097" t="str">
        <f>"ADC201805010494"</f>
        <v>ADC201805010494</v>
      </c>
      <c r="G2097" t="str">
        <f t="shared" ref="G2097:G2109" si="22">"GUARDIAN"</f>
        <v>GUARDIAN</v>
      </c>
      <c r="H2097">
        <v>5.01</v>
      </c>
      <c r="I2097" t="str">
        <f t="shared" ref="I2097:I2160" si="23">"GUARDIAN"</f>
        <v>GUARDIAN</v>
      </c>
    </row>
    <row r="2098" spans="1:9" x14ac:dyDescent="0.3">
      <c r="A2098" t="str">
        <f>""</f>
        <v/>
      </c>
      <c r="F2098" t="str">
        <f>"ADC201805010495"</f>
        <v>ADC201805010495</v>
      </c>
      <c r="G2098" t="str">
        <f t="shared" si="22"/>
        <v>GUARDIAN</v>
      </c>
      <c r="H2098">
        <v>0.16</v>
      </c>
      <c r="I2098" t="str">
        <f t="shared" si="23"/>
        <v>GUARDIAN</v>
      </c>
    </row>
    <row r="2099" spans="1:9" x14ac:dyDescent="0.3">
      <c r="A2099" t="str">
        <f>""</f>
        <v/>
      </c>
      <c r="F2099" t="str">
        <f>"ADC201805161053"</f>
        <v>ADC201805161053</v>
      </c>
      <c r="G2099" t="str">
        <f t="shared" si="22"/>
        <v>GUARDIAN</v>
      </c>
      <c r="H2099">
        <v>5.01</v>
      </c>
      <c r="I2099" t="str">
        <f t="shared" si="23"/>
        <v>GUARDIAN</v>
      </c>
    </row>
    <row r="2100" spans="1:9" x14ac:dyDescent="0.3">
      <c r="A2100" t="str">
        <f>""</f>
        <v/>
      </c>
      <c r="F2100" t="str">
        <f>"ADC201805161054"</f>
        <v>ADC201805161054</v>
      </c>
      <c r="G2100" t="str">
        <f t="shared" si="22"/>
        <v>GUARDIAN</v>
      </c>
      <c r="H2100">
        <v>0.16</v>
      </c>
      <c r="I2100" t="str">
        <f t="shared" si="23"/>
        <v>GUARDIAN</v>
      </c>
    </row>
    <row r="2101" spans="1:9" x14ac:dyDescent="0.3">
      <c r="A2101" t="str">
        <f>""</f>
        <v/>
      </c>
      <c r="F2101" t="str">
        <f>"ADE201805010494"</f>
        <v>ADE201805010494</v>
      </c>
      <c r="G2101" t="str">
        <f t="shared" si="22"/>
        <v>GUARDIAN</v>
      </c>
      <c r="H2101">
        <v>201.5</v>
      </c>
      <c r="I2101" t="str">
        <f t="shared" si="23"/>
        <v>GUARDIAN</v>
      </c>
    </row>
    <row r="2102" spans="1:9" x14ac:dyDescent="0.3">
      <c r="A2102" t="str">
        <f>""</f>
        <v/>
      </c>
      <c r="F2102" t="str">
        <f>"ADE201805010495"</f>
        <v>ADE201805010495</v>
      </c>
      <c r="G2102" t="str">
        <f t="shared" si="22"/>
        <v>GUARDIAN</v>
      </c>
      <c r="H2102">
        <v>7.8</v>
      </c>
      <c r="I2102" t="str">
        <f t="shared" si="23"/>
        <v>GUARDIAN</v>
      </c>
    </row>
    <row r="2103" spans="1:9" x14ac:dyDescent="0.3">
      <c r="A2103" t="str">
        <f>""</f>
        <v/>
      </c>
      <c r="F2103" t="str">
        <f>"ADE201805161053"</f>
        <v>ADE201805161053</v>
      </c>
      <c r="G2103" t="str">
        <f t="shared" si="22"/>
        <v>GUARDIAN</v>
      </c>
      <c r="H2103">
        <v>201.5</v>
      </c>
      <c r="I2103" t="str">
        <f t="shared" si="23"/>
        <v>GUARDIAN</v>
      </c>
    </row>
    <row r="2104" spans="1:9" x14ac:dyDescent="0.3">
      <c r="A2104" t="str">
        <f>""</f>
        <v/>
      </c>
      <c r="F2104" t="str">
        <f>"ADE201805161054"</f>
        <v>ADE201805161054</v>
      </c>
      <c r="G2104" t="str">
        <f t="shared" si="22"/>
        <v>GUARDIAN</v>
      </c>
      <c r="H2104">
        <v>7.8</v>
      </c>
      <c r="I2104" t="str">
        <f t="shared" si="23"/>
        <v>GUARDIAN</v>
      </c>
    </row>
    <row r="2105" spans="1:9" x14ac:dyDescent="0.3">
      <c r="A2105" t="str">
        <f>""</f>
        <v/>
      </c>
      <c r="F2105" t="str">
        <f>"ADS201805010494"</f>
        <v>ADS201805010494</v>
      </c>
      <c r="G2105" t="str">
        <f t="shared" si="22"/>
        <v>GUARDIAN</v>
      </c>
      <c r="H2105">
        <v>30.35</v>
      </c>
      <c r="I2105" t="str">
        <f t="shared" si="23"/>
        <v>GUARDIAN</v>
      </c>
    </row>
    <row r="2106" spans="1:9" x14ac:dyDescent="0.3">
      <c r="A2106" t="str">
        <f>""</f>
        <v/>
      </c>
      <c r="F2106" t="str">
        <f>"ADS201805010495"</f>
        <v>ADS201805010495</v>
      </c>
      <c r="G2106" t="str">
        <f t="shared" si="22"/>
        <v>GUARDIAN</v>
      </c>
      <c r="H2106">
        <v>0.98</v>
      </c>
      <c r="I2106" t="str">
        <f t="shared" si="23"/>
        <v>GUARDIAN</v>
      </c>
    </row>
    <row r="2107" spans="1:9" x14ac:dyDescent="0.3">
      <c r="A2107" t="str">
        <f>""</f>
        <v/>
      </c>
      <c r="F2107" t="str">
        <f>"ADS201805161053"</f>
        <v>ADS201805161053</v>
      </c>
      <c r="G2107" t="str">
        <f t="shared" si="22"/>
        <v>GUARDIAN</v>
      </c>
      <c r="H2107">
        <v>30.35</v>
      </c>
      <c r="I2107" t="str">
        <f t="shared" si="23"/>
        <v>GUARDIAN</v>
      </c>
    </row>
    <row r="2108" spans="1:9" x14ac:dyDescent="0.3">
      <c r="A2108" t="str">
        <f>""</f>
        <v/>
      </c>
      <c r="F2108" t="str">
        <f>"ADS201805161054"</f>
        <v>ADS201805161054</v>
      </c>
      <c r="G2108" t="str">
        <f t="shared" si="22"/>
        <v>GUARDIAN</v>
      </c>
      <c r="H2108">
        <v>0.98</v>
      </c>
      <c r="I2108" t="str">
        <f t="shared" si="23"/>
        <v>GUARDIAN</v>
      </c>
    </row>
    <row r="2109" spans="1:9" x14ac:dyDescent="0.3">
      <c r="A2109" t="str">
        <f>""</f>
        <v/>
      </c>
      <c r="F2109" t="str">
        <f>"GDC201805010494"</f>
        <v>GDC201805010494</v>
      </c>
      <c r="G2109" t="str">
        <f t="shared" si="22"/>
        <v>GUARDIAN</v>
      </c>
      <c r="H2109">
        <v>2579.35</v>
      </c>
      <c r="I2109" t="str">
        <f t="shared" si="23"/>
        <v>GUARDIAN</v>
      </c>
    </row>
    <row r="2110" spans="1:9" x14ac:dyDescent="0.3">
      <c r="A2110" t="str">
        <f>""</f>
        <v/>
      </c>
      <c r="F2110" t="str">
        <f>""</f>
        <v/>
      </c>
      <c r="G2110" t="str">
        <f>""</f>
        <v/>
      </c>
      <c r="I2110" t="str">
        <f t="shared" si="23"/>
        <v>GUARDIAN</v>
      </c>
    </row>
    <row r="2111" spans="1:9" x14ac:dyDescent="0.3">
      <c r="A2111" t="str">
        <f>""</f>
        <v/>
      </c>
      <c r="F2111" t="str">
        <f>""</f>
        <v/>
      </c>
      <c r="G2111" t="str">
        <f>""</f>
        <v/>
      </c>
      <c r="I2111" t="str">
        <f t="shared" si="23"/>
        <v>GUARDIAN</v>
      </c>
    </row>
    <row r="2112" spans="1:9" x14ac:dyDescent="0.3">
      <c r="A2112" t="str">
        <f>""</f>
        <v/>
      </c>
      <c r="F2112" t="str">
        <f>""</f>
        <v/>
      </c>
      <c r="G2112" t="str">
        <f>""</f>
        <v/>
      </c>
      <c r="I2112" t="str">
        <f t="shared" si="23"/>
        <v>GUARDIAN</v>
      </c>
    </row>
    <row r="2113" spans="1:9" x14ac:dyDescent="0.3">
      <c r="A2113" t="str">
        <f>""</f>
        <v/>
      </c>
      <c r="F2113" t="str">
        <f>""</f>
        <v/>
      </c>
      <c r="G2113" t="str">
        <f>""</f>
        <v/>
      </c>
      <c r="I2113" t="str">
        <f t="shared" si="23"/>
        <v>GUARDIAN</v>
      </c>
    </row>
    <row r="2114" spans="1:9" x14ac:dyDescent="0.3">
      <c r="A2114" t="str">
        <f>""</f>
        <v/>
      </c>
      <c r="F2114" t="str">
        <f>""</f>
        <v/>
      </c>
      <c r="G2114" t="str">
        <f>""</f>
        <v/>
      </c>
      <c r="I2114" t="str">
        <f t="shared" si="23"/>
        <v>GUARDIAN</v>
      </c>
    </row>
    <row r="2115" spans="1:9" x14ac:dyDescent="0.3">
      <c r="A2115" t="str">
        <f>""</f>
        <v/>
      </c>
      <c r="F2115" t="str">
        <f>""</f>
        <v/>
      </c>
      <c r="G2115" t="str">
        <f>""</f>
        <v/>
      </c>
      <c r="I2115" t="str">
        <f t="shared" si="23"/>
        <v>GUARDIAN</v>
      </c>
    </row>
    <row r="2116" spans="1:9" x14ac:dyDescent="0.3">
      <c r="A2116" t="str">
        <f>""</f>
        <v/>
      </c>
      <c r="F2116" t="str">
        <f>""</f>
        <v/>
      </c>
      <c r="G2116" t="str">
        <f>""</f>
        <v/>
      </c>
      <c r="I2116" t="str">
        <f t="shared" si="23"/>
        <v>GUARDIAN</v>
      </c>
    </row>
    <row r="2117" spans="1:9" x14ac:dyDescent="0.3">
      <c r="A2117" t="str">
        <f>""</f>
        <v/>
      </c>
      <c r="F2117" t="str">
        <f>""</f>
        <v/>
      </c>
      <c r="G2117" t="str">
        <f>""</f>
        <v/>
      </c>
      <c r="I2117" t="str">
        <f t="shared" si="23"/>
        <v>GUARDIAN</v>
      </c>
    </row>
    <row r="2118" spans="1:9" x14ac:dyDescent="0.3">
      <c r="A2118" t="str">
        <f>""</f>
        <v/>
      </c>
      <c r="F2118" t="str">
        <f>""</f>
        <v/>
      </c>
      <c r="G2118" t="str">
        <f>""</f>
        <v/>
      </c>
      <c r="I2118" t="str">
        <f t="shared" si="23"/>
        <v>GUARDIAN</v>
      </c>
    </row>
    <row r="2119" spans="1:9" x14ac:dyDescent="0.3">
      <c r="A2119" t="str">
        <f>""</f>
        <v/>
      </c>
      <c r="F2119" t="str">
        <f>""</f>
        <v/>
      </c>
      <c r="G2119" t="str">
        <f>""</f>
        <v/>
      </c>
      <c r="I2119" t="str">
        <f t="shared" si="23"/>
        <v>GUARDIAN</v>
      </c>
    </row>
    <row r="2120" spans="1:9" x14ac:dyDescent="0.3">
      <c r="A2120" t="str">
        <f>""</f>
        <v/>
      </c>
      <c r="F2120" t="str">
        <f>""</f>
        <v/>
      </c>
      <c r="G2120" t="str">
        <f>""</f>
        <v/>
      </c>
      <c r="I2120" t="str">
        <f t="shared" si="23"/>
        <v>GUARDIAN</v>
      </c>
    </row>
    <row r="2121" spans="1:9" x14ac:dyDescent="0.3">
      <c r="A2121" t="str">
        <f>""</f>
        <v/>
      </c>
      <c r="F2121" t="str">
        <f>""</f>
        <v/>
      </c>
      <c r="G2121" t="str">
        <f>""</f>
        <v/>
      </c>
      <c r="I2121" t="str">
        <f t="shared" si="23"/>
        <v>GUARDIAN</v>
      </c>
    </row>
    <row r="2122" spans="1:9" x14ac:dyDescent="0.3">
      <c r="A2122" t="str">
        <f>""</f>
        <v/>
      </c>
      <c r="F2122" t="str">
        <f>""</f>
        <v/>
      </c>
      <c r="G2122" t="str">
        <f>""</f>
        <v/>
      </c>
      <c r="I2122" t="str">
        <f t="shared" si="23"/>
        <v>GUARDIAN</v>
      </c>
    </row>
    <row r="2123" spans="1:9" x14ac:dyDescent="0.3">
      <c r="A2123" t="str">
        <f>""</f>
        <v/>
      </c>
      <c r="F2123" t="str">
        <f>""</f>
        <v/>
      </c>
      <c r="G2123" t="str">
        <f>""</f>
        <v/>
      </c>
      <c r="I2123" t="str">
        <f t="shared" si="23"/>
        <v>GUARDIAN</v>
      </c>
    </row>
    <row r="2124" spans="1:9" x14ac:dyDescent="0.3">
      <c r="A2124" t="str">
        <f>""</f>
        <v/>
      </c>
      <c r="F2124" t="str">
        <f>""</f>
        <v/>
      </c>
      <c r="G2124" t="str">
        <f>""</f>
        <v/>
      </c>
      <c r="I2124" t="str">
        <f t="shared" si="23"/>
        <v>GUARDIAN</v>
      </c>
    </row>
    <row r="2125" spans="1:9" x14ac:dyDescent="0.3">
      <c r="A2125" t="str">
        <f>""</f>
        <v/>
      </c>
      <c r="F2125" t="str">
        <f>""</f>
        <v/>
      </c>
      <c r="G2125" t="str">
        <f>""</f>
        <v/>
      </c>
      <c r="I2125" t="str">
        <f t="shared" si="23"/>
        <v>GUARDIAN</v>
      </c>
    </row>
    <row r="2126" spans="1:9" x14ac:dyDescent="0.3">
      <c r="A2126" t="str">
        <f>""</f>
        <v/>
      </c>
      <c r="F2126" t="str">
        <f>""</f>
        <v/>
      </c>
      <c r="G2126" t="str">
        <f>""</f>
        <v/>
      </c>
      <c r="I2126" t="str">
        <f t="shared" si="23"/>
        <v>GUARDIAN</v>
      </c>
    </row>
    <row r="2127" spans="1:9" x14ac:dyDescent="0.3">
      <c r="A2127" t="str">
        <f>""</f>
        <v/>
      </c>
      <c r="F2127" t="str">
        <f>""</f>
        <v/>
      </c>
      <c r="G2127" t="str">
        <f>""</f>
        <v/>
      </c>
      <c r="I2127" t="str">
        <f t="shared" si="23"/>
        <v>GUARDIAN</v>
      </c>
    </row>
    <row r="2128" spans="1:9" x14ac:dyDescent="0.3">
      <c r="A2128" t="str">
        <f>""</f>
        <v/>
      </c>
      <c r="F2128" t="str">
        <f>""</f>
        <v/>
      </c>
      <c r="G2128" t="str">
        <f>""</f>
        <v/>
      </c>
      <c r="I2128" t="str">
        <f t="shared" si="23"/>
        <v>GUARDIAN</v>
      </c>
    </row>
    <row r="2129" spans="1:9" x14ac:dyDescent="0.3">
      <c r="A2129" t="str">
        <f>""</f>
        <v/>
      </c>
      <c r="F2129" t="str">
        <f>""</f>
        <v/>
      </c>
      <c r="G2129" t="str">
        <f>""</f>
        <v/>
      </c>
      <c r="I2129" t="str">
        <f t="shared" si="23"/>
        <v>GUARDIAN</v>
      </c>
    </row>
    <row r="2130" spans="1:9" x14ac:dyDescent="0.3">
      <c r="A2130" t="str">
        <f>""</f>
        <v/>
      </c>
      <c r="F2130" t="str">
        <f>""</f>
        <v/>
      </c>
      <c r="G2130" t="str">
        <f>""</f>
        <v/>
      </c>
      <c r="I2130" t="str">
        <f t="shared" si="23"/>
        <v>GUARDIAN</v>
      </c>
    </row>
    <row r="2131" spans="1:9" x14ac:dyDescent="0.3">
      <c r="A2131" t="str">
        <f>""</f>
        <v/>
      </c>
      <c r="F2131" t="str">
        <f>""</f>
        <v/>
      </c>
      <c r="G2131" t="str">
        <f>""</f>
        <v/>
      </c>
      <c r="I2131" t="str">
        <f t="shared" si="23"/>
        <v>GUARDIAN</v>
      </c>
    </row>
    <row r="2132" spans="1:9" x14ac:dyDescent="0.3">
      <c r="A2132" t="str">
        <f>""</f>
        <v/>
      </c>
      <c r="F2132" t="str">
        <f>""</f>
        <v/>
      </c>
      <c r="G2132" t="str">
        <f>""</f>
        <v/>
      </c>
      <c r="I2132" t="str">
        <f t="shared" si="23"/>
        <v>GUARDIAN</v>
      </c>
    </row>
    <row r="2133" spans="1:9" x14ac:dyDescent="0.3">
      <c r="A2133" t="str">
        <f>""</f>
        <v/>
      </c>
      <c r="F2133" t="str">
        <f>""</f>
        <v/>
      </c>
      <c r="G2133" t="str">
        <f>""</f>
        <v/>
      </c>
      <c r="I2133" t="str">
        <f t="shared" si="23"/>
        <v>GUARDIAN</v>
      </c>
    </row>
    <row r="2134" spans="1:9" x14ac:dyDescent="0.3">
      <c r="A2134" t="str">
        <f>""</f>
        <v/>
      </c>
      <c r="F2134" t="str">
        <f>""</f>
        <v/>
      </c>
      <c r="G2134" t="str">
        <f>""</f>
        <v/>
      </c>
      <c r="I2134" t="str">
        <f t="shared" si="23"/>
        <v>GUARDIAN</v>
      </c>
    </row>
    <row r="2135" spans="1:9" x14ac:dyDescent="0.3">
      <c r="A2135" t="str">
        <f>""</f>
        <v/>
      </c>
      <c r="F2135" t="str">
        <f>""</f>
        <v/>
      </c>
      <c r="G2135" t="str">
        <f>""</f>
        <v/>
      </c>
      <c r="I2135" t="str">
        <f t="shared" si="23"/>
        <v>GUARDIAN</v>
      </c>
    </row>
    <row r="2136" spans="1:9" x14ac:dyDescent="0.3">
      <c r="A2136" t="str">
        <f>""</f>
        <v/>
      </c>
      <c r="F2136" t="str">
        <f>""</f>
        <v/>
      </c>
      <c r="G2136" t="str">
        <f>""</f>
        <v/>
      </c>
      <c r="I2136" t="str">
        <f t="shared" si="23"/>
        <v>GUARDIAN</v>
      </c>
    </row>
    <row r="2137" spans="1:9" x14ac:dyDescent="0.3">
      <c r="A2137" t="str">
        <f>""</f>
        <v/>
      </c>
      <c r="F2137" t="str">
        <f>""</f>
        <v/>
      </c>
      <c r="G2137" t="str">
        <f>""</f>
        <v/>
      </c>
      <c r="I2137" t="str">
        <f t="shared" si="23"/>
        <v>GUARDIAN</v>
      </c>
    </row>
    <row r="2138" spans="1:9" x14ac:dyDescent="0.3">
      <c r="A2138" t="str">
        <f>""</f>
        <v/>
      </c>
      <c r="F2138" t="str">
        <f>""</f>
        <v/>
      </c>
      <c r="G2138" t="str">
        <f>""</f>
        <v/>
      </c>
      <c r="I2138" t="str">
        <f t="shared" si="23"/>
        <v>GUARDIAN</v>
      </c>
    </row>
    <row r="2139" spans="1:9" x14ac:dyDescent="0.3">
      <c r="A2139" t="str">
        <f>""</f>
        <v/>
      </c>
      <c r="F2139" t="str">
        <f>""</f>
        <v/>
      </c>
      <c r="G2139" t="str">
        <f>""</f>
        <v/>
      </c>
      <c r="I2139" t="str">
        <f t="shared" si="23"/>
        <v>GUARDIAN</v>
      </c>
    </row>
    <row r="2140" spans="1:9" x14ac:dyDescent="0.3">
      <c r="A2140" t="str">
        <f>""</f>
        <v/>
      </c>
      <c r="F2140" t="str">
        <f>"GDC201805010495"</f>
        <v>GDC201805010495</v>
      </c>
      <c r="G2140" t="str">
        <f>"GUARDIAN"</f>
        <v>GUARDIAN</v>
      </c>
      <c r="H2140">
        <v>97.95</v>
      </c>
      <c r="I2140" t="str">
        <f t="shared" si="23"/>
        <v>GUARDIAN</v>
      </c>
    </row>
    <row r="2141" spans="1:9" x14ac:dyDescent="0.3">
      <c r="A2141" t="str">
        <f>""</f>
        <v/>
      </c>
      <c r="F2141" t="str">
        <f>""</f>
        <v/>
      </c>
      <c r="G2141" t="str">
        <f>""</f>
        <v/>
      </c>
      <c r="I2141" t="str">
        <f t="shared" si="23"/>
        <v>GUARDIAN</v>
      </c>
    </row>
    <row r="2142" spans="1:9" x14ac:dyDescent="0.3">
      <c r="A2142" t="str">
        <f>""</f>
        <v/>
      </c>
      <c r="F2142" t="str">
        <f>"GDC201805161053"</f>
        <v>GDC201805161053</v>
      </c>
      <c r="G2142" t="str">
        <f>"GUARDIAN"</f>
        <v>GUARDIAN</v>
      </c>
      <c r="H2142">
        <v>2579.35</v>
      </c>
      <c r="I2142" t="str">
        <f t="shared" si="23"/>
        <v>GUARDIAN</v>
      </c>
    </row>
    <row r="2143" spans="1:9" x14ac:dyDescent="0.3">
      <c r="A2143" t="str">
        <f>""</f>
        <v/>
      </c>
      <c r="F2143" t="str">
        <f>""</f>
        <v/>
      </c>
      <c r="G2143" t="str">
        <f>""</f>
        <v/>
      </c>
      <c r="I2143" t="str">
        <f t="shared" si="23"/>
        <v>GUARDIAN</v>
      </c>
    </row>
    <row r="2144" spans="1:9" x14ac:dyDescent="0.3">
      <c r="A2144" t="str">
        <f>""</f>
        <v/>
      </c>
      <c r="F2144" t="str">
        <f>""</f>
        <v/>
      </c>
      <c r="G2144" t="str">
        <f>""</f>
        <v/>
      </c>
      <c r="I2144" t="str">
        <f t="shared" si="23"/>
        <v>GUARDIAN</v>
      </c>
    </row>
    <row r="2145" spans="1:9" x14ac:dyDescent="0.3">
      <c r="A2145" t="str">
        <f>""</f>
        <v/>
      </c>
      <c r="F2145" t="str">
        <f>""</f>
        <v/>
      </c>
      <c r="G2145" t="str">
        <f>""</f>
        <v/>
      </c>
      <c r="I2145" t="str">
        <f t="shared" si="23"/>
        <v>GUARDIAN</v>
      </c>
    </row>
    <row r="2146" spans="1:9" x14ac:dyDescent="0.3">
      <c r="A2146" t="str">
        <f>""</f>
        <v/>
      </c>
      <c r="F2146" t="str">
        <f>""</f>
        <v/>
      </c>
      <c r="G2146" t="str">
        <f>""</f>
        <v/>
      </c>
      <c r="I2146" t="str">
        <f t="shared" si="23"/>
        <v>GUARDIAN</v>
      </c>
    </row>
    <row r="2147" spans="1:9" x14ac:dyDescent="0.3">
      <c r="A2147" t="str">
        <f>""</f>
        <v/>
      </c>
      <c r="F2147" t="str">
        <f>""</f>
        <v/>
      </c>
      <c r="G2147" t="str">
        <f>""</f>
        <v/>
      </c>
      <c r="I2147" t="str">
        <f t="shared" si="23"/>
        <v>GUARDIAN</v>
      </c>
    </row>
    <row r="2148" spans="1:9" x14ac:dyDescent="0.3">
      <c r="A2148" t="str">
        <f>""</f>
        <v/>
      </c>
      <c r="F2148" t="str">
        <f>""</f>
        <v/>
      </c>
      <c r="G2148" t="str">
        <f>""</f>
        <v/>
      </c>
      <c r="I2148" t="str">
        <f t="shared" si="23"/>
        <v>GUARDIAN</v>
      </c>
    </row>
    <row r="2149" spans="1:9" x14ac:dyDescent="0.3">
      <c r="A2149" t="str">
        <f>""</f>
        <v/>
      </c>
      <c r="F2149" t="str">
        <f>""</f>
        <v/>
      </c>
      <c r="G2149" t="str">
        <f>""</f>
        <v/>
      </c>
      <c r="I2149" t="str">
        <f t="shared" si="23"/>
        <v>GUARDIAN</v>
      </c>
    </row>
    <row r="2150" spans="1:9" x14ac:dyDescent="0.3">
      <c r="A2150" t="str">
        <f>""</f>
        <v/>
      </c>
      <c r="F2150" t="str">
        <f>""</f>
        <v/>
      </c>
      <c r="G2150" t="str">
        <f>""</f>
        <v/>
      </c>
      <c r="I2150" t="str">
        <f t="shared" si="23"/>
        <v>GUARDIAN</v>
      </c>
    </row>
    <row r="2151" spans="1:9" x14ac:dyDescent="0.3">
      <c r="A2151" t="str">
        <f>""</f>
        <v/>
      </c>
      <c r="F2151" t="str">
        <f>""</f>
        <v/>
      </c>
      <c r="G2151" t="str">
        <f>""</f>
        <v/>
      </c>
      <c r="I2151" t="str">
        <f t="shared" si="23"/>
        <v>GUARDIAN</v>
      </c>
    </row>
    <row r="2152" spans="1:9" x14ac:dyDescent="0.3">
      <c r="A2152" t="str">
        <f>""</f>
        <v/>
      </c>
      <c r="F2152" t="str">
        <f>""</f>
        <v/>
      </c>
      <c r="G2152" t="str">
        <f>""</f>
        <v/>
      </c>
      <c r="I2152" t="str">
        <f t="shared" si="23"/>
        <v>GUARDIAN</v>
      </c>
    </row>
    <row r="2153" spans="1:9" x14ac:dyDescent="0.3">
      <c r="A2153" t="str">
        <f>""</f>
        <v/>
      </c>
      <c r="F2153" t="str">
        <f>""</f>
        <v/>
      </c>
      <c r="G2153" t="str">
        <f>""</f>
        <v/>
      </c>
      <c r="I2153" t="str">
        <f t="shared" si="23"/>
        <v>GUARDIAN</v>
      </c>
    </row>
    <row r="2154" spans="1:9" x14ac:dyDescent="0.3">
      <c r="A2154" t="str">
        <f>""</f>
        <v/>
      </c>
      <c r="F2154" t="str">
        <f>""</f>
        <v/>
      </c>
      <c r="G2154" t="str">
        <f>""</f>
        <v/>
      </c>
      <c r="I2154" t="str">
        <f t="shared" si="23"/>
        <v>GUARDIAN</v>
      </c>
    </row>
    <row r="2155" spans="1:9" x14ac:dyDescent="0.3">
      <c r="A2155" t="str">
        <f>""</f>
        <v/>
      </c>
      <c r="F2155" t="str">
        <f>""</f>
        <v/>
      </c>
      <c r="G2155" t="str">
        <f>""</f>
        <v/>
      </c>
      <c r="I2155" t="str">
        <f t="shared" si="23"/>
        <v>GUARDIAN</v>
      </c>
    </row>
    <row r="2156" spans="1:9" x14ac:dyDescent="0.3">
      <c r="A2156" t="str">
        <f>""</f>
        <v/>
      </c>
      <c r="F2156" t="str">
        <f>""</f>
        <v/>
      </c>
      <c r="G2156" t="str">
        <f>""</f>
        <v/>
      </c>
      <c r="I2156" t="str">
        <f t="shared" si="23"/>
        <v>GUARDIAN</v>
      </c>
    </row>
    <row r="2157" spans="1:9" x14ac:dyDescent="0.3">
      <c r="A2157" t="str">
        <f>""</f>
        <v/>
      </c>
      <c r="F2157" t="str">
        <f>""</f>
        <v/>
      </c>
      <c r="G2157" t="str">
        <f>""</f>
        <v/>
      </c>
      <c r="I2157" t="str">
        <f t="shared" si="23"/>
        <v>GUARDIAN</v>
      </c>
    </row>
    <row r="2158" spans="1:9" x14ac:dyDescent="0.3">
      <c r="A2158" t="str">
        <f>""</f>
        <v/>
      </c>
      <c r="F2158" t="str">
        <f>""</f>
        <v/>
      </c>
      <c r="G2158" t="str">
        <f>""</f>
        <v/>
      </c>
      <c r="I2158" t="str">
        <f t="shared" si="23"/>
        <v>GUARDIAN</v>
      </c>
    </row>
    <row r="2159" spans="1:9" x14ac:dyDescent="0.3">
      <c r="A2159" t="str">
        <f>""</f>
        <v/>
      </c>
      <c r="F2159" t="str">
        <f>""</f>
        <v/>
      </c>
      <c r="G2159" t="str">
        <f>""</f>
        <v/>
      </c>
      <c r="I2159" t="str">
        <f t="shared" si="23"/>
        <v>GUARDIAN</v>
      </c>
    </row>
    <row r="2160" spans="1:9" x14ac:dyDescent="0.3">
      <c r="A2160" t="str">
        <f>""</f>
        <v/>
      </c>
      <c r="F2160" t="str">
        <f>""</f>
        <v/>
      </c>
      <c r="G2160" t="str">
        <f>""</f>
        <v/>
      </c>
      <c r="I2160" t="str">
        <f t="shared" si="23"/>
        <v>GUARDIAN</v>
      </c>
    </row>
    <row r="2161" spans="1:9" x14ac:dyDescent="0.3">
      <c r="A2161" t="str">
        <f>""</f>
        <v/>
      </c>
      <c r="F2161" t="str">
        <f>""</f>
        <v/>
      </c>
      <c r="G2161" t="str">
        <f>""</f>
        <v/>
      </c>
      <c r="I2161" t="str">
        <f t="shared" ref="I2161:I2224" si="24">"GUARDIAN"</f>
        <v>GUARDIAN</v>
      </c>
    </row>
    <row r="2162" spans="1:9" x14ac:dyDescent="0.3">
      <c r="A2162" t="str">
        <f>""</f>
        <v/>
      </c>
      <c r="F2162" t="str">
        <f>""</f>
        <v/>
      </c>
      <c r="G2162" t="str">
        <f>""</f>
        <v/>
      </c>
      <c r="I2162" t="str">
        <f t="shared" si="24"/>
        <v>GUARDIAN</v>
      </c>
    </row>
    <row r="2163" spans="1:9" x14ac:dyDescent="0.3">
      <c r="A2163" t="str">
        <f>""</f>
        <v/>
      </c>
      <c r="F2163" t="str">
        <f>""</f>
        <v/>
      </c>
      <c r="G2163" t="str">
        <f>""</f>
        <v/>
      </c>
      <c r="I2163" t="str">
        <f t="shared" si="24"/>
        <v>GUARDIAN</v>
      </c>
    </row>
    <row r="2164" spans="1:9" x14ac:dyDescent="0.3">
      <c r="A2164" t="str">
        <f>""</f>
        <v/>
      </c>
      <c r="F2164" t="str">
        <f>""</f>
        <v/>
      </c>
      <c r="G2164" t="str">
        <f>""</f>
        <v/>
      </c>
      <c r="I2164" t="str">
        <f t="shared" si="24"/>
        <v>GUARDIAN</v>
      </c>
    </row>
    <row r="2165" spans="1:9" x14ac:dyDescent="0.3">
      <c r="A2165" t="str">
        <f>""</f>
        <v/>
      </c>
      <c r="F2165" t="str">
        <f>""</f>
        <v/>
      </c>
      <c r="G2165" t="str">
        <f>""</f>
        <v/>
      </c>
      <c r="I2165" t="str">
        <f t="shared" si="24"/>
        <v>GUARDIAN</v>
      </c>
    </row>
    <row r="2166" spans="1:9" x14ac:dyDescent="0.3">
      <c r="A2166" t="str">
        <f>""</f>
        <v/>
      </c>
      <c r="F2166" t="str">
        <f>""</f>
        <v/>
      </c>
      <c r="G2166" t="str">
        <f>""</f>
        <v/>
      </c>
      <c r="I2166" t="str">
        <f t="shared" si="24"/>
        <v>GUARDIAN</v>
      </c>
    </row>
    <row r="2167" spans="1:9" x14ac:dyDescent="0.3">
      <c r="A2167" t="str">
        <f>""</f>
        <v/>
      </c>
      <c r="F2167" t="str">
        <f>""</f>
        <v/>
      </c>
      <c r="G2167" t="str">
        <f>""</f>
        <v/>
      </c>
      <c r="I2167" t="str">
        <f t="shared" si="24"/>
        <v>GUARDIAN</v>
      </c>
    </row>
    <row r="2168" spans="1:9" x14ac:dyDescent="0.3">
      <c r="A2168" t="str">
        <f>""</f>
        <v/>
      </c>
      <c r="F2168" t="str">
        <f>""</f>
        <v/>
      </c>
      <c r="G2168" t="str">
        <f>""</f>
        <v/>
      </c>
      <c r="I2168" t="str">
        <f t="shared" si="24"/>
        <v>GUARDIAN</v>
      </c>
    </row>
    <row r="2169" spans="1:9" x14ac:dyDescent="0.3">
      <c r="A2169" t="str">
        <f>""</f>
        <v/>
      </c>
      <c r="F2169" t="str">
        <f>""</f>
        <v/>
      </c>
      <c r="G2169" t="str">
        <f>""</f>
        <v/>
      </c>
      <c r="I2169" t="str">
        <f t="shared" si="24"/>
        <v>GUARDIAN</v>
      </c>
    </row>
    <row r="2170" spans="1:9" x14ac:dyDescent="0.3">
      <c r="A2170" t="str">
        <f>""</f>
        <v/>
      </c>
      <c r="F2170" t="str">
        <f>""</f>
        <v/>
      </c>
      <c r="G2170" t="str">
        <f>""</f>
        <v/>
      </c>
      <c r="I2170" t="str">
        <f t="shared" si="24"/>
        <v>GUARDIAN</v>
      </c>
    </row>
    <row r="2171" spans="1:9" x14ac:dyDescent="0.3">
      <c r="A2171" t="str">
        <f>""</f>
        <v/>
      </c>
      <c r="F2171" t="str">
        <f>""</f>
        <v/>
      </c>
      <c r="G2171" t="str">
        <f>""</f>
        <v/>
      </c>
      <c r="I2171" t="str">
        <f t="shared" si="24"/>
        <v>GUARDIAN</v>
      </c>
    </row>
    <row r="2172" spans="1:9" x14ac:dyDescent="0.3">
      <c r="A2172" t="str">
        <f>""</f>
        <v/>
      </c>
      <c r="F2172" t="str">
        <f>""</f>
        <v/>
      </c>
      <c r="G2172" t="str">
        <f>""</f>
        <v/>
      </c>
      <c r="I2172" t="str">
        <f t="shared" si="24"/>
        <v>GUARDIAN</v>
      </c>
    </row>
    <row r="2173" spans="1:9" x14ac:dyDescent="0.3">
      <c r="A2173" t="str">
        <f>""</f>
        <v/>
      </c>
      <c r="F2173" t="str">
        <f>"GDC201805161054"</f>
        <v>GDC201805161054</v>
      </c>
      <c r="G2173" t="str">
        <f>"GUARDIAN"</f>
        <v>GUARDIAN</v>
      </c>
      <c r="H2173">
        <v>97.95</v>
      </c>
      <c r="I2173" t="str">
        <f t="shared" si="24"/>
        <v>GUARDIAN</v>
      </c>
    </row>
    <row r="2174" spans="1:9" x14ac:dyDescent="0.3">
      <c r="A2174" t="str">
        <f>""</f>
        <v/>
      </c>
      <c r="F2174" t="str">
        <f>""</f>
        <v/>
      </c>
      <c r="G2174" t="str">
        <f>""</f>
        <v/>
      </c>
      <c r="I2174" t="str">
        <f t="shared" si="24"/>
        <v>GUARDIAN</v>
      </c>
    </row>
    <row r="2175" spans="1:9" x14ac:dyDescent="0.3">
      <c r="A2175" t="str">
        <f>""</f>
        <v/>
      </c>
      <c r="F2175" t="str">
        <f>"GDE201805010494"</f>
        <v>GDE201805010494</v>
      </c>
      <c r="G2175" t="str">
        <f>"GUARDIAN"</f>
        <v>GUARDIAN</v>
      </c>
      <c r="H2175">
        <v>3922</v>
      </c>
      <c r="I2175" t="str">
        <f t="shared" si="24"/>
        <v>GUARDIAN</v>
      </c>
    </row>
    <row r="2176" spans="1:9" x14ac:dyDescent="0.3">
      <c r="A2176" t="str">
        <f>""</f>
        <v/>
      </c>
      <c r="F2176" t="str">
        <f>""</f>
        <v/>
      </c>
      <c r="G2176" t="str">
        <f>""</f>
        <v/>
      </c>
      <c r="I2176" t="str">
        <f t="shared" si="24"/>
        <v>GUARDIAN</v>
      </c>
    </row>
    <row r="2177" spans="1:9" x14ac:dyDescent="0.3">
      <c r="A2177" t="str">
        <f>""</f>
        <v/>
      </c>
      <c r="F2177" t="str">
        <f>""</f>
        <v/>
      </c>
      <c r="G2177" t="str">
        <f>""</f>
        <v/>
      </c>
      <c r="I2177" t="str">
        <f t="shared" si="24"/>
        <v>GUARDIAN</v>
      </c>
    </row>
    <row r="2178" spans="1:9" x14ac:dyDescent="0.3">
      <c r="A2178" t="str">
        <f>""</f>
        <v/>
      </c>
      <c r="F2178" t="str">
        <f>""</f>
        <v/>
      </c>
      <c r="G2178" t="str">
        <f>""</f>
        <v/>
      </c>
      <c r="I2178" t="str">
        <f t="shared" si="24"/>
        <v>GUARDIAN</v>
      </c>
    </row>
    <row r="2179" spans="1:9" x14ac:dyDescent="0.3">
      <c r="A2179" t="str">
        <f>""</f>
        <v/>
      </c>
      <c r="F2179" t="str">
        <f>""</f>
        <v/>
      </c>
      <c r="G2179" t="str">
        <f>""</f>
        <v/>
      </c>
      <c r="I2179" t="str">
        <f t="shared" si="24"/>
        <v>GUARDIAN</v>
      </c>
    </row>
    <row r="2180" spans="1:9" x14ac:dyDescent="0.3">
      <c r="A2180" t="str">
        <f>""</f>
        <v/>
      </c>
      <c r="F2180" t="str">
        <f>""</f>
        <v/>
      </c>
      <c r="G2180" t="str">
        <f>""</f>
        <v/>
      </c>
      <c r="I2180" t="str">
        <f t="shared" si="24"/>
        <v>GUARDIAN</v>
      </c>
    </row>
    <row r="2181" spans="1:9" x14ac:dyDescent="0.3">
      <c r="A2181" t="str">
        <f>""</f>
        <v/>
      </c>
      <c r="F2181" t="str">
        <f>""</f>
        <v/>
      </c>
      <c r="G2181" t="str">
        <f>""</f>
        <v/>
      </c>
      <c r="I2181" t="str">
        <f t="shared" si="24"/>
        <v>GUARDIAN</v>
      </c>
    </row>
    <row r="2182" spans="1:9" x14ac:dyDescent="0.3">
      <c r="A2182" t="str">
        <f>""</f>
        <v/>
      </c>
      <c r="F2182" t="str">
        <f>""</f>
        <v/>
      </c>
      <c r="G2182" t="str">
        <f>""</f>
        <v/>
      </c>
      <c r="I2182" t="str">
        <f t="shared" si="24"/>
        <v>GUARDIAN</v>
      </c>
    </row>
    <row r="2183" spans="1:9" x14ac:dyDescent="0.3">
      <c r="A2183" t="str">
        <f>""</f>
        <v/>
      </c>
      <c r="F2183" t="str">
        <f>""</f>
        <v/>
      </c>
      <c r="G2183" t="str">
        <f>""</f>
        <v/>
      </c>
      <c r="I2183" t="str">
        <f t="shared" si="24"/>
        <v>GUARDIAN</v>
      </c>
    </row>
    <row r="2184" spans="1:9" x14ac:dyDescent="0.3">
      <c r="A2184" t="str">
        <f>""</f>
        <v/>
      </c>
      <c r="F2184" t="str">
        <f>""</f>
        <v/>
      </c>
      <c r="G2184" t="str">
        <f>""</f>
        <v/>
      </c>
      <c r="I2184" t="str">
        <f t="shared" si="24"/>
        <v>GUARDIAN</v>
      </c>
    </row>
    <row r="2185" spans="1:9" x14ac:dyDescent="0.3">
      <c r="A2185" t="str">
        <f>""</f>
        <v/>
      </c>
      <c r="F2185" t="str">
        <f>""</f>
        <v/>
      </c>
      <c r="G2185" t="str">
        <f>""</f>
        <v/>
      </c>
      <c r="I2185" t="str">
        <f t="shared" si="24"/>
        <v>GUARDIAN</v>
      </c>
    </row>
    <row r="2186" spans="1:9" x14ac:dyDescent="0.3">
      <c r="A2186" t="str">
        <f>""</f>
        <v/>
      </c>
      <c r="F2186" t="str">
        <f>""</f>
        <v/>
      </c>
      <c r="G2186" t="str">
        <f>""</f>
        <v/>
      </c>
      <c r="I2186" t="str">
        <f t="shared" si="24"/>
        <v>GUARDIAN</v>
      </c>
    </row>
    <row r="2187" spans="1:9" x14ac:dyDescent="0.3">
      <c r="A2187" t="str">
        <f>""</f>
        <v/>
      </c>
      <c r="F2187" t="str">
        <f>""</f>
        <v/>
      </c>
      <c r="G2187" t="str">
        <f>""</f>
        <v/>
      </c>
      <c r="I2187" t="str">
        <f t="shared" si="24"/>
        <v>GUARDIAN</v>
      </c>
    </row>
    <row r="2188" spans="1:9" x14ac:dyDescent="0.3">
      <c r="A2188" t="str">
        <f>""</f>
        <v/>
      </c>
      <c r="F2188" t="str">
        <f>""</f>
        <v/>
      </c>
      <c r="G2188" t="str">
        <f>""</f>
        <v/>
      </c>
      <c r="I2188" t="str">
        <f t="shared" si="24"/>
        <v>GUARDIAN</v>
      </c>
    </row>
    <row r="2189" spans="1:9" x14ac:dyDescent="0.3">
      <c r="A2189" t="str">
        <f>""</f>
        <v/>
      </c>
      <c r="F2189" t="str">
        <f>""</f>
        <v/>
      </c>
      <c r="G2189" t="str">
        <f>""</f>
        <v/>
      </c>
      <c r="I2189" t="str">
        <f t="shared" si="24"/>
        <v>GUARDIAN</v>
      </c>
    </row>
    <row r="2190" spans="1:9" x14ac:dyDescent="0.3">
      <c r="A2190" t="str">
        <f>""</f>
        <v/>
      </c>
      <c r="F2190" t="str">
        <f>""</f>
        <v/>
      </c>
      <c r="G2190" t="str">
        <f>""</f>
        <v/>
      </c>
      <c r="I2190" t="str">
        <f t="shared" si="24"/>
        <v>GUARDIAN</v>
      </c>
    </row>
    <row r="2191" spans="1:9" x14ac:dyDescent="0.3">
      <c r="A2191" t="str">
        <f>""</f>
        <v/>
      </c>
      <c r="F2191" t="str">
        <f>""</f>
        <v/>
      </c>
      <c r="G2191" t="str">
        <f>""</f>
        <v/>
      </c>
      <c r="I2191" t="str">
        <f t="shared" si="24"/>
        <v>GUARDIAN</v>
      </c>
    </row>
    <row r="2192" spans="1:9" x14ac:dyDescent="0.3">
      <c r="A2192" t="str">
        <f>""</f>
        <v/>
      </c>
      <c r="F2192" t="str">
        <f>""</f>
        <v/>
      </c>
      <c r="G2192" t="str">
        <f>""</f>
        <v/>
      </c>
      <c r="I2192" t="str">
        <f t="shared" si="24"/>
        <v>GUARDIAN</v>
      </c>
    </row>
    <row r="2193" spans="1:9" x14ac:dyDescent="0.3">
      <c r="A2193" t="str">
        <f>""</f>
        <v/>
      </c>
      <c r="F2193" t="str">
        <f>""</f>
        <v/>
      </c>
      <c r="G2193" t="str">
        <f>""</f>
        <v/>
      </c>
      <c r="I2193" t="str">
        <f t="shared" si="24"/>
        <v>GUARDIAN</v>
      </c>
    </row>
    <row r="2194" spans="1:9" x14ac:dyDescent="0.3">
      <c r="A2194" t="str">
        <f>""</f>
        <v/>
      </c>
      <c r="F2194" t="str">
        <f>""</f>
        <v/>
      </c>
      <c r="G2194" t="str">
        <f>""</f>
        <v/>
      </c>
      <c r="I2194" t="str">
        <f t="shared" si="24"/>
        <v>GUARDIAN</v>
      </c>
    </row>
    <row r="2195" spans="1:9" x14ac:dyDescent="0.3">
      <c r="A2195" t="str">
        <f>""</f>
        <v/>
      </c>
      <c r="F2195" t="str">
        <f>""</f>
        <v/>
      </c>
      <c r="G2195" t="str">
        <f>""</f>
        <v/>
      </c>
      <c r="I2195" t="str">
        <f t="shared" si="24"/>
        <v>GUARDIAN</v>
      </c>
    </row>
    <row r="2196" spans="1:9" x14ac:dyDescent="0.3">
      <c r="A2196" t="str">
        <f>""</f>
        <v/>
      </c>
      <c r="F2196" t="str">
        <f>""</f>
        <v/>
      </c>
      <c r="G2196" t="str">
        <f>""</f>
        <v/>
      </c>
      <c r="I2196" t="str">
        <f t="shared" si="24"/>
        <v>GUARDIAN</v>
      </c>
    </row>
    <row r="2197" spans="1:9" x14ac:dyDescent="0.3">
      <c r="A2197" t="str">
        <f>""</f>
        <v/>
      </c>
      <c r="F2197" t="str">
        <f>""</f>
        <v/>
      </c>
      <c r="G2197" t="str">
        <f>""</f>
        <v/>
      </c>
      <c r="I2197" t="str">
        <f t="shared" si="24"/>
        <v>GUARDIAN</v>
      </c>
    </row>
    <row r="2198" spans="1:9" x14ac:dyDescent="0.3">
      <c r="A2198" t="str">
        <f>""</f>
        <v/>
      </c>
      <c r="F2198" t="str">
        <f>""</f>
        <v/>
      </c>
      <c r="G2198" t="str">
        <f>""</f>
        <v/>
      </c>
      <c r="I2198" t="str">
        <f t="shared" si="24"/>
        <v>GUARDIAN</v>
      </c>
    </row>
    <row r="2199" spans="1:9" x14ac:dyDescent="0.3">
      <c r="A2199" t="str">
        <f>""</f>
        <v/>
      </c>
      <c r="F2199" t="str">
        <f>""</f>
        <v/>
      </c>
      <c r="G2199" t="str">
        <f>""</f>
        <v/>
      </c>
      <c r="I2199" t="str">
        <f t="shared" si="24"/>
        <v>GUARDIAN</v>
      </c>
    </row>
    <row r="2200" spans="1:9" x14ac:dyDescent="0.3">
      <c r="A2200" t="str">
        <f>""</f>
        <v/>
      </c>
      <c r="F2200" t="str">
        <f>""</f>
        <v/>
      </c>
      <c r="G2200" t="str">
        <f>""</f>
        <v/>
      </c>
      <c r="I2200" t="str">
        <f t="shared" si="24"/>
        <v>GUARDIAN</v>
      </c>
    </row>
    <row r="2201" spans="1:9" x14ac:dyDescent="0.3">
      <c r="A2201" t="str">
        <f>""</f>
        <v/>
      </c>
      <c r="F2201" t="str">
        <f>""</f>
        <v/>
      </c>
      <c r="G2201" t="str">
        <f>""</f>
        <v/>
      </c>
      <c r="I2201" t="str">
        <f t="shared" si="24"/>
        <v>GUARDIAN</v>
      </c>
    </row>
    <row r="2202" spans="1:9" x14ac:dyDescent="0.3">
      <c r="A2202" t="str">
        <f>""</f>
        <v/>
      </c>
      <c r="F2202" t="str">
        <f>""</f>
        <v/>
      </c>
      <c r="G2202" t="str">
        <f>""</f>
        <v/>
      </c>
      <c r="I2202" t="str">
        <f t="shared" si="24"/>
        <v>GUARDIAN</v>
      </c>
    </row>
    <row r="2203" spans="1:9" x14ac:dyDescent="0.3">
      <c r="A2203" t="str">
        <f>""</f>
        <v/>
      </c>
      <c r="F2203" t="str">
        <f>""</f>
        <v/>
      </c>
      <c r="G2203" t="str">
        <f>""</f>
        <v/>
      </c>
      <c r="I2203" t="str">
        <f t="shared" si="24"/>
        <v>GUARDIAN</v>
      </c>
    </row>
    <row r="2204" spans="1:9" x14ac:dyDescent="0.3">
      <c r="A2204" t="str">
        <f>""</f>
        <v/>
      </c>
      <c r="F2204" t="str">
        <f>""</f>
        <v/>
      </c>
      <c r="G2204" t="str">
        <f>""</f>
        <v/>
      </c>
      <c r="I2204" t="str">
        <f t="shared" si="24"/>
        <v>GUARDIAN</v>
      </c>
    </row>
    <row r="2205" spans="1:9" x14ac:dyDescent="0.3">
      <c r="A2205" t="str">
        <f>""</f>
        <v/>
      </c>
      <c r="F2205" t="str">
        <f>""</f>
        <v/>
      </c>
      <c r="G2205" t="str">
        <f>""</f>
        <v/>
      </c>
      <c r="I2205" t="str">
        <f t="shared" si="24"/>
        <v>GUARDIAN</v>
      </c>
    </row>
    <row r="2206" spans="1:9" x14ac:dyDescent="0.3">
      <c r="A2206" t="str">
        <f>""</f>
        <v/>
      </c>
      <c r="F2206" t="str">
        <f>""</f>
        <v/>
      </c>
      <c r="G2206" t="str">
        <f>""</f>
        <v/>
      </c>
      <c r="I2206" t="str">
        <f t="shared" si="24"/>
        <v>GUARDIAN</v>
      </c>
    </row>
    <row r="2207" spans="1:9" x14ac:dyDescent="0.3">
      <c r="A2207" t="str">
        <f>""</f>
        <v/>
      </c>
      <c r="F2207" t="str">
        <f>""</f>
        <v/>
      </c>
      <c r="G2207" t="str">
        <f>""</f>
        <v/>
      </c>
      <c r="I2207" t="str">
        <f t="shared" si="24"/>
        <v>GUARDIAN</v>
      </c>
    </row>
    <row r="2208" spans="1:9" x14ac:dyDescent="0.3">
      <c r="A2208" t="str">
        <f>""</f>
        <v/>
      </c>
      <c r="F2208" t="str">
        <f>""</f>
        <v/>
      </c>
      <c r="G2208" t="str">
        <f>""</f>
        <v/>
      </c>
      <c r="I2208" t="str">
        <f t="shared" si="24"/>
        <v>GUARDIAN</v>
      </c>
    </row>
    <row r="2209" spans="1:9" x14ac:dyDescent="0.3">
      <c r="A2209" t="str">
        <f>""</f>
        <v/>
      </c>
      <c r="F2209" t="str">
        <f>""</f>
        <v/>
      </c>
      <c r="G2209" t="str">
        <f>""</f>
        <v/>
      </c>
      <c r="I2209" t="str">
        <f t="shared" si="24"/>
        <v>GUARDIAN</v>
      </c>
    </row>
    <row r="2210" spans="1:9" x14ac:dyDescent="0.3">
      <c r="A2210" t="str">
        <f>""</f>
        <v/>
      </c>
      <c r="F2210" t="str">
        <f>""</f>
        <v/>
      </c>
      <c r="G2210" t="str">
        <f>""</f>
        <v/>
      </c>
      <c r="I2210" t="str">
        <f t="shared" si="24"/>
        <v>GUARDIAN</v>
      </c>
    </row>
    <row r="2211" spans="1:9" x14ac:dyDescent="0.3">
      <c r="A2211" t="str">
        <f>""</f>
        <v/>
      </c>
      <c r="F2211" t="str">
        <f>""</f>
        <v/>
      </c>
      <c r="G2211" t="str">
        <f>""</f>
        <v/>
      </c>
      <c r="I2211" t="str">
        <f t="shared" si="24"/>
        <v>GUARDIAN</v>
      </c>
    </row>
    <row r="2212" spans="1:9" x14ac:dyDescent="0.3">
      <c r="A2212" t="str">
        <f>""</f>
        <v/>
      </c>
      <c r="F2212" t="str">
        <f>""</f>
        <v/>
      </c>
      <c r="G2212" t="str">
        <f>""</f>
        <v/>
      </c>
      <c r="I2212" t="str">
        <f t="shared" si="24"/>
        <v>GUARDIAN</v>
      </c>
    </row>
    <row r="2213" spans="1:9" x14ac:dyDescent="0.3">
      <c r="A2213" t="str">
        <f>""</f>
        <v/>
      </c>
      <c r="F2213" t="str">
        <f>""</f>
        <v/>
      </c>
      <c r="G2213" t="str">
        <f>""</f>
        <v/>
      </c>
      <c r="I2213" t="str">
        <f t="shared" si="24"/>
        <v>GUARDIAN</v>
      </c>
    </row>
    <row r="2214" spans="1:9" x14ac:dyDescent="0.3">
      <c r="A2214" t="str">
        <f>""</f>
        <v/>
      </c>
      <c r="F2214" t="str">
        <f>""</f>
        <v/>
      </c>
      <c r="G2214" t="str">
        <f>""</f>
        <v/>
      </c>
      <c r="I2214" t="str">
        <f t="shared" si="24"/>
        <v>GUARDIAN</v>
      </c>
    </row>
    <row r="2215" spans="1:9" x14ac:dyDescent="0.3">
      <c r="A2215" t="str">
        <f>""</f>
        <v/>
      </c>
      <c r="F2215" t="str">
        <f>""</f>
        <v/>
      </c>
      <c r="G2215" t="str">
        <f>""</f>
        <v/>
      </c>
      <c r="I2215" t="str">
        <f t="shared" si="24"/>
        <v>GUARDIAN</v>
      </c>
    </row>
    <row r="2216" spans="1:9" x14ac:dyDescent="0.3">
      <c r="A2216" t="str">
        <f>""</f>
        <v/>
      </c>
      <c r="F2216" t="str">
        <f>"GDE201805010495"</f>
        <v>GDE201805010495</v>
      </c>
      <c r="G2216" t="str">
        <f>"GUARDIAN"</f>
        <v>GUARDIAN</v>
      </c>
      <c r="H2216">
        <v>148</v>
      </c>
      <c r="I2216" t="str">
        <f t="shared" si="24"/>
        <v>GUARDIAN</v>
      </c>
    </row>
    <row r="2217" spans="1:9" x14ac:dyDescent="0.3">
      <c r="A2217" t="str">
        <f>""</f>
        <v/>
      </c>
      <c r="F2217" t="str">
        <f>"GDE201805161053"</f>
        <v>GDE201805161053</v>
      </c>
      <c r="G2217" t="str">
        <f>"GUARDIAN"</f>
        <v>GUARDIAN</v>
      </c>
      <c r="H2217">
        <v>3922</v>
      </c>
      <c r="I2217" t="str">
        <f t="shared" si="24"/>
        <v>GUARDIAN</v>
      </c>
    </row>
    <row r="2218" spans="1:9" x14ac:dyDescent="0.3">
      <c r="A2218" t="str">
        <f>""</f>
        <v/>
      </c>
      <c r="F2218" t="str">
        <f>""</f>
        <v/>
      </c>
      <c r="G2218" t="str">
        <f>""</f>
        <v/>
      </c>
      <c r="I2218" t="str">
        <f t="shared" si="24"/>
        <v>GUARDIAN</v>
      </c>
    </row>
    <row r="2219" spans="1:9" x14ac:dyDescent="0.3">
      <c r="A2219" t="str">
        <f>""</f>
        <v/>
      </c>
      <c r="F2219" t="str">
        <f>""</f>
        <v/>
      </c>
      <c r="G2219" t="str">
        <f>""</f>
        <v/>
      </c>
      <c r="I2219" t="str">
        <f t="shared" si="24"/>
        <v>GUARDIAN</v>
      </c>
    </row>
    <row r="2220" spans="1:9" x14ac:dyDescent="0.3">
      <c r="A2220" t="str">
        <f>""</f>
        <v/>
      </c>
      <c r="F2220" t="str">
        <f>""</f>
        <v/>
      </c>
      <c r="G2220" t="str">
        <f>""</f>
        <v/>
      </c>
      <c r="I2220" t="str">
        <f t="shared" si="24"/>
        <v>GUARDIAN</v>
      </c>
    </row>
    <row r="2221" spans="1:9" x14ac:dyDescent="0.3">
      <c r="A2221" t="str">
        <f>""</f>
        <v/>
      </c>
      <c r="F2221" t="str">
        <f>""</f>
        <v/>
      </c>
      <c r="G2221" t="str">
        <f>""</f>
        <v/>
      </c>
      <c r="I2221" t="str">
        <f t="shared" si="24"/>
        <v>GUARDIAN</v>
      </c>
    </row>
    <row r="2222" spans="1:9" x14ac:dyDescent="0.3">
      <c r="A2222" t="str">
        <f>""</f>
        <v/>
      </c>
      <c r="F2222" t="str">
        <f>""</f>
        <v/>
      </c>
      <c r="G2222" t="str">
        <f>""</f>
        <v/>
      </c>
      <c r="I2222" t="str">
        <f t="shared" si="24"/>
        <v>GUARDIAN</v>
      </c>
    </row>
    <row r="2223" spans="1:9" x14ac:dyDescent="0.3">
      <c r="A2223" t="str">
        <f>""</f>
        <v/>
      </c>
      <c r="F2223" t="str">
        <f>""</f>
        <v/>
      </c>
      <c r="G2223" t="str">
        <f>""</f>
        <v/>
      </c>
      <c r="I2223" t="str">
        <f t="shared" si="24"/>
        <v>GUARDIAN</v>
      </c>
    </row>
    <row r="2224" spans="1:9" x14ac:dyDescent="0.3">
      <c r="A2224" t="str">
        <f>""</f>
        <v/>
      </c>
      <c r="F2224" t="str">
        <f>""</f>
        <v/>
      </c>
      <c r="G2224" t="str">
        <f>""</f>
        <v/>
      </c>
      <c r="I2224" t="str">
        <f t="shared" si="24"/>
        <v>GUARDIAN</v>
      </c>
    </row>
    <row r="2225" spans="1:9" x14ac:dyDescent="0.3">
      <c r="A2225" t="str">
        <f>""</f>
        <v/>
      </c>
      <c r="F2225" t="str">
        <f>""</f>
        <v/>
      </c>
      <c r="G2225" t="str">
        <f>""</f>
        <v/>
      </c>
      <c r="I2225" t="str">
        <f t="shared" ref="I2225:I2288" si="25">"GUARDIAN"</f>
        <v>GUARDIAN</v>
      </c>
    </row>
    <row r="2226" spans="1:9" x14ac:dyDescent="0.3">
      <c r="A2226" t="str">
        <f>""</f>
        <v/>
      </c>
      <c r="F2226" t="str">
        <f>""</f>
        <v/>
      </c>
      <c r="G2226" t="str">
        <f>""</f>
        <v/>
      </c>
      <c r="I2226" t="str">
        <f t="shared" si="25"/>
        <v>GUARDIAN</v>
      </c>
    </row>
    <row r="2227" spans="1:9" x14ac:dyDescent="0.3">
      <c r="A2227" t="str">
        <f>""</f>
        <v/>
      </c>
      <c r="F2227" t="str">
        <f>""</f>
        <v/>
      </c>
      <c r="G2227" t="str">
        <f>""</f>
        <v/>
      </c>
      <c r="I2227" t="str">
        <f t="shared" si="25"/>
        <v>GUARDIAN</v>
      </c>
    </row>
    <row r="2228" spans="1:9" x14ac:dyDescent="0.3">
      <c r="A2228" t="str">
        <f>""</f>
        <v/>
      </c>
      <c r="F2228" t="str">
        <f>""</f>
        <v/>
      </c>
      <c r="G2228" t="str">
        <f>""</f>
        <v/>
      </c>
      <c r="I2228" t="str">
        <f t="shared" si="25"/>
        <v>GUARDIAN</v>
      </c>
    </row>
    <row r="2229" spans="1:9" x14ac:dyDescent="0.3">
      <c r="A2229" t="str">
        <f>""</f>
        <v/>
      </c>
      <c r="F2229" t="str">
        <f>""</f>
        <v/>
      </c>
      <c r="G2229" t="str">
        <f>""</f>
        <v/>
      </c>
      <c r="I2229" t="str">
        <f t="shared" si="25"/>
        <v>GUARDIAN</v>
      </c>
    </row>
    <row r="2230" spans="1:9" x14ac:dyDescent="0.3">
      <c r="A2230" t="str">
        <f>""</f>
        <v/>
      </c>
      <c r="F2230" t="str">
        <f>""</f>
        <v/>
      </c>
      <c r="G2230" t="str">
        <f>""</f>
        <v/>
      </c>
      <c r="I2230" t="str">
        <f t="shared" si="25"/>
        <v>GUARDIAN</v>
      </c>
    </row>
    <row r="2231" spans="1:9" x14ac:dyDescent="0.3">
      <c r="A2231" t="str">
        <f>""</f>
        <v/>
      </c>
      <c r="F2231" t="str">
        <f>""</f>
        <v/>
      </c>
      <c r="G2231" t="str">
        <f>""</f>
        <v/>
      </c>
      <c r="I2231" t="str">
        <f t="shared" si="25"/>
        <v>GUARDIAN</v>
      </c>
    </row>
    <row r="2232" spans="1:9" x14ac:dyDescent="0.3">
      <c r="A2232" t="str">
        <f>""</f>
        <v/>
      </c>
      <c r="F2232" t="str">
        <f>""</f>
        <v/>
      </c>
      <c r="G2232" t="str">
        <f>""</f>
        <v/>
      </c>
      <c r="I2232" t="str">
        <f t="shared" si="25"/>
        <v>GUARDIAN</v>
      </c>
    </row>
    <row r="2233" spans="1:9" x14ac:dyDescent="0.3">
      <c r="A2233" t="str">
        <f>""</f>
        <v/>
      </c>
      <c r="F2233" t="str">
        <f>""</f>
        <v/>
      </c>
      <c r="G2233" t="str">
        <f>""</f>
        <v/>
      </c>
      <c r="I2233" t="str">
        <f t="shared" si="25"/>
        <v>GUARDIAN</v>
      </c>
    </row>
    <row r="2234" spans="1:9" x14ac:dyDescent="0.3">
      <c r="A2234" t="str">
        <f>""</f>
        <v/>
      </c>
      <c r="F2234" t="str">
        <f>""</f>
        <v/>
      </c>
      <c r="G2234" t="str">
        <f>""</f>
        <v/>
      </c>
      <c r="I2234" t="str">
        <f t="shared" si="25"/>
        <v>GUARDIAN</v>
      </c>
    </row>
    <row r="2235" spans="1:9" x14ac:dyDescent="0.3">
      <c r="A2235" t="str">
        <f>""</f>
        <v/>
      </c>
      <c r="F2235" t="str">
        <f>""</f>
        <v/>
      </c>
      <c r="G2235" t="str">
        <f>""</f>
        <v/>
      </c>
      <c r="I2235" t="str">
        <f t="shared" si="25"/>
        <v>GUARDIAN</v>
      </c>
    </row>
    <row r="2236" spans="1:9" x14ac:dyDescent="0.3">
      <c r="A2236" t="str">
        <f>""</f>
        <v/>
      </c>
      <c r="F2236" t="str">
        <f>""</f>
        <v/>
      </c>
      <c r="G2236" t="str">
        <f>""</f>
        <v/>
      </c>
      <c r="I2236" t="str">
        <f t="shared" si="25"/>
        <v>GUARDIAN</v>
      </c>
    </row>
    <row r="2237" spans="1:9" x14ac:dyDescent="0.3">
      <c r="A2237" t="str">
        <f>""</f>
        <v/>
      </c>
      <c r="F2237" t="str">
        <f>""</f>
        <v/>
      </c>
      <c r="G2237" t="str">
        <f>""</f>
        <v/>
      </c>
      <c r="I2237" t="str">
        <f t="shared" si="25"/>
        <v>GUARDIAN</v>
      </c>
    </row>
    <row r="2238" spans="1:9" x14ac:dyDescent="0.3">
      <c r="A2238" t="str">
        <f>""</f>
        <v/>
      </c>
      <c r="F2238" t="str">
        <f>""</f>
        <v/>
      </c>
      <c r="G2238" t="str">
        <f>""</f>
        <v/>
      </c>
      <c r="I2238" t="str">
        <f t="shared" si="25"/>
        <v>GUARDIAN</v>
      </c>
    </row>
    <row r="2239" spans="1:9" x14ac:dyDescent="0.3">
      <c r="A2239" t="str">
        <f>""</f>
        <v/>
      </c>
      <c r="F2239" t="str">
        <f>""</f>
        <v/>
      </c>
      <c r="G2239" t="str">
        <f>""</f>
        <v/>
      </c>
      <c r="I2239" t="str">
        <f t="shared" si="25"/>
        <v>GUARDIAN</v>
      </c>
    </row>
    <row r="2240" spans="1:9" x14ac:dyDescent="0.3">
      <c r="A2240" t="str">
        <f>""</f>
        <v/>
      </c>
      <c r="F2240" t="str">
        <f>""</f>
        <v/>
      </c>
      <c r="G2240" t="str">
        <f>""</f>
        <v/>
      </c>
      <c r="I2240" t="str">
        <f t="shared" si="25"/>
        <v>GUARDIAN</v>
      </c>
    </row>
    <row r="2241" spans="1:9" x14ac:dyDescent="0.3">
      <c r="A2241" t="str">
        <f>""</f>
        <v/>
      </c>
      <c r="F2241" t="str">
        <f>""</f>
        <v/>
      </c>
      <c r="G2241" t="str">
        <f>""</f>
        <v/>
      </c>
      <c r="I2241" t="str">
        <f t="shared" si="25"/>
        <v>GUARDIAN</v>
      </c>
    </row>
    <row r="2242" spans="1:9" x14ac:dyDescent="0.3">
      <c r="A2242" t="str">
        <f>""</f>
        <v/>
      </c>
      <c r="F2242" t="str">
        <f>""</f>
        <v/>
      </c>
      <c r="G2242" t="str">
        <f>""</f>
        <v/>
      </c>
      <c r="I2242" t="str">
        <f t="shared" si="25"/>
        <v>GUARDIAN</v>
      </c>
    </row>
    <row r="2243" spans="1:9" x14ac:dyDescent="0.3">
      <c r="A2243" t="str">
        <f>""</f>
        <v/>
      </c>
      <c r="F2243" t="str">
        <f>""</f>
        <v/>
      </c>
      <c r="G2243" t="str">
        <f>""</f>
        <v/>
      </c>
      <c r="I2243" t="str">
        <f t="shared" si="25"/>
        <v>GUARDIAN</v>
      </c>
    </row>
    <row r="2244" spans="1:9" x14ac:dyDescent="0.3">
      <c r="A2244" t="str">
        <f>""</f>
        <v/>
      </c>
      <c r="F2244" t="str">
        <f>""</f>
        <v/>
      </c>
      <c r="G2244" t="str">
        <f>""</f>
        <v/>
      </c>
      <c r="I2244" t="str">
        <f t="shared" si="25"/>
        <v>GUARDIAN</v>
      </c>
    </row>
    <row r="2245" spans="1:9" x14ac:dyDescent="0.3">
      <c r="A2245" t="str">
        <f>""</f>
        <v/>
      </c>
      <c r="F2245" t="str">
        <f>""</f>
        <v/>
      </c>
      <c r="G2245" t="str">
        <f>""</f>
        <v/>
      </c>
      <c r="I2245" t="str">
        <f t="shared" si="25"/>
        <v>GUARDIAN</v>
      </c>
    </row>
    <row r="2246" spans="1:9" x14ac:dyDescent="0.3">
      <c r="A2246" t="str">
        <f>""</f>
        <v/>
      </c>
      <c r="F2246" t="str">
        <f>""</f>
        <v/>
      </c>
      <c r="G2246" t="str">
        <f>""</f>
        <v/>
      </c>
      <c r="I2246" t="str">
        <f t="shared" si="25"/>
        <v>GUARDIAN</v>
      </c>
    </row>
    <row r="2247" spans="1:9" x14ac:dyDescent="0.3">
      <c r="A2247" t="str">
        <f>""</f>
        <v/>
      </c>
      <c r="F2247" t="str">
        <f>""</f>
        <v/>
      </c>
      <c r="G2247" t="str">
        <f>""</f>
        <v/>
      </c>
      <c r="I2247" t="str">
        <f t="shared" si="25"/>
        <v>GUARDIAN</v>
      </c>
    </row>
    <row r="2248" spans="1:9" x14ac:dyDescent="0.3">
      <c r="A2248" t="str">
        <f>""</f>
        <v/>
      </c>
      <c r="F2248" t="str">
        <f>""</f>
        <v/>
      </c>
      <c r="G2248" t="str">
        <f>""</f>
        <v/>
      </c>
      <c r="I2248" t="str">
        <f t="shared" si="25"/>
        <v>GUARDIAN</v>
      </c>
    </row>
    <row r="2249" spans="1:9" x14ac:dyDescent="0.3">
      <c r="A2249" t="str">
        <f>""</f>
        <v/>
      </c>
      <c r="F2249" t="str">
        <f>""</f>
        <v/>
      </c>
      <c r="G2249" t="str">
        <f>""</f>
        <v/>
      </c>
      <c r="I2249" t="str">
        <f t="shared" si="25"/>
        <v>GUARDIAN</v>
      </c>
    </row>
    <row r="2250" spans="1:9" x14ac:dyDescent="0.3">
      <c r="A2250" t="str">
        <f>""</f>
        <v/>
      </c>
      <c r="F2250" t="str">
        <f>""</f>
        <v/>
      </c>
      <c r="G2250" t="str">
        <f>""</f>
        <v/>
      </c>
      <c r="I2250" t="str">
        <f t="shared" si="25"/>
        <v>GUARDIAN</v>
      </c>
    </row>
    <row r="2251" spans="1:9" x14ac:dyDescent="0.3">
      <c r="A2251" t="str">
        <f>""</f>
        <v/>
      </c>
      <c r="F2251" t="str">
        <f>""</f>
        <v/>
      </c>
      <c r="G2251" t="str">
        <f>""</f>
        <v/>
      </c>
      <c r="I2251" t="str">
        <f t="shared" si="25"/>
        <v>GUARDIAN</v>
      </c>
    </row>
    <row r="2252" spans="1:9" x14ac:dyDescent="0.3">
      <c r="A2252" t="str">
        <f>""</f>
        <v/>
      </c>
      <c r="F2252" t="str">
        <f>""</f>
        <v/>
      </c>
      <c r="G2252" t="str">
        <f>""</f>
        <v/>
      </c>
      <c r="I2252" t="str">
        <f t="shared" si="25"/>
        <v>GUARDIAN</v>
      </c>
    </row>
    <row r="2253" spans="1:9" x14ac:dyDescent="0.3">
      <c r="A2253" t="str">
        <f>""</f>
        <v/>
      </c>
      <c r="F2253" t="str">
        <f>""</f>
        <v/>
      </c>
      <c r="G2253" t="str">
        <f>""</f>
        <v/>
      </c>
      <c r="I2253" t="str">
        <f t="shared" si="25"/>
        <v>GUARDIAN</v>
      </c>
    </row>
    <row r="2254" spans="1:9" x14ac:dyDescent="0.3">
      <c r="A2254" t="str">
        <f>""</f>
        <v/>
      </c>
      <c r="F2254" t="str">
        <f>""</f>
        <v/>
      </c>
      <c r="G2254" t="str">
        <f>""</f>
        <v/>
      </c>
      <c r="I2254" t="str">
        <f t="shared" si="25"/>
        <v>GUARDIAN</v>
      </c>
    </row>
    <row r="2255" spans="1:9" x14ac:dyDescent="0.3">
      <c r="A2255" t="str">
        <f>""</f>
        <v/>
      </c>
      <c r="F2255" t="str">
        <f>""</f>
        <v/>
      </c>
      <c r="G2255" t="str">
        <f>""</f>
        <v/>
      </c>
      <c r="I2255" t="str">
        <f t="shared" si="25"/>
        <v>GUARDIAN</v>
      </c>
    </row>
    <row r="2256" spans="1:9" x14ac:dyDescent="0.3">
      <c r="A2256" t="str">
        <f>""</f>
        <v/>
      </c>
      <c r="F2256" t="str">
        <f>""</f>
        <v/>
      </c>
      <c r="G2256" t="str">
        <f>""</f>
        <v/>
      </c>
      <c r="I2256" t="str">
        <f t="shared" si="25"/>
        <v>GUARDIAN</v>
      </c>
    </row>
    <row r="2257" spans="1:9" x14ac:dyDescent="0.3">
      <c r="A2257" t="str">
        <f>""</f>
        <v/>
      </c>
      <c r="F2257" t="str">
        <f>""</f>
        <v/>
      </c>
      <c r="G2257" t="str">
        <f>""</f>
        <v/>
      </c>
      <c r="I2257" t="str">
        <f t="shared" si="25"/>
        <v>GUARDIAN</v>
      </c>
    </row>
    <row r="2258" spans="1:9" x14ac:dyDescent="0.3">
      <c r="A2258" t="str">
        <f>""</f>
        <v/>
      </c>
      <c r="F2258" t="str">
        <f>"GDE201805161054"</f>
        <v>GDE201805161054</v>
      </c>
      <c r="G2258" t="str">
        <f>"GUARDIAN"</f>
        <v>GUARDIAN</v>
      </c>
      <c r="H2258">
        <v>148</v>
      </c>
      <c r="I2258" t="str">
        <f t="shared" si="25"/>
        <v>GUARDIAN</v>
      </c>
    </row>
    <row r="2259" spans="1:9" x14ac:dyDescent="0.3">
      <c r="A2259" t="str">
        <f>""</f>
        <v/>
      </c>
      <c r="F2259" t="str">
        <f>"GDF201805010494"</f>
        <v>GDF201805010494</v>
      </c>
      <c r="G2259" t="str">
        <f>"GUARDIAN"</f>
        <v>GUARDIAN</v>
      </c>
      <c r="H2259">
        <v>2220.88</v>
      </c>
      <c r="I2259" t="str">
        <f t="shared" si="25"/>
        <v>GUARDIAN</v>
      </c>
    </row>
    <row r="2260" spans="1:9" x14ac:dyDescent="0.3">
      <c r="A2260" t="str">
        <f>""</f>
        <v/>
      </c>
      <c r="F2260" t="str">
        <f>""</f>
        <v/>
      </c>
      <c r="G2260" t="str">
        <f>""</f>
        <v/>
      </c>
      <c r="I2260" t="str">
        <f t="shared" si="25"/>
        <v>GUARDIAN</v>
      </c>
    </row>
    <row r="2261" spans="1:9" x14ac:dyDescent="0.3">
      <c r="A2261" t="str">
        <f>""</f>
        <v/>
      </c>
      <c r="F2261" t="str">
        <f>""</f>
        <v/>
      </c>
      <c r="G2261" t="str">
        <f>""</f>
        <v/>
      </c>
      <c r="I2261" t="str">
        <f t="shared" si="25"/>
        <v>GUARDIAN</v>
      </c>
    </row>
    <row r="2262" spans="1:9" x14ac:dyDescent="0.3">
      <c r="A2262" t="str">
        <f>""</f>
        <v/>
      </c>
      <c r="F2262" t="str">
        <f>""</f>
        <v/>
      </c>
      <c r="G2262" t="str">
        <f>""</f>
        <v/>
      </c>
      <c r="I2262" t="str">
        <f t="shared" si="25"/>
        <v>GUARDIAN</v>
      </c>
    </row>
    <row r="2263" spans="1:9" x14ac:dyDescent="0.3">
      <c r="A2263" t="str">
        <f>""</f>
        <v/>
      </c>
      <c r="F2263" t="str">
        <f>""</f>
        <v/>
      </c>
      <c r="G2263" t="str">
        <f>""</f>
        <v/>
      </c>
      <c r="I2263" t="str">
        <f t="shared" si="25"/>
        <v>GUARDIAN</v>
      </c>
    </row>
    <row r="2264" spans="1:9" x14ac:dyDescent="0.3">
      <c r="A2264" t="str">
        <f>""</f>
        <v/>
      </c>
      <c r="F2264" t="str">
        <f>""</f>
        <v/>
      </c>
      <c r="G2264" t="str">
        <f>""</f>
        <v/>
      </c>
      <c r="I2264" t="str">
        <f t="shared" si="25"/>
        <v>GUARDIAN</v>
      </c>
    </row>
    <row r="2265" spans="1:9" x14ac:dyDescent="0.3">
      <c r="A2265" t="str">
        <f>""</f>
        <v/>
      </c>
      <c r="F2265" t="str">
        <f>""</f>
        <v/>
      </c>
      <c r="G2265" t="str">
        <f>""</f>
        <v/>
      </c>
      <c r="I2265" t="str">
        <f t="shared" si="25"/>
        <v>GUARDIAN</v>
      </c>
    </row>
    <row r="2266" spans="1:9" x14ac:dyDescent="0.3">
      <c r="A2266" t="str">
        <f>""</f>
        <v/>
      </c>
      <c r="F2266" t="str">
        <f>""</f>
        <v/>
      </c>
      <c r="G2266" t="str">
        <f>""</f>
        <v/>
      </c>
      <c r="I2266" t="str">
        <f t="shared" si="25"/>
        <v>GUARDIAN</v>
      </c>
    </row>
    <row r="2267" spans="1:9" x14ac:dyDescent="0.3">
      <c r="A2267" t="str">
        <f>""</f>
        <v/>
      </c>
      <c r="F2267" t="str">
        <f>""</f>
        <v/>
      </c>
      <c r="G2267" t="str">
        <f>""</f>
        <v/>
      </c>
      <c r="I2267" t="str">
        <f t="shared" si="25"/>
        <v>GUARDIAN</v>
      </c>
    </row>
    <row r="2268" spans="1:9" x14ac:dyDescent="0.3">
      <c r="A2268" t="str">
        <f>""</f>
        <v/>
      </c>
      <c r="F2268" t="str">
        <f>""</f>
        <v/>
      </c>
      <c r="G2268" t="str">
        <f>""</f>
        <v/>
      </c>
      <c r="I2268" t="str">
        <f t="shared" si="25"/>
        <v>GUARDIAN</v>
      </c>
    </row>
    <row r="2269" spans="1:9" x14ac:dyDescent="0.3">
      <c r="A2269" t="str">
        <f>""</f>
        <v/>
      </c>
      <c r="F2269" t="str">
        <f>""</f>
        <v/>
      </c>
      <c r="G2269" t="str">
        <f>""</f>
        <v/>
      </c>
      <c r="I2269" t="str">
        <f t="shared" si="25"/>
        <v>GUARDIAN</v>
      </c>
    </row>
    <row r="2270" spans="1:9" x14ac:dyDescent="0.3">
      <c r="A2270" t="str">
        <f>""</f>
        <v/>
      </c>
      <c r="F2270" t="str">
        <f>""</f>
        <v/>
      </c>
      <c r="G2270" t="str">
        <f>""</f>
        <v/>
      </c>
      <c r="I2270" t="str">
        <f t="shared" si="25"/>
        <v>GUARDIAN</v>
      </c>
    </row>
    <row r="2271" spans="1:9" x14ac:dyDescent="0.3">
      <c r="A2271" t="str">
        <f>""</f>
        <v/>
      </c>
      <c r="F2271" t="str">
        <f>""</f>
        <v/>
      </c>
      <c r="G2271" t="str">
        <f>""</f>
        <v/>
      </c>
      <c r="I2271" t="str">
        <f t="shared" si="25"/>
        <v>GUARDIAN</v>
      </c>
    </row>
    <row r="2272" spans="1:9" x14ac:dyDescent="0.3">
      <c r="A2272" t="str">
        <f>""</f>
        <v/>
      </c>
      <c r="F2272" t="str">
        <f>""</f>
        <v/>
      </c>
      <c r="G2272" t="str">
        <f>""</f>
        <v/>
      </c>
      <c r="I2272" t="str">
        <f t="shared" si="25"/>
        <v>GUARDIAN</v>
      </c>
    </row>
    <row r="2273" spans="1:9" x14ac:dyDescent="0.3">
      <c r="A2273" t="str">
        <f>""</f>
        <v/>
      </c>
      <c r="F2273" t="str">
        <f>""</f>
        <v/>
      </c>
      <c r="G2273" t="str">
        <f>""</f>
        <v/>
      </c>
      <c r="I2273" t="str">
        <f t="shared" si="25"/>
        <v>GUARDIAN</v>
      </c>
    </row>
    <row r="2274" spans="1:9" x14ac:dyDescent="0.3">
      <c r="A2274" t="str">
        <f>""</f>
        <v/>
      </c>
      <c r="F2274" t="str">
        <f>""</f>
        <v/>
      </c>
      <c r="G2274" t="str">
        <f>""</f>
        <v/>
      </c>
      <c r="I2274" t="str">
        <f t="shared" si="25"/>
        <v>GUARDIAN</v>
      </c>
    </row>
    <row r="2275" spans="1:9" x14ac:dyDescent="0.3">
      <c r="A2275" t="str">
        <f>""</f>
        <v/>
      </c>
      <c r="F2275" t="str">
        <f>""</f>
        <v/>
      </c>
      <c r="G2275" t="str">
        <f>""</f>
        <v/>
      </c>
      <c r="I2275" t="str">
        <f t="shared" si="25"/>
        <v>GUARDIAN</v>
      </c>
    </row>
    <row r="2276" spans="1:9" x14ac:dyDescent="0.3">
      <c r="A2276" t="str">
        <f>""</f>
        <v/>
      </c>
      <c r="F2276" t="str">
        <f>""</f>
        <v/>
      </c>
      <c r="G2276" t="str">
        <f>""</f>
        <v/>
      </c>
      <c r="I2276" t="str">
        <f t="shared" si="25"/>
        <v>GUARDIAN</v>
      </c>
    </row>
    <row r="2277" spans="1:9" x14ac:dyDescent="0.3">
      <c r="A2277" t="str">
        <f>""</f>
        <v/>
      </c>
      <c r="F2277" t="str">
        <f>""</f>
        <v/>
      </c>
      <c r="G2277" t="str">
        <f>""</f>
        <v/>
      </c>
      <c r="I2277" t="str">
        <f t="shared" si="25"/>
        <v>GUARDIAN</v>
      </c>
    </row>
    <row r="2278" spans="1:9" x14ac:dyDescent="0.3">
      <c r="A2278" t="str">
        <f>""</f>
        <v/>
      </c>
      <c r="F2278" t="str">
        <f>""</f>
        <v/>
      </c>
      <c r="G2278" t="str">
        <f>""</f>
        <v/>
      </c>
      <c r="I2278" t="str">
        <f t="shared" si="25"/>
        <v>GUARDIAN</v>
      </c>
    </row>
    <row r="2279" spans="1:9" x14ac:dyDescent="0.3">
      <c r="A2279" t="str">
        <f>""</f>
        <v/>
      </c>
      <c r="F2279" t="str">
        <f>""</f>
        <v/>
      </c>
      <c r="G2279" t="str">
        <f>""</f>
        <v/>
      </c>
      <c r="I2279" t="str">
        <f t="shared" si="25"/>
        <v>GUARDIAN</v>
      </c>
    </row>
    <row r="2280" spans="1:9" x14ac:dyDescent="0.3">
      <c r="A2280" t="str">
        <f>""</f>
        <v/>
      </c>
      <c r="F2280" t="str">
        <f>""</f>
        <v/>
      </c>
      <c r="G2280" t="str">
        <f>""</f>
        <v/>
      </c>
      <c r="I2280" t="str">
        <f t="shared" si="25"/>
        <v>GUARDIAN</v>
      </c>
    </row>
    <row r="2281" spans="1:9" x14ac:dyDescent="0.3">
      <c r="A2281" t="str">
        <f>""</f>
        <v/>
      </c>
      <c r="F2281" t="str">
        <f>"GDF201805010495"</f>
        <v>GDF201805010495</v>
      </c>
      <c r="G2281" t="str">
        <f>"GUARDIAN"</f>
        <v>GUARDIAN</v>
      </c>
      <c r="H2281">
        <v>144.84</v>
      </c>
      <c r="I2281" t="str">
        <f t="shared" si="25"/>
        <v>GUARDIAN</v>
      </c>
    </row>
    <row r="2282" spans="1:9" x14ac:dyDescent="0.3">
      <c r="A2282" t="str">
        <f>""</f>
        <v/>
      </c>
      <c r="F2282" t="str">
        <f>""</f>
        <v/>
      </c>
      <c r="G2282" t="str">
        <f>""</f>
        <v/>
      </c>
      <c r="I2282" t="str">
        <f t="shared" si="25"/>
        <v>GUARDIAN</v>
      </c>
    </row>
    <row r="2283" spans="1:9" x14ac:dyDescent="0.3">
      <c r="A2283" t="str">
        <f>""</f>
        <v/>
      </c>
      <c r="F2283" t="str">
        <f>"GDF201805161053"</f>
        <v>GDF201805161053</v>
      </c>
      <c r="G2283" t="str">
        <f>"GUARDIAN"</f>
        <v>GUARDIAN</v>
      </c>
      <c r="H2283">
        <v>2220.88</v>
      </c>
      <c r="I2283" t="str">
        <f t="shared" si="25"/>
        <v>GUARDIAN</v>
      </c>
    </row>
    <row r="2284" spans="1:9" x14ac:dyDescent="0.3">
      <c r="A2284" t="str">
        <f>""</f>
        <v/>
      </c>
      <c r="F2284" t="str">
        <f>""</f>
        <v/>
      </c>
      <c r="G2284" t="str">
        <f>""</f>
        <v/>
      </c>
      <c r="I2284" t="str">
        <f t="shared" si="25"/>
        <v>GUARDIAN</v>
      </c>
    </row>
    <row r="2285" spans="1:9" x14ac:dyDescent="0.3">
      <c r="A2285" t="str">
        <f>""</f>
        <v/>
      </c>
      <c r="F2285" t="str">
        <f>""</f>
        <v/>
      </c>
      <c r="G2285" t="str">
        <f>""</f>
        <v/>
      </c>
      <c r="I2285" t="str">
        <f t="shared" si="25"/>
        <v>GUARDIAN</v>
      </c>
    </row>
    <row r="2286" spans="1:9" x14ac:dyDescent="0.3">
      <c r="A2286" t="str">
        <f>""</f>
        <v/>
      </c>
      <c r="F2286" t="str">
        <f>""</f>
        <v/>
      </c>
      <c r="G2286" t="str">
        <f>""</f>
        <v/>
      </c>
      <c r="I2286" t="str">
        <f t="shared" si="25"/>
        <v>GUARDIAN</v>
      </c>
    </row>
    <row r="2287" spans="1:9" x14ac:dyDescent="0.3">
      <c r="A2287" t="str">
        <f>""</f>
        <v/>
      </c>
      <c r="F2287" t="str">
        <f>""</f>
        <v/>
      </c>
      <c r="G2287" t="str">
        <f>""</f>
        <v/>
      </c>
      <c r="I2287" t="str">
        <f t="shared" si="25"/>
        <v>GUARDIAN</v>
      </c>
    </row>
    <row r="2288" spans="1:9" x14ac:dyDescent="0.3">
      <c r="A2288" t="str">
        <f>""</f>
        <v/>
      </c>
      <c r="F2288" t="str">
        <f>""</f>
        <v/>
      </c>
      <c r="G2288" t="str">
        <f>""</f>
        <v/>
      </c>
      <c r="I2288" t="str">
        <f t="shared" si="25"/>
        <v>GUARDIAN</v>
      </c>
    </row>
    <row r="2289" spans="1:9" x14ac:dyDescent="0.3">
      <c r="A2289" t="str">
        <f>""</f>
        <v/>
      </c>
      <c r="F2289" t="str">
        <f>""</f>
        <v/>
      </c>
      <c r="G2289" t="str">
        <f>""</f>
        <v/>
      </c>
      <c r="I2289" t="str">
        <f t="shared" ref="I2289:I2352" si="26">"GUARDIAN"</f>
        <v>GUARDIAN</v>
      </c>
    </row>
    <row r="2290" spans="1:9" x14ac:dyDescent="0.3">
      <c r="A2290" t="str">
        <f>""</f>
        <v/>
      </c>
      <c r="F2290" t="str">
        <f>""</f>
        <v/>
      </c>
      <c r="G2290" t="str">
        <f>""</f>
        <v/>
      </c>
      <c r="I2290" t="str">
        <f t="shared" si="26"/>
        <v>GUARDIAN</v>
      </c>
    </row>
    <row r="2291" spans="1:9" x14ac:dyDescent="0.3">
      <c r="A2291" t="str">
        <f>""</f>
        <v/>
      </c>
      <c r="F2291" t="str">
        <f>""</f>
        <v/>
      </c>
      <c r="G2291" t="str">
        <f>""</f>
        <v/>
      </c>
      <c r="I2291" t="str">
        <f t="shared" si="26"/>
        <v>GUARDIAN</v>
      </c>
    </row>
    <row r="2292" spans="1:9" x14ac:dyDescent="0.3">
      <c r="A2292" t="str">
        <f>""</f>
        <v/>
      </c>
      <c r="F2292" t="str">
        <f>""</f>
        <v/>
      </c>
      <c r="G2292" t="str">
        <f>""</f>
        <v/>
      </c>
      <c r="I2292" t="str">
        <f t="shared" si="26"/>
        <v>GUARDIAN</v>
      </c>
    </row>
    <row r="2293" spans="1:9" x14ac:dyDescent="0.3">
      <c r="A2293" t="str">
        <f>""</f>
        <v/>
      </c>
      <c r="F2293" t="str">
        <f>""</f>
        <v/>
      </c>
      <c r="G2293" t="str">
        <f>""</f>
        <v/>
      </c>
      <c r="I2293" t="str">
        <f t="shared" si="26"/>
        <v>GUARDIAN</v>
      </c>
    </row>
    <row r="2294" spans="1:9" x14ac:dyDescent="0.3">
      <c r="A2294" t="str">
        <f>""</f>
        <v/>
      </c>
      <c r="F2294" t="str">
        <f>""</f>
        <v/>
      </c>
      <c r="G2294" t="str">
        <f>""</f>
        <v/>
      </c>
      <c r="I2294" t="str">
        <f t="shared" si="26"/>
        <v>GUARDIAN</v>
      </c>
    </row>
    <row r="2295" spans="1:9" x14ac:dyDescent="0.3">
      <c r="A2295" t="str">
        <f>""</f>
        <v/>
      </c>
      <c r="F2295" t="str">
        <f>""</f>
        <v/>
      </c>
      <c r="G2295" t="str">
        <f>""</f>
        <v/>
      </c>
      <c r="I2295" t="str">
        <f t="shared" si="26"/>
        <v>GUARDIAN</v>
      </c>
    </row>
    <row r="2296" spans="1:9" x14ac:dyDescent="0.3">
      <c r="A2296" t="str">
        <f>""</f>
        <v/>
      </c>
      <c r="F2296" t="str">
        <f>""</f>
        <v/>
      </c>
      <c r="G2296" t="str">
        <f>""</f>
        <v/>
      </c>
      <c r="I2296" t="str">
        <f t="shared" si="26"/>
        <v>GUARDIAN</v>
      </c>
    </row>
    <row r="2297" spans="1:9" x14ac:dyDescent="0.3">
      <c r="A2297" t="str">
        <f>""</f>
        <v/>
      </c>
      <c r="F2297" t="str">
        <f>""</f>
        <v/>
      </c>
      <c r="G2297" t="str">
        <f>""</f>
        <v/>
      </c>
      <c r="I2297" t="str">
        <f t="shared" si="26"/>
        <v>GUARDIAN</v>
      </c>
    </row>
    <row r="2298" spans="1:9" x14ac:dyDescent="0.3">
      <c r="A2298" t="str">
        <f>""</f>
        <v/>
      </c>
      <c r="F2298" t="str">
        <f>""</f>
        <v/>
      </c>
      <c r="G2298" t="str">
        <f>""</f>
        <v/>
      </c>
      <c r="I2298" t="str">
        <f t="shared" si="26"/>
        <v>GUARDIAN</v>
      </c>
    </row>
    <row r="2299" spans="1:9" x14ac:dyDescent="0.3">
      <c r="A2299" t="str">
        <f>""</f>
        <v/>
      </c>
      <c r="F2299" t="str">
        <f>""</f>
        <v/>
      </c>
      <c r="G2299" t="str">
        <f>""</f>
        <v/>
      </c>
      <c r="I2299" t="str">
        <f t="shared" si="26"/>
        <v>GUARDIAN</v>
      </c>
    </row>
    <row r="2300" spans="1:9" x14ac:dyDescent="0.3">
      <c r="A2300" t="str">
        <f>""</f>
        <v/>
      </c>
      <c r="F2300" t="str">
        <f>""</f>
        <v/>
      </c>
      <c r="G2300" t="str">
        <f>""</f>
        <v/>
      </c>
      <c r="I2300" t="str">
        <f t="shared" si="26"/>
        <v>GUARDIAN</v>
      </c>
    </row>
    <row r="2301" spans="1:9" x14ac:dyDescent="0.3">
      <c r="A2301" t="str">
        <f>""</f>
        <v/>
      </c>
      <c r="F2301" t="str">
        <f>""</f>
        <v/>
      </c>
      <c r="G2301" t="str">
        <f>""</f>
        <v/>
      </c>
      <c r="I2301" t="str">
        <f t="shared" si="26"/>
        <v>GUARDIAN</v>
      </c>
    </row>
    <row r="2302" spans="1:9" x14ac:dyDescent="0.3">
      <c r="A2302" t="str">
        <f>""</f>
        <v/>
      </c>
      <c r="F2302" t="str">
        <f>""</f>
        <v/>
      </c>
      <c r="G2302" t="str">
        <f>""</f>
        <v/>
      </c>
      <c r="I2302" t="str">
        <f t="shared" si="26"/>
        <v>GUARDIAN</v>
      </c>
    </row>
    <row r="2303" spans="1:9" x14ac:dyDescent="0.3">
      <c r="A2303" t="str">
        <f>""</f>
        <v/>
      </c>
      <c r="F2303" t="str">
        <f>""</f>
        <v/>
      </c>
      <c r="G2303" t="str">
        <f>""</f>
        <v/>
      </c>
      <c r="I2303" t="str">
        <f t="shared" si="26"/>
        <v>GUARDIAN</v>
      </c>
    </row>
    <row r="2304" spans="1:9" x14ac:dyDescent="0.3">
      <c r="A2304" t="str">
        <f>""</f>
        <v/>
      </c>
      <c r="F2304" t="str">
        <f>""</f>
        <v/>
      </c>
      <c r="G2304" t="str">
        <f>""</f>
        <v/>
      </c>
      <c r="I2304" t="str">
        <f t="shared" si="26"/>
        <v>GUARDIAN</v>
      </c>
    </row>
    <row r="2305" spans="1:9" x14ac:dyDescent="0.3">
      <c r="A2305" t="str">
        <f>""</f>
        <v/>
      </c>
      <c r="F2305" t="str">
        <f>"GDF201805161054"</f>
        <v>GDF201805161054</v>
      </c>
      <c r="G2305" t="str">
        <f>"GUARDIAN"</f>
        <v>GUARDIAN</v>
      </c>
      <c r="H2305">
        <v>144.84</v>
      </c>
      <c r="I2305" t="str">
        <f t="shared" si="26"/>
        <v>GUARDIAN</v>
      </c>
    </row>
    <row r="2306" spans="1:9" x14ac:dyDescent="0.3">
      <c r="A2306" t="str">
        <f>""</f>
        <v/>
      </c>
      <c r="F2306" t="str">
        <f>""</f>
        <v/>
      </c>
      <c r="G2306" t="str">
        <f>""</f>
        <v/>
      </c>
      <c r="I2306" t="str">
        <f t="shared" si="26"/>
        <v>GUARDIAN</v>
      </c>
    </row>
    <row r="2307" spans="1:9" x14ac:dyDescent="0.3">
      <c r="A2307" t="str">
        <f>""</f>
        <v/>
      </c>
      <c r="F2307" t="str">
        <f>"GDS201805010494"</f>
        <v>GDS201805010494</v>
      </c>
      <c r="G2307" t="str">
        <f>"GUARDIAN"</f>
        <v>GUARDIAN</v>
      </c>
      <c r="H2307">
        <v>1729.56</v>
      </c>
      <c r="I2307" t="str">
        <f t="shared" si="26"/>
        <v>GUARDIAN</v>
      </c>
    </row>
    <row r="2308" spans="1:9" x14ac:dyDescent="0.3">
      <c r="A2308" t="str">
        <f>""</f>
        <v/>
      </c>
      <c r="F2308" t="str">
        <f>""</f>
        <v/>
      </c>
      <c r="G2308" t="str">
        <f>""</f>
        <v/>
      </c>
      <c r="I2308" t="str">
        <f t="shared" si="26"/>
        <v>GUARDIAN</v>
      </c>
    </row>
    <row r="2309" spans="1:9" x14ac:dyDescent="0.3">
      <c r="A2309" t="str">
        <f>""</f>
        <v/>
      </c>
      <c r="F2309" t="str">
        <f>""</f>
        <v/>
      </c>
      <c r="G2309" t="str">
        <f>""</f>
        <v/>
      </c>
      <c r="I2309" t="str">
        <f t="shared" si="26"/>
        <v>GUARDIAN</v>
      </c>
    </row>
    <row r="2310" spans="1:9" x14ac:dyDescent="0.3">
      <c r="A2310" t="str">
        <f>""</f>
        <v/>
      </c>
      <c r="F2310" t="str">
        <f>""</f>
        <v/>
      </c>
      <c r="G2310" t="str">
        <f>""</f>
        <v/>
      </c>
      <c r="I2310" t="str">
        <f t="shared" si="26"/>
        <v>GUARDIAN</v>
      </c>
    </row>
    <row r="2311" spans="1:9" x14ac:dyDescent="0.3">
      <c r="A2311" t="str">
        <f>""</f>
        <v/>
      </c>
      <c r="F2311" t="str">
        <f>""</f>
        <v/>
      </c>
      <c r="G2311" t="str">
        <f>""</f>
        <v/>
      </c>
      <c r="I2311" t="str">
        <f t="shared" si="26"/>
        <v>GUARDIAN</v>
      </c>
    </row>
    <row r="2312" spans="1:9" x14ac:dyDescent="0.3">
      <c r="A2312" t="str">
        <f>""</f>
        <v/>
      </c>
      <c r="F2312" t="str">
        <f>""</f>
        <v/>
      </c>
      <c r="G2312" t="str">
        <f>""</f>
        <v/>
      </c>
      <c r="I2312" t="str">
        <f t="shared" si="26"/>
        <v>GUARDIAN</v>
      </c>
    </row>
    <row r="2313" spans="1:9" x14ac:dyDescent="0.3">
      <c r="A2313" t="str">
        <f>""</f>
        <v/>
      </c>
      <c r="F2313" t="str">
        <f>""</f>
        <v/>
      </c>
      <c r="G2313" t="str">
        <f>""</f>
        <v/>
      </c>
      <c r="I2313" t="str">
        <f t="shared" si="26"/>
        <v>GUARDIAN</v>
      </c>
    </row>
    <row r="2314" spans="1:9" x14ac:dyDescent="0.3">
      <c r="A2314" t="str">
        <f>""</f>
        <v/>
      </c>
      <c r="F2314" t="str">
        <f>""</f>
        <v/>
      </c>
      <c r="G2314" t="str">
        <f>""</f>
        <v/>
      </c>
      <c r="I2314" t="str">
        <f t="shared" si="26"/>
        <v>GUARDIAN</v>
      </c>
    </row>
    <row r="2315" spans="1:9" x14ac:dyDescent="0.3">
      <c r="A2315" t="str">
        <f>""</f>
        <v/>
      </c>
      <c r="F2315" t="str">
        <f>""</f>
        <v/>
      </c>
      <c r="G2315" t="str">
        <f>""</f>
        <v/>
      </c>
      <c r="I2315" t="str">
        <f t="shared" si="26"/>
        <v>GUARDIAN</v>
      </c>
    </row>
    <row r="2316" spans="1:9" x14ac:dyDescent="0.3">
      <c r="A2316" t="str">
        <f>""</f>
        <v/>
      </c>
      <c r="F2316" t="str">
        <f>""</f>
        <v/>
      </c>
      <c r="G2316" t="str">
        <f>""</f>
        <v/>
      </c>
      <c r="I2316" t="str">
        <f t="shared" si="26"/>
        <v>GUARDIAN</v>
      </c>
    </row>
    <row r="2317" spans="1:9" x14ac:dyDescent="0.3">
      <c r="A2317" t="str">
        <f>""</f>
        <v/>
      </c>
      <c r="F2317" t="str">
        <f>""</f>
        <v/>
      </c>
      <c r="G2317" t="str">
        <f>""</f>
        <v/>
      </c>
      <c r="I2317" t="str">
        <f t="shared" si="26"/>
        <v>GUARDIAN</v>
      </c>
    </row>
    <row r="2318" spans="1:9" x14ac:dyDescent="0.3">
      <c r="A2318" t="str">
        <f>""</f>
        <v/>
      </c>
      <c r="F2318" t="str">
        <f>""</f>
        <v/>
      </c>
      <c r="G2318" t="str">
        <f>""</f>
        <v/>
      </c>
      <c r="I2318" t="str">
        <f t="shared" si="26"/>
        <v>GUARDIAN</v>
      </c>
    </row>
    <row r="2319" spans="1:9" x14ac:dyDescent="0.3">
      <c r="A2319" t="str">
        <f>""</f>
        <v/>
      </c>
      <c r="F2319" t="str">
        <f>""</f>
        <v/>
      </c>
      <c r="G2319" t="str">
        <f>""</f>
        <v/>
      </c>
      <c r="I2319" t="str">
        <f t="shared" si="26"/>
        <v>GUARDIAN</v>
      </c>
    </row>
    <row r="2320" spans="1:9" x14ac:dyDescent="0.3">
      <c r="A2320" t="str">
        <f>""</f>
        <v/>
      </c>
      <c r="F2320" t="str">
        <f>""</f>
        <v/>
      </c>
      <c r="G2320" t="str">
        <f>""</f>
        <v/>
      </c>
      <c r="I2320" t="str">
        <f t="shared" si="26"/>
        <v>GUARDIAN</v>
      </c>
    </row>
    <row r="2321" spans="1:9" x14ac:dyDescent="0.3">
      <c r="A2321" t="str">
        <f>""</f>
        <v/>
      </c>
      <c r="F2321" t="str">
        <f>""</f>
        <v/>
      </c>
      <c r="G2321" t="str">
        <f>""</f>
        <v/>
      </c>
      <c r="I2321" t="str">
        <f t="shared" si="26"/>
        <v>GUARDIAN</v>
      </c>
    </row>
    <row r="2322" spans="1:9" x14ac:dyDescent="0.3">
      <c r="A2322" t="str">
        <f>""</f>
        <v/>
      </c>
      <c r="F2322" t="str">
        <f>""</f>
        <v/>
      </c>
      <c r="G2322" t="str">
        <f>""</f>
        <v/>
      </c>
      <c r="I2322" t="str">
        <f t="shared" si="26"/>
        <v>GUARDIAN</v>
      </c>
    </row>
    <row r="2323" spans="1:9" x14ac:dyDescent="0.3">
      <c r="A2323" t="str">
        <f>""</f>
        <v/>
      </c>
      <c r="F2323" t="str">
        <f>""</f>
        <v/>
      </c>
      <c r="G2323" t="str">
        <f>""</f>
        <v/>
      </c>
      <c r="I2323" t="str">
        <f t="shared" si="26"/>
        <v>GUARDIAN</v>
      </c>
    </row>
    <row r="2324" spans="1:9" x14ac:dyDescent="0.3">
      <c r="A2324" t="str">
        <f>""</f>
        <v/>
      </c>
      <c r="F2324" t="str">
        <f>""</f>
        <v/>
      </c>
      <c r="G2324" t="str">
        <f>""</f>
        <v/>
      </c>
      <c r="I2324" t="str">
        <f t="shared" si="26"/>
        <v>GUARDIAN</v>
      </c>
    </row>
    <row r="2325" spans="1:9" x14ac:dyDescent="0.3">
      <c r="A2325" t="str">
        <f>""</f>
        <v/>
      </c>
      <c r="F2325" t="str">
        <f>""</f>
        <v/>
      </c>
      <c r="G2325" t="str">
        <f>""</f>
        <v/>
      </c>
      <c r="I2325" t="str">
        <f t="shared" si="26"/>
        <v>GUARDIAN</v>
      </c>
    </row>
    <row r="2326" spans="1:9" x14ac:dyDescent="0.3">
      <c r="A2326" t="str">
        <f>""</f>
        <v/>
      </c>
      <c r="F2326" t="str">
        <f>""</f>
        <v/>
      </c>
      <c r="G2326" t="str">
        <f>""</f>
        <v/>
      </c>
      <c r="I2326" t="str">
        <f t="shared" si="26"/>
        <v>GUARDIAN</v>
      </c>
    </row>
    <row r="2327" spans="1:9" x14ac:dyDescent="0.3">
      <c r="A2327" t="str">
        <f>""</f>
        <v/>
      </c>
      <c r="F2327" t="str">
        <f>""</f>
        <v/>
      </c>
      <c r="G2327" t="str">
        <f>""</f>
        <v/>
      </c>
      <c r="I2327" t="str">
        <f t="shared" si="26"/>
        <v>GUARDIAN</v>
      </c>
    </row>
    <row r="2328" spans="1:9" x14ac:dyDescent="0.3">
      <c r="A2328" t="str">
        <f>""</f>
        <v/>
      </c>
      <c r="F2328" t="str">
        <f>""</f>
        <v/>
      </c>
      <c r="G2328" t="str">
        <f>""</f>
        <v/>
      </c>
      <c r="I2328" t="str">
        <f t="shared" si="26"/>
        <v>GUARDIAN</v>
      </c>
    </row>
    <row r="2329" spans="1:9" x14ac:dyDescent="0.3">
      <c r="A2329" t="str">
        <f>""</f>
        <v/>
      </c>
      <c r="F2329" t="str">
        <f>""</f>
        <v/>
      </c>
      <c r="G2329" t="str">
        <f>""</f>
        <v/>
      </c>
      <c r="I2329" t="str">
        <f t="shared" si="26"/>
        <v>GUARDIAN</v>
      </c>
    </row>
    <row r="2330" spans="1:9" x14ac:dyDescent="0.3">
      <c r="A2330" t="str">
        <f>""</f>
        <v/>
      </c>
      <c r="F2330" t="str">
        <f>""</f>
        <v/>
      </c>
      <c r="G2330" t="str">
        <f>""</f>
        <v/>
      </c>
      <c r="I2330" t="str">
        <f t="shared" si="26"/>
        <v>GUARDIAN</v>
      </c>
    </row>
    <row r="2331" spans="1:9" x14ac:dyDescent="0.3">
      <c r="A2331" t="str">
        <f>""</f>
        <v/>
      </c>
      <c r="F2331" t="str">
        <f>""</f>
        <v/>
      </c>
      <c r="G2331" t="str">
        <f>""</f>
        <v/>
      </c>
      <c r="I2331" t="str">
        <f t="shared" si="26"/>
        <v>GUARDIAN</v>
      </c>
    </row>
    <row r="2332" spans="1:9" x14ac:dyDescent="0.3">
      <c r="A2332" t="str">
        <f>""</f>
        <v/>
      </c>
      <c r="F2332" t="str">
        <f>""</f>
        <v/>
      </c>
      <c r="G2332" t="str">
        <f>""</f>
        <v/>
      </c>
      <c r="I2332" t="str">
        <f t="shared" si="26"/>
        <v>GUARDIAN</v>
      </c>
    </row>
    <row r="2333" spans="1:9" x14ac:dyDescent="0.3">
      <c r="A2333" t="str">
        <f>""</f>
        <v/>
      </c>
      <c r="F2333" t="str">
        <f>"GDS201805010495"</f>
        <v>GDS201805010495</v>
      </c>
      <c r="G2333" t="str">
        <f>"GUARDIAN"</f>
        <v>GUARDIAN</v>
      </c>
      <c r="H2333">
        <v>29.82</v>
      </c>
      <c r="I2333" t="str">
        <f t="shared" si="26"/>
        <v>GUARDIAN</v>
      </c>
    </row>
    <row r="2334" spans="1:9" x14ac:dyDescent="0.3">
      <c r="A2334" t="str">
        <f>""</f>
        <v/>
      </c>
      <c r="F2334" t="str">
        <f>""</f>
        <v/>
      </c>
      <c r="G2334" t="str">
        <f>""</f>
        <v/>
      </c>
      <c r="I2334" t="str">
        <f t="shared" si="26"/>
        <v>GUARDIAN</v>
      </c>
    </row>
    <row r="2335" spans="1:9" x14ac:dyDescent="0.3">
      <c r="A2335" t="str">
        <f>""</f>
        <v/>
      </c>
      <c r="F2335" t="str">
        <f>"GDS201805161053"</f>
        <v>GDS201805161053</v>
      </c>
      <c r="G2335" t="str">
        <f>"GUARDIAN"</f>
        <v>GUARDIAN</v>
      </c>
      <c r="H2335">
        <v>1729.56</v>
      </c>
      <c r="I2335" t="str">
        <f t="shared" si="26"/>
        <v>GUARDIAN</v>
      </c>
    </row>
    <row r="2336" spans="1:9" x14ac:dyDescent="0.3">
      <c r="A2336" t="str">
        <f>""</f>
        <v/>
      </c>
      <c r="F2336" t="str">
        <f>""</f>
        <v/>
      </c>
      <c r="G2336" t="str">
        <f>""</f>
        <v/>
      </c>
      <c r="I2336" t="str">
        <f t="shared" si="26"/>
        <v>GUARDIAN</v>
      </c>
    </row>
    <row r="2337" spans="1:9" x14ac:dyDescent="0.3">
      <c r="A2337" t="str">
        <f>""</f>
        <v/>
      </c>
      <c r="F2337" t="str">
        <f>""</f>
        <v/>
      </c>
      <c r="G2337" t="str">
        <f>""</f>
        <v/>
      </c>
      <c r="I2337" t="str">
        <f t="shared" si="26"/>
        <v>GUARDIAN</v>
      </c>
    </row>
    <row r="2338" spans="1:9" x14ac:dyDescent="0.3">
      <c r="A2338" t="str">
        <f>""</f>
        <v/>
      </c>
      <c r="F2338" t="str">
        <f>""</f>
        <v/>
      </c>
      <c r="G2338" t="str">
        <f>""</f>
        <v/>
      </c>
      <c r="I2338" t="str">
        <f t="shared" si="26"/>
        <v>GUARDIAN</v>
      </c>
    </row>
    <row r="2339" spans="1:9" x14ac:dyDescent="0.3">
      <c r="A2339" t="str">
        <f>""</f>
        <v/>
      </c>
      <c r="F2339" t="str">
        <f>""</f>
        <v/>
      </c>
      <c r="G2339" t="str">
        <f>""</f>
        <v/>
      </c>
      <c r="I2339" t="str">
        <f t="shared" si="26"/>
        <v>GUARDIAN</v>
      </c>
    </row>
    <row r="2340" spans="1:9" x14ac:dyDescent="0.3">
      <c r="A2340" t="str">
        <f>""</f>
        <v/>
      </c>
      <c r="F2340" t="str">
        <f>""</f>
        <v/>
      </c>
      <c r="G2340" t="str">
        <f>""</f>
        <v/>
      </c>
      <c r="I2340" t="str">
        <f t="shared" si="26"/>
        <v>GUARDIAN</v>
      </c>
    </row>
    <row r="2341" spans="1:9" x14ac:dyDescent="0.3">
      <c r="A2341" t="str">
        <f>""</f>
        <v/>
      </c>
      <c r="F2341" t="str">
        <f>""</f>
        <v/>
      </c>
      <c r="G2341" t="str">
        <f>""</f>
        <v/>
      </c>
      <c r="I2341" t="str">
        <f t="shared" si="26"/>
        <v>GUARDIAN</v>
      </c>
    </row>
    <row r="2342" spans="1:9" x14ac:dyDescent="0.3">
      <c r="A2342" t="str">
        <f>""</f>
        <v/>
      </c>
      <c r="F2342" t="str">
        <f>""</f>
        <v/>
      </c>
      <c r="G2342" t="str">
        <f>""</f>
        <v/>
      </c>
      <c r="I2342" t="str">
        <f t="shared" si="26"/>
        <v>GUARDIAN</v>
      </c>
    </row>
    <row r="2343" spans="1:9" x14ac:dyDescent="0.3">
      <c r="A2343" t="str">
        <f>""</f>
        <v/>
      </c>
      <c r="F2343" t="str">
        <f>""</f>
        <v/>
      </c>
      <c r="G2343" t="str">
        <f>""</f>
        <v/>
      </c>
      <c r="I2343" t="str">
        <f t="shared" si="26"/>
        <v>GUARDIAN</v>
      </c>
    </row>
    <row r="2344" spans="1:9" x14ac:dyDescent="0.3">
      <c r="A2344" t="str">
        <f>""</f>
        <v/>
      </c>
      <c r="F2344" t="str">
        <f>""</f>
        <v/>
      </c>
      <c r="G2344" t="str">
        <f>""</f>
        <v/>
      </c>
      <c r="I2344" t="str">
        <f t="shared" si="26"/>
        <v>GUARDIAN</v>
      </c>
    </row>
    <row r="2345" spans="1:9" x14ac:dyDescent="0.3">
      <c r="A2345" t="str">
        <f>""</f>
        <v/>
      </c>
      <c r="F2345" t="str">
        <f>""</f>
        <v/>
      </c>
      <c r="G2345" t="str">
        <f>""</f>
        <v/>
      </c>
      <c r="I2345" t="str">
        <f t="shared" si="26"/>
        <v>GUARDIAN</v>
      </c>
    </row>
    <row r="2346" spans="1:9" x14ac:dyDescent="0.3">
      <c r="A2346" t="str">
        <f>""</f>
        <v/>
      </c>
      <c r="F2346" t="str">
        <f>""</f>
        <v/>
      </c>
      <c r="G2346" t="str">
        <f>""</f>
        <v/>
      </c>
      <c r="I2346" t="str">
        <f t="shared" si="26"/>
        <v>GUARDIAN</v>
      </c>
    </row>
    <row r="2347" spans="1:9" x14ac:dyDescent="0.3">
      <c r="A2347" t="str">
        <f>""</f>
        <v/>
      </c>
      <c r="F2347" t="str">
        <f>""</f>
        <v/>
      </c>
      <c r="G2347" t="str">
        <f>""</f>
        <v/>
      </c>
      <c r="I2347" t="str">
        <f t="shared" si="26"/>
        <v>GUARDIAN</v>
      </c>
    </row>
    <row r="2348" spans="1:9" x14ac:dyDescent="0.3">
      <c r="A2348" t="str">
        <f>""</f>
        <v/>
      </c>
      <c r="F2348" t="str">
        <f>""</f>
        <v/>
      </c>
      <c r="G2348" t="str">
        <f>""</f>
        <v/>
      </c>
      <c r="I2348" t="str">
        <f t="shared" si="26"/>
        <v>GUARDIAN</v>
      </c>
    </row>
    <row r="2349" spans="1:9" x14ac:dyDescent="0.3">
      <c r="A2349" t="str">
        <f>""</f>
        <v/>
      </c>
      <c r="F2349" t="str">
        <f>""</f>
        <v/>
      </c>
      <c r="G2349" t="str">
        <f>""</f>
        <v/>
      </c>
      <c r="I2349" t="str">
        <f t="shared" si="26"/>
        <v>GUARDIAN</v>
      </c>
    </row>
    <row r="2350" spans="1:9" x14ac:dyDescent="0.3">
      <c r="A2350" t="str">
        <f>""</f>
        <v/>
      </c>
      <c r="F2350" t="str">
        <f>""</f>
        <v/>
      </c>
      <c r="G2350" t="str">
        <f>""</f>
        <v/>
      </c>
      <c r="I2350" t="str">
        <f t="shared" si="26"/>
        <v>GUARDIAN</v>
      </c>
    </row>
    <row r="2351" spans="1:9" x14ac:dyDescent="0.3">
      <c r="A2351" t="str">
        <f>""</f>
        <v/>
      </c>
      <c r="F2351" t="str">
        <f>""</f>
        <v/>
      </c>
      <c r="G2351" t="str">
        <f>""</f>
        <v/>
      </c>
      <c r="I2351" t="str">
        <f t="shared" si="26"/>
        <v>GUARDIAN</v>
      </c>
    </row>
    <row r="2352" spans="1:9" x14ac:dyDescent="0.3">
      <c r="A2352" t="str">
        <f>""</f>
        <v/>
      </c>
      <c r="F2352" t="str">
        <f>""</f>
        <v/>
      </c>
      <c r="G2352" t="str">
        <f>""</f>
        <v/>
      </c>
      <c r="I2352" t="str">
        <f t="shared" si="26"/>
        <v>GUARDIAN</v>
      </c>
    </row>
    <row r="2353" spans="1:9" x14ac:dyDescent="0.3">
      <c r="A2353" t="str">
        <f>""</f>
        <v/>
      </c>
      <c r="F2353" t="str">
        <f>""</f>
        <v/>
      </c>
      <c r="G2353" t="str">
        <f>""</f>
        <v/>
      </c>
      <c r="I2353" t="str">
        <f t="shared" ref="I2353:I2362" si="27">"GUARDIAN"</f>
        <v>GUARDIAN</v>
      </c>
    </row>
    <row r="2354" spans="1:9" x14ac:dyDescent="0.3">
      <c r="A2354" t="str">
        <f>""</f>
        <v/>
      </c>
      <c r="F2354" t="str">
        <f>""</f>
        <v/>
      </c>
      <c r="G2354" t="str">
        <f>""</f>
        <v/>
      </c>
      <c r="I2354" t="str">
        <f t="shared" si="27"/>
        <v>GUARDIAN</v>
      </c>
    </row>
    <row r="2355" spans="1:9" x14ac:dyDescent="0.3">
      <c r="A2355" t="str">
        <f>""</f>
        <v/>
      </c>
      <c r="F2355" t="str">
        <f>""</f>
        <v/>
      </c>
      <c r="G2355" t="str">
        <f>""</f>
        <v/>
      </c>
      <c r="I2355" t="str">
        <f t="shared" si="27"/>
        <v>GUARDIAN</v>
      </c>
    </row>
    <row r="2356" spans="1:9" x14ac:dyDescent="0.3">
      <c r="A2356" t="str">
        <f>""</f>
        <v/>
      </c>
      <c r="F2356" t="str">
        <f>""</f>
        <v/>
      </c>
      <c r="G2356" t="str">
        <f>""</f>
        <v/>
      </c>
      <c r="I2356" t="str">
        <f t="shared" si="27"/>
        <v>GUARDIAN</v>
      </c>
    </row>
    <row r="2357" spans="1:9" x14ac:dyDescent="0.3">
      <c r="A2357" t="str">
        <f>""</f>
        <v/>
      </c>
      <c r="F2357" t="str">
        <f>""</f>
        <v/>
      </c>
      <c r="G2357" t="str">
        <f>""</f>
        <v/>
      </c>
      <c r="I2357" t="str">
        <f t="shared" si="27"/>
        <v>GUARDIAN</v>
      </c>
    </row>
    <row r="2358" spans="1:9" x14ac:dyDescent="0.3">
      <c r="A2358" t="str">
        <f>""</f>
        <v/>
      </c>
      <c r="F2358" t="str">
        <f>""</f>
        <v/>
      </c>
      <c r="G2358" t="str">
        <f>""</f>
        <v/>
      </c>
      <c r="I2358" t="str">
        <f t="shared" si="27"/>
        <v>GUARDIAN</v>
      </c>
    </row>
    <row r="2359" spans="1:9" x14ac:dyDescent="0.3">
      <c r="A2359" t="str">
        <f>""</f>
        <v/>
      </c>
      <c r="F2359" t="str">
        <f>""</f>
        <v/>
      </c>
      <c r="G2359" t="str">
        <f>""</f>
        <v/>
      </c>
      <c r="I2359" t="str">
        <f t="shared" si="27"/>
        <v>GUARDIAN</v>
      </c>
    </row>
    <row r="2360" spans="1:9" x14ac:dyDescent="0.3">
      <c r="A2360" t="str">
        <f>""</f>
        <v/>
      </c>
      <c r="F2360" t="str">
        <f>""</f>
        <v/>
      </c>
      <c r="G2360" t="str">
        <f>""</f>
        <v/>
      </c>
      <c r="I2360" t="str">
        <f t="shared" si="27"/>
        <v>GUARDIAN</v>
      </c>
    </row>
    <row r="2361" spans="1:9" x14ac:dyDescent="0.3">
      <c r="A2361" t="str">
        <f>""</f>
        <v/>
      </c>
      <c r="F2361" t="str">
        <f>"GDS201805161054"</f>
        <v>GDS201805161054</v>
      </c>
      <c r="G2361" t="str">
        <f>"GUARDIAN"</f>
        <v>GUARDIAN</v>
      </c>
      <c r="H2361">
        <v>29.82</v>
      </c>
      <c r="I2361" t="str">
        <f t="shared" si="27"/>
        <v>GUARDIAN</v>
      </c>
    </row>
    <row r="2362" spans="1:9" x14ac:dyDescent="0.3">
      <c r="A2362" t="str">
        <f>""</f>
        <v/>
      </c>
      <c r="F2362" t="str">
        <f>""</f>
        <v/>
      </c>
      <c r="G2362" t="str">
        <f>""</f>
        <v/>
      </c>
      <c r="I2362" t="str">
        <f t="shared" si="27"/>
        <v>GUARDIAN</v>
      </c>
    </row>
    <row r="2363" spans="1:9" x14ac:dyDescent="0.3">
      <c r="A2363" t="str">
        <f>""</f>
        <v/>
      </c>
      <c r="F2363" t="str">
        <f>"GV1201805010494"</f>
        <v>GV1201805010494</v>
      </c>
      <c r="G2363" t="str">
        <f>"GUARDIAN VISION"</f>
        <v>GUARDIAN VISION</v>
      </c>
      <c r="H2363">
        <v>375.2</v>
      </c>
      <c r="I2363" t="str">
        <f>"GUARDIAN VISION"</f>
        <v>GUARDIAN VISION</v>
      </c>
    </row>
    <row r="2364" spans="1:9" x14ac:dyDescent="0.3">
      <c r="A2364" t="str">
        <f>""</f>
        <v/>
      </c>
      <c r="F2364" t="str">
        <f>"GV1201805010495"</f>
        <v>GV1201805010495</v>
      </c>
      <c r="G2364" t="str">
        <f>"GUARDIAN VISION"</f>
        <v>GUARDIAN VISION</v>
      </c>
      <c r="H2364">
        <v>5.6</v>
      </c>
      <c r="I2364" t="str">
        <f>"GUARDIAN VISION"</f>
        <v>GUARDIAN VISION</v>
      </c>
    </row>
    <row r="2365" spans="1:9" x14ac:dyDescent="0.3">
      <c r="A2365" t="str">
        <f>""</f>
        <v/>
      </c>
      <c r="F2365" t="str">
        <f>"GV1201805161053"</f>
        <v>GV1201805161053</v>
      </c>
      <c r="G2365" t="str">
        <f>"GUARDIAN VISION"</f>
        <v>GUARDIAN VISION</v>
      </c>
      <c r="H2365">
        <v>375.2</v>
      </c>
      <c r="I2365" t="str">
        <f>"GUARDIAN VISION"</f>
        <v>GUARDIAN VISION</v>
      </c>
    </row>
    <row r="2366" spans="1:9" x14ac:dyDescent="0.3">
      <c r="A2366" t="str">
        <f>""</f>
        <v/>
      </c>
      <c r="F2366" t="str">
        <f>"GV1201805161054"</f>
        <v>GV1201805161054</v>
      </c>
      <c r="G2366" t="str">
        <f>"GUARDIAN VISION"</f>
        <v>GUARDIAN VISION</v>
      </c>
      <c r="H2366">
        <v>5.6</v>
      </c>
      <c r="I2366" t="str">
        <f>"GUARDIAN VISION"</f>
        <v>GUARDIAN VISION</v>
      </c>
    </row>
    <row r="2367" spans="1:9" x14ac:dyDescent="0.3">
      <c r="A2367" t="str">
        <f>""</f>
        <v/>
      </c>
      <c r="F2367" t="str">
        <f>"GVE201805010494"</f>
        <v>GVE201805010494</v>
      </c>
      <c r="G2367" t="str">
        <f>"GUARDIAN VISION VENDOR"</f>
        <v>GUARDIAN VISION VENDOR</v>
      </c>
      <c r="H2367">
        <v>546.12</v>
      </c>
      <c r="I2367" t="str">
        <f>"GUARDIAN VISION VENDOR"</f>
        <v>GUARDIAN VISION VENDOR</v>
      </c>
    </row>
    <row r="2368" spans="1:9" x14ac:dyDescent="0.3">
      <c r="A2368" t="str">
        <f>""</f>
        <v/>
      </c>
      <c r="F2368" t="str">
        <f>"GVE201805010495"</f>
        <v>GVE201805010495</v>
      </c>
      <c r="G2368" t="str">
        <f>"GUARDIAN VISION VENDOR"</f>
        <v>GUARDIAN VISION VENDOR</v>
      </c>
      <c r="H2368">
        <v>25.83</v>
      </c>
      <c r="I2368" t="str">
        <f>"GUARDIAN VISION VENDOR"</f>
        <v>GUARDIAN VISION VENDOR</v>
      </c>
    </row>
    <row r="2369" spans="1:9" x14ac:dyDescent="0.3">
      <c r="A2369" t="str">
        <f>""</f>
        <v/>
      </c>
      <c r="F2369" t="str">
        <f>"GVE201805161053"</f>
        <v>GVE201805161053</v>
      </c>
      <c r="G2369" t="str">
        <f>"GUARDIAN VISION VENDOR"</f>
        <v>GUARDIAN VISION VENDOR</v>
      </c>
      <c r="H2369">
        <v>546.12</v>
      </c>
      <c r="I2369" t="str">
        <f>"GUARDIAN VISION VENDOR"</f>
        <v>GUARDIAN VISION VENDOR</v>
      </c>
    </row>
    <row r="2370" spans="1:9" x14ac:dyDescent="0.3">
      <c r="A2370" t="str">
        <f>""</f>
        <v/>
      </c>
      <c r="F2370" t="str">
        <f>"GVE201805161054"</f>
        <v>GVE201805161054</v>
      </c>
      <c r="G2370" t="str">
        <f>"GUARDIAN VISION VENDOR"</f>
        <v>GUARDIAN VISION VENDOR</v>
      </c>
      <c r="H2370">
        <v>25.83</v>
      </c>
      <c r="I2370" t="str">
        <f>"GUARDIAN VISION VENDOR"</f>
        <v>GUARDIAN VISION VENDOR</v>
      </c>
    </row>
    <row r="2371" spans="1:9" x14ac:dyDescent="0.3">
      <c r="A2371" t="str">
        <f>""</f>
        <v/>
      </c>
      <c r="F2371" t="str">
        <f>"GVF201805010494"</f>
        <v>GVF201805010494</v>
      </c>
      <c r="G2371" t="str">
        <f>"GUARDIAN VISION"</f>
        <v>GUARDIAN VISION</v>
      </c>
      <c r="H2371">
        <v>462.95</v>
      </c>
      <c r="I2371" t="str">
        <f>"GUARDIAN VISION"</f>
        <v>GUARDIAN VISION</v>
      </c>
    </row>
    <row r="2372" spans="1:9" x14ac:dyDescent="0.3">
      <c r="A2372" t="str">
        <f>""</f>
        <v/>
      </c>
      <c r="F2372" t="str">
        <f>"GVF201805010495"</f>
        <v>GVF201805010495</v>
      </c>
      <c r="G2372" t="str">
        <f>"GUARDIAN VISION VENDOR"</f>
        <v>GUARDIAN VISION VENDOR</v>
      </c>
      <c r="H2372">
        <v>29.55</v>
      </c>
      <c r="I2372" t="str">
        <f>"GUARDIAN VISION VENDOR"</f>
        <v>GUARDIAN VISION VENDOR</v>
      </c>
    </row>
    <row r="2373" spans="1:9" x14ac:dyDescent="0.3">
      <c r="A2373" t="str">
        <f>""</f>
        <v/>
      </c>
      <c r="F2373" t="str">
        <f>"GVF201805161053"</f>
        <v>GVF201805161053</v>
      </c>
      <c r="G2373" t="str">
        <f>"GUARDIAN VISION"</f>
        <v>GUARDIAN VISION</v>
      </c>
      <c r="H2373">
        <v>462.95</v>
      </c>
      <c r="I2373" t="str">
        <f>"GUARDIAN VISION"</f>
        <v>GUARDIAN VISION</v>
      </c>
    </row>
    <row r="2374" spans="1:9" x14ac:dyDescent="0.3">
      <c r="A2374" t="str">
        <f>""</f>
        <v/>
      </c>
      <c r="F2374" t="str">
        <f>"GVF201805161054"</f>
        <v>GVF201805161054</v>
      </c>
      <c r="G2374" t="str">
        <f>"GUARDIAN VISION VENDOR"</f>
        <v>GUARDIAN VISION VENDOR</v>
      </c>
      <c r="H2374">
        <v>29.55</v>
      </c>
      <c r="I2374" t="str">
        <f>"GUARDIAN VISION VENDOR"</f>
        <v>GUARDIAN VISION VENDOR</v>
      </c>
    </row>
    <row r="2375" spans="1:9" x14ac:dyDescent="0.3">
      <c r="A2375" t="str">
        <f>""</f>
        <v/>
      </c>
      <c r="F2375" t="str">
        <f>"LIA201805010494"</f>
        <v>LIA201805010494</v>
      </c>
      <c r="G2375" t="str">
        <f>"GUARDIAN"</f>
        <v>GUARDIAN</v>
      </c>
      <c r="H2375">
        <v>169.04</v>
      </c>
      <c r="I2375" t="str">
        <f t="shared" ref="I2375:I2406" si="28">"GUARDIAN"</f>
        <v>GUARDIAN</v>
      </c>
    </row>
    <row r="2376" spans="1:9" x14ac:dyDescent="0.3">
      <c r="A2376" t="str">
        <f>""</f>
        <v/>
      </c>
      <c r="F2376" t="str">
        <f>""</f>
        <v/>
      </c>
      <c r="G2376" t="str">
        <f>""</f>
        <v/>
      </c>
      <c r="I2376" t="str">
        <f t="shared" si="28"/>
        <v>GUARDIAN</v>
      </c>
    </row>
    <row r="2377" spans="1:9" x14ac:dyDescent="0.3">
      <c r="A2377" t="str">
        <f>""</f>
        <v/>
      </c>
      <c r="F2377" t="str">
        <f>""</f>
        <v/>
      </c>
      <c r="G2377" t="str">
        <f>""</f>
        <v/>
      </c>
      <c r="I2377" t="str">
        <f t="shared" si="28"/>
        <v>GUARDIAN</v>
      </c>
    </row>
    <row r="2378" spans="1:9" x14ac:dyDescent="0.3">
      <c r="A2378" t="str">
        <f>""</f>
        <v/>
      </c>
      <c r="F2378" t="str">
        <f>""</f>
        <v/>
      </c>
      <c r="G2378" t="str">
        <f>""</f>
        <v/>
      </c>
      <c r="I2378" t="str">
        <f t="shared" si="28"/>
        <v>GUARDIAN</v>
      </c>
    </row>
    <row r="2379" spans="1:9" x14ac:dyDescent="0.3">
      <c r="A2379" t="str">
        <f>""</f>
        <v/>
      </c>
      <c r="F2379" t="str">
        <f>""</f>
        <v/>
      </c>
      <c r="G2379" t="str">
        <f>""</f>
        <v/>
      </c>
      <c r="I2379" t="str">
        <f t="shared" si="28"/>
        <v>GUARDIAN</v>
      </c>
    </row>
    <row r="2380" spans="1:9" x14ac:dyDescent="0.3">
      <c r="A2380" t="str">
        <f>""</f>
        <v/>
      </c>
      <c r="F2380" t="str">
        <f>""</f>
        <v/>
      </c>
      <c r="G2380" t="str">
        <f>""</f>
        <v/>
      </c>
      <c r="I2380" t="str">
        <f t="shared" si="28"/>
        <v>GUARDIAN</v>
      </c>
    </row>
    <row r="2381" spans="1:9" x14ac:dyDescent="0.3">
      <c r="A2381" t="str">
        <f>""</f>
        <v/>
      </c>
      <c r="F2381" t="str">
        <f>""</f>
        <v/>
      </c>
      <c r="G2381" t="str">
        <f>""</f>
        <v/>
      </c>
      <c r="I2381" t="str">
        <f t="shared" si="28"/>
        <v>GUARDIAN</v>
      </c>
    </row>
    <row r="2382" spans="1:9" x14ac:dyDescent="0.3">
      <c r="A2382" t="str">
        <f>""</f>
        <v/>
      </c>
      <c r="F2382" t="str">
        <f>""</f>
        <v/>
      </c>
      <c r="G2382" t="str">
        <f>""</f>
        <v/>
      </c>
      <c r="I2382" t="str">
        <f t="shared" si="28"/>
        <v>GUARDIAN</v>
      </c>
    </row>
    <row r="2383" spans="1:9" x14ac:dyDescent="0.3">
      <c r="A2383" t="str">
        <f>""</f>
        <v/>
      </c>
      <c r="F2383" t="str">
        <f>""</f>
        <v/>
      </c>
      <c r="G2383" t="str">
        <f>""</f>
        <v/>
      </c>
      <c r="I2383" t="str">
        <f t="shared" si="28"/>
        <v>GUARDIAN</v>
      </c>
    </row>
    <row r="2384" spans="1:9" x14ac:dyDescent="0.3">
      <c r="A2384" t="str">
        <f>""</f>
        <v/>
      </c>
      <c r="F2384" t="str">
        <f>""</f>
        <v/>
      </c>
      <c r="G2384" t="str">
        <f>""</f>
        <v/>
      </c>
      <c r="I2384" t="str">
        <f t="shared" si="28"/>
        <v>GUARDIAN</v>
      </c>
    </row>
    <row r="2385" spans="1:9" x14ac:dyDescent="0.3">
      <c r="A2385" t="str">
        <f>""</f>
        <v/>
      </c>
      <c r="F2385" t="str">
        <f>""</f>
        <v/>
      </c>
      <c r="G2385" t="str">
        <f>""</f>
        <v/>
      </c>
      <c r="I2385" t="str">
        <f t="shared" si="28"/>
        <v>GUARDIAN</v>
      </c>
    </row>
    <row r="2386" spans="1:9" x14ac:dyDescent="0.3">
      <c r="A2386" t="str">
        <f>""</f>
        <v/>
      </c>
      <c r="F2386" t="str">
        <f>""</f>
        <v/>
      </c>
      <c r="G2386" t="str">
        <f>""</f>
        <v/>
      </c>
      <c r="I2386" t="str">
        <f t="shared" si="28"/>
        <v>GUARDIAN</v>
      </c>
    </row>
    <row r="2387" spans="1:9" x14ac:dyDescent="0.3">
      <c r="A2387" t="str">
        <f>""</f>
        <v/>
      </c>
      <c r="F2387" t="str">
        <f>""</f>
        <v/>
      </c>
      <c r="G2387" t="str">
        <f>""</f>
        <v/>
      </c>
      <c r="I2387" t="str">
        <f t="shared" si="28"/>
        <v>GUARDIAN</v>
      </c>
    </row>
    <row r="2388" spans="1:9" x14ac:dyDescent="0.3">
      <c r="A2388" t="str">
        <f>""</f>
        <v/>
      </c>
      <c r="F2388" t="str">
        <f>""</f>
        <v/>
      </c>
      <c r="G2388" t="str">
        <f>""</f>
        <v/>
      </c>
      <c r="I2388" t="str">
        <f t="shared" si="28"/>
        <v>GUARDIAN</v>
      </c>
    </row>
    <row r="2389" spans="1:9" x14ac:dyDescent="0.3">
      <c r="A2389" t="str">
        <f>""</f>
        <v/>
      </c>
      <c r="F2389" t="str">
        <f>""</f>
        <v/>
      </c>
      <c r="G2389" t="str">
        <f>""</f>
        <v/>
      </c>
      <c r="I2389" t="str">
        <f t="shared" si="28"/>
        <v>GUARDIAN</v>
      </c>
    </row>
    <row r="2390" spans="1:9" x14ac:dyDescent="0.3">
      <c r="A2390" t="str">
        <f>""</f>
        <v/>
      </c>
      <c r="F2390" t="str">
        <f>""</f>
        <v/>
      </c>
      <c r="G2390" t="str">
        <f>""</f>
        <v/>
      </c>
      <c r="I2390" t="str">
        <f t="shared" si="28"/>
        <v>GUARDIAN</v>
      </c>
    </row>
    <row r="2391" spans="1:9" x14ac:dyDescent="0.3">
      <c r="A2391" t="str">
        <f>""</f>
        <v/>
      </c>
      <c r="F2391" t="str">
        <f>""</f>
        <v/>
      </c>
      <c r="G2391" t="str">
        <f>""</f>
        <v/>
      </c>
      <c r="I2391" t="str">
        <f t="shared" si="28"/>
        <v>GUARDIAN</v>
      </c>
    </row>
    <row r="2392" spans="1:9" x14ac:dyDescent="0.3">
      <c r="A2392" t="str">
        <f>""</f>
        <v/>
      </c>
      <c r="F2392" t="str">
        <f>""</f>
        <v/>
      </c>
      <c r="G2392" t="str">
        <f>""</f>
        <v/>
      </c>
      <c r="I2392" t="str">
        <f t="shared" si="28"/>
        <v>GUARDIAN</v>
      </c>
    </row>
    <row r="2393" spans="1:9" x14ac:dyDescent="0.3">
      <c r="A2393" t="str">
        <f>""</f>
        <v/>
      </c>
      <c r="F2393" t="str">
        <f>""</f>
        <v/>
      </c>
      <c r="G2393" t="str">
        <f>""</f>
        <v/>
      </c>
      <c r="I2393" t="str">
        <f t="shared" si="28"/>
        <v>GUARDIAN</v>
      </c>
    </row>
    <row r="2394" spans="1:9" x14ac:dyDescent="0.3">
      <c r="A2394" t="str">
        <f>""</f>
        <v/>
      </c>
      <c r="F2394" t="str">
        <f>""</f>
        <v/>
      </c>
      <c r="G2394" t="str">
        <f>""</f>
        <v/>
      </c>
      <c r="I2394" t="str">
        <f t="shared" si="28"/>
        <v>GUARDIAN</v>
      </c>
    </row>
    <row r="2395" spans="1:9" x14ac:dyDescent="0.3">
      <c r="A2395" t="str">
        <f>""</f>
        <v/>
      </c>
      <c r="F2395" t="str">
        <f>""</f>
        <v/>
      </c>
      <c r="G2395" t="str">
        <f>""</f>
        <v/>
      </c>
      <c r="I2395" t="str">
        <f t="shared" si="28"/>
        <v>GUARDIAN</v>
      </c>
    </row>
    <row r="2396" spans="1:9" x14ac:dyDescent="0.3">
      <c r="A2396" t="str">
        <f>""</f>
        <v/>
      </c>
      <c r="F2396" t="str">
        <f>""</f>
        <v/>
      </c>
      <c r="G2396" t="str">
        <f>""</f>
        <v/>
      </c>
      <c r="I2396" t="str">
        <f t="shared" si="28"/>
        <v>GUARDIAN</v>
      </c>
    </row>
    <row r="2397" spans="1:9" x14ac:dyDescent="0.3">
      <c r="A2397" t="str">
        <f>""</f>
        <v/>
      </c>
      <c r="F2397" t="str">
        <f>"LIA201805010495"</f>
        <v>LIA201805010495</v>
      </c>
      <c r="G2397" t="str">
        <f>"GUARDIAN"</f>
        <v>GUARDIAN</v>
      </c>
      <c r="H2397">
        <v>25.78</v>
      </c>
      <c r="I2397" t="str">
        <f t="shared" si="28"/>
        <v>GUARDIAN</v>
      </c>
    </row>
    <row r="2398" spans="1:9" x14ac:dyDescent="0.3">
      <c r="A2398" t="str">
        <f>""</f>
        <v/>
      </c>
      <c r="F2398" t="str">
        <f>""</f>
        <v/>
      </c>
      <c r="G2398" t="str">
        <f>""</f>
        <v/>
      </c>
      <c r="I2398" t="str">
        <f t="shared" si="28"/>
        <v>GUARDIAN</v>
      </c>
    </row>
    <row r="2399" spans="1:9" x14ac:dyDescent="0.3">
      <c r="A2399" t="str">
        <f>""</f>
        <v/>
      </c>
      <c r="F2399" t="str">
        <f>"LIA201805161053"</f>
        <v>LIA201805161053</v>
      </c>
      <c r="G2399" t="str">
        <f>"GUARDIAN"</f>
        <v>GUARDIAN</v>
      </c>
      <c r="H2399">
        <v>169.04</v>
      </c>
      <c r="I2399" t="str">
        <f t="shared" si="28"/>
        <v>GUARDIAN</v>
      </c>
    </row>
    <row r="2400" spans="1:9" x14ac:dyDescent="0.3">
      <c r="A2400" t="str">
        <f>""</f>
        <v/>
      </c>
      <c r="F2400" t="str">
        <f>""</f>
        <v/>
      </c>
      <c r="G2400" t="str">
        <f>""</f>
        <v/>
      </c>
      <c r="I2400" t="str">
        <f t="shared" si="28"/>
        <v>GUARDIAN</v>
      </c>
    </row>
    <row r="2401" spans="1:9" x14ac:dyDescent="0.3">
      <c r="A2401" t="str">
        <f>""</f>
        <v/>
      </c>
      <c r="F2401" t="str">
        <f>""</f>
        <v/>
      </c>
      <c r="G2401" t="str">
        <f>""</f>
        <v/>
      </c>
      <c r="I2401" t="str">
        <f t="shared" si="28"/>
        <v>GUARDIAN</v>
      </c>
    </row>
    <row r="2402" spans="1:9" x14ac:dyDescent="0.3">
      <c r="A2402" t="str">
        <f>""</f>
        <v/>
      </c>
      <c r="F2402" t="str">
        <f>""</f>
        <v/>
      </c>
      <c r="G2402" t="str">
        <f>""</f>
        <v/>
      </c>
      <c r="I2402" t="str">
        <f t="shared" si="28"/>
        <v>GUARDIAN</v>
      </c>
    </row>
    <row r="2403" spans="1:9" x14ac:dyDescent="0.3">
      <c r="A2403" t="str">
        <f>""</f>
        <v/>
      </c>
      <c r="F2403" t="str">
        <f>""</f>
        <v/>
      </c>
      <c r="G2403" t="str">
        <f>""</f>
        <v/>
      </c>
      <c r="I2403" t="str">
        <f t="shared" si="28"/>
        <v>GUARDIAN</v>
      </c>
    </row>
    <row r="2404" spans="1:9" x14ac:dyDescent="0.3">
      <c r="A2404" t="str">
        <f>""</f>
        <v/>
      </c>
      <c r="F2404" t="str">
        <f>""</f>
        <v/>
      </c>
      <c r="G2404" t="str">
        <f>""</f>
        <v/>
      </c>
      <c r="I2404" t="str">
        <f t="shared" si="28"/>
        <v>GUARDIAN</v>
      </c>
    </row>
    <row r="2405" spans="1:9" x14ac:dyDescent="0.3">
      <c r="A2405" t="str">
        <f>""</f>
        <v/>
      </c>
      <c r="F2405" t="str">
        <f>""</f>
        <v/>
      </c>
      <c r="G2405" t="str">
        <f>""</f>
        <v/>
      </c>
      <c r="I2405" t="str">
        <f t="shared" si="28"/>
        <v>GUARDIAN</v>
      </c>
    </row>
    <row r="2406" spans="1:9" x14ac:dyDescent="0.3">
      <c r="A2406" t="str">
        <f>""</f>
        <v/>
      </c>
      <c r="F2406" t="str">
        <f>""</f>
        <v/>
      </c>
      <c r="G2406" t="str">
        <f>""</f>
        <v/>
      </c>
      <c r="I2406" t="str">
        <f t="shared" si="28"/>
        <v>GUARDIAN</v>
      </c>
    </row>
    <row r="2407" spans="1:9" x14ac:dyDescent="0.3">
      <c r="A2407" t="str">
        <f>""</f>
        <v/>
      </c>
      <c r="F2407" t="str">
        <f>""</f>
        <v/>
      </c>
      <c r="G2407" t="str">
        <f>""</f>
        <v/>
      </c>
      <c r="I2407" t="str">
        <f t="shared" ref="I2407:I2438" si="29">"GUARDIAN"</f>
        <v>GUARDIAN</v>
      </c>
    </row>
    <row r="2408" spans="1:9" x14ac:dyDescent="0.3">
      <c r="A2408" t="str">
        <f>""</f>
        <v/>
      </c>
      <c r="F2408" t="str">
        <f>""</f>
        <v/>
      </c>
      <c r="G2408" t="str">
        <f>""</f>
        <v/>
      </c>
      <c r="I2408" t="str">
        <f t="shared" si="29"/>
        <v>GUARDIAN</v>
      </c>
    </row>
    <row r="2409" spans="1:9" x14ac:dyDescent="0.3">
      <c r="A2409" t="str">
        <f>""</f>
        <v/>
      </c>
      <c r="F2409" t="str">
        <f>""</f>
        <v/>
      </c>
      <c r="G2409" t="str">
        <f>""</f>
        <v/>
      </c>
      <c r="I2409" t="str">
        <f t="shared" si="29"/>
        <v>GUARDIAN</v>
      </c>
    </row>
    <row r="2410" spans="1:9" x14ac:dyDescent="0.3">
      <c r="A2410" t="str">
        <f>""</f>
        <v/>
      </c>
      <c r="F2410" t="str">
        <f>""</f>
        <v/>
      </c>
      <c r="G2410" t="str">
        <f>""</f>
        <v/>
      </c>
      <c r="I2410" t="str">
        <f t="shared" si="29"/>
        <v>GUARDIAN</v>
      </c>
    </row>
    <row r="2411" spans="1:9" x14ac:dyDescent="0.3">
      <c r="A2411" t="str">
        <f>""</f>
        <v/>
      </c>
      <c r="F2411" t="str">
        <f>""</f>
        <v/>
      </c>
      <c r="G2411" t="str">
        <f>""</f>
        <v/>
      </c>
      <c r="I2411" t="str">
        <f t="shared" si="29"/>
        <v>GUARDIAN</v>
      </c>
    </row>
    <row r="2412" spans="1:9" x14ac:dyDescent="0.3">
      <c r="A2412" t="str">
        <f>""</f>
        <v/>
      </c>
      <c r="F2412" t="str">
        <f>""</f>
        <v/>
      </c>
      <c r="G2412" t="str">
        <f>""</f>
        <v/>
      </c>
      <c r="I2412" t="str">
        <f t="shared" si="29"/>
        <v>GUARDIAN</v>
      </c>
    </row>
    <row r="2413" spans="1:9" x14ac:dyDescent="0.3">
      <c r="A2413" t="str">
        <f>""</f>
        <v/>
      </c>
      <c r="F2413" t="str">
        <f>""</f>
        <v/>
      </c>
      <c r="G2413" t="str">
        <f>""</f>
        <v/>
      </c>
      <c r="I2413" t="str">
        <f t="shared" si="29"/>
        <v>GUARDIAN</v>
      </c>
    </row>
    <row r="2414" spans="1:9" x14ac:dyDescent="0.3">
      <c r="A2414" t="str">
        <f>""</f>
        <v/>
      </c>
      <c r="F2414" t="str">
        <f>""</f>
        <v/>
      </c>
      <c r="G2414" t="str">
        <f>""</f>
        <v/>
      </c>
      <c r="I2414" t="str">
        <f t="shared" si="29"/>
        <v>GUARDIAN</v>
      </c>
    </row>
    <row r="2415" spans="1:9" x14ac:dyDescent="0.3">
      <c r="A2415" t="str">
        <f>""</f>
        <v/>
      </c>
      <c r="F2415" t="str">
        <f>""</f>
        <v/>
      </c>
      <c r="G2415" t="str">
        <f>""</f>
        <v/>
      </c>
      <c r="I2415" t="str">
        <f t="shared" si="29"/>
        <v>GUARDIAN</v>
      </c>
    </row>
    <row r="2416" spans="1:9" x14ac:dyDescent="0.3">
      <c r="A2416" t="str">
        <f>""</f>
        <v/>
      </c>
      <c r="F2416" t="str">
        <f>""</f>
        <v/>
      </c>
      <c r="G2416" t="str">
        <f>""</f>
        <v/>
      </c>
      <c r="I2416" t="str">
        <f t="shared" si="29"/>
        <v>GUARDIAN</v>
      </c>
    </row>
    <row r="2417" spans="1:9" x14ac:dyDescent="0.3">
      <c r="A2417" t="str">
        <f>""</f>
        <v/>
      </c>
      <c r="F2417" t="str">
        <f>""</f>
        <v/>
      </c>
      <c r="G2417" t="str">
        <f>""</f>
        <v/>
      </c>
      <c r="I2417" t="str">
        <f t="shared" si="29"/>
        <v>GUARDIAN</v>
      </c>
    </row>
    <row r="2418" spans="1:9" x14ac:dyDescent="0.3">
      <c r="A2418" t="str">
        <f>""</f>
        <v/>
      </c>
      <c r="F2418" t="str">
        <f>""</f>
        <v/>
      </c>
      <c r="G2418" t="str">
        <f>""</f>
        <v/>
      </c>
      <c r="I2418" t="str">
        <f t="shared" si="29"/>
        <v>GUARDIAN</v>
      </c>
    </row>
    <row r="2419" spans="1:9" x14ac:dyDescent="0.3">
      <c r="A2419" t="str">
        <f>""</f>
        <v/>
      </c>
      <c r="F2419" t="str">
        <f>""</f>
        <v/>
      </c>
      <c r="G2419" t="str">
        <f>""</f>
        <v/>
      </c>
      <c r="I2419" t="str">
        <f t="shared" si="29"/>
        <v>GUARDIAN</v>
      </c>
    </row>
    <row r="2420" spans="1:9" x14ac:dyDescent="0.3">
      <c r="A2420" t="str">
        <f>""</f>
        <v/>
      </c>
      <c r="F2420" t="str">
        <f>""</f>
        <v/>
      </c>
      <c r="G2420" t="str">
        <f>""</f>
        <v/>
      </c>
      <c r="I2420" t="str">
        <f t="shared" si="29"/>
        <v>GUARDIAN</v>
      </c>
    </row>
    <row r="2421" spans="1:9" x14ac:dyDescent="0.3">
      <c r="A2421" t="str">
        <f>""</f>
        <v/>
      </c>
      <c r="F2421" t="str">
        <f>""</f>
        <v/>
      </c>
      <c r="G2421" t="str">
        <f>""</f>
        <v/>
      </c>
      <c r="I2421" t="str">
        <f t="shared" si="29"/>
        <v>GUARDIAN</v>
      </c>
    </row>
    <row r="2422" spans="1:9" x14ac:dyDescent="0.3">
      <c r="A2422" t="str">
        <f>""</f>
        <v/>
      </c>
      <c r="F2422" t="str">
        <f>"LIA201805161054"</f>
        <v>LIA201805161054</v>
      </c>
      <c r="G2422" t="str">
        <f>"GUARDIAN"</f>
        <v>GUARDIAN</v>
      </c>
      <c r="H2422">
        <v>25.78</v>
      </c>
      <c r="I2422" t="str">
        <f t="shared" si="29"/>
        <v>GUARDIAN</v>
      </c>
    </row>
    <row r="2423" spans="1:9" x14ac:dyDescent="0.3">
      <c r="A2423" t="str">
        <f>""</f>
        <v/>
      </c>
      <c r="F2423" t="str">
        <f>""</f>
        <v/>
      </c>
      <c r="G2423" t="str">
        <f>""</f>
        <v/>
      </c>
      <c r="I2423" t="str">
        <f t="shared" si="29"/>
        <v>GUARDIAN</v>
      </c>
    </row>
    <row r="2424" spans="1:9" x14ac:dyDescent="0.3">
      <c r="A2424" t="str">
        <f>""</f>
        <v/>
      </c>
      <c r="F2424" t="str">
        <f>"LIC201805010494"</f>
        <v>LIC201805010494</v>
      </c>
      <c r="G2424" t="str">
        <f>"GUARDIAN"</f>
        <v>GUARDIAN</v>
      </c>
      <c r="H2424">
        <v>34.67</v>
      </c>
      <c r="I2424" t="str">
        <f t="shared" si="29"/>
        <v>GUARDIAN</v>
      </c>
    </row>
    <row r="2425" spans="1:9" x14ac:dyDescent="0.3">
      <c r="A2425" t="str">
        <f>""</f>
        <v/>
      </c>
      <c r="F2425" t="str">
        <f>"LIC201805010495"</f>
        <v>LIC201805010495</v>
      </c>
      <c r="G2425" t="str">
        <f>"GUARDIAN"</f>
        <v>GUARDIAN</v>
      </c>
      <c r="H2425">
        <v>1.05</v>
      </c>
      <c r="I2425" t="str">
        <f t="shared" si="29"/>
        <v>GUARDIAN</v>
      </c>
    </row>
    <row r="2426" spans="1:9" x14ac:dyDescent="0.3">
      <c r="A2426" t="str">
        <f>""</f>
        <v/>
      </c>
      <c r="F2426" t="str">
        <f>"LIC201805161053"</f>
        <v>LIC201805161053</v>
      </c>
      <c r="G2426" t="str">
        <f>"GUARDIAN"</f>
        <v>GUARDIAN</v>
      </c>
      <c r="H2426">
        <v>34.67</v>
      </c>
      <c r="I2426" t="str">
        <f t="shared" si="29"/>
        <v>GUARDIAN</v>
      </c>
    </row>
    <row r="2427" spans="1:9" x14ac:dyDescent="0.3">
      <c r="A2427" t="str">
        <f>""</f>
        <v/>
      </c>
      <c r="F2427" t="str">
        <f>"LIC201805161054"</f>
        <v>LIC201805161054</v>
      </c>
      <c r="G2427" t="str">
        <f>"GUARDIAN"</f>
        <v>GUARDIAN</v>
      </c>
      <c r="H2427">
        <v>1.05</v>
      </c>
      <c r="I2427" t="str">
        <f t="shared" si="29"/>
        <v>GUARDIAN</v>
      </c>
    </row>
    <row r="2428" spans="1:9" x14ac:dyDescent="0.3">
      <c r="A2428" t="str">
        <f>""</f>
        <v/>
      </c>
      <c r="F2428" t="str">
        <f>"LIE201805010494"</f>
        <v>LIE201805010494</v>
      </c>
      <c r="G2428" t="str">
        <f>"GUARDIAN"</f>
        <v>GUARDIAN</v>
      </c>
      <c r="H2428">
        <v>3211.05</v>
      </c>
      <c r="I2428" t="str">
        <f t="shared" si="29"/>
        <v>GUARDIAN</v>
      </c>
    </row>
    <row r="2429" spans="1:9" x14ac:dyDescent="0.3">
      <c r="A2429" t="str">
        <f>""</f>
        <v/>
      </c>
      <c r="F2429" t="str">
        <f>""</f>
        <v/>
      </c>
      <c r="G2429" t="str">
        <f>""</f>
        <v/>
      </c>
      <c r="I2429" t="str">
        <f t="shared" si="29"/>
        <v>GUARDIAN</v>
      </c>
    </row>
    <row r="2430" spans="1:9" x14ac:dyDescent="0.3">
      <c r="A2430" t="str">
        <f>""</f>
        <v/>
      </c>
      <c r="F2430" t="str">
        <f>""</f>
        <v/>
      </c>
      <c r="G2430" t="str">
        <f>""</f>
        <v/>
      </c>
      <c r="I2430" t="str">
        <f t="shared" si="29"/>
        <v>GUARDIAN</v>
      </c>
    </row>
    <row r="2431" spans="1:9" x14ac:dyDescent="0.3">
      <c r="A2431" t="str">
        <f>""</f>
        <v/>
      </c>
      <c r="F2431" t="str">
        <f>""</f>
        <v/>
      </c>
      <c r="G2431" t="str">
        <f>""</f>
        <v/>
      </c>
      <c r="I2431" t="str">
        <f t="shared" si="29"/>
        <v>GUARDIAN</v>
      </c>
    </row>
    <row r="2432" spans="1:9" x14ac:dyDescent="0.3">
      <c r="A2432" t="str">
        <f>""</f>
        <v/>
      </c>
      <c r="F2432" t="str">
        <f>""</f>
        <v/>
      </c>
      <c r="G2432" t="str">
        <f>""</f>
        <v/>
      </c>
      <c r="I2432" t="str">
        <f t="shared" si="29"/>
        <v>GUARDIAN</v>
      </c>
    </row>
    <row r="2433" spans="1:9" x14ac:dyDescent="0.3">
      <c r="A2433" t="str">
        <f>""</f>
        <v/>
      </c>
      <c r="F2433" t="str">
        <f>""</f>
        <v/>
      </c>
      <c r="G2433" t="str">
        <f>""</f>
        <v/>
      </c>
      <c r="I2433" t="str">
        <f t="shared" si="29"/>
        <v>GUARDIAN</v>
      </c>
    </row>
    <row r="2434" spans="1:9" x14ac:dyDescent="0.3">
      <c r="A2434" t="str">
        <f>""</f>
        <v/>
      </c>
      <c r="F2434" t="str">
        <f>""</f>
        <v/>
      </c>
      <c r="G2434" t="str">
        <f>""</f>
        <v/>
      </c>
      <c r="I2434" t="str">
        <f t="shared" si="29"/>
        <v>GUARDIAN</v>
      </c>
    </row>
    <row r="2435" spans="1:9" x14ac:dyDescent="0.3">
      <c r="A2435" t="str">
        <f>""</f>
        <v/>
      </c>
      <c r="F2435" t="str">
        <f>""</f>
        <v/>
      </c>
      <c r="G2435" t="str">
        <f>""</f>
        <v/>
      </c>
      <c r="I2435" t="str">
        <f t="shared" si="29"/>
        <v>GUARDIAN</v>
      </c>
    </row>
    <row r="2436" spans="1:9" x14ac:dyDescent="0.3">
      <c r="A2436" t="str">
        <f>""</f>
        <v/>
      </c>
      <c r="F2436" t="str">
        <f>""</f>
        <v/>
      </c>
      <c r="G2436" t="str">
        <f>""</f>
        <v/>
      </c>
      <c r="I2436" t="str">
        <f t="shared" si="29"/>
        <v>GUARDIAN</v>
      </c>
    </row>
    <row r="2437" spans="1:9" x14ac:dyDescent="0.3">
      <c r="A2437" t="str">
        <f>""</f>
        <v/>
      </c>
      <c r="F2437" t="str">
        <f>""</f>
        <v/>
      </c>
      <c r="G2437" t="str">
        <f>""</f>
        <v/>
      </c>
      <c r="I2437" t="str">
        <f t="shared" si="29"/>
        <v>GUARDIAN</v>
      </c>
    </row>
    <row r="2438" spans="1:9" x14ac:dyDescent="0.3">
      <c r="A2438" t="str">
        <f>""</f>
        <v/>
      </c>
      <c r="F2438" t="str">
        <f>""</f>
        <v/>
      </c>
      <c r="G2438" t="str">
        <f>""</f>
        <v/>
      </c>
      <c r="I2438" t="str">
        <f t="shared" si="29"/>
        <v>GUARDIAN</v>
      </c>
    </row>
    <row r="2439" spans="1:9" x14ac:dyDescent="0.3">
      <c r="A2439" t="str">
        <f>""</f>
        <v/>
      </c>
      <c r="F2439" t="str">
        <f>""</f>
        <v/>
      </c>
      <c r="G2439" t="str">
        <f>""</f>
        <v/>
      </c>
      <c r="I2439" t="str">
        <f t="shared" ref="I2439:I2470" si="30">"GUARDIAN"</f>
        <v>GUARDIAN</v>
      </c>
    </row>
    <row r="2440" spans="1:9" x14ac:dyDescent="0.3">
      <c r="A2440" t="str">
        <f>""</f>
        <v/>
      </c>
      <c r="F2440" t="str">
        <f>""</f>
        <v/>
      </c>
      <c r="G2440" t="str">
        <f>""</f>
        <v/>
      </c>
      <c r="I2440" t="str">
        <f t="shared" si="30"/>
        <v>GUARDIAN</v>
      </c>
    </row>
    <row r="2441" spans="1:9" x14ac:dyDescent="0.3">
      <c r="A2441" t="str">
        <f>""</f>
        <v/>
      </c>
      <c r="F2441" t="str">
        <f>""</f>
        <v/>
      </c>
      <c r="G2441" t="str">
        <f>""</f>
        <v/>
      </c>
      <c r="I2441" t="str">
        <f t="shared" si="30"/>
        <v>GUARDIAN</v>
      </c>
    </row>
    <row r="2442" spans="1:9" x14ac:dyDescent="0.3">
      <c r="A2442" t="str">
        <f>""</f>
        <v/>
      </c>
      <c r="F2442" t="str">
        <f>""</f>
        <v/>
      </c>
      <c r="G2442" t="str">
        <f>""</f>
        <v/>
      </c>
      <c r="I2442" t="str">
        <f t="shared" si="30"/>
        <v>GUARDIAN</v>
      </c>
    </row>
    <row r="2443" spans="1:9" x14ac:dyDescent="0.3">
      <c r="A2443" t="str">
        <f>""</f>
        <v/>
      </c>
      <c r="F2443" t="str">
        <f>""</f>
        <v/>
      </c>
      <c r="G2443" t="str">
        <f>""</f>
        <v/>
      </c>
      <c r="I2443" t="str">
        <f t="shared" si="30"/>
        <v>GUARDIAN</v>
      </c>
    </row>
    <row r="2444" spans="1:9" x14ac:dyDescent="0.3">
      <c r="A2444" t="str">
        <f>""</f>
        <v/>
      </c>
      <c r="F2444" t="str">
        <f>""</f>
        <v/>
      </c>
      <c r="G2444" t="str">
        <f>""</f>
        <v/>
      </c>
      <c r="I2444" t="str">
        <f t="shared" si="30"/>
        <v>GUARDIAN</v>
      </c>
    </row>
    <row r="2445" spans="1:9" x14ac:dyDescent="0.3">
      <c r="A2445" t="str">
        <f>""</f>
        <v/>
      </c>
      <c r="F2445" t="str">
        <f>""</f>
        <v/>
      </c>
      <c r="G2445" t="str">
        <f>""</f>
        <v/>
      </c>
      <c r="I2445" t="str">
        <f t="shared" si="30"/>
        <v>GUARDIAN</v>
      </c>
    </row>
    <row r="2446" spans="1:9" x14ac:dyDescent="0.3">
      <c r="A2446" t="str">
        <f>""</f>
        <v/>
      </c>
      <c r="F2446" t="str">
        <f>""</f>
        <v/>
      </c>
      <c r="G2446" t="str">
        <f>""</f>
        <v/>
      </c>
      <c r="I2446" t="str">
        <f t="shared" si="30"/>
        <v>GUARDIAN</v>
      </c>
    </row>
    <row r="2447" spans="1:9" x14ac:dyDescent="0.3">
      <c r="A2447" t="str">
        <f>""</f>
        <v/>
      </c>
      <c r="F2447" t="str">
        <f>""</f>
        <v/>
      </c>
      <c r="G2447" t="str">
        <f>""</f>
        <v/>
      </c>
      <c r="I2447" t="str">
        <f t="shared" si="30"/>
        <v>GUARDIAN</v>
      </c>
    </row>
    <row r="2448" spans="1:9" x14ac:dyDescent="0.3">
      <c r="A2448" t="str">
        <f>""</f>
        <v/>
      </c>
      <c r="F2448" t="str">
        <f>""</f>
        <v/>
      </c>
      <c r="G2448" t="str">
        <f>""</f>
        <v/>
      </c>
      <c r="I2448" t="str">
        <f t="shared" si="30"/>
        <v>GUARDIAN</v>
      </c>
    </row>
    <row r="2449" spans="1:9" x14ac:dyDescent="0.3">
      <c r="A2449" t="str">
        <f>""</f>
        <v/>
      </c>
      <c r="F2449" t="str">
        <f>""</f>
        <v/>
      </c>
      <c r="G2449" t="str">
        <f>""</f>
        <v/>
      </c>
      <c r="I2449" t="str">
        <f t="shared" si="30"/>
        <v>GUARDIAN</v>
      </c>
    </row>
    <row r="2450" spans="1:9" x14ac:dyDescent="0.3">
      <c r="A2450" t="str">
        <f>""</f>
        <v/>
      </c>
      <c r="F2450" t="str">
        <f>""</f>
        <v/>
      </c>
      <c r="G2450" t="str">
        <f>""</f>
        <v/>
      </c>
      <c r="I2450" t="str">
        <f t="shared" si="30"/>
        <v>GUARDIAN</v>
      </c>
    </row>
    <row r="2451" spans="1:9" x14ac:dyDescent="0.3">
      <c r="A2451" t="str">
        <f>""</f>
        <v/>
      </c>
      <c r="F2451" t="str">
        <f>""</f>
        <v/>
      </c>
      <c r="G2451" t="str">
        <f>""</f>
        <v/>
      </c>
      <c r="I2451" t="str">
        <f t="shared" si="30"/>
        <v>GUARDIAN</v>
      </c>
    </row>
    <row r="2452" spans="1:9" x14ac:dyDescent="0.3">
      <c r="A2452" t="str">
        <f>""</f>
        <v/>
      </c>
      <c r="F2452" t="str">
        <f>""</f>
        <v/>
      </c>
      <c r="G2452" t="str">
        <f>""</f>
        <v/>
      </c>
      <c r="I2452" t="str">
        <f t="shared" si="30"/>
        <v>GUARDIAN</v>
      </c>
    </row>
    <row r="2453" spans="1:9" x14ac:dyDescent="0.3">
      <c r="A2453" t="str">
        <f>""</f>
        <v/>
      </c>
      <c r="F2453" t="str">
        <f>""</f>
        <v/>
      </c>
      <c r="G2453" t="str">
        <f>""</f>
        <v/>
      </c>
      <c r="I2453" t="str">
        <f t="shared" si="30"/>
        <v>GUARDIAN</v>
      </c>
    </row>
    <row r="2454" spans="1:9" x14ac:dyDescent="0.3">
      <c r="A2454" t="str">
        <f>""</f>
        <v/>
      </c>
      <c r="F2454" t="str">
        <f>""</f>
        <v/>
      </c>
      <c r="G2454" t="str">
        <f>""</f>
        <v/>
      </c>
      <c r="I2454" t="str">
        <f t="shared" si="30"/>
        <v>GUARDIAN</v>
      </c>
    </row>
    <row r="2455" spans="1:9" x14ac:dyDescent="0.3">
      <c r="A2455" t="str">
        <f>""</f>
        <v/>
      </c>
      <c r="F2455" t="str">
        <f>""</f>
        <v/>
      </c>
      <c r="G2455" t="str">
        <f>""</f>
        <v/>
      </c>
      <c r="I2455" t="str">
        <f t="shared" si="30"/>
        <v>GUARDIAN</v>
      </c>
    </row>
    <row r="2456" spans="1:9" x14ac:dyDescent="0.3">
      <c r="A2456" t="str">
        <f>""</f>
        <v/>
      </c>
      <c r="F2456" t="str">
        <f>""</f>
        <v/>
      </c>
      <c r="G2456" t="str">
        <f>""</f>
        <v/>
      </c>
      <c r="I2456" t="str">
        <f t="shared" si="30"/>
        <v>GUARDIAN</v>
      </c>
    </row>
    <row r="2457" spans="1:9" x14ac:dyDescent="0.3">
      <c r="A2457" t="str">
        <f>""</f>
        <v/>
      </c>
      <c r="F2457" t="str">
        <f>""</f>
        <v/>
      </c>
      <c r="G2457" t="str">
        <f>""</f>
        <v/>
      </c>
      <c r="I2457" t="str">
        <f t="shared" si="30"/>
        <v>GUARDIAN</v>
      </c>
    </row>
    <row r="2458" spans="1:9" x14ac:dyDescent="0.3">
      <c r="A2458" t="str">
        <f>""</f>
        <v/>
      </c>
      <c r="F2458" t="str">
        <f>""</f>
        <v/>
      </c>
      <c r="G2458" t="str">
        <f>""</f>
        <v/>
      </c>
      <c r="I2458" t="str">
        <f t="shared" si="30"/>
        <v>GUARDIAN</v>
      </c>
    </row>
    <row r="2459" spans="1:9" x14ac:dyDescent="0.3">
      <c r="A2459" t="str">
        <f>""</f>
        <v/>
      </c>
      <c r="F2459" t="str">
        <f>""</f>
        <v/>
      </c>
      <c r="G2459" t="str">
        <f>""</f>
        <v/>
      </c>
      <c r="I2459" t="str">
        <f t="shared" si="30"/>
        <v>GUARDIAN</v>
      </c>
    </row>
    <row r="2460" spans="1:9" x14ac:dyDescent="0.3">
      <c r="A2460" t="str">
        <f>""</f>
        <v/>
      </c>
      <c r="F2460" t="str">
        <f>""</f>
        <v/>
      </c>
      <c r="G2460" t="str">
        <f>""</f>
        <v/>
      </c>
      <c r="I2460" t="str">
        <f t="shared" si="30"/>
        <v>GUARDIAN</v>
      </c>
    </row>
    <row r="2461" spans="1:9" x14ac:dyDescent="0.3">
      <c r="A2461" t="str">
        <f>""</f>
        <v/>
      </c>
      <c r="F2461" t="str">
        <f>""</f>
        <v/>
      </c>
      <c r="G2461" t="str">
        <f>""</f>
        <v/>
      </c>
      <c r="I2461" t="str">
        <f t="shared" si="30"/>
        <v>GUARDIAN</v>
      </c>
    </row>
    <row r="2462" spans="1:9" x14ac:dyDescent="0.3">
      <c r="A2462" t="str">
        <f>""</f>
        <v/>
      </c>
      <c r="F2462" t="str">
        <f>""</f>
        <v/>
      </c>
      <c r="G2462" t="str">
        <f>""</f>
        <v/>
      </c>
      <c r="I2462" t="str">
        <f t="shared" si="30"/>
        <v>GUARDIAN</v>
      </c>
    </row>
    <row r="2463" spans="1:9" x14ac:dyDescent="0.3">
      <c r="A2463" t="str">
        <f>""</f>
        <v/>
      </c>
      <c r="F2463" t="str">
        <f>""</f>
        <v/>
      </c>
      <c r="G2463" t="str">
        <f>""</f>
        <v/>
      </c>
      <c r="I2463" t="str">
        <f t="shared" si="30"/>
        <v>GUARDIAN</v>
      </c>
    </row>
    <row r="2464" spans="1:9" x14ac:dyDescent="0.3">
      <c r="A2464" t="str">
        <f>""</f>
        <v/>
      </c>
      <c r="F2464" t="str">
        <f>""</f>
        <v/>
      </c>
      <c r="G2464" t="str">
        <f>""</f>
        <v/>
      </c>
      <c r="I2464" t="str">
        <f t="shared" si="30"/>
        <v>GUARDIAN</v>
      </c>
    </row>
    <row r="2465" spans="1:9" x14ac:dyDescent="0.3">
      <c r="A2465" t="str">
        <f>""</f>
        <v/>
      </c>
      <c r="F2465" t="str">
        <f>""</f>
        <v/>
      </c>
      <c r="G2465" t="str">
        <f>""</f>
        <v/>
      </c>
      <c r="I2465" t="str">
        <f t="shared" si="30"/>
        <v>GUARDIAN</v>
      </c>
    </row>
    <row r="2466" spans="1:9" x14ac:dyDescent="0.3">
      <c r="A2466" t="str">
        <f>""</f>
        <v/>
      </c>
      <c r="F2466" t="str">
        <f>""</f>
        <v/>
      </c>
      <c r="G2466" t="str">
        <f>""</f>
        <v/>
      </c>
      <c r="I2466" t="str">
        <f t="shared" si="30"/>
        <v>GUARDIAN</v>
      </c>
    </row>
    <row r="2467" spans="1:9" x14ac:dyDescent="0.3">
      <c r="A2467" t="str">
        <f>""</f>
        <v/>
      </c>
      <c r="F2467" t="str">
        <f>""</f>
        <v/>
      </c>
      <c r="G2467" t="str">
        <f>""</f>
        <v/>
      </c>
      <c r="I2467" t="str">
        <f t="shared" si="30"/>
        <v>GUARDIAN</v>
      </c>
    </row>
    <row r="2468" spans="1:9" x14ac:dyDescent="0.3">
      <c r="A2468" t="str">
        <f>""</f>
        <v/>
      </c>
      <c r="F2468" t="str">
        <f>""</f>
        <v/>
      </c>
      <c r="G2468" t="str">
        <f>""</f>
        <v/>
      </c>
      <c r="I2468" t="str">
        <f t="shared" si="30"/>
        <v>GUARDIAN</v>
      </c>
    </row>
    <row r="2469" spans="1:9" x14ac:dyDescent="0.3">
      <c r="A2469" t="str">
        <f>""</f>
        <v/>
      </c>
      <c r="F2469" t="str">
        <f>""</f>
        <v/>
      </c>
      <c r="G2469" t="str">
        <f>""</f>
        <v/>
      </c>
      <c r="I2469" t="str">
        <f t="shared" si="30"/>
        <v>GUARDIAN</v>
      </c>
    </row>
    <row r="2470" spans="1:9" x14ac:dyDescent="0.3">
      <c r="A2470" t="str">
        <f>""</f>
        <v/>
      </c>
      <c r="F2470" t="str">
        <f>""</f>
        <v/>
      </c>
      <c r="G2470" t="str">
        <f>""</f>
        <v/>
      </c>
      <c r="I2470" t="str">
        <f t="shared" si="30"/>
        <v>GUARDIAN</v>
      </c>
    </row>
    <row r="2471" spans="1:9" x14ac:dyDescent="0.3">
      <c r="A2471" t="str">
        <f>""</f>
        <v/>
      </c>
      <c r="F2471" t="str">
        <f>""</f>
        <v/>
      </c>
      <c r="G2471" t="str">
        <f>""</f>
        <v/>
      </c>
      <c r="I2471" t="str">
        <f t="shared" ref="I2471:I2502" si="31">"GUARDIAN"</f>
        <v>GUARDIAN</v>
      </c>
    </row>
    <row r="2472" spans="1:9" x14ac:dyDescent="0.3">
      <c r="A2472" t="str">
        <f>""</f>
        <v/>
      </c>
      <c r="F2472" t="str">
        <f>""</f>
        <v/>
      </c>
      <c r="G2472" t="str">
        <f>""</f>
        <v/>
      </c>
      <c r="I2472" t="str">
        <f t="shared" si="31"/>
        <v>GUARDIAN</v>
      </c>
    </row>
    <row r="2473" spans="1:9" x14ac:dyDescent="0.3">
      <c r="A2473" t="str">
        <f>""</f>
        <v/>
      </c>
      <c r="F2473" t="str">
        <f>""</f>
        <v/>
      </c>
      <c r="G2473" t="str">
        <f>""</f>
        <v/>
      </c>
      <c r="I2473" t="str">
        <f t="shared" si="31"/>
        <v>GUARDIAN</v>
      </c>
    </row>
    <row r="2474" spans="1:9" x14ac:dyDescent="0.3">
      <c r="A2474" t="str">
        <f>""</f>
        <v/>
      </c>
      <c r="F2474" t="str">
        <f>""</f>
        <v/>
      </c>
      <c r="G2474" t="str">
        <f>""</f>
        <v/>
      </c>
      <c r="I2474" t="str">
        <f t="shared" si="31"/>
        <v>GUARDIAN</v>
      </c>
    </row>
    <row r="2475" spans="1:9" x14ac:dyDescent="0.3">
      <c r="A2475" t="str">
        <f>""</f>
        <v/>
      </c>
      <c r="F2475" t="str">
        <f>""</f>
        <v/>
      </c>
      <c r="G2475" t="str">
        <f>""</f>
        <v/>
      </c>
      <c r="I2475" t="str">
        <f t="shared" si="31"/>
        <v>GUARDIAN</v>
      </c>
    </row>
    <row r="2476" spans="1:9" x14ac:dyDescent="0.3">
      <c r="A2476" t="str">
        <f>""</f>
        <v/>
      </c>
      <c r="F2476" t="str">
        <f>""</f>
        <v/>
      </c>
      <c r="G2476" t="str">
        <f>""</f>
        <v/>
      </c>
      <c r="I2476" t="str">
        <f t="shared" si="31"/>
        <v>GUARDIAN</v>
      </c>
    </row>
    <row r="2477" spans="1:9" x14ac:dyDescent="0.3">
      <c r="A2477" t="str">
        <f>""</f>
        <v/>
      </c>
      <c r="F2477" t="str">
        <f>""</f>
        <v/>
      </c>
      <c r="G2477" t="str">
        <f>""</f>
        <v/>
      </c>
      <c r="I2477" t="str">
        <f t="shared" si="31"/>
        <v>GUARDIAN</v>
      </c>
    </row>
    <row r="2478" spans="1:9" x14ac:dyDescent="0.3">
      <c r="A2478" t="str">
        <f>""</f>
        <v/>
      </c>
      <c r="F2478" t="str">
        <f>"LIE201805010495"</f>
        <v>LIE201805010495</v>
      </c>
      <c r="G2478" t="str">
        <f>"GUARDIAN"</f>
        <v>GUARDIAN</v>
      </c>
      <c r="H2478">
        <v>97.35</v>
      </c>
      <c r="I2478" t="str">
        <f t="shared" si="31"/>
        <v>GUARDIAN</v>
      </c>
    </row>
    <row r="2479" spans="1:9" x14ac:dyDescent="0.3">
      <c r="A2479" t="str">
        <f>""</f>
        <v/>
      </c>
      <c r="F2479" t="str">
        <f>""</f>
        <v/>
      </c>
      <c r="G2479" t="str">
        <f>""</f>
        <v/>
      </c>
      <c r="I2479" t="str">
        <f t="shared" si="31"/>
        <v>GUARDIAN</v>
      </c>
    </row>
    <row r="2480" spans="1:9" x14ac:dyDescent="0.3">
      <c r="A2480" t="str">
        <f>""</f>
        <v/>
      </c>
      <c r="F2480" t="str">
        <f>"LIE201805161053"</f>
        <v>LIE201805161053</v>
      </c>
      <c r="G2480" t="str">
        <f>"GUARDIAN"</f>
        <v>GUARDIAN</v>
      </c>
      <c r="H2480">
        <v>3211.05</v>
      </c>
      <c r="I2480" t="str">
        <f t="shared" si="31"/>
        <v>GUARDIAN</v>
      </c>
    </row>
    <row r="2481" spans="1:9" x14ac:dyDescent="0.3">
      <c r="A2481" t="str">
        <f>""</f>
        <v/>
      </c>
      <c r="F2481" t="str">
        <f>""</f>
        <v/>
      </c>
      <c r="G2481" t="str">
        <f>""</f>
        <v/>
      </c>
      <c r="I2481" t="str">
        <f t="shared" si="31"/>
        <v>GUARDIAN</v>
      </c>
    </row>
    <row r="2482" spans="1:9" x14ac:dyDescent="0.3">
      <c r="A2482" t="str">
        <f>""</f>
        <v/>
      </c>
      <c r="F2482" t="str">
        <f>""</f>
        <v/>
      </c>
      <c r="G2482" t="str">
        <f>""</f>
        <v/>
      </c>
      <c r="I2482" t="str">
        <f t="shared" si="31"/>
        <v>GUARDIAN</v>
      </c>
    </row>
    <row r="2483" spans="1:9" x14ac:dyDescent="0.3">
      <c r="A2483" t="str">
        <f>""</f>
        <v/>
      </c>
      <c r="F2483" t="str">
        <f>""</f>
        <v/>
      </c>
      <c r="G2483" t="str">
        <f>""</f>
        <v/>
      </c>
      <c r="I2483" t="str">
        <f t="shared" si="31"/>
        <v>GUARDIAN</v>
      </c>
    </row>
    <row r="2484" spans="1:9" x14ac:dyDescent="0.3">
      <c r="A2484" t="str">
        <f>""</f>
        <v/>
      </c>
      <c r="F2484" t="str">
        <f>""</f>
        <v/>
      </c>
      <c r="G2484" t="str">
        <f>""</f>
        <v/>
      </c>
      <c r="I2484" t="str">
        <f t="shared" si="31"/>
        <v>GUARDIAN</v>
      </c>
    </row>
    <row r="2485" spans="1:9" x14ac:dyDescent="0.3">
      <c r="A2485" t="str">
        <f>""</f>
        <v/>
      </c>
      <c r="F2485" t="str">
        <f>""</f>
        <v/>
      </c>
      <c r="G2485" t="str">
        <f>""</f>
        <v/>
      </c>
      <c r="I2485" t="str">
        <f t="shared" si="31"/>
        <v>GUARDIAN</v>
      </c>
    </row>
    <row r="2486" spans="1:9" x14ac:dyDescent="0.3">
      <c r="A2486" t="str">
        <f>""</f>
        <v/>
      </c>
      <c r="F2486" t="str">
        <f>""</f>
        <v/>
      </c>
      <c r="G2486" t="str">
        <f>""</f>
        <v/>
      </c>
      <c r="I2486" t="str">
        <f t="shared" si="31"/>
        <v>GUARDIAN</v>
      </c>
    </row>
    <row r="2487" spans="1:9" x14ac:dyDescent="0.3">
      <c r="A2487" t="str">
        <f>""</f>
        <v/>
      </c>
      <c r="F2487" t="str">
        <f>""</f>
        <v/>
      </c>
      <c r="G2487" t="str">
        <f>""</f>
        <v/>
      </c>
      <c r="I2487" t="str">
        <f t="shared" si="31"/>
        <v>GUARDIAN</v>
      </c>
    </row>
    <row r="2488" spans="1:9" x14ac:dyDescent="0.3">
      <c r="A2488" t="str">
        <f>""</f>
        <v/>
      </c>
      <c r="F2488" t="str">
        <f>""</f>
        <v/>
      </c>
      <c r="G2488" t="str">
        <f>""</f>
        <v/>
      </c>
      <c r="I2488" t="str">
        <f t="shared" si="31"/>
        <v>GUARDIAN</v>
      </c>
    </row>
    <row r="2489" spans="1:9" x14ac:dyDescent="0.3">
      <c r="A2489" t="str">
        <f>""</f>
        <v/>
      </c>
      <c r="F2489" t="str">
        <f>""</f>
        <v/>
      </c>
      <c r="G2489" t="str">
        <f>""</f>
        <v/>
      </c>
      <c r="I2489" t="str">
        <f t="shared" si="31"/>
        <v>GUARDIAN</v>
      </c>
    </row>
    <row r="2490" spans="1:9" x14ac:dyDescent="0.3">
      <c r="A2490" t="str">
        <f>""</f>
        <v/>
      </c>
      <c r="F2490" t="str">
        <f>""</f>
        <v/>
      </c>
      <c r="G2490" t="str">
        <f>""</f>
        <v/>
      </c>
      <c r="I2490" t="str">
        <f t="shared" si="31"/>
        <v>GUARDIAN</v>
      </c>
    </row>
    <row r="2491" spans="1:9" x14ac:dyDescent="0.3">
      <c r="A2491" t="str">
        <f>""</f>
        <v/>
      </c>
      <c r="F2491" t="str">
        <f>""</f>
        <v/>
      </c>
      <c r="G2491" t="str">
        <f>""</f>
        <v/>
      </c>
      <c r="I2491" t="str">
        <f t="shared" si="31"/>
        <v>GUARDIAN</v>
      </c>
    </row>
    <row r="2492" spans="1:9" x14ac:dyDescent="0.3">
      <c r="A2492" t="str">
        <f>""</f>
        <v/>
      </c>
      <c r="F2492" t="str">
        <f>""</f>
        <v/>
      </c>
      <c r="G2492" t="str">
        <f>""</f>
        <v/>
      </c>
      <c r="I2492" t="str">
        <f t="shared" si="31"/>
        <v>GUARDIAN</v>
      </c>
    </row>
    <row r="2493" spans="1:9" x14ac:dyDescent="0.3">
      <c r="A2493" t="str">
        <f>""</f>
        <v/>
      </c>
      <c r="F2493" t="str">
        <f>""</f>
        <v/>
      </c>
      <c r="G2493" t="str">
        <f>""</f>
        <v/>
      </c>
      <c r="I2493" t="str">
        <f t="shared" si="31"/>
        <v>GUARDIAN</v>
      </c>
    </row>
    <row r="2494" spans="1:9" x14ac:dyDescent="0.3">
      <c r="A2494" t="str">
        <f>""</f>
        <v/>
      </c>
      <c r="F2494" t="str">
        <f>""</f>
        <v/>
      </c>
      <c r="G2494" t="str">
        <f>""</f>
        <v/>
      </c>
      <c r="I2494" t="str">
        <f t="shared" si="31"/>
        <v>GUARDIAN</v>
      </c>
    </row>
    <row r="2495" spans="1:9" x14ac:dyDescent="0.3">
      <c r="A2495" t="str">
        <f>""</f>
        <v/>
      </c>
      <c r="F2495" t="str">
        <f>""</f>
        <v/>
      </c>
      <c r="G2495" t="str">
        <f>""</f>
        <v/>
      </c>
      <c r="I2495" t="str">
        <f t="shared" si="31"/>
        <v>GUARDIAN</v>
      </c>
    </row>
    <row r="2496" spans="1:9" x14ac:dyDescent="0.3">
      <c r="A2496" t="str">
        <f>""</f>
        <v/>
      </c>
      <c r="F2496" t="str">
        <f>""</f>
        <v/>
      </c>
      <c r="G2496" t="str">
        <f>""</f>
        <v/>
      </c>
      <c r="I2496" t="str">
        <f t="shared" si="31"/>
        <v>GUARDIAN</v>
      </c>
    </row>
    <row r="2497" spans="1:9" x14ac:dyDescent="0.3">
      <c r="A2497" t="str">
        <f>""</f>
        <v/>
      </c>
      <c r="F2497" t="str">
        <f>""</f>
        <v/>
      </c>
      <c r="G2497" t="str">
        <f>""</f>
        <v/>
      </c>
      <c r="I2497" t="str">
        <f t="shared" si="31"/>
        <v>GUARDIAN</v>
      </c>
    </row>
    <row r="2498" spans="1:9" x14ac:dyDescent="0.3">
      <c r="A2498" t="str">
        <f>""</f>
        <v/>
      </c>
      <c r="F2498" t="str">
        <f>""</f>
        <v/>
      </c>
      <c r="G2498" t="str">
        <f>""</f>
        <v/>
      </c>
      <c r="I2498" t="str">
        <f t="shared" si="31"/>
        <v>GUARDIAN</v>
      </c>
    </row>
    <row r="2499" spans="1:9" x14ac:dyDescent="0.3">
      <c r="A2499" t="str">
        <f>""</f>
        <v/>
      </c>
      <c r="F2499" t="str">
        <f>""</f>
        <v/>
      </c>
      <c r="G2499" t="str">
        <f>""</f>
        <v/>
      </c>
      <c r="I2499" t="str">
        <f t="shared" si="31"/>
        <v>GUARDIAN</v>
      </c>
    </row>
    <row r="2500" spans="1:9" x14ac:dyDescent="0.3">
      <c r="A2500" t="str">
        <f>""</f>
        <v/>
      </c>
      <c r="F2500" t="str">
        <f>""</f>
        <v/>
      </c>
      <c r="G2500" t="str">
        <f>""</f>
        <v/>
      </c>
      <c r="I2500" t="str">
        <f t="shared" si="31"/>
        <v>GUARDIAN</v>
      </c>
    </row>
    <row r="2501" spans="1:9" x14ac:dyDescent="0.3">
      <c r="A2501" t="str">
        <f>""</f>
        <v/>
      </c>
      <c r="F2501" t="str">
        <f>""</f>
        <v/>
      </c>
      <c r="G2501" t="str">
        <f>""</f>
        <v/>
      </c>
      <c r="I2501" t="str">
        <f t="shared" si="31"/>
        <v>GUARDIAN</v>
      </c>
    </row>
    <row r="2502" spans="1:9" x14ac:dyDescent="0.3">
      <c r="A2502" t="str">
        <f>""</f>
        <v/>
      </c>
      <c r="F2502" t="str">
        <f>""</f>
        <v/>
      </c>
      <c r="G2502" t="str">
        <f>""</f>
        <v/>
      </c>
      <c r="I2502" t="str">
        <f t="shared" si="31"/>
        <v>GUARDIAN</v>
      </c>
    </row>
    <row r="2503" spans="1:9" x14ac:dyDescent="0.3">
      <c r="A2503" t="str">
        <f>""</f>
        <v/>
      </c>
      <c r="F2503" t="str">
        <f>""</f>
        <v/>
      </c>
      <c r="G2503" t="str">
        <f>""</f>
        <v/>
      </c>
      <c r="I2503" t="str">
        <f t="shared" ref="I2503:I2534" si="32">"GUARDIAN"</f>
        <v>GUARDIAN</v>
      </c>
    </row>
    <row r="2504" spans="1:9" x14ac:dyDescent="0.3">
      <c r="A2504" t="str">
        <f>""</f>
        <v/>
      </c>
      <c r="F2504" t="str">
        <f>""</f>
        <v/>
      </c>
      <c r="G2504" t="str">
        <f>""</f>
        <v/>
      </c>
      <c r="I2504" t="str">
        <f t="shared" si="32"/>
        <v>GUARDIAN</v>
      </c>
    </row>
    <row r="2505" spans="1:9" x14ac:dyDescent="0.3">
      <c r="A2505" t="str">
        <f>""</f>
        <v/>
      </c>
      <c r="F2505" t="str">
        <f>""</f>
        <v/>
      </c>
      <c r="G2505" t="str">
        <f>""</f>
        <v/>
      </c>
      <c r="I2505" t="str">
        <f t="shared" si="32"/>
        <v>GUARDIAN</v>
      </c>
    </row>
    <row r="2506" spans="1:9" x14ac:dyDescent="0.3">
      <c r="A2506" t="str">
        <f>""</f>
        <v/>
      </c>
      <c r="F2506" t="str">
        <f>""</f>
        <v/>
      </c>
      <c r="G2506" t="str">
        <f>""</f>
        <v/>
      </c>
      <c r="I2506" t="str">
        <f t="shared" si="32"/>
        <v>GUARDIAN</v>
      </c>
    </row>
    <row r="2507" spans="1:9" x14ac:dyDescent="0.3">
      <c r="A2507" t="str">
        <f>""</f>
        <v/>
      </c>
      <c r="F2507" t="str">
        <f>""</f>
        <v/>
      </c>
      <c r="G2507" t="str">
        <f>""</f>
        <v/>
      </c>
      <c r="I2507" t="str">
        <f t="shared" si="32"/>
        <v>GUARDIAN</v>
      </c>
    </row>
    <row r="2508" spans="1:9" x14ac:dyDescent="0.3">
      <c r="A2508" t="str">
        <f>""</f>
        <v/>
      </c>
      <c r="F2508" t="str">
        <f>""</f>
        <v/>
      </c>
      <c r="G2508" t="str">
        <f>""</f>
        <v/>
      </c>
      <c r="I2508" t="str">
        <f t="shared" si="32"/>
        <v>GUARDIAN</v>
      </c>
    </row>
    <row r="2509" spans="1:9" x14ac:dyDescent="0.3">
      <c r="A2509" t="str">
        <f>""</f>
        <v/>
      </c>
      <c r="F2509" t="str">
        <f>""</f>
        <v/>
      </c>
      <c r="G2509" t="str">
        <f>""</f>
        <v/>
      </c>
      <c r="I2509" t="str">
        <f t="shared" si="32"/>
        <v>GUARDIAN</v>
      </c>
    </row>
    <row r="2510" spans="1:9" x14ac:dyDescent="0.3">
      <c r="A2510" t="str">
        <f>""</f>
        <v/>
      </c>
      <c r="F2510" t="str">
        <f>""</f>
        <v/>
      </c>
      <c r="G2510" t="str">
        <f>""</f>
        <v/>
      </c>
      <c r="I2510" t="str">
        <f t="shared" si="32"/>
        <v>GUARDIAN</v>
      </c>
    </row>
    <row r="2511" spans="1:9" x14ac:dyDescent="0.3">
      <c r="A2511" t="str">
        <f>""</f>
        <v/>
      </c>
      <c r="F2511" t="str">
        <f>""</f>
        <v/>
      </c>
      <c r="G2511" t="str">
        <f>""</f>
        <v/>
      </c>
      <c r="I2511" t="str">
        <f t="shared" si="32"/>
        <v>GUARDIAN</v>
      </c>
    </row>
    <row r="2512" spans="1:9" x14ac:dyDescent="0.3">
      <c r="A2512" t="str">
        <f>""</f>
        <v/>
      </c>
      <c r="F2512" t="str">
        <f>""</f>
        <v/>
      </c>
      <c r="G2512" t="str">
        <f>""</f>
        <v/>
      </c>
      <c r="I2512" t="str">
        <f t="shared" si="32"/>
        <v>GUARDIAN</v>
      </c>
    </row>
    <row r="2513" spans="1:9" x14ac:dyDescent="0.3">
      <c r="A2513" t="str">
        <f>""</f>
        <v/>
      </c>
      <c r="F2513" t="str">
        <f>""</f>
        <v/>
      </c>
      <c r="G2513" t="str">
        <f>""</f>
        <v/>
      </c>
      <c r="I2513" t="str">
        <f t="shared" si="32"/>
        <v>GUARDIAN</v>
      </c>
    </row>
    <row r="2514" spans="1:9" x14ac:dyDescent="0.3">
      <c r="A2514" t="str">
        <f>""</f>
        <v/>
      </c>
      <c r="F2514" t="str">
        <f>""</f>
        <v/>
      </c>
      <c r="G2514" t="str">
        <f>""</f>
        <v/>
      </c>
      <c r="I2514" t="str">
        <f t="shared" si="32"/>
        <v>GUARDIAN</v>
      </c>
    </row>
    <row r="2515" spans="1:9" x14ac:dyDescent="0.3">
      <c r="A2515" t="str">
        <f>""</f>
        <v/>
      </c>
      <c r="F2515" t="str">
        <f>""</f>
        <v/>
      </c>
      <c r="G2515" t="str">
        <f>""</f>
        <v/>
      </c>
      <c r="I2515" t="str">
        <f t="shared" si="32"/>
        <v>GUARDIAN</v>
      </c>
    </row>
    <row r="2516" spans="1:9" x14ac:dyDescent="0.3">
      <c r="A2516" t="str">
        <f>""</f>
        <v/>
      </c>
      <c r="F2516" t="str">
        <f>""</f>
        <v/>
      </c>
      <c r="G2516" t="str">
        <f>""</f>
        <v/>
      </c>
      <c r="I2516" t="str">
        <f t="shared" si="32"/>
        <v>GUARDIAN</v>
      </c>
    </row>
    <row r="2517" spans="1:9" x14ac:dyDescent="0.3">
      <c r="A2517" t="str">
        <f>""</f>
        <v/>
      </c>
      <c r="F2517" t="str">
        <f>""</f>
        <v/>
      </c>
      <c r="G2517" t="str">
        <f>""</f>
        <v/>
      </c>
      <c r="I2517" t="str">
        <f t="shared" si="32"/>
        <v>GUARDIAN</v>
      </c>
    </row>
    <row r="2518" spans="1:9" x14ac:dyDescent="0.3">
      <c r="A2518" t="str">
        <f>""</f>
        <v/>
      </c>
      <c r="F2518" t="str">
        <f>""</f>
        <v/>
      </c>
      <c r="G2518" t="str">
        <f>""</f>
        <v/>
      </c>
      <c r="I2518" t="str">
        <f t="shared" si="32"/>
        <v>GUARDIAN</v>
      </c>
    </row>
    <row r="2519" spans="1:9" x14ac:dyDescent="0.3">
      <c r="A2519" t="str">
        <f>""</f>
        <v/>
      </c>
      <c r="F2519" t="str">
        <f>""</f>
        <v/>
      </c>
      <c r="G2519" t="str">
        <f>""</f>
        <v/>
      </c>
      <c r="I2519" t="str">
        <f t="shared" si="32"/>
        <v>GUARDIAN</v>
      </c>
    </row>
    <row r="2520" spans="1:9" x14ac:dyDescent="0.3">
      <c r="A2520" t="str">
        <f>""</f>
        <v/>
      </c>
      <c r="F2520" t="str">
        <f>""</f>
        <v/>
      </c>
      <c r="G2520" t="str">
        <f>""</f>
        <v/>
      </c>
      <c r="I2520" t="str">
        <f t="shared" si="32"/>
        <v>GUARDIAN</v>
      </c>
    </row>
    <row r="2521" spans="1:9" x14ac:dyDescent="0.3">
      <c r="A2521" t="str">
        <f>""</f>
        <v/>
      </c>
      <c r="F2521" t="str">
        <f>""</f>
        <v/>
      </c>
      <c r="G2521" t="str">
        <f>""</f>
        <v/>
      </c>
      <c r="I2521" t="str">
        <f t="shared" si="32"/>
        <v>GUARDIAN</v>
      </c>
    </row>
    <row r="2522" spans="1:9" x14ac:dyDescent="0.3">
      <c r="A2522" t="str">
        <f>""</f>
        <v/>
      </c>
      <c r="F2522" t="str">
        <f>""</f>
        <v/>
      </c>
      <c r="G2522" t="str">
        <f>""</f>
        <v/>
      </c>
      <c r="I2522" t="str">
        <f t="shared" si="32"/>
        <v>GUARDIAN</v>
      </c>
    </row>
    <row r="2523" spans="1:9" x14ac:dyDescent="0.3">
      <c r="A2523" t="str">
        <f>""</f>
        <v/>
      </c>
      <c r="F2523" t="str">
        <f>""</f>
        <v/>
      </c>
      <c r="G2523" t="str">
        <f>""</f>
        <v/>
      </c>
      <c r="I2523" t="str">
        <f t="shared" si="32"/>
        <v>GUARDIAN</v>
      </c>
    </row>
    <row r="2524" spans="1:9" x14ac:dyDescent="0.3">
      <c r="A2524" t="str">
        <f>""</f>
        <v/>
      </c>
      <c r="F2524" t="str">
        <f>""</f>
        <v/>
      </c>
      <c r="G2524" t="str">
        <f>""</f>
        <v/>
      </c>
      <c r="I2524" t="str">
        <f t="shared" si="32"/>
        <v>GUARDIAN</v>
      </c>
    </row>
    <row r="2525" spans="1:9" x14ac:dyDescent="0.3">
      <c r="A2525" t="str">
        <f>""</f>
        <v/>
      </c>
      <c r="F2525" t="str">
        <f>""</f>
        <v/>
      </c>
      <c r="G2525" t="str">
        <f>""</f>
        <v/>
      </c>
      <c r="I2525" t="str">
        <f t="shared" si="32"/>
        <v>GUARDIAN</v>
      </c>
    </row>
    <row r="2526" spans="1:9" x14ac:dyDescent="0.3">
      <c r="A2526" t="str">
        <f>""</f>
        <v/>
      </c>
      <c r="F2526" t="str">
        <f>""</f>
        <v/>
      </c>
      <c r="G2526" t="str">
        <f>""</f>
        <v/>
      </c>
      <c r="I2526" t="str">
        <f t="shared" si="32"/>
        <v>GUARDIAN</v>
      </c>
    </row>
    <row r="2527" spans="1:9" x14ac:dyDescent="0.3">
      <c r="A2527" t="str">
        <f>""</f>
        <v/>
      </c>
      <c r="F2527" t="str">
        <f>""</f>
        <v/>
      </c>
      <c r="G2527" t="str">
        <f>""</f>
        <v/>
      </c>
      <c r="I2527" t="str">
        <f t="shared" si="32"/>
        <v>GUARDIAN</v>
      </c>
    </row>
    <row r="2528" spans="1:9" x14ac:dyDescent="0.3">
      <c r="A2528" t="str">
        <f>""</f>
        <v/>
      </c>
      <c r="F2528" t="str">
        <f>""</f>
        <v/>
      </c>
      <c r="G2528" t="str">
        <f>""</f>
        <v/>
      </c>
      <c r="I2528" t="str">
        <f t="shared" si="32"/>
        <v>GUARDIAN</v>
      </c>
    </row>
    <row r="2529" spans="1:9" x14ac:dyDescent="0.3">
      <c r="A2529" t="str">
        <f>""</f>
        <v/>
      </c>
      <c r="F2529" t="str">
        <f>""</f>
        <v/>
      </c>
      <c r="G2529" t="str">
        <f>""</f>
        <v/>
      </c>
      <c r="I2529" t="str">
        <f t="shared" si="32"/>
        <v>GUARDIAN</v>
      </c>
    </row>
    <row r="2530" spans="1:9" x14ac:dyDescent="0.3">
      <c r="A2530" t="str">
        <f>""</f>
        <v/>
      </c>
      <c r="F2530" t="str">
        <f>"LIE201805161054"</f>
        <v>LIE201805161054</v>
      </c>
      <c r="G2530" t="str">
        <f>"GUARDIAN"</f>
        <v>GUARDIAN</v>
      </c>
      <c r="H2530">
        <v>97.35</v>
      </c>
      <c r="I2530" t="str">
        <f t="shared" si="32"/>
        <v>GUARDIAN</v>
      </c>
    </row>
    <row r="2531" spans="1:9" x14ac:dyDescent="0.3">
      <c r="A2531" t="str">
        <f>""</f>
        <v/>
      </c>
      <c r="F2531" t="str">
        <f>""</f>
        <v/>
      </c>
      <c r="G2531" t="str">
        <f>""</f>
        <v/>
      </c>
      <c r="I2531" t="str">
        <f t="shared" si="32"/>
        <v>GUARDIAN</v>
      </c>
    </row>
    <row r="2532" spans="1:9" x14ac:dyDescent="0.3">
      <c r="A2532" t="str">
        <f>""</f>
        <v/>
      </c>
      <c r="F2532" t="str">
        <f>"LIS201805010494"</f>
        <v>LIS201805010494</v>
      </c>
      <c r="G2532" t="str">
        <f t="shared" ref="G2532:G2541" si="33">"GUARDIAN"</f>
        <v>GUARDIAN</v>
      </c>
      <c r="H2532">
        <v>384.02</v>
      </c>
      <c r="I2532" t="str">
        <f t="shared" si="32"/>
        <v>GUARDIAN</v>
      </c>
    </row>
    <row r="2533" spans="1:9" x14ac:dyDescent="0.3">
      <c r="A2533" t="str">
        <f>""</f>
        <v/>
      </c>
      <c r="F2533" t="str">
        <f>"LIS201805010495"</f>
        <v>LIS201805010495</v>
      </c>
      <c r="G2533" t="str">
        <f t="shared" si="33"/>
        <v>GUARDIAN</v>
      </c>
      <c r="H2533">
        <v>31.03</v>
      </c>
      <c r="I2533" t="str">
        <f t="shared" si="32"/>
        <v>GUARDIAN</v>
      </c>
    </row>
    <row r="2534" spans="1:9" x14ac:dyDescent="0.3">
      <c r="A2534" t="str">
        <f>""</f>
        <v/>
      </c>
      <c r="F2534" t="str">
        <f>"LIS201805161053"</f>
        <v>LIS201805161053</v>
      </c>
      <c r="G2534" t="str">
        <f t="shared" si="33"/>
        <v>GUARDIAN</v>
      </c>
      <c r="H2534">
        <v>384.02</v>
      </c>
      <c r="I2534" t="str">
        <f t="shared" si="32"/>
        <v>GUARDIAN</v>
      </c>
    </row>
    <row r="2535" spans="1:9" x14ac:dyDescent="0.3">
      <c r="A2535" t="str">
        <f>""</f>
        <v/>
      </c>
      <c r="F2535" t="str">
        <f>"LIS201805161054"</f>
        <v>LIS201805161054</v>
      </c>
      <c r="G2535" t="str">
        <f t="shared" si="33"/>
        <v>GUARDIAN</v>
      </c>
      <c r="H2535">
        <v>31.03</v>
      </c>
      <c r="I2535" t="str">
        <f t="shared" ref="I2535:I2541" si="34">"GUARDIAN"</f>
        <v>GUARDIAN</v>
      </c>
    </row>
    <row r="2536" spans="1:9" x14ac:dyDescent="0.3">
      <c r="A2536" t="str">
        <f>""</f>
        <v/>
      </c>
      <c r="F2536" t="str">
        <f>"LTD201805010494"</f>
        <v>LTD201805010494</v>
      </c>
      <c r="G2536" t="str">
        <f t="shared" si="33"/>
        <v>GUARDIAN</v>
      </c>
      <c r="H2536">
        <v>752.65</v>
      </c>
      <c r="I2536" t="str">
        <f t="shared" si="34"/>
        <v>GUARDIAN</v>
      </c>
    </row>
    <row r="2537" spans="1:9" x14ac:dyDescent="0.3">
      <c r="A2537" t="str">
        <f>""</f>
        <v/>
      </c>
      <c r="F2537" t="str">
        <f>"LTD201805161053"</f>
        <v>LTD201805161053</v>
      </c>
      <c r="G2537" t="str">
        <f t="shared" si="33"/>
        <v>GUARDIAN</v>
      </c>
      <c r="H2537">
        <v>752.65</v>
      </c>
      <c r="I2537" t="str">
        <f t="shared" si="34"/>
        <v>GUARDIAN</v>
      </c>
    </row>
    <row r="2538" spans="1:9" x14ac:dyDescent="0.3">
      <c r="A2538" t="str">
        <f>"GUARDI"</f>
        <v>GUARDI</v>
      </c>
      <c r="B2538" t="s">
        <v>569</v>
      </c>
      <c r="C2538">
        <v>0</v>
      </c>
      <c r="D2538" s="2">
        <v>112.44</v>
      </c>
      <c r="E2538" s="1">
        <v>43242</v>
      </c>
      <c r="F2538" t="str">
        <f>"AEG201805010494"</f>
        <v>AEG201805010494</v>
      </c>
      <c r="G2538" t="str">
        <f t="shared" si="33"/>
        <v>GUARDIAN</v>
      </c>
      <c r="H2538">
        <v>6.66</v>
      </c>
      <c r="I2538" t="str">
        <f t="shared" si="34"/>
        <v>GUARDIAN</v>
      </c>
    </row>
    <row r="2539" spans="1:9" x14ac:dyDescent="0.3">
      <c r="A2539" t="str">
        <f>""</f>
        <v/>
      </c>
      <c r="F2539" t="str">
        <f>"AEG201805161053"</f>
        <v>AEG201805161053</v>
      </c>
      <c r="G2539" t="str">
        <f t="shared" si="33"/>
        <v>GUARDIAN</v>
      </c>
      <c r="H2539">
        <v>6.66</v>
      </c>
      <c r="I2539" t="str">
        <f t="shared" si="34"/>
        <v>GUARDIAN</v>
      </c>
    </row>
    <row r="2540" spans="1:9" x14ac:dyDescent="0.3">
      <c r="A2540" t="str">
        <f>""</f>
        <v/>
      </c>
      <c r="F2540" t="str">
        <f>"AFG201805010494"</f>
        <v>AFG201805010494</v>
      </c>
      <c r="G2540" t="str">
        <f t="shared" si="33"/>
        <v>GUARDIAN</v>
      </c>
      <c r="H2540">
        <v>49.56</v>
      </c>
      <c r="I2540" t="str">
        <f t="shared" si="34"/>
        <v>GUARDIAN</v>
      </c>
    </row>
    <row r="2541" spans="1:9" x14ac:dyDescent="0.3">
      <c r="A2541" t="str">
        <f>""</f>
        <v/>
      </c>
      <c r="F2541" t="str">
        <f>"AFG201805161053"</f>
        <v>AFG201805161053</v>
      </c>
      <c r="G2541" t="str">
        <f t="shared" si="33"/>
        <v>GUARDIAN</v>
      </c>
      <c r="H2541">
        <v>49.56</v>
      </c>
      <c r="I2541" t="str">
        <f t="shared" si="34"/>
        <v>GUARDIAN</v>
      </c>
    </row>
    <row r="2542" spans="1:9" x14ac:dyDescent="0.3">
      <c r="A2542" t="str">
        <f>"IRSACS"</f>
        <v>IRSACS</v>
      </c>
      <c r="B2542" t="s">
        <v>570</v>
      </c>
      <c r="C2542">
        <v>46307</v>
      </c>
      <c r="D2542" s="2">
        <v>238.43</v>
      </c>
      <c r="E2542" s="1">
        <v>43224</v>
      </c>
      <c r="F2542" t="str">
        <f>"IJ2201805010494"</f>
        <v>IJ2201805010494</v>
      </c>
      <c r="G2542" t="str">
        <f>"LISA JACKSON 2 IRS LEVY"</f>
        <v>LISA JACKSON 2 IRS LEVY</v>
      </c>
      <c r="H2542">
        <v>238.43</v>
      </c>
      <c r="I2542" t="str">
        <f>"LISA JACKSON 2 IRS LEVY"</f>
        <v>LISA JACKSON 2 IRS LEVY</v>
      </c>
    </row>
    <row r="2543" spans="1:9" x14ac:dyDescent="0.3">
      <c r="A2543" t="str">
        <f>"IRSACS"</f>
        <v>IRSACS</v>
      </c>
      <c r="B2543" t="s">
        <v>570</v>
      </c>
      <c r="C2543">
        <v>46348</v>
      </c>
      <c r="D2543" s="2">
        <v>238.43</v>
      </c>
      <c r="E2543" s="1">
        <v>43238</v>
      </c>
      <c r="F2543" t="str">
        <f>"IJ2201805161053"</f>
        <v>IJ2201805161053</v>
      </c>
      <c r="G2543" t="str">
        <f>"LISA JACKSON 2 IRS LEVY"</f>
        <v>LISA JACKSON 2 IRS LEVY</v>
      </c>
      <c r="H2543">
        <v>238.43</v>
      </c>
      <c r="I2543" t="str">
        <f>"LISA JACKSON 2 IRS LEVY"</f>
        <v>LISA JACKSON 2 IRS LEVY</v>
      </c>
    </row>
    <row r="2544" spans="1:9" x14ac:dyDescent="0.3">
      <c r="A2544" t="str">
        <f>"IRSPY"</f>
        <v>IRSPY</v>
      </c>
      <c r="B2544" t="s">
        <v>571</v>
      </c>
      <c r="C2544">
        <v>0</v>
      </c>
      <c r="D2544" s="2">
        <v>209632.78</v>
      </c>
      <c r="E2544" s="1">
        <v>43224</v>
      </c>
      <c r="F2544" t="str">
        <f>"T1 201805010494"</f>
        <v>T1 201805010494</v>
      </c>
      <c r="G2544" t="str">
        <f>"FEDERAL WITHHOLDING"</f>
        <v>FEDERAL WITHHOLDING</v>
      </c>
      <c r="H2544">
        <v>67026.62</v>
      </c>
      <c r="I2544" t="str">
        <f>"FEDERAL WITHHOLDING"</f>
        <v>FEDERAL WITHHOLDING</v>
      </c>
    </row>
    <row r="2545" spans="1:9" x14ac:dyDescent="0.3">
      <c r="A2545" t="str">
        <f>""</f>
        <v/>
      </c>
      <c r="F2545" t="str">
        <f>"T1 201805010495"</f>
        <v>T1 201805010495</v>
      </c>
      <c r="G2545" t="str">
        <f>"FEDERAL WITHHOLDING"</f>
        <v>FEDERAL WITHHOLDING</v>
      </c>
      <c r="H2545">
        <v>2773.74</v>
      </c>
      <c r="I2545" t="str">
        <f>"FEDERAL WITHHOLDING"</f>
        <v>FEDERAL WITHHOLDING</v>
      </c>
    </row>
    <row r="2546" spans="1:9" x14ac:dyDescent="0.3">
      <c r="A2546" t="str">
        <f>""</f>
        <v/>
      </c>
      <c r="F2546" t="str">
        <f>"T1 201805010496"</f>
        <v>T1 201805010496</v>
      </c>
      <c r="G2546" t="str">
        <f>"FEDERAL WITHHOLDING"</f>
        <v>FEDERAL WITHHOLDING</v>
      </c>
      <c r="H2546">
        <v>3841.34</v>
      </c>
      <c r="I2546" t="str">
        <f>"FEDERAL WITHHOLDING"</f>
        <v>FEDERAL WITHHOLDING</v>
      </c>
    </row>
    <row r="2547" spans="1:9" x14ac:dyDescent="0.3">
      <c r="A2547" t="str">
        <f>""</f>
        <v/>
      </c>
      <c r="F2547" t="str">
        <f>"T3 201805010494"</f>
        <v>T3 201805010494</v>
      </c>
      <c r="G2547" t="str">
        <f>"SOCIAL SECURITY TAXES"</f>
        <v>SOCIAL SECURITY TAXES</v>
      </c>
      <c r="H2547">
        <v>100491.7</v>
      </c>
      <c r="I2547" t="str">
        <f t="shared" ref="I2547:I2578" si="35">"SOCIAL SECURITY TAXES"</f>
        <v>SOCIAL SECURITY TAXES</v>
      </c>
    </row>
    <row r="2548" spans="1:9" x14ac:dyDescent="0.3">
      <c r="A2548" t="str">
        <f>""</f>
        <v/>
      </c>
      <c r="F2548" t="str">
        <f>""</f>
        <v/>
      </c>
      <c r="G2548" t="str">
        <f>""</f>
        <v/>
      </c>
      <c r="I2548" t="str">
        <f t="shared" si="35"/>
        <v>SOCIAL SECURITY TAXES</v>
      </c>
    </row>
    <row r="2549" spans="1:9" x14ac:dyDescent="0.3">
      <c r="A2549" t="str">
        <f>""</f>
        <v/>
      </c>
      <c r="F2549" t="str">
        <f>""</f>
        <v/>
      </c>
      <c r="G2549" t="str">
        <f>""</f>
        <v/>
      </c>
      <c r="I2549" t="str">
        <f t="shared" si="35"/>
        <v>SOCIAL SECURITY TAXES</v>
      </c>
    </row>
    <row r="2550" spans="1:9" x14ac:dyDescent="0.3">
      <c r="A2550" t="str">
        <f>""</f>
        <v/>
      </c>
      <c r="F2550" t="str">
        <f>""</f>
        <v/>
      </c>
      <c r="G2550" t="str">
        <f>""</f>
        <v/>
      </c>
      <c r="I2550" t="str">
        <f t="shared" si="35"/>
        <v>SOCIAL SECURITY TAXES</v>
      </c>
    </row>
    <row r="2551" spans="1:9" x14ac:dyDescent="0.3">
      <c r="A2551" t="str">
        <f>""</f>
        <v/>
      </c>
      <c r="F2551" t="str">
        <f>""</f>
        <v/>
      </c>
      <c r="G2551" t="str">
        <f>""</f>
        <v/>
      </c>
      <c r="I2551" t="str">
        <f t="shared" si="35"/>
        <v>SOCIAL SECURITY TAXES</v>
      </c>
    </row>
    <row r="2552" spans="1:9" x14ac:dyDescent="0.3">
      <c r="A2552" t="str">
        <f>""</f>
        <v/>
      </c>
      <c r="F2552" t="str">
        <f>""</f>
        <v/>
      </c>
      <c r="G2552" t="str">
        <f>""</f>
        <v/>
      </c>
      <c r="I2552" t="str">
        <f t="shared" si="35"/>
        <v>SOCIAL SECURITY TAXES</v>
      </c>
    </row>
    <row r="2553" spans="1:9" x14ac:dyDescent="0.3">
      <c r="A2553" t="str">
        <f>""</f>
        <v/>
      </c>
      <c r="F2553" t="str">
        <f>""</f>
        <v/>
      </c>
      <c r="G2553" t="str">
        <f>""</f>
        <v/>
      </c>
      <c r="I2553" t="str">
        <f t="shared" si="35"/>
        <v>SOCIAL SECURITY TAXES</v>
      </c>
    </row>
    <row r="2554" spans="1:9" x14ac:dyDescent="0.3">
      <c r="A2554" t="str">
        <f>""</f>
        <v/>
      </c>
      <c r="F2554" t="str">
        <f>""</f>
        <v/>
      </c>
      <c r="G2554" t="str">
        <f>""</f>
        <v/>
      </c>
      <c r="I2554" t="str">
        <f t="shared" si="35"/>
        <v>SOCIAL SECURITY TAXES</v>
      </c>
    </row>
    <row r="2555" spans="1:9" x14ac:dyDescent="0.3">
      <c r="A2555" t="str">
        <f>""</f>
        <v/>
      </c>
      <c r="F2555" t="str">
        <f>""</f>
        <v/>
      </c>
      <c r="G2555" t="str">
        <f>""</f>
        <v/>
      </c>
      <c r="I2555" t="str">
        <f t="shared" si="35"/>
        <v>SOCIAL SECURITY TAXES</v>
      </c>
    </row>
    <row r="2556" spans="1:9" x14ac:dyDescent="0.3">
      <c r="A2556" t="str">
        <f>""</f>
        <v/>
      </c>
      <c r="F2556" t="str">
        <f>""</f>
        <v/>
      </c>
      <c r="G2556" t="str">
        <f>""</f>
        <v/>
      </c>
      <c r="I2556" t="str">
        <f t="shared" si="35"/>
        <v>SOCIAL SECURITY TAXES</v>
      </c>
    </row>
    <row r="2557" spans="1:9" x14ac:dyDescent="0.3">
      <c r="A2557" t="str">
        <f>""</f>
        <v/>
      </c>
      <c r="F2557" t="str">
        <f>""</f>
        <v/>
      </c>
      <c r="G2557" t="str">
        <f>""</f>
        <v/>
      </c>
      <c r="I2557" t="str">
        <f t="shared" si="35"/>
        <v>SOCIAL SECURITY TAXES</v>
      </c>
    </row>
    <row r="2558" spans="1:9" x14ac:dyDescent="0.3">
      <c r="A2558" t="str">
        <f>""</f>
        <v/>
      </c>
      <c r="F2558" t="str">
        <f>""</f>
        <v/>
      </c>
      <c r="G2558" t="str">
        <f>""</f>
        <v/>
      </c>
      <c r="I2558" t="str">
        <f t="shared" si="35"/>
        <v>SOCIAL SECURITY TAXES</v>
      </c>
    </row>
    <row r="2559" spans="1:9" x14ac:dyDescent="0.3">
      <c r="A2559" t="str">
        <f>""</f>
        <v/>
      </c>
      <c r="F2559" t="str">
        <f>""</f>
        <v/>
      </c>
      <c r="G2559" t="str">
        <f>""</f>
        <v/>
      </c>
      <c r="I2559" t="str">
        <f t="shared" si="35"/>
        <v>SOCIAL SECURITY TAXES</v>
      </c>
    </row>
    <row r="2560" spans="1:9" x14ac:dyDescent="0.3">
      <c r="A2560" t="str">
        <f>""</f>
        <v/>
      </c>
      <c r="F2560" t="str">
        <f>""</f>
        <v/>
      </c>
      <c r="G2560" t="str">
        <f>""</f>
        <v/>
      </c>
      <c r="I2560" t="str">
        <f t="shared" si="35"/>
        <v>SOCIAL SECURITY TAXES</v>
      </c>
    </row>
    <row r="2561" spans="1:9" x14ac:dyDescent="0.3">
      <c r="A2561" t="str">
        <f>""</f>
        <v/>
      </c>
      <c r="F2561" t="str">
        <f>""</f>
        <v/>
      </c>
      <c r="G2561" t="str">
        <f>""</f>
        <v/>
      </c>
      <c r="I2561" t="str">
        <f t="shared" si="35"/>
        <v>SOCIAL SECURITY TAXES</v>
      </c>
    </row>
    <row r="2562" spans="1:9" x14ac:dyDescent="0.3">
      <c r="A2562" t="str">
        <f>""</f>
        <v/>
      </c>
      <c r="F2562" t="str">
        <f>""</f>
        <v/>
      </c>
      <c r="G2562" t="str">
        <f>""</f>
        <v/>
      </c>
      <c r="I2562" t="str">
        <f t="shared" si="35"/>
        <v>SOCIAL SECURITY TAXES</v>
      </c>
    </row>
    <row r="2563" spans="1:9" x14ac:dyDescent="0.3">
      <c r="A2563" t="str">
        <f>""</f>
        <v/>
      </c>
      <c r="F2563" t="str">
        <f>""</f>
        <v/>
      </c>
      <c r="G2563" t="str">
        <f>""</f>
        <v/>
      </c>
      <c r="I2563" t="str">
        <f t="shared" si="35"/>
        <v>SOCIAL SECURITY TAXES</v>
      </c>
    </row>
    <row r="2564" spans="1:9" x14ac:dyDescent="0.3">
      <c r="A2564" t="str">
        <f>""</f>
        <v/>
      </c>
      <c r="F2564" t="str">
        <f>""</f>
        <v/>
      </c>
      <c r="G2564" t="str">
        <f>""</f>
        <v/>
      </c>
      <c r="I2564" t="str">
        <f t="shared" si="35"/>
        <v>SOCIAL SECURITY TAXES</v>
      </c>
    </row>
    <row r="2565" spans="1:9" x14ac:dyDescent="0.3">
      <c r="A2565" t="str">
        <f>""</f>
        <v/>
      </c>
      <c r="F2565" t="str">
        <f>""</f>
        <v/>
      </c>
      <c r="G2565" t="str">
        <f>""</f>
        <v/>
      </c>
      <c r="I2565" t="str">
        <f t="shared" si="35"/>
        <v>SOCIAL SECURITY TAXES</v>
      </c>
    </row>
    <row r="2566" spans="1:9" x14ac:dyDescent="0.3">
      <c r="A2566" t="str">
        <f>""</f>
        <v/>
      </c>
      <c r="F2566" t="str">
        <f>""</f>
        <v/>
      </c>
      <c r="G2566" t="str">
        <f>""</f>
        <v/>
      </c>
      <c r="I2566" t="str">
        <f t="shared" si="35"/>
        <v>SOCIAL SECURITY TAXES</v>
      </c>
    </row>
    <row r="2567" spans="1:9" x14ac:dyDescent="0.3">
      <c r="A2567" t="str">
        <f>""</f>
        <v/>
      </c>
      <c r="F2567" t="str">
        <f>""</f>
        <v/>
      </c>
      <c r="G2567" t="str">
        <f>""</f>
        <v/>
      </c>
      <c r="I2567" t="str">
        <f t="shared" si="35"/>
        <v>SOCIAL SECURITY TAXES</v>
      </c>
    </row>
    <row r="2568" spans="1:9" x14ac:dyDescent="0.3">
      <c r="A2568" t="str">
        <f>""</f>
        <v/>
      </c>
      <c r="F2568" t="str">
        <f>""</f>
        <v/>
      </c>
      <c r="G2568" t="str">
        <f>""</f>
        <v/>
      </c>
      <c r="I2568" t="str">
        <f t="shared" si="35"/>
        <v>SOCIAL SECURITY TAXES</v>
      </c>
    </row>
    <row r="2569" spans="1:9" x14ac:dyDescent="0.3">
      <c r="A2569" t="str">
        <f>""</f>
        <v/>
      </c>
      <c r="F2569" t="str">
        <f>""</f>
        <v/>
      </c>
      <c r="G2569" t="str">
        <f>""</f>
        <v/>
      </c>
      <c r="I2569" t="str">
        <f t="shared" si="35"/>
        <v>SOCIAL SECURITY TAXES</v>
      </c>
    </row>
    <row r="2570" spans="1:9" x14ac:dyDescent="0.3">
      <c r="A2570" t="str">
        <f>""</f>
        <v/>
      </c>
      <c r="F2570" t="str">
        <f>""</f>
        <v/>
      </c>
      <c r="G2570" t="str">
        <f>""</f>
        <v/>
      </c>
      <c r="I2570" t="str">
        <f t="shared" si="35"/>
        <v>SOCIAL SECURITY TAXES</v>
      </c>
    </row>
    <row r="2571" spans="1:9" x14ac:dyDescent="0.3">
      <c r="A2571" t="str">
        <f>""</f>
        <v/>
      </c>
      <c r="F2571" t="str">
        <f>""</f>
        <v/>
      </c>
      <c r="G2571" t="str">
        <f>""</f>
        <v/>
      </c>
      <c r="I2571" t="str">
        <f t="shared" si="35"/>
        <v>SOCIAL SECURITY TAXES</v>
      </c>
    </row>
    <row r="2572" spans="1:9" x14ac:dyDescent="0.3">
      <c r="A2572" t="str">
        <f>""</f>
        <v/>
      </c>
      <c r="F2572" t="str">
        <f>""</f>
        <v/>
      </c>
      <c r="G2572" t="str">
        <f>""</f>
        <v/>
      </c>
      <c r="I2572" t="str">
        <f t="shared" si="35"/>
        <v>SOCIAL SECURITY TAXES</v>
      </c>
    </row>
    <row r="2573" spans="1:9" x14ac:dyDescent="0.3">
      <c r="A2573" t="str">
        <f>""</f>
        <v/>
      </c>
      <c r="F2573" t="str">
        <f>""</f>
        <v/>
      </c>
      <c r="G2573" t="str">
        <f>""</f>
        <v/>
      </c>
      <c r="I2573" t="str">
        <f t="shared" si="35"/>
        <v>SOCIAL SECURITY TAXES</v>
      </c>
    </row>
    <row r="2574" spans="1:9" x14ac:dyDescent="0.3">
      <c r="A2574" t="str">
        <f>""</f>
        <v/>
      </c>
      <c r="F2574" t="str">
        <f>""</f>
        <v/>
      </c>
      <c r="G2574" t="str">
        <f>""</f>
        <v/>
      </c>
      <c r="I2574" t="str">
        <f t="shared" si="35"/>
        <v>SOCIAL SECURITY TAXES</v>
      </c>
    </row>
    <row r="2575" spans="1:9" x14ac:dyDescent="0.3">
      <c r="A2575" t="str">
        <f>""</f>
        <v/>
      </c>
      <c r="F2575" t="str">
        <f>""</f>
        <v/>
      </c>
      <c r="G2575" t="str">
        <f>""</f>
        <v/>
      </c>
      <c r="I2575" t="str">
        <f t="shared" si="35"/>
        <v>SOCIAL SECURITY TAXES</v>
      </c>
    </row>
    <row r="2576" spans="1:9" x14ac:dyDescent="0.3">
      <c r="A2576" t="str">
        <f>""</f>
        <v/>
      </c>
      <c r="F2576" t="str">
        <f>""</f>
        <v/>
      </c>
      <c r="G2576" t="str">
        <f>""</f>
        <v/>
      </c>
      <c r="I2576" t="str">
        <f t="shared" si="35"/>
        <v>SOCIAL SECURITY TAXES</v>
      </c>
    </row>
    <row r="2577" spans="1:9" x14ac:dyDescent="0.3">
      <c r="A2577" t="str">
        <f>""</f>
        <v/>
      </c>
      <c r="F2577" t="str">
        <f>""</f>
        <v/>
      </c>
      <c r="G2577" t="str">
        <f>""</f>
        <v/>
      </c>
      <c r="I2577" t="str">
        <f t="shared" si="35"/>
        <v>SOCIAL SECURITY TAXES</v>
      </c>
    </row>
    <row r="2578" spans="1:9" x14ac:dyDescent="0.3">
      <c r="A2578" t="str">
        <f>""</f>
        <v/>
      </c>
      <c r="F2578" t="str">
        <f>""</f>
        <v/>
      </c>
      <c r="G2578" t="str">
        <f>""</f>
        <v/>
      </c>
      <c r="I2578" t="str">
        <f t="shared" si="35"/>
        <v>SOCIAL SECURITY TAXES</v>
      </c>
    </row>
    <row r="2579" spans="1:9" x14ac:dyDescent="0.3">
      <c r="A2579" t="str">
        <f>""</f>
        <v/>
      </c>
      <c r="F2579" t="str">
        <f>""</f>
        <v/>
      </c>
      <c r="G2579" t="str">
        <f>""</f>
        <v/>
      </c>
      <c r="I2579" t="str">
        <f t="shared" ref="I2579:I2603" si="36">"SOCIAL SECURITY TAXES"</f>
        <v>SOCIAL SECURITY TAXES</v>
      </c>
    </row>
    <row r="2580" spans="1:9" x14ac:dyDescent="0.3">
      <c r="A2580" t="str">
        <f>""</f>
        <v/>
      </c>
      <c r="F2580" t="str">
        <f>""</f>
        <v/>
      </c>
      <c r="G2580" t="str">
        <f>""</f>
        <v/>
      </c>
      <c r="I2580" t="str">
        <f t="shared" si="36"/>
        <v>SOCIAL SECURITY TAXES</v>
      </c>
    </row>
    <row r="2581" spans="1:9" x14ac:dyDescent="0.3">
      <c r="A2581" t="str">
        <f>""</f>
        <v/>
      </c>
      <c r="F2581" t="str">
        <f>""</f>
        <v/>
      </c>
      <c r="G2581" t="str">
        <f>""</f>
        <v/>
      </c>
      <c r="I2581" t="str">
        <f t="shared" si="36"/>
        <v>SOCIAL SECURITY TAXES</v>
      </c>
    </row>
    <row r="2582" spans="1:9" x14ac:dyDescent="0.3">
      <c r="A2582" t="str">
        <f>""</f>
        <v/>
      </c>
      <c r="F2582" t="str">
        <f>""</f>
        <v/>
      </c>
      <c r="G2582" t="str">
        <f>""</f>
        <v/>
      </c>
      <c r="I2582" t="str">
        <f t="shared" si="36"/>
        <v>SOCIAL SECURITY TAXES</v>
      </c>
    </row>
    <row r="2583" spans="1:9" x14ac:dyDescent="0.3">
      <c r="A2583" t="str">
        <f>""</f>
        <v/>
      </c>
      <c r="F2583" t="str">
        <f>""</f>
        <v/>
      </c>
      <c r="G2583" t="str">
        <f>""</f>
        <v/>
      </c>
      <c r="I2583" t="str">
        <f t="shared" si="36"/>
        <v>SOCIAL SECURITY TAXES</v>
      </c>
    </row>
    <row r="2584" spans="1:9" x14ac:dyDescent="0.3">
      <c r="A2584" t="str">
        <f>""</f>
        <v/>
      </c>
      <c r="F2584" t="str">
        <f>""</f>
        <v/>
      </c>
      <c r="G2584" t="str">
        <f>""</f>
        <v/>
      </c>
      <c r="I2584" t="str">
        <f t="shared" si="36"/>
        <v>SOCIAL SECURITY TAXES</v>
      </c>
    </row>
    <row r="2585" spans="1:9" x14ac:dyDescent="0.3">
      <c r="A2585" t="str">
        <f>""</f>
        <v/>
      </c>
      <c r="F2585" t="str">
        <f>""</f>
        <v/>
      </c>
      <c r="G2585" t="str">
        <f>""</f>
        <v/>
      </c>
      <c r="I2585" t="str">
        <f t="shared" si="36"/>
        <v>SOCIAL SECURITY TAXES</v>
      </c>
    </row>
    <row r="2586" spans="1:9" x14ac:dyDescent="0.3">
      <c r="A2586" t="str">
        <f>""</f>
        <v/>
      </c>
      <c r="F2586" t="str">
        <f>""</f>
        <v/>
      </c>
      <c r="G2586" t="str">
        <f>""</f>
        <v/>
      </c>
      <c r="I2586" t="str">
        <f t="shared" si="36"/>
        <v>SOCIAL SECURITY TAXES</v>
      </c>
    </row>
    <row r="2587" spans="1:9" x14ac:dyDescent="0.3">
      <c r="A2587" t="str">
        <f>""</f>
        <v/>
      </c>
      <c r="F2587" t="str">
        <f>""</f>
        <v/>
      </c>
      <c r="G2587" t="str">
        <f>""</f>
        <v/>
      </c>
      <c r="I2587" t="str">
        <f t="shared" si="36"/>
        <v>SOCIAL SECURITY TAXES</v>
      </c>
    </row>
    <row r="2588" spans="1:9" x14ac:dyDescent="0.3">
      <c r="A2588" t="str">
        <f>""</f>
        <v/>
      </c>
      <c r="F2588" t="str">
        <f>""</f>
        <v/>
      </c>
      <c r="G2588" t="str">
        <f>""</f>
        <v/>
      </c>
      <c r="I2588" t="str">
        <f t="shared" si="36"/>
        <v>SOCIAL SECURITY TAXES</v>
      </c>
    </row>
    <row r="2589" spans="1:9" x14ac:dyDescent="0.3">
      <c r="A2589" t="str">
        <f>""</f>
        <v/>
      </c>
      <c r="F2589" t="str">
        <f>""</f>
        <v/>
      </c>
      <c r="G2589" t="str">
        <f>""</f>
        <v/>
      </c>
      <c r="I2589" t="str">
        <f t="shared" si="36"/>
        <v>SOCIAL SECURITY TAXES</v>
      </c>
    </row>
    <row r="2590" spans="1:9" x14ac:dyDescent="0.3">
      <c r="A2590" t="str">
        <f>""</f>
        <v/>
      </c>
      <c r="F2590" t="str">
        <f>""</f>
        <v/>
      </c>
      <c r="G2590" t="str">
        <f>""</f>
        <v/>
      </c>
      <c r="I2590" t="str">
        <f t="shared" si="36"/>
        <v>SOCIAL SECURITY TAXES</v>
      </c>
    </row>
    <row r="2591" spans="1:9" x14ac:dyDescent="0.3">
      <c r="A2591" t="str">
        <f>""</f>
        <v/>
      </c>
      <c r="F2591" t="str">
        <f>""</f>
        <v/>
      </c>
      <c r="G2591" t="str">
        <f>""</f>
        <v/>
      </c>
      <c r="I2591" t="str">
        <f t="shared" si="36"/>
        <v>SOCIAL SECURITY TAXES</v>
      </c>
    </row>
    <row r="2592" spans="1:9" x14ac:dyDescent="0.3">
      <c r="A2592" t="str">
        <f>""</f>
        <v/>
      </c>
      <c r="F2592" t="str">
        <f>""</f>
        <v/>
      </c>
      <c r="G2592" t="str">
        <f>""</f>
        <v/>
      </c>
      <c r="I2592" t="str">
        <f t="shared" si="36"/>
        <v>SOCIAL SECURITY TAXES</v>
      </c>
    </row>
    <row r="2593" spans="1:9" x14ac:dyDescent="0.3">
      <c r="A2593" t="str">
        <f>""</f>
        <v/>
      </c>
      <c r="F2593" t="str">
        <f>""</f>
        <v/>
      </c>
      <c r="G2593" t="str">
        <f>""</f>
        <v/>
      </c>
      <c r="I2593" t="str">
        <f t="shared" si="36"/>
        <v>SOCIAL SECURITY TAXES</v>
      </c>
    </row>
    <row r="2594" spans="1:9" x14ac:dyDescent="0.3">
      <c r="A2594" t="str">
        <f>""</f>
        <v/>
      </c>
      <c r="F2594" t="str">
        <f>""</f>
        <v/>
      </c>
      <c r="G2594" t="str">
        <f>""</f>
        <v/>
      </c>
      <c r="I2594" t="str">
        <f t="shared" si="36"/>
        <v>SOCIAL SECURITY TAXES</v>
      </c>
    </row>
    <row r="2595" spans="1:9" x14ac:dyDescent="0.3">
      <c r="A2595" t="str">
        <f>""</f>
        <v/>
      </c>
      <c r="F2595" t="str">
        <f>""</f>
        <v/>
      </c>
      <c r="G2595" t="str">
        <f>""</f>
        <v/>
      </c>
      <c r="I2595" t="str">
        <f t="shared" si="36"/>
        <v>SOCIAL SECURITY TAXES</v>
      </c>
    </row>
    <row r="2596" spans="1:9" x14ac:dyDescent="0.3">
      <c r="A2596" t="str">
        <f>""</f>
        <v/>
      </c>
      <c r="F2596" t="str">
        <f>""</f>
        <v/>
      </c>
      <c r="G2596" t="str">
        <f>""</f>
        <v/>
      </c>
      <c r="I2596" t="str">
        <f t="shared" si="36"/>
        <v>SOCIAL SECURITY TAXES</v>
      </c>
    </row>
    <row r="2597" spans="1:9" x14ac:dyDescent="0.3">
      <c r="A2597" t="str">
        <f>""</f>
        <v/>
      </c>
      <c r="F2597" t="str">
        <f>""</f>
        <v/>
      </c>
      <c r="G2597" t="str">
        <f>""</f>
        <v/>
      </c>
      <c r="I2597" t="str">
        <f t="shared" si="36"/>
        <v>SOCIAL SECURITY TAXES</v>
      </c>
    </row>
    <row r="2598" spans="1:9" x14ac:dyDescent="0.3">
      <c r="A2598" t="str">
        <f>""</f>
        <v/>
      </c>
      <c r="F2598" t="str">
        <f>""</f>
        <v/>
      </c>
      <c r="G2598" t="str">
        <f>""</f>
        <v/>
      </c>
      <c r="I2598" t="str">
        <f t="shared" si="36"/>
        <v>SOCIAL SECURITY TAXES</v>
      </c>
    </row>
    <row r="2599" spans="1:9" x14ac:dyDescent="0.3">
      <c r="A2599" t="str">
        <f>""</f>
        <v/>
      </c>
      <c r="F2599" t="str">
        <f>""</f>
        <v/>
      </c>
      <c r="G2599" t="str">
        <f>""</f>
        <v/>
      </c>
      <c r="I2599" t="str">
        <f t="shared" si="36"/>
        <v>SOCIAL SECURITY TAXES</v>
      </c>
    </row>
    <row r="2600" spans="1:9" x14ac:dyDescent="0.3">
      <c r="A2600" t="str">
        <f>""</f>
        <v/>
      </c>
      <c r="F2600" t="str">
        <f>"T3 201805010495"</f>
        <v>T3 201805010495</v>
      </c>
      <c r="G2600" t="str">
        <f>"SOCIAL SECURITY TAXES"</f>
        <v>SOCIAL SECURITY TAXES</v>
      </c>
      <c r="H2600">
        <v>3947.58</v>
      </c>
      <c r="I2600" t="str">
        <f t="shared" si="36"/>
        <v>SOCIAL SECURITY TAXES</v>
      </c>
    </row>
    <row r="2601" spans="1:9" x14ac:dyDescent="0.3">
      <c r="A2601" t="str">
        <f>""</f>
        <v/>
      </c>
      <c r="F2601" t="str">
        <f>""</f>
        <v/>
      </c>
      <c r="G2601" t="str">
        <f>""</f>
        <v/>
      </c>
      <c r="I2601" t="str">
        <f t="shared" si="36"/>
        <v>SOCIAL SECURITY TAXES</v>
      </c>
    </row>
    <row r="2602" spans="1:9" x14ac:dyDescent="0.3">
      <c r="A2602" t="str">
        <f>""</f>
        <v/>
      </c>
      <c r="F2602" t="str">
        <f>"T3 201805010496"</f>
        <v>T3 201805010496</v>
      </c>
      <c r="G2602" t="str">
        <f>"SOCIAL SECURITY TAXES"</f>
        <v>SOCIAL SECURITY TAXES</v>
      </c>
      <c r="H2602">
        <v>5775.78</v>
      </c>
      <c r="I2602" t="str">
        <f t="shared" si="36"/>
        <v>SOCIAL SECURITY TAXES</v>
      </c>
    </row>
    <row r="2603" spans="1:9" x14ac:dyDescent="0.3">
      <c r="A2603" t="str">
        <f>""</f>
        <v/>
      </c>
      <c r="F2603" t="str">
        <f>""</f>
        <v/>
      </c>
      <c r="G2603" t="str">
        <f>""</f>
        <v/>
      </c>
      <c r="I2603" t="str">
        <f t="shared" si="36"/>
        <v>SOCIAL SECURITY TAXES</v>
      </c>
    </row>
    <row r="2604" spans="1:9" x14ac:dyDescent="0.3">
      <c r="A2604" t="str">
        <f>""</f>
        <v/>
      </c>
      <c r="F2604" t="str">
        <f>"T4 201805010494"</f>
        <v>T4 201805010494</v>
      </c>
      <c r="G2604" t="str">
        <f>"MEDICARE TAXES"</f>
        <v>MEDICARE TAXES</v>
      </c>
      <c r="H2604">
        <v>23501.98</v>
      </c>
      <c r="I2604" t="str">
        <f t="shared" ref="I2604:I2635" si="37">"MEDICARE TAXES"</f>
        <v>MEDICARE TAXES</v>
      </c>
    </row>
    <row r="2605" spans="1:9" x14ac:dyDescent="0.3">
      <c r="A2605" t="str">
        <f>""</f>
        <v/>
      </c>
      <c r="F2605" t="str">
        <f>""</f>
        <v/>
      </c>
      <c r="G2605" t="str">
        <f>""</f>
        <v/>
      </c>
      <c r="I2605" t="str">
        <f t="shared" si="37"/>
        <v>MEDICARE TAXES</v>
      </c>
    </row>
    <row r="2606" spans="1:9" x14ac:dyDescent="0.3">
      <c r="A2606" t="str">
        <f>""</f>
        <v/>
      </c>
      <c r="F2606" t="str">
        <f>""</f>
        <v/>
      </c>
      <c r="G2606" t="str">
        <f>""</f>
        <v/>
      </c>
      <c r="I2606" t="str">
        <f t="shared" si="37"/>
        <v>MEDICARE TAXES</v>
      </c>
    </row>
    <row r="2607" spans="1:9" x14ac:dyDescent="0.3">
      <c r="A2607" t="str">
        <f>""</f>
        <v/>
      </c>
      <c r="F2607" t="str">
        <f>""</f>
        <v/>
      </c>
      <c r="G2607" t="str">
        <f>""</f>
        <v/>
      </c>
      <c r="I2607" t="str">
        <f t="shared" si="37"/>
        <v>MEDICARE TAXES</v>
      </c>
    </row>
    <row r="2608" spans="1:9" x14ac:dyDescent="0.3">
      <c r="A2608" t="str">
        <f>""</f>
        <v/>
      </c>
      <c r="F2608" t="str">
        <f>""</f>
        <v/>
      </c>
      <c r="G2608" t="str">
        <f>""</f>
        <v/>
      </c>
      <c r="I2608" t="str">
        <f t="shared" si="37"/>
        <v>MEDICARE TAXES</v>
      </c>
    </row>
    <row r="2609" spans="1:9" x14ac:dyDescent="0.3">
      <c r="A2609" t="str">
        <f>""</f>
        <v/>
      </c>
      <c r="F2609" t="str">
        <f>""</f>
        <v/>
      </c>
      <c r="G2609" t="str">
        <f>""</f>
        <v/>
      </c>
      <c r="I2609" t="str">
        <f t="shared" si="37"/>
        <v>MEDICARE TAXES</v>
      </c>
    </row>
    <row r="2610" spans="1:9" x14ac:dyDescent="0.3">
      <c r="A2610" t="str">
        <f>""</f>
        <v/>
      </c>
      <c r="F2610" t="str">
        <f>""</f>
        <v/>
      </c>
      <c r="G2610" t="str">
        <f>""</f>
        <v/>
      </c>
      <c r="I2610" t="str">
        <f t="shared" si="37"/>
        <v>MEDICARE TAXES</v>
      </c>
    </row>
    <row r="2611" spans="1:9" x14ac:dyDescent="0.3">
      <c r="A2611" t="str">
        <f>""</f>
        <v/>
      </c>
      <c r="F2611" t="str">
        <f>""</f>
        <v/>
      </c>
      <c r="G2611" t="str">
        <f>""</f>
        <v/>
      </c>
      <c r="I2611" t="str">
        <f t="shared" si="37"/>
        <v>MEDICARE TAXES</v>
      </c>
    </row>
    <row r="2612" spans="1:9" x14ac:dyDescent="0.3">
      <c r="A2612" t="str">
        <f>""</f>
        <v/>
      </c>
      <c r="F2612" t="str">
        <f>""</f>
        <v/>
      </c>
      <c r="G2612" t="str">
        <f>""</f>
        <v/>
      </c>
      <c r="I2612" t="str">
        <f t="shared" si="37"/>
        <v>MEDICARE TAXES</v>
      </c>
    </row>
    <row r="2613" spans="1:9" x14ac:dyDescent="0.3">
      <c r="A2613" t="str">
        <f>""</f>
        <v/>
      </c>
      <c r="F2613" t="str">
        <f>""</f>
        <v/>
      </c>
      <c r="G2613" t="str">
        <f>""</f>
        <v/>
      </c>
      <c r="I2613" t="str">
        <f t="shared" si="37"/>
        <v>MEDICARE TAXES</v>
      </c>
    </row>
    <row r="2614" spans="1:9" x14ac:dyDescent="0.3">
      <c r="A2614" t="str">
        <f>""</f>
        <v/>
      </c>
      <c r="F2614" t="str">
        <f>""</f>
        <v/>
      </c>
      <c r="G2614" t="str">
        <f>""</f>
        <v/>
      </c>
      <c r="I2614" t="str">
        <f t="shared" si="37"/>
        <v>MEDICARE TAXES</v>
      </c>
    </row>
    <row r="2615" spans="1:9" x14ac:dyDescent="0.3">
      <c r="A2615" t="str">
        <f>""</f>
        <v/>
      </c>
      <c r="F2615" t="str">
        <f>""</f>
        <v/>
      </c>
      <c r="G2615" t="str">
        <f>""</f>
        <v/>
      </c>
      <c r="I2615" t="str">
        <f t="shared" si="37"/>
        <v>MEDICARE TAXES</v>
      </c>
    </row>
    <row r="2616" spans="1:9" x14ac:dyDescent="0.3">
      <c r="A2616" t="str">
        <f>""</f>
        <v/>
      </c>
      <c r="F2616" t="str">
        <f>""</f>
        <v/>
      </c>
      <c r="G2616" t="str">
        <f>""</f>
        <v/>
      </c>
      <c r="I2616" t="str">
        <f t="shared" si="37"/>
        <v>MEDICARE TAXES</v>
      </c>
    </row>
    <row r="2617" spans="1:9" x14ac:dyDescent="0.3">
      <c r="A2617" t="str">
        <f>""</f>
        <v/>
      </c>
      <c r="F2617" t="str">
        <f>""</f>
        <v/>
      </c>
      <c r="G2617" t="str">
        <f>""</f>
        <v/>
      </c>
      <c r="I2617" t="str">
        <f t="shared" si="37"/>
        <v>MEDICARE TAXES</v>
      </c>
    </row>
    <row r="2618" spans="1:9" x14ac:dyDescent="0.3">
      <c r="A2618" t="str">
        <f>""</f>
        <v/>
      </c>
      <c r="F2618" t="str">
        <f>""</f>
        <v/>
      </c>
      <c r="G2618" t="str">
        <f>""</f>
        <v/>
      </c>
      <c r="I2618" t="str">
        <f t="shared" si="37"/>
        <v>MEDICARE TAXES</v>
      </c>
    </row>
    <row r="2619" spans="1:9" x14ac:dyDescent="0.3">
      <c r="A2619" t="str">
        <f>""</f>
        <v/>
      </c>
      <c r="F2619" t="str">
        <f>""</f>
        <v/>
      </c>
      <c r="G2619" t="str">
        <f>""</f>
        <v/>
      </c>
      <c r="I2619" t="str">
        <f t="shared" si="37"/>
        <v>MEDICARE TAXES</v>
      </c>
    </row>
    <row r="2620" spans="1:9" x14ac:dyDescent="0.3">
      <c r="A2620" t="str">
        <f>""</f>
        <v/>
      </c>
      <c r="F2620" t="str">
        <f>""</f>
        <v/>
      </c>
      <c r="G2620" t="str">
        <f>""</f>
        <v/>
      </c>
      <c r="I2620" t="str">
        <f t="shared" si="37"/>
        <v>MEDICARE TAXES</v>
      </c>
    </row>
    <row r="2621" spans="1:9" x14ac:dyDescent="0.3">
      <c r="A2621" t="str">
        <f>""</f>
        <v/>
      </c>
      <c r="F2621" t="str">
        <f>""</f>
        <v/>
      </c>
      <c r="G2621" t="str">
        <f>""</f>
        <v/>
      </c>
      <c r="I2621" t="str">
        <f t="shared" si="37"/>
        <v>MEDICARE TAXES</v>
      </c>
    </row>
    <row r="2622" spans="1:9" x14ac:dyDescent="0.3">
      <c r="A2622" t="str">
        <f>""</f>
        <v/>
      </c>
      <c r="F2622" t="str">
        <f>""</f>
        <v/>
      </c>
      <c r="G2622" t="str">
        <f>""</f>
        <v/>
      </c>
      <c r="I2622" t="str">
        <f t="shared" si="37"/>
        <v>MEDICARE TAXES</v>
      </c>
    </row>
    <row r="2623" spans="1:9" x14ac:dyDescent="0.3">
      <c r="A2623" t="str">
        <f>""</f>
        <v/>
      </c>
      <c r="F2623" t="str">
        <f>""</f>
        <v/>
      </c>
      <c r="G2623" t="str">
        <f>""</f>
        <v/>
      </c>
      <c r="I2623" t="str">
        <f t="shared" si="37"/>
        <v>MEDICARE TAXES</v>
      </c>
    </row>
    <row r="2624" spans="1:9" x14ac:dyDescent="0.3">
      <c r="A2624" t="str">
        <f>""</f>
        <v/>
      </c>
      <c r="F2624" t="str">
        <f>""</f>
        <v/>
      </c>
      <c r="G2624" t="str">
        <f>""</f>
        <v/>
      </c>
      <c r="I2624" t="str">
        <f t="shared" si="37"/>
        <v>MEDICARE TAXES</v>
      </c>
    </row>
    <row r="2625" spans="1:9" x14ac:dyDescent="0.3">
      <c r="A2625" t="str">
        <f>""</f>
        <v/>
      </c>
      <c r="F2625" t="str">
        <f>""</f>
        <v/>
      </c>
      <c r="G2625" t="str">
        <f>""</f>
        <v/>
      </c>
      <c r="I2625" t="str">
        <f t="shared" si="37"/>
        <v>MEDICARE TAXES</v>
      </c>
    </row>
    <row r="2626" spans="1:9" x14ac:dyDescent="0.3">
      <c r="A2626" t="str">
        <f>""</f>
        <v/>
      </c>
      <c r="F2626" t="str">
        <f>""</f>
        <v/>
      </c>
      <c r="G2626" t="str">
        <f>""</f>
        <v/>
      </c>
      <c r="I2626" t="str">
        <f t="shared" si="37"/>
        <v>MEDICARE TAXES</v>
      </c>
    </row>
    <row r="2627" spans="1:9" x14ac:dyDescent="0.3">
      <c r="A2627" t="str">
        <f>""</f>
        <v/>
      </c>
      <c r="F2627" t="str">
        <f>""</f>
        <v/>
      </c>
      <c r="G2627" t="str">
        <f>""</f>
        <v/>
      </c>
      <c r="I2627" t="str">
        <f t="shared" si="37"/>
        <v>MEDICARE TAXES</v>
      </c>
    </row>
    <row r="2628" spans="1:9" x14ac:dyDescent="0.3">
      <c r="A2628" t="str">
        <f>""</f>
        <v/>
      </c>
      <c r="F2628" t="str">
        <f>""</f>
        <v/>
      </c>
      <c r="G2628" t="str">
        <f>""</f>
        <v/>
      </c>
      <c r="I2628" t="str">
        <f t="shared" si="37"/>
        <v>MEDICARE TAXES</v>
      </c>
    </row>
    <row r="2629" spans="1:9" x14ac:dyDescent="0.3">
      <c r="A2629" t="str">
        <f>""</f>
        <v/>
      </c>
      <c r="F2629" t="str">
        <f>""</f>
        <v/>
      </c>
      <c r="G2629" t="str">
        <f>""</f>
        <v/>
      </c>
      <c r="I2629" t="str">
        <f t="shared" si="37"/>
        <v>MEDICARE TAXES</v>
      </c>
    </row>
    <row r="2630" spans="1:9" x14ac:dyDescent="0.3">
      <c r="A2630" t="str">
        <f>""</f>
        <v/>
      </c>
      <c r="F2630" t="str">
        <f>""</f>
        <v/>
      </c>
      <c r="G2630" t="str">
        <f>""</f>
        <v/>
      </c>
      <c r="I2630" t="str">
        <f t="shared" si="37"/>
        <v>MEDICARE TAXES</v>
      </c>
    </row>
    <row r="2631" spans="1:9" x14ac:dyDescent="0.3">
      <c r="A2631" t="str">
        <f>""</f>
        <v/>
      </c>
      <c r="F2631" t="str">
        <f>""</f>
        <v/>
      </c>
      <c r="G2631" t="str">
        <f>""</f>
        <v/>
      </c>
      <c r="I2631" t="str">
        <f t="shared" si="37"/>
        <v>MEDICARE TAXES</v>
      </c>
    </row>
    <row r="2632" spans="1:9" x14ac:dyDescent="0.3">
      <c r="A2632" t="str">
        <f>""</f>
        <v/>
      </c>
      <c r="F2632" t="str">
        <f>""</f>
        <v/>
      </c>
      <c r="G2632" t="str">
        <f>""</f>
        <v/>
      </c>
      <c r="I2632" t="str">
        <f t="shared" si="37"/>
        <v>MEDICARE TAXES</v>
      </c>
    </row>
    <row r="2633" spans="1:9" x14ac:dyDescent="0.3">
      <c r="A2633" t="str">
        <f>""</f>
        <v/>
      </c>
      <c r="F2633" t="str">
        <f>""</f>
        <v/>
      </c>
      <c r="G2633" t="str">
        <f>""</f>
        <v/>
      </c>
      <c r="I2633" t="str">
        <f t="shared" si="37"/>
        <v>MEDICARE TAXES</v>
      </c>
    </row>
    <row r="2634" spans="1:9" x14ac:dyDescent="0.3">
      <c r="A2634" t="str">
        <f>""</f>
        <v/>
      </c>
      <c r="F2634" t="str">
        <f>""</f>
        <v/>
      </c>
      <c r="G2634" t="str">
        <f>""</f>
        <v/>
      </c>
      <c r="I2634" t="str">
        <f t="shared" si="37"/>
        <v>MEDICARE TAXES</v>
      </c>
    </row>
    <row r="2635" spans="1:9" x14ac:dyDescent="0.3">
      <c r="A2635" t="str">
        <f>""</f>
        <v/>
      </c>
      <c r="F2635" t="str">
        <f>""</f>
        <v/>
      </c>
      <c r="G2635" t="str">
        <f>""</f>
        <v/>
      </c>
      <c r="I2635" t="str">
        <f t="shared" si="37"/>
        <v>MEDICARE TAXES</v>
      </c>
    </row>
    <row r="2636" spans="1:9" x14ac:dyDescent="0.3">
      <c r="A2636" t="str">
        <f>""</f>
        <v/>
      </c>
      <c r="F2636" t="str">
        <f>""</f>
        <v/>
      </c>
      <c r="G2636" t="str">
        <f>""</f>
        <v/>
      </c>
      <c r="I2636" t="str">
        <f t="shared" ref="I2636:I2660" si="38">"MEDICARE TAXES"</f>
        <v>MEDICARE TAXES</v>
      </c>
    </row>
    <row r="2637" spans="1:9" x14ac:dyDescent="0.3">
      <c r="A2637" t="str">
        <f>""</f>
        <v/>
      </c>
      <c r="F2637" t="str">
        <f>""</f>
        <v/>
      </c>
      <c r="G2637" t="str">
        <f>""</f>
        <v/>
      </c>
      <c r="I2637" t="str">
        <f t="shared" si="38"/>
        <v>MEDICARE TAXES</v>
      </c>
    </row>
    <row r="2638" spans="1:9" x14ac:dyDescent="0.3">
      <c r="A2638" t="str">
        <f>""</f>
        <v/>
      </c>
      <c r="F2638" t="str">
        <f>""</f>
        <v/>
      </c>
      <c r="G2638" t="str">
        <f>""</f>
        <v/>
      </c>
      <c r="I2638" t="str">
        <f t="shared" si="38"/>
        <v>MEDICARE TAXES</v>
      </c>
    </row>
    <row r="2639" spans="1:9" x14ac:dyDescent="0.3">
      <c r="A2639" t="str">
        <f>""</f>
        <v/>
      </c>
      <c r="F2639" t="str">
        <f>""</f>
        <v/>
      </c>
      <c r="G2639" t="str">
        <f>""</f>
        <v/>
      </c>
      <c r="I2639" t="str">
        <f t="shared" si="38"/>
        <v>MEDICARE TAXES</v>
      </c>
    </row>
    <row r="2640" spans="1:9" x14ac:dyDescent="0.3">
      <c r="A2640" t="str">
        <f>""</f>
        <v/>
      </c>
      <c r="F2640" t="str">
        <f>""</f>
        <v/>
      </c>
      <c r="G2640" t="str">
        <f>""</f>
        <v/>
      </c>
      <c r="I2640" t="str">
        <f t="shared" si="38"/>
        <v>MEDICARE TAXES</v>
      </c>
    </row>
    <row r="2641" spans="1:9" x14ac:dyDescent="0.3">
      <c r="A2641" t="str">
        <f>""</f>
        <v/>
      </c>
      <c r="F2641" t="str">
        <f>""</f>
        <v/>
      </c>
      <c r="G2641" t="str">
        <f>""</f>
        <v/>
      </c>
      <c r="I2641" t="str">
        <f t="shared" si="38"/>
        <v>MEDICARE TAXES</v>
      </c>
    </row>
    <row r="2642" spans="1:9" x14ac:dyDescent="0.3">
      <c r="A2642" t="str">
        <f>""</f>
        <v/>
      </c>
      <c r="F2642" t="str">
        <f>""</f>
        <v/>
      </c>
      <c r="G2642" t="str">
        <f>""</f>
        <v/>
      </c>
      <c r="I2642" t="str">
        <f t="shared" si="38"/>
        <v>MEDICARE TAXES</v>
      </c>
    </row>
    <row r="2643" spans="1:9" x14ac:dyDescent="0.3">
      <c r="A2643" t="str">
        <f>""</f>
        <v/>
      </c>
      <c r="F2643" t="str">
        <f>""</f>
        <v/>
      </c>
      <c r="G2643" t="str">
        <f>""</f>
        <v/>
      </c>
      <c r="I2643" t="str">
        <f t="shared" si="38"/>
        <v>MEDICARE TAXES</v>
      </c>
    </row>
    <row r="2644" spans="1:9" x14ac:dyDescent="0.3">
      <c r="A2644" t="str">
        <f>""</f>
        <v/>
      </c>
      <c r="F2644" t="str">
        <f>""</f>
        <v/>
      </c>
      <c r="G2644" t="str">
        <f>""</f>
        <v/>
      </c>
      <c r="I2644" t="str">
        <f t="shared" si="38"/>
        <v>MEDICARE TAXES</v>
      </c>
    </row>
    <row r="2645" spans="1:9" x14ac:dyDescent="0.3">
      <c r="A2645" t="str">
        <f>""</f>
        <v/>
      </c>
      <c r="F2645" t="str">
        <f>""</f>
        <v/>
      </c>
      <c r="G2645" t="str">
        <f>""</f>
        <v/>
      </c>
      <c r="I2645" t="str">
        <f t="shared" si="38"/>
        <v>MEDICARE TAXES</v>
      </c>
    </row>
    <row r="2646" spans="1:9" x14ac:dyDescent="0.3">
      <c r="A2646" t="str">
        <f>""</f>
        <v/>
      </c>
      <c r="F2646" t="str">
        <f>""</f>
        <v/>
      </c>
      <c r="G2646" t="str">
        <f>""</f>
        <v/>
      </c>
      <c r="I2646" t="str">
        <f t="shared" si="38"/>
        <v>MEDICARE TAXES</v>
      </c>
    </row>
    <row r="2647" spans="1:9" x14ac:dyDescent="0.3">
      <c r="A2647" t="str">
        <f>""</f>
        <v/>
      </c>
      <c r="F2647" t="str">
        <f>""</f>
        <v/>
      </c>
      <c r="G2647" t="str">
        <f>""</f>
        <v/>
      </c>
      <c r="I2647" t="str">
        <f t="shared" si="38"/>
        <v>MEDICARE TAXES</v>
      </c>
    </row>
    <row r="2648" spans="1:9" x14ac:dyDescent="0.3">
      <c r="A2648" t="str">
        <f>""</f>
        <v/>
      </c>
      <c r="F2648" t="str">
        <f>""</f>
        <v/>
      </c>
      <c r="G2648" t="str">
        <f>""</f>
        <v/>
      </c>
      <c r="I2648" t="str">
        <f t="shared" si="38"/>
        <v>MEDICARE TAXES</v>
      </c>
    </row>
    <row r="2649" spans="1:9" x14ac:dyDescent="0.3">
      <c r="A2649" t="str">
        <f>""</f>
        <v/>
      </c>
      <c r="F2649" t="str">
        <f>""</f>
        <v/>
      </c>
      <c r="G2649" t="str">
        <f>""</f>
        <v/>
      </c>
      <c r="I2649" t="str">
        <f t="shared" si="38"/>
        <v>MEDICARE TAXES</v>
      </c>
    </row>
    <row r="2650" spans="1:9" x14ac:dyDescent="0.3">
      <c r="A2650" t="str">
        <f>""</f>
        <v/>
      </c>
      <c r="F2650" t="str">
        <f>""</f>
        <v/>
      </c>
      <c r="G2650" t="str">
        <f>""</f>
        <v/>
      </c>
      <c r="I2650" t="str">
        <f t="shared" si="38"/>
        <v>MEDICARE TAXES</v>
      </c>
    </row>
    <row r="2651" spans="1:9" x14ac:dyDescent="0.3">
      <c r="A2651" t="str">
        <f>""</f>
        <v/>
      </c>
      <c r="F2651" t="str">
        <f>""</f>
        <v/>
      </c>
      <c r="G2651" t="str">
        <f>""</f>
        <v/>
      </c>
      <c r="I2651" t="str">
        <f t="shared" si="38"/>
        <v>MEDICARE TAXES</v>
      </c>
    </row>
    <row r="2652" spans="1:9" x14ac:dyDescent="0.3">
      <c r="A2652" t="str">
        <f>""</f>
        <v/>
      </c>
      <c r="F2652" t="str">
        <f>""</f>
        <v/>
      </c>
      <c r="G2652" t="str">
        <f>""</f>
        <v/>
      </c>
      <c r="I2652" t="str">
        <f t="shared" si="38"/>
        <v>MEDICARE TAXES</v>
      </c>
    </row>
    <row r="2653" spans="1:9" x14ac:dyDescent="0.3">
      <c r="A2653" t="str">
        <f>""</f>
        <v/>
      </c>
      <c r="F2653" t="str">
        <f>""</f>
        <v/>
      </c>
      <c r="G2653" t="str">
        <f>""</f>
        <v/>
      </c>
      <c r="I2653" t="str">
        <f t="shared" si="38"/>
        <v>MEDICARE TAXES</v>
      </c>
    </row>
    <row r="2654" spans="1:9" x14ac:dyDescent="0.3">
      <c r="A2654" t="str">
        <f>""</f>
        <v/>
      </c>
      <c r="F2654" t="str">
        <f>""</f>
        <v/>
      </c>
      <c r="G2654" t="str">
        <f>""</f>
        <v/>
      </c>
      <c r="I2654" t="str">
        <f t="shared" si="38"/>
        <v>MEDICARE TAXES</v>
      </c>
    </row>
    <row r="2655" spans="1:9" x14ac:dyDescent="0.3">
      <c r="A2655" t="str">
        <f>""</f>
        <v/>
      </c>
      <c r="F2655" t="str">
        <f>""</f>
        <v/>
      </c>
      <c r="G2655" t="str">
        <f>""</f>
        <v/>
      </c>
      <c r="I2655" t="str">
        <f t="shared" si="38"/>
        <v>MEDICARE TAXES</v>
      </c>
    </row>
    <row r="2656" spans="1:9" x14ac:dyDescent="0.3">
      <c r="A2656" t="str">
        <f>""</f>
        <v/>
      </c>
      <c r="F2656" t="str">
        <f>""</f>
        <v/>
      </c>
      <c r="G2656" t="str">
        <f>""</f>
        <v/>
      </c>
      <c r="I2656" t="str">
        <f t="shared" si="38"/>
        <v>MEDICARE TAXES</v>
      </c>
    </row>
    <row r="2657" spans="1:9" x14ac:dyDescent="0.3">
      <c r="A2657" t="str">
        <f>""</f>
        <v/>
      </c>
      <c r="F2657" t="str">
        <f>"T4 201805010495"</f>
        <v>T4 201805010495</v>
      </c>
      <c r="G2657" t="str">
        <f>"MEDICARE TAXES"</f>
        <v>MEDICARE TAXES</v>
      </c>
      <c r="H2657">
        <v>923.22</v>
      </c>
      <c r="I2657" t="str">
        <f t="shared" si="38"/>
        <v>MEDICARE TAXES</v>
      </c>
    </row>
    <row r="2658" spans="1:9" x14ac:dyDescent="0.3">
      <c r="A2658" t="str">
        <f>""</f>
        <v/>
      </c>
      <c r="F2658" t="str">
        <f>""</f>
        <v/>
      </c>
      <c r="G2658" t="str">
        <f>""</f>
        <v/>
      </c>
      <c r="I2658" t="str">
        <f t="shared" si="38"/>
        <v>MEDICARE TAXES</v>
      </c>
    </row>
    <row r="2659" spans="1:9" x14ac:dyDescent="0.3">
      <c r="A2659" t="str">
        <f>""</f>
        <v/>
      </c>
      <c r="F2659" t="str">
        <f>"T4 201805010496"</f>
        <v>T4 201805010496</v>
      </c>
      <c r="G2659" t="str">
        <f>"MEDICARE TAXES"</f>
        <v>MEDICARE TAXES</v>
      </c>
      <c r="H2659">
        <v>1350.82</v>
      </c>
      <c r="I2659" t="str">
        <f t="shared" si="38"/>
        <v>MEDICARE TAXES</v>
      </c>
    </row>
    <row r="2660" spans="1:9" x14ac:dyDescent="0.3">
      <c r="A2660" t="str">
        <f>""</f>
        <v/>
      </c>
      <c r="F2660" t="str">
        <f>""</f>
        <v/>
      </c>
      <c r="G2660" t="str">
        <f>""</f>
        <v/>
      </c>
      <c r="I2660" t="str">
        <f t="shared" si="38"/>
        <v>MEDICARE TAXES</v>
      </c>
    </row>
    <row r="2661" spans="1:9" x14ac:dyDescent="0.3">
      <c r="A2661" t="str">
        <f>"IRSPY"</f>
        <v>IRSPY</v>
      </c>
      <c r="B2661" t="s">
        <v>571</v>
      </c>
      <c r="C2661">
        <v>0</v>
      </c>
      <c r="D2661" s="2">
        <v>291.76</v>
      </c>
      <c r="E2661" s="1">
        <v>43231</v>
      </c>
      <c r="F2661" t="str">
        <f>"T3 201805101003"</f>
        <v>T3 201805101003</v>
      </c>
      <c r="G2661" t="str">
        <f>"SOCIAL SECURITY TAXES"</f>
        <v>SOCIAL SECURITY TAXES</v>
      </c>
      <c r="H2661">
        <v>236.46</v>
      </c>
      <c r="I2661" t="str">
        <f>"SOCIAL SECURITY TAXES"</f>
        <v>SOCIAL SECURITY TAXES</v>
      </c>
    </row>
    <row r="2662" spans="1:9" x14ac:dyDescent="0.3">
      <c r="A2662" t="str">
        <f>""</f>
        <v/>
      </c>
      <c r="F2662" t="str">
        <f>""</f>
        <v/>
      </c>
      <c r="G2662" t="str">
        <f>""</f>
        <v/>
      </c>
      <c r="I2662" t="str">
        <f>"SOCIAL SECURITY TAXES"</f>
        <v>SOCIAL SECURITY TAXES</v>
      </c>
    </row>
    <row r="2663" spans="1:9" x14ac:dyDescent="0.3">
      <c r="A2663" t="str">
        <f>""</f>
        <v/>
      </c>
      <c r="F2663" t="str">
        <f>"T4 201805101003"</f>
        <v>T4 201805101003</v>
      </c>
      <c r="G2663" t="str">
        <f>"MEDICARE TAXES"</f>
        <v>MEDICARE TAXES</v>
      </c>
      <c r="H2663">
        <v>55.3</v>
      </c>
      <c r="I2663" t="str">
        <f>"MEDICARE TAXES"</f>
        <v>MEDICARE TAXES</v>
      </c>
    </row>
    <row r="2664" spans="1:9" x14ac:dyDescent="0.3">
      <c r="A2664" t="str">
        <f>""</f>
        <v/>
      </c>
      <c r="F2664" t="str">
        <f>""</f>
        <v/>
      </c>
      <c r="G2664" t="str">
        <f>""</f>
        <v/>
      </c>
      <c r="I2664" t="str">
        <f>"MEDICARE TAXES"</f>
        <v>MEDICARE TAXES</v>
      </c>
    </row>
    <row r="2665" spans="1:9" x14ac:dyDescent="0.3">
      <c r="A2665" t="str">
        <f>"IRSPY"</f>
        <v>IRSPY</v>
      </c>
      <c r="B2665" t="s">
        <v>571</v>
      </c>
      <c r="C2665">
        <v>0</v>
      </c>
      <c r="D2665" s="2">
        <v>215825.41</v>
      </c>
      <c r="E2665" s="1">
        <v>43238</v>
      </c>
      <c r="F2665" t="str">
        <f>"T1 201805161053"</f>
        <v>T1 201805161053</v>
      </c>
      <c r="G2665" t="str">
        <f>"FEDERAL WITHHOLDING"</f>
        <v>FEDERAL WITHHOLDING</v>
      </c>
      <c r="H2665">
        <v>70205.97</v>
      </c>
      <c r="I2665" t="str">
        <f>"FEDERAL WITHHOLDING"</f>
        <v>FEDERAL WITHHOLDING</v>
      </c>
    </row>
    <row r="2666" spans="1:9" x14ac:dyDescent="0.3">
      <c r="A2666" t="str">
        <f>""</f>
        <v/>
      </c>
      <c r="F2666" t="str">
        <f>"T1 201805161054"</f>
        <v>T1 201805161054</v>
      </c>
      <c r="G2666" t="str">
        <f>"FEDERAL WITHHOLDING"</f>
        <v>FEDERAL WITHHOLDING</v>
      </c>
      <c r="H2666">
        <v>2762.04</v>
      </c>
      <c r="I2666" t="str">
        <f>"FEDERAL WITHHOLDING"</f>
        <v>FEDERAL WITHHOLDING</v>
      </c>
    </row>
    <row r="2667" spans="1:9" x14ac:dyDescent="0.3">
      <c r="A2667" t="str">
        <f>""</f>
        <v/>
      </c>
      <c r="F2667" t="str">
        <f>"T1 201805161055"</f>
        <v>T1 201805161055</v>
      </c>
      <c r="G2667" t="str">
        <f>"FEDERAL WITHHOLDING"</f>
        <v>FEDERAL WITHHOLDING</v>
      </c>
      <c r="H2667">
        <v>3751.92</v>
      </c>
      <c r="I2667" t="str">
        <f>"FEDERAL WITHHOLDING"</f>
        <v>FEDERAL WITHHOLDING</v>
      </c>
    </row>
    <row r="2668" spans="1:9" x14ac:dyDescent="0.3">
      <c r="A2668" t="str">
        <f>""</f>
        <v/>
      </c>
      <c r="F2668" t="str">
        <f>"T3 201805161053"</f>
        <v>T3 201805161053</v>
      </c>
      <c r="G2668" t="str">
        <f>"SOCIAL SECURITY TAXES"</f>
        <v>SOCIAL SECURITY TAXES</v>
      </c>
      <c r="H2668">
        <v>103159.22</v>
      </c>
      <c r="I2668" t="str">
        <f t="shared" ref="I2668:I2699" si="39">"SOCIAL SECURITY TAXES"</f>
        <v>SOCIAL SECURITY TAXES</v>
      </c>
    </row>
    <row r="2669" spans="1:9" x14ac:dyDescent="0.3">
      <c r="A2669" t="str">
        <f>""</f>
        <v/>
      </c>
      <c r="F2669" t="str">
        <f>""</f>
        <v/>
      </c>
      <c r="G2669" t="str">
        <f>""</f>
        <v/>
      </c>
      <c r="I2669" t="str">
        <f t="shared" si="39"/>
        <v>SOCIAL SECURITY TAXES</v>
      </c>
    </row>
    <row r="2670" spans="1:9" x14ac:dyDescent="0.3">
      <c r="A2670" t="str">
        <f>""</f>
        <v/>
      </c>
      <c r="F2670" t="str">
        <f>""</f>
        <v/>
      </c>
      <c r="G2670" t="str">
        <f>""</f>
        <v/>
      </c>
      <c r="I2670" t="str">
        <f t="shared" si="39"/>
        <v>SOCIAL SECURITY TAXES</v>
      </c>
    </row>
    <row r="2671" spans="1:9" x14ac:dyDescent="0.3">
      <c r="A2671" t="str">
        <f>""</f>
        <v/>
      </c>
      <c r="F2671" t="str">
        <f>""</f>
        <v/>
      </c>
      <c r="G2671" t="str">
        <f>""</f>
        <v/>
      </c>
      <c r="I2671" t="str">
        <f t="shared" si="39"/>
        <v>SOCIAL SECURITY TAXES</v>
      </c>
    </row>
    <row r="2672" spans="1:9" x14ac:dyDescent="0.3">
      <c r="A2672" t="str">
        <f>""</f>
        <v/>
      </c>
      <c r="F2672" t="str">
        <f>""</f>
        <v/>
      </c>
      <c r="G2672" t="str">
        <f>""</f>
        <v/>
      </c>
      <c r="I2672" t="str">
        <f t="shared" si="39"/>
        <v>SOCIAL SECURITY TAXES</v>
      </c>
    </row>
    <row r="2673" spans="1:9" x14ac:dyDescent="0.3">
      <c r="A2673" t="str">
        <f>""</f>
        <v/>
      </c>
      <c r="F2673" t="str">
        <f>""</f>
        <v/>
      </c>
      <c r="G2673" t="str">
        <f>""</f>
        <v/>
      </c>
      <c r="I2673" t="str">
        <f t="shared" si="39"/>
        <v>SOCIAL SECURITY TAXES</v>
      </c>
    </row>
    <row r="2674" spans="1:9" x14ac:dyDescent="0.3">
      <c r="A2674" t="str">
        <f>""</f>
        <v/>
      </c>
      <c r="F2674" t="str">
        <f>""</f>
        <v/>
      </c>
      <c r="G2674" t="str">
        <f>""</f>
        <v/>
      </c>
      <c r="I2674" t="str">
        <f t="shared" si="39"/>
        <v>SOCIAL SECURITY TAXES</v>
      </c>
    </row>
    <row r="2675" spans="1:9" x14ac:dyDescent="0.3">
      <c r="A2675" t="str">
        <f>""</f>
        <v/>
      </c>
      <c r="F2675" t="str">
        <f>""</f>
        <v/>
      </c>
      <c r="G2675" t="str">
        <f>""</f>
        <v/>
      </c>
      <c r="I2675" t="str">
        <f t="shared" si="39"/>
        <v>SOCIAL SECURITY TAXES</v>
      </c>
    </row>
    <row r="2676" spans="1:9" x14ac:dyDescent="0.3">
      <c r="A2676" t="str">
        <f>""</f>
        <v/>
      </c>
      <c r="F2676" t="str">
        <f>""</f>
        <v/>
      </c>
      <c r="G2676" t="str">
        <f>""</f>
        <v/>
      </c>
      <c r="I2676" t="str">
        <f t="shared" si="39"/>
        <v>SOCIAL SECURITY TAXES</v>
      </c>
    </row>
    <row r="2677" spans="1:9" x14ac:dyDescent="0.3">
      <c r="A2677" t="str">
        <f>""</f>
        <v/>
      </c>
      <c r="F2677" t="str">
        <f>""</f>
        <v/>
      </c>
      <c r="G2677" t="str">
        <f>""</f>
        <v/>
      </c>
      <c r="I2677" t="str">
        <f t="shared" si="39"/>
        <v>SOCIAL SECURITY TAXES</v>
      </c>
    </row>
    <row r="2678" spans="1:9" x14ac:dyDescent="0.3">
      <c r="A2678" t="str">
        <f>""</f>
        <v/>
      </c>
      <c r="F2678" t="str">
        <f>""</f>
        <v/>
      </c>
      <c r="G2678" t="str">
        <f>""</f>
        <v/>
      </c>
      <c r="I2678" t="str">
        <f t="shared" si="39"/>
        <v>SOCIAL SECURITY TAXES</v>
      </c>
    </row>
    <row r="2679" spans="1:9" x14ac:dyDescent="0.3">
      <c r="A2679" t="str">
        <f>""</f>
        <v/>
      </c>
      <c r="F2679" t="str">
        <f>""</f>
        <v/>
      </c>
      <c r="G2679" t="str">
        <f>""</f>
        <v/>
      </c>
      <c r="I2679" t="str">
        <f t="shared" si="39"/>
        <v>SOCIAL SECURITY TAXES</v>
      </c>
    </row>
    <row r="2680" spans="1:9" x14ac:dyDescent="0.3">
      <c r="A2680" t="str">
        <f>""</f>
        <v/>
      </c>
      <c r="F2680" t="str">
        <f>""</f>
        <v/>
      </c>
      <c r="G2680" t="str">
        <f>""</f>
        <v/>
      </c>
      <c r="I2680" t="str">
        <f t="shared" si="39"/>
        <v>SOCIAL SECURITY TAXES</v>
      </c>
    </row>
    <row r="2681" spans="1:9" x14ac:dyDescent="0.3">
      <c r="A2681" t="str">
        <f>""</f>
        <v/>
      </c>
      <c r="F2681" t="str">
        <f>""</f>
        <v/>
      </c>
      <c r="G2681" t="str">
        <f>""</f>
        <v/>
      </c>
      <c r="I2681" t="str">
        <f t="shared" si="39"/>
        <v>SOCIAL SECURITY TAXES</v>
      </c>
    </row>
    <row r="2682" spans="1:9" x14ac:dyDescent="0.3">
      <c r="A2682" t="str">
        <f>""</f>
        <v/>
      </c>
      <c r="F2682" t="str">
        <f>""</f>
        <v/>
      </c>
      <c r="G2682" t="str">
        <f>""</f>
        <v/>
      </c>
      <c r="I2682" t="str">
        <f t="shared" si="39"/>
        <v>SOCIAL SECURITY TAXES</v>
      </c>
    </row>
    <row r="2683" spans="1:9" x14ac:dyDescent="0.3">
      <c r="A2683" t="str">
        <f>""</f>
        <v/>
      </c>
      <c r="F2683" t="str">
        <f>""</f>
        <v/>
      </c>
      <c r="G2683" t="str">
        <f>""</f>
        <v/>
      </c>
      <c r="I2683" t="str">
        <f t="shared" si="39"/>
        <v>SOCIAL SECURITY TAXES</v>
      </c>
    </row>
    <row r="2684" spans="1:9" x14ac:dyDescent="0.3">
      <c r="A2684" t="str">
        <f>""</f>
        <v/>
      </c>
      <c r="F2684" t="str">
        <f>""</f>
        <v/>
      </c>
      <c r="G2684" t="str">
        <f>""</f>
        <v/>
      </c>
      <c r="I2684" t="str">
        <f t="shared" si="39"/>
        <v>SOCIAL SECURITY TAXES</v>
      </c>
    </row>
    <row r="2685" spans="1:9" x14ac:dyDescent="0.3">
      <c r="A2685" t="str">
        <f>""</f>
        <v/>
      </c>
      <c r="F2685" t="str">
        <f>""</f>
        <v/>
      </c>
      <c r="G2685" t="str">
        <f>""</f>
        <v/>
      </c>
      <c r="I2685" t="str">
        <f t="shared" si="39"/>
        <v>SOCIAL SECURITY TAXES</v>
      </c>
    </row>
    <row r="2686" spans="1:9" x14ac:dyDescent="0.3">
      <c r="A2686" t="str">
        <f>""</f>
        <v/>
      </c>
      <c r="F2686" t="str">
        <f>""</f>
        <v/>
      </c>
      <c r="G2686" t="str">
        <f>""</f>
        <v/>
      </c>
      <c r="I2686" t="str">
        <f t="shared" si="39"/>
        <v>SOCIAL SECURITY TAXES</v>
      </c>
    </row>
    <row r="2687" spans="1:9" x14ac:dyDescent="0.3">
      <c r="A2687" t="str">
        <f>""</f>
        <v/>
      </c>
      <c r="F2687" t="str">
        <f>""</f>
        <v/>
      </c>
      <c r="G2687" t="str">
        <f>""</f>
        <v/>
      </c>
      <c r="I2687" t="str">
        <f t="shared" si="39"/>
        <v>SOCIAL SECURITY TAXES</v>
      </c>
    </row>
    <row r="2688" spans="1:9" x14ac:dyDescent="0.3">
      <c r="A2688" t="str">
        <f>""</f>
        <v/>
      </c>
      <c r="F2688" t="str">
        <f>""</f>
        <v/>
      </c>
      <c r="G2688" t="str">
        <f>""</f>
        <v/>
      </c>
      <c r="I2688" t="str">
        <f t="shared" si="39"/>
        <v>SOCIAL SECURITY TAXES</v>
      </c>
    </row>
    <row r="2689" spans="1:9" x14ac:dyDescent="0.3">
      <c r="A2689" t="str">
        <f>""</f>
        <v/>
      </c>
      <c r="F2689" t="str">
        <f>""</f>
        <v/>
      </c>
      <c r="G2689" t="str">
        <f>""</f>
        <v/>
      </c>
      <c r="I2689" t="str">
        <f t="shared" si="39"/>
        <v>SOCIAL SECURITY TAXES</v>
      </c>
    </row>
    <row r="2690" spans="1:9" x14ac:dyDescent="0.3">
      <c r="A2690" t="str">
        <f>""</f>
        <v/>
      </c>
      <c r="F2690" t="str">
        <f>""</f>
        <v/>
      </c>
      <c r="G2690" t="str">
        <f>""</f>
        <v/>
      </c>
      <c r="I2690" t="str">
        <f t="shared" si="39"/>
        <v>SOCIAL SECURITY TAXES</v>
      </c>
    </row>
    <row r="2691" spans="1:9" x14ac:dyDescent="0.3">
      <c r="A2691" t="str">
        <f>""</f>
        <v/>
      </c>
      <c r="F2691" t="str">
        <f>""</f>
        <v/>
      </c>
      <c r="G2691" t="str">
        <f>""</f>
        <v/>
      </c>
      <c r="I2691" t="str">
        <f t="shared" si="39"/>
        <v>SOCIAL SECURITY TAXES</v>
      </c>
    </row>
    <row r="2692" spans="1:9" x14ac:dyDescent="0.3">
      <c r="A2692" t="str">
        <f>""</f>
        <v/>
      </c>
      <c r="F2692" t="str">
        <f>""</f>
        <v/>
      </c>
      <c r="G2692" t="str">
        <f>""</f>
        <v/>
      </c>
      <c r="I2692" t="str">
        <f t="shared" si="39"/>
        <v>SOCIAL SECURITY TAXES</v>
      </c>
    </row>
    <row r="2693" spans="1:9" x14ac:dyDescent="0.3">
      <c r="A2693" t="str">
        <f>""</f>
        <v/>
      </c>
      <c r="F2693" t="str">
        <f>""</f>
        <v/>
      </c>
      <c r="G2693" t="str">
        <f>""</f>
        <v/>
      </c>
      <c r="I2693" t="str">
        <f t="shared" si="39"/>
        <v>SOCIAL SECURITY TAXES</v>
      </c>
    </row>
    <row r="2694" spans="1:9" x14ac:dyDescent="0.3">
      <c r="A2694" t="str">
        <f>""</f>
        <v/>
      </c>
      <c r="F2694" t="str">
        <f>""</f>
        <v/>
      </c>
      <c r="G2694" t="str">
        <f>""</f>
        <v/>
      </c>
      <c r="I2694" t="str">
        <f t="shared" si="39"/>
        <v>SOCIAL SECURITY TAXES</v>
      </c>
    </row>
    <row r="2695" spans="1:9" x14ac:dyDescent="0.3">
      <c r="A2695" t="str">
        <f>""</f>
        <v/>
      </c>
      <c r="F2695" t="str">
        <f>""</f>
        <v/>
      </c>
      <c r="G2695" t="str">
        <f>""</f>
        <v/>
      </c>
      <c r="I2695" t="str">
        <f t="shared" si="39"/>
        <v>SOCIAL SECURITY TAXES</v>
      </c>
    </row>
    <row r="2696" spans="1:9" x14ac:dyDescent="0.3">
      <c r="A2696" t="str">
        <f>""</f>
        <v/>
      </c>
      <c r="F2696" t="str">
        <f>""</f>
        <v/>
      </c>
      <c r="G2696" t="str">
        <f>""</f>
        <v/>
      </c>
      <c r="I2696" t="str">
        <f t="shared" si="39"/>
        <v>SOCIAL SECURITY TAXES</v>
      </c>
    </row>
    <row r="2697" spans="1:9" x14ac:dyDescent="0.3">
      <c r="A2697" t="str">
        <f>""</f>
        <v/>
      </c>
      <c r="F2697" t="str">
        <f>""</f>
        <v/>
      </c>
      <c r="G2697" t="str">
        <f>""</f>
        <v/>
      </c>
      <c r="I2697" t="str">
        <f t="shared" si="39"/>
        <v>SOCIAL SECURITY TAXES</v>
      </c>
    </row>
    <row r="2698" spans="1:9" x14ac:dyDescent="0.3">
      <c r="A2698" t="str">
        <f>""</f>
        <v/>
      </c>
      <c r="F2698" t="str">
        <f>""</f>
        <v/>
      </c>
      <c r="G2698" t="str">
        <f>""</f>
        <v/>
      </c>
      <c r="I2698" t="str">
        <f t="shared" si="39"/>
        <v>SOCIAL SECURITY TAXES</v>
      </c>
    </row>
    <row r="2699" spans="1:9" x14ac:dyDescent="0.3">
      <c r="A2699" t="str">
        <f>""</f>
        <v/>
      </c>
      <c r="F2699" t="str">
        <f>""</f>
        <v/>
      </c>
      <c r="G2699" t="str">
        <f>""</f>
        <v/>
      </c>
      <c r="I2699" t="str">
        <f t="shared" si="39"/>
        <v>SOCIAL SECURITY TAXES</v>
      </c>
    </row>
    <row r="2700" spans="1:9" x14ac:dyDescent="0.3">
      <c r="A2700" t="str">
        <f>""</f>
        <v/>
      </c>
      <c r="F2700" t="str">
        <f>""</f>
        <v/>
      </c>
      <c r="G2700" t="str">
        <f>""</f>
        <v/>
      </c>
      <c r="I2700" t="str">
        <f t="shared" ref="I2700:I2724" si="40">"SOCIAL SECURITY TAXES"</f>
        <v>SOCIAL SECURITY TAXES</v>
      </c>
    </row>
    <row r="2701" spans="1:9" x14ac:dyDescent="0.3">
      <c r="A2701" t="str">
        <f>""</f>
        <v/>
      </c>
      <c r="F2701" t="str">
        <f>""</f>
        <v/>
      </c>
      <c r="G2701" t="str">
        <f>""</f>
        <v/>
      </c>
      <c r="I2701" t="str">
        <f t="shared" si="40"/>
        <v>SOCIAL SECURITY TAXES</v>
      </c>
    </row>
    <row r="2702" spans="1:9" x14ac:dyDescent="0.3">
      <c r="A2702" t="str">
        <f>""</f>
        <v/>
      </c>
      <c r="F2702" t="str">
        <f>""</f>
        <v/>
      </c>
      <c r="G2702" t="str">
        <f>""</f>
        <v/>
      </c>
      <c r="I2702" t="str">
        <f t="shared" si="40"/>
        <v>SOCIAL SECURITY TAXES</v>
      </c>
    </row>
    <row r="2703" spans="1:9" x14ac:dyDescent="0.3">
      <c r="A2703" t="str">
        <f>""</f>
        <v/>
      </c>
      <c r="F2703" t="str">
        <f>""</f>
        <v/>
      </c>
      <c r="G2703" t="str">
        <f>""</f>
        <v/>
      </c>
      <c r="I2703" t="str">
        <f t="shared" si="40"/>
        <v>SOCIAL SECURITY TAXES</v>
      </c>
    </row>
    <row r="2704" spans="1:9" x14ac:dyDescent="0.3">
      <c r="A2704" t="str">
        <f>""</f>
        <v/>
      </c>
      <c r="F2704" t="str">
        <f>""</f>
        <v/>
      </c>
      <c r="G2704" t="str">
        <f>""</f>
        <v/>
      </c>
      <c r="I2704" t="str">
        <f t="shared" si="40"/>
        <v>SOCIAL SECURITY TAXES</v>
      </c>
    </row>
    <row r="2705" spans="1:9" x14ac:dyDescent="0.3">
      <c r="A2705" t="str">
        <f>""</f>
        <v/>
      </c>
      <c r="F2705" t="str">
        <f>""</f>
        <v/>
      </c>
      <c r="G2705" t="str">
        <f>""</f>
        <v/>
      </c>
      <c r="I2705" t="str">
        <f t="shared" si="40"/>
        <v>SOCIAL SECURITY TAXES</v>
      </c>
    </row>
    <row r="2706" spans="1:9" x14ac:dyDescent="0.3">
      <c r="A2706" t="str">
        <f>""</f>
        <v/>
      </c>
      <c r="F2706" t="str">
        <f>""</f>
        <v/>
      </c>
      <c r="G2706" t="str">
        <f>""</f>
        <v/>
      </c>
      <c r="I2706" t="str">
        <f t="shared" si="40"/>
        <v>SOCIAL SECURITY TAXES</v>
      </c>
    </row>
    <row r="2707" spans="1:9" x14ac:dyDescent="0.3">
      <c r="A2707" t="str">
        <f>""</f>
        <v/>
      </c>
      <c r="F2707" t="str">
        <f>""</f>
        <v/>
      </c>
      <c r="G2707" t="str">
        <f>""</f>
        <v/>
      </c>
      <c r="I2707" t="str">
        <f t="shared" si="40"/>
        <v>SOCIAL SECURITY TAXES</v>
      </c>
    </row>
    <row r="2708" spans="1:9" x14ac:dyDescent="0.3">
      <c r="A2708" t="str">
        <f>""</f>
        <v/>
      </c>
      <c r="F2708" t="str">
        <f>""</f>
        <v/>
      </c>
      <c r="G2708" t="str">
        <f>""</f>
        <v/>
      </c>
      <c r="I2708" t="str">
        <f t="shared" si="40"/>
        <v>SOCIAL SECURITY TAXES</v>
      </c>
    </row>
    <row r="2709" spans="1:9" x14ac:dyDescent="0.3">
      <c r="A2709" t="str">
        <f>""</f>
        <v/>
      </c>
      <c r="F2709" t="str">
        <f>""</f>
        <v/>
      </c>
      <c r="G2709" t="str">
        <f>""</f>
        <v/>
      </c>
      <c r="I2709" t="str">
        <f t="shared" si="40"/>
        <v>SOCIAL SECURITY TAXES</v>
      </c>
    </row>
    <row r="2710" spans="1:9" x14ac:dyDescent="0.3">
      <c r="A2710" t="str">
        <f>""</f>
        <v/>
      </c>
      <c r="F2710" t="str">
        <f>""</f>
        <v/>
      </c>
      <c r="G2710" t="str">
        <f>""</f>
        <v/>
      </c>
      <c r="I2710" t="str">
        <f t="shared" si="40"/>
        <v>SOCIAL SECURITY TAXES</v>
      </c>
    </row>
    <row r="2711" spans="1:9" x14ac:dyDescent="0.3">
      <c r="A2711" t="str">
        <f>""</f>
        <v/>
      </c>
      <c r="F2711" t="str">
        <f>""</f>
        <v/>
      </c>
      <c r="G2711" t="str">
        <f>""</f>
        <v/>
      </c>
      <c r="I2711" t="str">
        <f t="shared" si="40"/>
        <v>SOCIAL SECURITY TAXES</v>
      </c>
    </row>
    <row r="2712" spans="1:9" x14ac:dyDescent="0.3">
      <c r="A2712" t="str">
        <f>""</f>
        <v/>
      </c>
      <c r="F2712" t="str">
        <f>""</f>
        <v/>
      </c>
      <c r="G2712" t="str">
        <f>""</f>
        <v/>
      </c>
      <c r="I2712" t="str">
        <f t="shared" si="40"/>
        <v>SOCIAL SECURITY TAXES</v>
      </c>
    </row>
    <row r="2713" spans="1:9" x14ac:dyDescent="0.3">
      <c r="A2713" t="str">
        <f>""</f>
        <v/>
      </c>
      <c r="F2713" t="str">
        <f>""</f>
        <v/>
      </c>
      <c r="G2713" t="str">
        <f>""</f>
        <v/>
      </c>
      <c r="I2713" t="str">
        <f t="shared" si="40"/>
        <v>SOCIAL SECURITY TAXES</v>
      </c>
    </row>
    <row r="2714" spans="1:9" x14ac:dyDescent="0.3">
      <c r="A2714" t="str">
        <f>""</f>
        <v/>
      </c>
      <c r="F2714" t="str">
        <f>""</f>
        <v/>
      </c>
      <c r="G2714" t="str">
        <f>""</f>
        <v/>
      </c>
      <c r="I2714" t="str">
        <f t="shared" si="40"/>
        <v>SOCIAL SECURITY TAXES</v>
      </c>
    </row>
    <row r="2715" spans="1:9" x14ac:dyDescent="0.3">
      <c r="A2715" t="str">
        <f>""</f>
        <v/>
      </c>
      <c r="F2715" t="str">
        <f>""</f>
        <v/>
      </c>
      <c r="G2715" t="str">
        <f>""</f>
        <v/>
      </c>
      <c r="I2715" t="str">
        <f t="shared" si="40"/>
        <v>SOCIAL SECURITY TAXES</v>
      </c>
    </row>
    <row r="2716" spans="1:9" x14ac:dyDescent="0.3">
      <c r="A2716" t="str">
        <f>""</f>
        <v/>
      </c>
      <c r="F2716" t="str">
        <f>""</f>
        <v/>
      </c>
      <c r="G2716" t="str">
        <f>""</f>
        <v/>
      </c>
      <c r="I2716" t="str">
        <f t="shared" si="40"/>
        <v>SOCIAL SECURITY TAXES</v>
      </c>
    </row>
    <row r="2717" spans="1:9" x14ac:dyDescent="0.3">
      <c r="A2717" t="str">
        <f>""</f>
        <v/>
      </c>
      <c r="F2717" t="str">
        <f>""</f>
        <v/>
      </c>
      <c r="G2717" t="str">
        <f>""</f>
        <v/>
      </c>
      <c r="I2717" t="str">
        <f t="shared" si="40"/>
        <v>SOCIAL SECURITY TAXES</v>
      </c>
    </row>
    <row r="2718" spans="1:9" x14ac:dyDescent="0.3">
      <c r="A2718" t="str">
        <f>""</f>
        <v/>
      </c>
      <c r="F2718" t="str">
        <f>""</f>
        <v/>
      </c>
      <c r="G2718" t="str">
        <f>""</f>
        <v/>
      </c>
      <c r="I2718" t="str">
        <f t="shared" si="40"/>
        <v>SOCIAL SECURITY TAXES</v>
      </c>
    </row>
    <row r="2719" spans="1:9" x14ac:dyDescent="0.3">
      <c r="A2719" t="str">
        <f>""</f>
        <v/>
      </c>
      <c r="F2719" t="str">
        <f>""</f>
        <v/>
      </c>
      <c r="G2719" t="str">
        <f>""</f>
        <v/>
      </c>
      <c r="I2719" t="str">
        <f t="shared" si="40"/>
        <v>SOCIAL SECURITY TAXES</v>
      </c>
    </row>
    <row r="2720" spans="1:9" x14ac:dyDescent="0.3">
      <c r="A2720" t="str">
        <f>""</f>
        <v/>
      </c>
      <c r="F2720" t="str">
        <f>""</f>
        <v/>
      </c>
      <c r="G2720" t="str">
        <f>""</f>
        <v/>
      </c>
      <c r="I2720" t="str">
        <f t="shared" si="40"/>
        <v>SOCIAL SECURITY TAXES</v>
      </c>
    </row>
    <row r="2721" spans="1:9" x14ac:dyDescent="0.3">
      <c r="A2721" t="str">
        <f>""</f>
        <v/>
      </c>
      <c r="F2721" t="str">
        <f>"T3 201805161054"</f>
        <v>T3 201805161054</v>
      </c>
      <c r="G2721" t="str">
        <f>"SOCIAL SECURITY TAXES"</f>
        <v>SOCIAL SECURITY TAXES</v>
      </c>
      <c r="H2721">
        <v>3942.38</v>
      </c>
      <c r="I2721" t="str">
        <f t="shared" si="40"/>
        <v>SOCIAL SECURITY TAXES</v>
      </c>
    </row>
    <row r="2722" spans="1:9" x14ac:dyDescent="0.3">
      <c r="A2722" t="str">
        <f>""</f>
        <v/>
      </c>
      <c r="F2722" t="str">
        <f>""</f>
        <v/>
      </c>
      <c r="G2722" t="str">
        <f>""</f>
        <v/>
      </c>
      <c r="I2722" t="str">
        <f t="shared" si="40"/>
        <v>SOCIAL SECURITY TAXES</v>
      </c>
    </row>
    <row r="2723" spans="1:9" x14ac:dyDescent="0.3">
      <c r="A2723" t="str">
        <f>""</f>
        <v/>
      </c>
      <c r="F2723" t="str">
        <f>"T3 201805161055"</f>
        <v>T3 201805161055</v>
      </c>
      <c r="G2723" t="str">
        <f>"SOCIAL SECURITY TAXES"</f>
        <v>SOCIAL SECURITY TAXES</v>
      </c>
      <c r="H2723">
        <v>5637.54</v>
      </c>
      <c r="I2723" t="str">
        <f t="shared" si="40"/>
        <v>SOCIAL SECURITY TAXES</v>
      </c>
    </row>
    <row r="2724" spans="1:9" x14ac:dyDescent="0.3">
      <c r="A2724" t="str">
        <f>""</f>
        <v/>
      </c>
      <c r="F2724" t="str">
        <f>""</f>
        <v/>
      </c>
      <c r="G2724" t="str">
        <f>""</f>
        <v/>
      </c>
      <c r="I2724" t="str">
        <f t="shared" si="40"/>
        <v>SOCIAL SECURITY TAXES</v>
      </c>
    </row>
    <row r="2725" spans="1:9" x14ac:dyDescent="0.3">
      <c r="A2725" t="str">
        <f>""</f>
        <v/>
      </c>
      <c r="F2725" t="str">
        <f>"T4 201805161053"</f>
        <v>T4 201805161053</v>
      </c>
      <c r="G2725" t="str">
        <f>"MEDICARE TAXES"</f>
        <v>MEDICARE TAXES</v>
      </c>
      <c r="H2725">
        <v>24125.86</v>
      </c>
      <c r="I2725" t="str">
        <f t="shared" ref="I2725:I2756" si="41">"MEDICARE TAXES"</f>
        <v>MEDICARE TAXES</v>
      </c>
    </row>
    <row r="2726" spans="1:9" x14ac:dyDescent="0.3">
      <c r="A2726" t="str">
        <f>""</f>
        <v/>
      </c>
      <c r="F2726" t="str">
        <f>""</f>
        <v/>
      </c>
      <c r="G2726" t="str">
        <f>""</f>
        <v/>
      </c>
      <c r="I2726" t="str">
        <f t="shared" si="41"/>
        <v>MEDICARE TAXES</v>
      </c>
    </row>
    <row r="2727" spans="1:9" x14ac:dyDescent="0.3">
      <c r="A2727" t="str">
        <f>""</f>
        <v/>
      </c>
      <c r="F2727" t="str">
        <f>""</f>
        <v/>
      </c>
      <c r="G2727" t="str">
        <f>""</f>
        <v/>
      </c>
      <c r="I2727" t="str">
        <f t="shared" si="41"/>
        <v>MEDICARE TAXES</v>
      </c>
    </row>
    <row r="2728" spans="1:9" x14ac:dyDescent="0.3">
      <c r="A2728" t="str">
        <f>""</f>
        <v/>
      </c>
      <c r="F2728" t="str">
        <f>""</f>
        <v/>
      </c>
      <c r="G2728" t="str">
        <f>""</f>
        <v/>
      </c>
      <c r="I2728" t="str">
        <f t="shared" si="41"/>
        <v>MEDICARE TAXES</v>
      </c>
    </row>
    <row r="2729" spans="1:9" x14ac:dyDescent="0.3">
      <c r="A2729" t="str">
        <f>""</f>
        <v/>
      </c>
      <c r="F2729" t="str">
        <f>""</f>
        <v/>
      </c>
      <c r="G2729" t="str">
        <f>""</f>
        <v/>
      </c>
      <c r="I2729" t="str">
        <f t="shared" si="41"/>
        <v>MEDICARE TAXES</v>
      </c>
    </row>
    <row r="2730" spans="1:9" x14ac:dyDescent="0.3">
      <c r="A2730" t="str">
        <f>""</f>
        <v/>
      </c>
      <c r="F2730" t="str">
        <f>""</f>
        <v/>
      </c>
      <c r="G2730" t="str">
        <f>""</f>
        <v/>
      </c>
      <c r="I2730" t="str">
        <f t="shared" si="41"/>
        <v>MEDICARE TAXES</v>
      </c>
    </row>
    <row r="2731" spans="1:9" x14ac:dyDescent="0.3">
      <c r="A2731" t="str">
        <f>""</f>
        <v/>
      </c>
      <c r="F2731" t="str">
        <f>""</f>
        <v/>
      </c>
      <c r="G2731" t="str">
        <f>""</f>
        <v/>
      </c>
      <c r="I2731" t="str">
        <f t="shared" si="41"/>
        <v>MEDICARE TAXES</v>
      </c>
    </row>
    <row r="2732" spans="1:9" x14ac:dyDescent="0.3">
      <c r="A2732" t="str">
        <f>""</f>
        <v/>
      </c>
      <c r="F2732" t="str">
        <f>""</f>
        <v/>
      </c>
      <c r="G2732" t="str">
        <f>""</f>
        <v/>
      </c>
      <c r="I2732" t="str">
        <f t="shared" si="41"/>
        <v>MEDICARE TAXES</v>
      </c>
    </row>
    <row r="2733" spans="1:9" x14ac:dyDescent="0.3">
      <c r="A2733" t="str">
        <f>""</f>
        <v/>
      </c>
      <c r="F2733" t="str">
        <f>""</f>
        <v/>
      </c>
      <c r="G2733" t="str">
        <f>""</f>
        <v/>
      </c>
      <c r="I2733" t="str">
        <f t="shared" si="41"/>
        <v>MEDICARE TAXES</v>
      </c>
    </row>
    <row r="2734" spans="1:9" x14ac:dyDescent="0.3">
      <c r="A2734" t="str">
        <f>""</f>
        <v/>
      </c>
      <c r="F2734" t="str">
        <f>""</f>
        <v/>
      </c>
      <c r="G2734" t="str">
        <f>""</f>
        <v/>
      </c>
      <c r="I2734" t="str">
        <f t="shared" si="41"/>
        <v>MEDICARE TAXES</v>
      </c>
    </row>
    <row r="2735" spans="1:9" x14ac:dyDescent="0.3">
      <c r="A2735" t="str">
        <f>""</f>
        <v/>
      </c>
      <c r="F2735" t="str">
        <f>""</f>
        <v/>
      </c>
      <c r="G2735" t="str">
        <f>""</f>
        <v/>
      </c>
      <c r="I2735" t="str">
        <f t="shared" si="41"/>
        <v>MEDICARE TAXES</v>
      </c>
    </row>
    <row r="2736" spans="1:9" x14ac:dyDescent="0.3">
      <c r="A2736" t="str">
        <f>""</f>
        <v/>
      </c>
      <c r="F2736" t="str">
        <f>""</f>
        <v/>
      </c>
      <c r="G2736" t="str">
        <f>""</f>
        <v/>
      </c>
      <c r="I2736" t="str">
        <f t="shared" si="41"/>
        <v>MEDICARE TAXES</v>
      </c>
    </row>
    <row r="2737" spans="1:9" x14ac:dyDescent="0.3">
      <c r="A2737" t="str">
        <f>""</f>
        <v/>
      </c>
      <c r="F2737" t="str">
        <f>""</f>
        <v/>
      </c>
      <c r="G2737" t="str">
        <f>""</f>
        <v/>
      </c>
      <c r="I2737" t="str">
        <f t="shared" si="41"/>
        <v>MEDICARE TAXES</v>
      </c>
    </row>
    <row r="2738" spans="1:9" x14ac:dyDescent="0.3">
      <c r="A2738" t="str">
        <f>""</f>
        <v/>
      </c>
      <c r="F2738" t="str">
        <f>""</f>
        <v/>
      </c>
      <c r="G2738" t="str">
        <f>""</f>
        <v/>
      </c>
      <c r="I2738" t="str">
        <f t="shared" si="41"/>
        <v>MEDICARE TAXES</v>
      </c>
    </row>
    <row r="2739" spans="1:9" x14ac:dyDescent="0.3">
      <c r="A2739" t="str">
        <f>""</f>
        <v/>
      </c>
      <c r="F2739" t="str">
        <f>""</f>
        <v/>
      </c>
      <c r="G2739" t="str">
        <f>""</f>
        <v/>
      </c>
      <c r="I2739" t="str">
        <f t="shared" si="41"/>
        <v>MEDICARE TAXES</v>
      </c>
    </row>
    <row r="2740" spans="1:9" x14ac:dyDescent="0.3">
      <c r="A2740" t="str">
        <f>""</f>
        <v/>
      </c>
      <c r="F2740" t="str">
        <f>""</f>
        <v/>
      </c>
      <c r="G2740" t="str">
        <f>""</f>
        <v/>
      </c>
      <c r="I2740" t="str">
        <f t="shared" si="41"/>
        <v>MEDICARE TAXES</v>
      </c>
    </row>
    <row r="2741" spans="1:9" x14ac:dyDescent="0.3">
      <c r="A2741" t="str">
        <f>""</f>
        <v/>
      </c>
      <c r="F2741" t="str">
        <f>""</f>
        <v/>
      </c>
      <c r="G2741" t="str">
        <f>""</f>
        <v/>
      </c>
      <c r="I2741" t="str">
        <f t="shared" si="41"/>
        <v>MEDICARE TAXES</v>
      </c>
    </row>
    <row r="2742" spans="1:9" x14ac:dyDescent="0.3">
      <c r="A2742" t="str">
        <f>""</f>
        <v/>
      </c>
      <c r="F2742" t="str">
        <f>""</f>
        <v/>
      </c>
      <c r="G2742" t="str">
        <f>""</f>
        <v/>
      </c>
      <c r="I2742" t="str">
        <f t="shared" si="41"/>
        <v>MEDICARE TAXES</v>
      </c>
    </row>
    <row r="2743" spans="1:9" x14ac:dyDescent="0.3">
      <c r="A2743" t="str">
        <f>""</f>
        <v/>
      </c>
      <c r="F2743" t="str">
        <f>""</f>
        <v/>
      </c>
      <c r="G2743" t="str">
        <f>""</f>
        <v/>
      </c>
      <c r="I2743" t="str">
        <f t="shared" si="41"/>
        <v>MEDICARE TAXES</v>
      </c>
    </row>
    <row r="2744" spans="1:9" x14ac:dyDescent="0.3">
      <c r="A2744" t="str">
        <f>""</f>
        <v/>
      </c>
      <c r="F2744" t="str">
        <f>""</f>
        <v/>
      </c>
      <c r="G2744" t="str">
        <f>""</f>
        <v/>
      </c>
      <c r="I2744" t="str">
        <f t="shared" si="41"/>
        <v>MEDICARE TAXES</v>
      </c>
    </row>
    <row r="2745" spans="1:9" x14ac:dyDescent="0.3">
      <c r="A2745" t="str">
        <f>""</f>
        <v/>
      </c>
      <c r="F2745" t="str">
        <f>""</f>
        <v/>
      </c>
      <c r="G2745" t="str">
        <f>""</f>
        <v/>
      </c>
      <c r="I2745" t="str">
        <f t="shared" si="41"/>
        <v>MEDICARE TAXES</v>
      </c>
    </row>
    <row r="2746" spans="1:9" x14ac:dyDescent="0.3">
      <c r="A2746" t="str">
        <f>""</f>
        <v/>
      </c>
      <c r="F2746" t="str">
        <f>""</f>
        <v/>
      </c>
      <c r="G2746" t="str">
        <f>""</f>
        <v/>
      </c>
      <c r="I2746" t="str">
        <f t="shared" si="41"/>
        <v>MEDICARE TAXES</v>
      </c>
    </row>
    <row r="2747" spans="1:9" x14ac:dyDescent="0.3">
      <c r="A2747" t="str">
        <f>""</f>
        <v/>
      </c>
      <c r="F2747" t="str">
        <f>""</f>
        <v/>
      </c>
      <c r="G2747" t="str">
        <f>""</f>
        <v/>
      </c>
      <c r="I2747" t="str">
        <f t="shared" si="41"/>
        <v>MEDICARE TAXES</v>
      </c>
    </row>
    <row r="2748" spans="1:9" x14ac:dyDescent="0.3">
      <c r="A2748" t="str">
        <f>""</f>
        <v/>
      </c>
      <c r="F2748" t="str">
        <f>""</f>
        <v/>
      </c>
      <c r="G2748" t="str">
        <f>""</f>
        <v/>
      </c>
      <c r="I2748" t="str">
        <f t="shared" si="41"/>
        <v>MEDICARE TAXES</v>
      </c>
    </row>
    <row r="2749" spans="1:9" x14ac:dyDescent="0.3">
      <c r="A2749" t="str">
        <f>""</f>
        <v/>
      </c>
      <c r="F2749" t="str">
        <f>""</f>
        <v/>
      </c>
      <c r="G2749" t="str">
        <f>""</f>
        <v/>
      </c>
      <c r="I2749" t="str">
        <f t="shared" si="41"/>
        <v>MEDICARE TAXES</v>
      </c>
    </row>
    <row r="2750" spans="1:9" x14ac:dyDescent="0.3">
      <c r="A2750" t="str">
        <f>""</f>
        <v/>
      </c>
      <c r="F2750" t="str">
        <f>""</f>
        <v/>
      </c>
      <c r="G2750" t="str">
        <f>""</f>
        <v/>
      </c>
      <c r="I2750" t="str">
        <f t="shared" si="41"/>
        <v>MEDICARE TAXES</v>
      </c>
    </row>
    <row r="2751" spans="1:9" x14ac:dyDescent="0.3">
      <c r="A2751" t="str">
        <f>""</f>
        <v/>
      </c>
      <c r="F2751" t="str">
        <f>""</f>
        <v/>
      </c>
      <c r="G2751" t="str">
        <f>""</f>
        <v/>
      </c>
      <c r="I2751" t="str">
        <f t="shared" si="41"/>
        <v>MEDICARE TAXES</v>
      </c>
    </row>
    <row r="2752" spans="1:9" x14ac:dyDescent="0.3">
      <c r="A2752" t="str">
        <f>""</f>
        <v/>
      </c>
      <c r="F2752" t="str">
        <f>""</f>
        <v/>
      </c>
      <c r="G2752" t="str">
        <f>""</f>
        <v/>
      </c>
      <c r="I2752" t="str">
        <f t="shared" si="41"/>
        <v>MEDICARE TAXES</v>
      </c>
    </row>
    <row r="2753" spans="1:9" x14ac:dyDescent="0.3">
      <c r="A2753" t="str">
        <f>""</f>
        <v/>
      </c>
      <c r="F2753" t="str">
        <f>""</f>
        <v/>
      </c>
      <c r="G2753" t="str">
        <f>""</f>
        <v/>
      </c>
      <c r="I2753" t="str">
        <f t="shared" si="41"/>
        <v>MEDICARE TAXES</v>
      </c>
    </row>
    <row r="2754" spans="1:9" x14ac:dyDescent="0.3">
      <c r="A2754" t="str">
        <f>""</f>
        <v/>
      </c>
      <c r="F2754" t="str">
        <f>""</f>
        <v/>
      </c>
      <c r="G2754" t="str">
        <f>""</f>
        <v/>
      </c>
      <c r="I2754" t="str">
        <f t="shared" si="41"/>
        <v>MEDICARE TAXES</v>
      </c>
    </row>
    <row r="2755" spans="1:9" x14ac:dyDescent="0.3">
      <c r="A2755" t="str">
        <f>""</f>
        <v/>
      </c>
      <c r="F2755" t="str">
        <f>""</f>
        <v/>
      </c>
      <c r="G2755" t="str">
        <f>""</f>
        <v/>
      </c>
      <c r="I2755" t="str">
        <f t="shared" si="41"/>
        <v>MEDICARE TAXES</v>
      </c>
    </row>
    <row r="2756" spans="1:9" x14ac:dyDescent="0.3">
      <c r="A2756" t="str">
        <f>""</f>
        <v/>
      </c>
      <c r="F2756" t="str">
        <f>""</f>
        <v/>
      </c>
      <c r="G2756" t="str">
        <f>""</f>
        <v/>
      </c>
      <c r="I2756" t="str">
        <f t="shared" si="41"/>
        <v>MEDICARE TAXES</v>
      </c>
    </row>
    <row r="2757" spans="1:9" x14ac:dyDescent="0.3">
      <c r="A2757" t="str">
        <f>""</f>
        <v/>
      </c>
      <c r="F2757" t="str">
        <f>""</f>
        <v/>
      </c>
      <c r="G2757" t="str">
        <f>""</f>
        <v/>
      </c>
      <c r="I2757" t="str">
        <f t="shared" ref="I2757:I2781" si="42">"MEDICARE TAXES"</f>
        <v>MEDICARE TAXES</v>
      </c>
    </row>
    <row r="2758" spans="1:9" x14ac:dyDescent="0.3">
      <c r="A2758" t="str">
        <f>""</f>
        <v/>
      </c>
      <c r="F2758" t="str">
        <f>""</f>
        <v/>
      </c>
      <c r="G2758" t="str">
        <f>""</f>
        <v/>
      </c>
      <c r="I2758" t="str">
        <f t="shared" si="42"/>
        <v>MEDICARE TAXES</v>
      </c>
    </row>
    <row r="2759" spans="1:9" x14ac:dyDescent="0.3">
      <c r="A2759" t="str">
        <f>""</f>
        <v/>
      </c>
      <c r="F2759" t="str">
        <f>""</f>
        <v/>
      </c>
      <c r="G2759" t="str">
        <f>""</f>
        <v/>
      </c>
      <c r="I2759" t="str">
        <f t="shared" si="42"/>
        <v>MEDICARE TAXES</v>
      </c>
    </row>
    <row r="2760" spans="1:9" x14ac:dyDescent="0.3">
      <c r="A2760" t="str">
        <f>""</f>
        <v/>
      </c>
      <c r="F2760" t="str">
        <f>""</f>
        <v/>
      </c>
      <c r="G2760" t="str">
        <f>""</f>
        <v/>
      </c>
      <c r="I2760" t="str">
        <f t="shared" si="42"/>
        <v>MEDICARE TAXES</v>
      </c>
    </row>
    <row r="2761" spans="1:9" x14ac:dyDescent="0.3">
      <c r="A2761" t="str">
        <f>""</f>
        <v/>
      </c>
      <c r="F2761" t="str">
        <f>""</f>
        <v/>
      </c>
      <c r="G2761" t="str">
        <f>""</f>
        <v/>
      </c>
      <c r="I2761" t="str">
        <f t="shared" si="42"/>
        <v>MEDICARE TAXES</v>
      </c>
    </row>
    <row r="2762" spans="1:9" x14ac:dyDescent="0.3">
      <c r="A2762" t="str">
        <f>""</f>
        <v/>
      </c>
      <c r="F2762" t="str">
        <f>""</f>
        <v/>
      </c>
      <c r="G2762" t="str">
        <f>""</f>
        <v/>
      </c>
      <c r="I2762" t="str">
        <f t="shared" si="42"/>
        <v>MEDICARE TAXES</v>
      </c>
    </row>
    <row r="2763" spans="1:9" x14ac:dyDescent="0.3">
      <c r="A2763" t="str">
        <f>""</f>
        <v/>
      </c>
      <c r="F2763" t="str">
        <f>""</f>
        <v/>
      </c>
      <c r="G2763" t="str">
        <f>""</f>
        <v/>
      </c>
      <c r="I2763" t="str">
        <f t="shared" si="42"/>
        <v>MEDICARE TAXES</v>
      </c>
    </row>
    <row r="2764" spans="1:9" x14ac:dyDescent="0.3">
      <c r="A2764" t="str">
        <f>""</f>
        <v/>
      </c>
      <c r="F2764" t="str">
        <f>""</f>
        <v/>
      </c>
      <c r="G2764" t="str">
        <f>""</f>
        <v/>
      </c>
      <c r="I2764" t="str">
        <f t="shared" si="42"/>
        <v>MEDICARE TAXES</v>
      </c>
    </row>
    <row r="2765" spans="1:9" x14ac:dyDescent="0.3">
      <c r="A2765" t="str">
        <f>""</f>
        <v/>
      </c>
      <c r="F2765" t="str">
        <f>""</f>
        <v/>
      </c>
      <c r="G2765" t="str">
        <f>""</f>
        <v/>
      </c>
      <c r="I2765" t="str">
        <f t="shared" si="42"/>
        <v>MEDICARE TAXES</v>
      </c>
    </row>
    <row r="2766" spans="1:9" x14ac:dyDescent="0.3">
      <c r="A2766" t="str">
        <f>""</f>
        <v/>
      </c>
      <c r="F2766" t="str">
        <f>""</f>
        <v/>
      </c>
      <c r="G2766" t="str">
        <f>""</f>
        <v/>
      </c>
      <c r="I2766" t="str">
        <f t="shared" si="42"/>
        <v>MEDICARE TAXES</v>
      </c>
    </row>
    <row r="2767" spans="1:9" x14ac:dyDescent="0.3">
      <c r="A2767" t="str">
        <f>""</f>
        <v/>
      </c>
      <c r="F2767" t="str">
        <f>""</f>
        <v/>
      </c>
      <c r="G2767" t="str">
        <f>""</f>
        <v/>
      </c>
      <c r="I2767" t="str">
        <f t="shared" si="42"/>
        <v>MEDICARE TAXES</v>
      </c>
    </row>
    <row r="2768" spans="1:9" x14ac:dyDescent="0.3">
      <c r="A2768" t="str">
        <f>""</f>
        <v/>
      </c>
      <c r="F2768" t="str">
        <f>""</f>
        <v/>
      </c>
      <c r="G2768" t="str">
        <f>""</f>
        <v/>
      </c>
      <c r="I2768" t="str">
        <f t="shared" si="42"/>
        <v>MEDICARE TAXES</v>
      </c>
    </row>
    <row r="2769" spans="1:9" x14ac:dyDescent="0.3">
      <c r="A2769" t="str">
        <f>""</f>
        <v/>
      </c>
      <c r="F2769" t="str">
        <f>""</f>
        <v/>
      </c>
      <c r="G2769" t="str">
        <f>""</f>
        <v/>
      </c>
      <c r="I2769" t="str">
        <f t="shared" si="42"/>
        <v>MEDICARE TAXES</v>
      </c>
    </row>
    <row r="2770" spans="1:9" x14ac:dyDescent="0.3">
      <c r="A2770" t="str">
        <f>""</f>
        <v/>
      </c>
      <c r="F2770" t="str">
        <f>""</f>
        <v/>
      </c>
      <c r="G2770" t="str">
        <f>""</f>
        <v/>
      </c>
      <c r="I2770" t="str">
        <f t="shared" si="42"/>
        <v>MEDICARE TAXES</v>
      </c>
    </row>
    <row r="2771" spans="1:9" x14ac:dyDescent="0.3">
      <c r="A2771" t="str">
        <f>""</f>
        <v/>
      </c>
      <c r="F2771" t="str">
        <f>""</f>
        <v/>
      </c>
      <c r="G2771" t="str">
        <f>""</f>
        <v/>
      </c>
      <c r="I2771" t="str">
        <f t="shared" si="42"/>
        <v>MEDICARE TAXES</v>
      </c>
    </row>
    <row r="2772" spans="1:9" x14ac:dyDescent="0.3">
      <c r="A2772" t="str">
        <f>""</f>
        <v/>
      </c>
      <c r="F2772" t="str">
        <f>""</f>
        <v/>
      </c>
      <c r="G2772" t="str">
        <f>""</f>
        <v/>
      </c>
      <c r="I2772" t="str">
        <f t="shared" si="42"/>
        <v>MEDICARE TAXES</v>
      </c>
    </row>
    <row r="2773" spans="1:9" x14ac:dyDescent="0.3">
      <c r="A2773" t="str">
        <f>""</f>
        <v/>
      </c>
      <c r="F2773" t="str">
        <f>""</f>
        <v/>
      </c>
      <c r="G2773" t="str">
        <f>""</f>
        <v/>
      </c>
      <c r="I2773" t="str">
        <f t="shared" si="42"/>
        <v>MEDICARE TAXES</v>
      </c>
    </row>
    <row r="2774" spans="1:9" x14ac:dyDescent="0.3">
      <c r="A2774" t="str">
        <f>""</f>
        <v/>
      </c>
      <c r="F2774" t="str">
        <f>""</f>
        <v/>
      </c>
      <c r="G2774" t="str">
        <f>""</f>
        <v/>
      </c>
      <c r="I2774" t="str">
        <f t="shared" si="42"/>
        <v>MEDICARE TAXES</v>
      </c>
    </row>
    <row r="2775" spans="1:9" x14ac:dyDescent="0.3">
      <c r="A2775" t="str">
        <f>""</f>
        <v/>
      </c>
      <c r="F2775" t="str">
        <f>""</f>
        <v/>
      </c>
      <c r="G2775" t="str">
        <f>""</f>
        <v/>
      </c>
      <c r="I2775" t="str">
        <f t="shared" si="42"/>
        <v>MEDICARE TAXES</v>
      </c>
    </row>
    <row r="2776" spans="1:9" x14ac:dyDescent="0.3">
      <c r="A2776" t="str">
        <f>""</f>
        <v/>
      </c>
      <c r="F2776" t="str">
        <f>""</f>
        <v/>
      </c>
      <c r="G2776" t="str">
        <f>""</f>
        <v/>
      </c>
      <c r="I2776" t="str">
        <f t="shared" si="42"/>
        <v>MEDICARE TAXES</v>
      </c>
    </row>
    <row r="2777" spans="1:9" x14ac:dyDescent="0.3">
      <c r="A2777" t="str">
        <f>""</f>
        <v/>
      </c>
      <c r="F2777" t="str">
        <f>""</f>
        <v/>
      </c>
      <c r="G2777" t="str">
        <f>""</f>
        <v/>
      </c>
      <c r="I2777" t="str">
        <f t="shared" si="42"/>
        <v>MEDICARE TAXES</v>
      </c>
    </row>
    <row r="2778" spans="1:9" x14ac:dyDescent="0.3">
      <c r="A2778" t="str">
        <f>""</f>
        <v/>
      </c>
      <c r="F2778" t="str">
        <f>"T4 201805161054"</f>
        <v>T4 201805161054</v>
      </c>
      <c r="G2778" t="str">
        <f>"MEDICARE TAXES"</f>
        <v>MEDICARE TAXES</v>
      </c>
      <c r="H2778">
        <v>922</v>
      </c>
      <c r="I2778" t="str">
        <f t="shared" si="42"/>
        <v>MEDICARE TAXES</v>
      </c>
    </row>
    <row r="2779" spans="1:9" x14ac:dyDescent="0.3">
      <c r="A2779" t="str">
        <f>""</f>
        <v/>
      </c>
      <c r="F2779" t="str">
        <f>""</f>
        <v/>
      </c>
      <c r="G2779" t="str">
        <f>""</f>
        <v/>
      </c>
      <c r="I2779" t="str">
        <f t="shared" si="42"/>
        <v>MEDICARE TAXES</v>
      </c>
    </row>
    <row r="2780" spans="1:9" x14ac:dyDescent="0.3">
      <c r="A2780" t="str">
        <f>""</f>
        <v/>
      </c>
      <c r="F2780" t="str">
        <f>"T4 201805161055"</f>
        <v>T4 201805161055</v>
      </c>
      <c r="G2780" t="str">
        <f>"MEDICARE TAXES"</f>
        <v>MEDICARE TAXES</v>
      </c>
      <c r="H2780">
        <v>1318.48</v>
      </c>
      <c r="I2780" t="str">
        <f t="shared" si="42"/>
        <v>MEDICARE TAXES</v>
      </c>
    </row>
    <row r="2781" spans="1:9" x14ac:dyDescent="0.3">
      <c r="A2781" t="str">
        <f>""</f>
        <v/>
      </c>
      <c r="F2781" t="str">
        <f>""</f>
        <v/>
      </c>
      <c r="G2781" t="str">
        <f>""</f>
        <v/>
      </c>
      <c r="I2781" t="str">
        <f t="shared" si="42"/>
        <v>MEDICARE TAXES</v>
      </c>
    </row>
    <row r="2782" spans="1:9" x14ac:dyDescent="0.3">
      <c r="A2782" t="str">
        <f>"IRSPY"</f>
        <v>IRSPY</v>
      </c>
      <c r="B2782" t="s">
        <v>571</v>
      </c>
      <c r="C2782">
        <v>0</v>
      </c>
      <c r="D2782" s="2">
        <v>2020.9</v>
      </c>
      <c r="E2782" s="1">
        <v>43249</v>
      </c>
      <c r="F2782" t="str">
        <f>"T3 201805251195"</f>
        <v>T3 201805251195</v>
      </c>
      <c r="G2782" t="str">
        <f>"SOCIAL SECURITY TAXES"</f>
        <v>SOCIAL SECURITY TAXES</v>
      </c>
      <c r="H2782">
        <v>1637.86</v>
      </c>
      <c r="I2782" t="str">
        <f>"SOCIAL SECURITY TAXES"</f>
        <v>SOCIAL SECURITY TAXES</v>
      </c>
    </row>
    <row r="2783" spans="1:9" x14ac:dyDescent="0.3">
      <c r="A2783" t="str">
        <f>""</f>
        <v/>
      </c>
      <c r="F2783" t="str">
        <f>""</f>
        <v/>
      </c>
      <c r="G2783" t="str">
        <f>""</f>
        <v/>
      </c>
      <c r="I2783" t="str">
        <f>"SOCIAL SECURITY TAXES"</f>
        <v>SOCIAL SECURITY TAXES</v>
      </c>
    </row>
    <row r="2784" spans="1:9" x14ac:dyDescent="0.3">
      <c r="A2784" t="str">
        <f>""</f>
        <v/>
      </c>
      <c r="F2784" t="str">
        <f>"T4 201805251195"</f>
        <v>T4 201805251195</v>
      </c>
      <c r="G2784" t="str">
        <f>"MEDICARE TAXES"</f>
        <v>MEDICARE TAXES</v>
      </c>
      <c r="H2784">
        <v>383.04</v>
      </c>
      <c r="I2784" t="str">
        <f>"MEDICARE TAXES"</f>
        <v>MEDICARE TAXES</v>
      </c>
    </row>
    <row r="2785" spans="1:9" x14ac:dyDescent="0.3">
      <c r="A2785" t="str">
        <f>""</f>
        <v/>
      </c>
      <c r="F2785" t="str">
        <f>""</f>
        <v/>
      </c>
      <c r="G2785" t="str">
        <f>""</f>
        <v/>
      </c>
      <c r="I2785" t="str">
        <f>"MEDICARE TAXES"</f>
        <v>MEDICARE TAXES</v>
      </c>
    </row>
    <row r="2786" spans="1:9" x14ac:dyDescent="0.3">
      <c r="A2786" t="str">
        <f>"005157"</f>
        <v>005157</v>
      </c>
      <c r="B2786" t="s">
        <v>572</v>
      </c>
      <c r="C2786">
        <v>46312</v>
      </c>
      <c r="D2786" s="2">
        <v>159</v>
      </c>
      <c r="E2786" s="1">
        <v>43228</v>
      </c>
      <c r="F2786" t="str">
        <f>"201805080877"</f>
        <v>201805080877</v>
      </c>
      <c r="G2786" t="str">
        <f>"KRISTIN BURNS"</f>
        <v>KRISTIN BURNS</v>
      </c>
      <c r="H2786">
        <v>159</v>
      </c>
      <c r="I2786" t="str">
        <f>"KRISTIN BURNS"</f>
        <v>KRISTIN BURNS</v>
      </c>
    </row>
    <row r="2787" spans="1:9" x14ac:dyDescent="0.3">
      <c r="A2787" t="str">
        <f>"004638"</f>
        <v>004638</v>
      </c>
      <c r="B2787" t="s">
        <v>573</v>
      </c>
      <c r="C2787">
        <v>46306</v>
      </c>
      <c r="D2787" s="2">
        <v>268.74</v>
      </c>
      <c r="E2787" s="1">
        <v>43224</v>
      </c>
      <c r="F2787" t="str">
        <f>"C64201805010494"</f>
        <v>C64201805010494</v>
      </c>
      <c r="G2787" t="str">
        <f>"CASE #912745322"</f>
        <v>CASE #912745322</v>
      </c>
      <c r="H2787">
        <v>268.74</v>
      </c>
      <c r="I2787" t="str">
        <f>"CASE #912745322"</f>
        <v>CASE #912745322</v>
      </c>
    </row>
    <row r="2788" spans="1:9" x14ac:dyDescent="0.3">
      <c r="A2788" t="str">
        <f>"004638"</f>
        <v>004638</v>
      </c>
      <c r="B2788" t="s">
        <v>573</v>
      </c>
      <c r="C2788">
        <v>46347</v>
      </c>
      <c r="D2788" s="2">
        <v>268.74</v>
      </c>
      <c r="E2788" s="1">
        <v>43238</v>
      </c>
      <c r="F2788" t="str">
        <f>"C64201805161053"</f>
        <v>C64201805161053</v>
      </c>
      <c r="G2788" t="str">
        <f>"CASE #912745322"</f>
        <v>CASE #912745322</v>
      </c>
      <c r="H2788">
        <v>268.74</v>
      </c>
      <c r="I2788" t="str">
        <f>"CASE #912745322"</f>
        <v>CASE #912745322</v>
      </c>
    </row>
    <row r="2789" spans="1:9" x14ac:dyDescent="0.3">
      <c r="A2789" t="str">
        <f>"001507"</f>
        <v>001507</v>
      </c>
      <c r="B2789" t="s">
        <v>574</v>
      </c>
      <c r="C2789">
        <v>0</v>
      </c>
      <c r="D2789" s="2">
        <v>28070.74</v>
      </c>
      <c r="E2789" s="1">
        <v>43242</v>
      </c>
      <c r="F2789" t="str">
        <f>"201805211102"</f>
        <v>201805211102</v>
      </c>
      <c r="G2789" t="str">
        <f>"MONUMENTAL LIFE INS CO"</f>
        <v>MONUMENTAL LIFE INS CO</v>
      </c>
      <c r="H2789">
        <v>28070.74</v>
      </c>
      <c r="I2789" t="str">
        <f>"MONUMENTAL LIFE INS CO"</f>
        <v>MONUMENTAL LIFE INS CO</v>
      </c>
    </row>
    <row r="2790" spans="1:9" x14ac:dyDescent="0.3">
      <c r="A2790" t="str">
        <f>"002456"</f>
        <v>002456</v>
      </c>
      <c r="B2790" t="s">
        <v>575</v>
      </c>
      <c r="C2790">
        <v>0</v>
      </c>
      <c r="D2790" s="2">
        <v>731.02</v>
      </c>
      <c r="E2790" s="1">
        <v>43242</v>
      </c>
      <c r="F2790" t="str">
        <f>"LIX201805010494"</f>
        <v>LIX201805010494</v>
      </c>
      <c r="G2790" t="str">
        <f>"TEXAS LIFE/OLIVO GROUP"</f>
        <v>TEXAS LIFE/OLIVO GROUP</v>
      </c>
      <c r="H2790">
        <v>365.51</v>
      </c>
      <c r="I2790" t="str">
        <f>"TEXAS LIFE/OLIVO GROUP"</f>
        <v>TEXAS LIFE/OLIVO GROUP</v>
      </c>
    </row>
    <row r="2791" spans="1:9" x14ac:dyDescent="0.3">
      <c r="A2791" t="str">
        <f>""</f>
        <v/>
      </c>
      <c r="F2791" t="str">
        <f>"LIX201805161053"</f>
        <v>LIX201805161053</v>
      </c>
      <c r="G2791" t="str">
        <f>"TEXAS LIFE/OLIVO GROUP"</f>
        <v>TEXAS LIFE/OLIVO GROUP</v>
      </c>
      <c r="H2791">
        <v>365.51</v>
      </c>
      <c r="I2791" t="str">
        <f>"TEXAS LIFE/OLIVO GROUP"</f>
        <v>TEXAS LIFE/OLIVO GROUP</v>
      </c>
    </row>
    <row r="2792" spans="1:9" x14ac:dyDescent="0.3">
      <c r="A2792" t="str">
        <f>"TACHEB"</f>
        <v>TACHEB</v>
      </c>
      <c r="B2792" t="s">
        <v>576</v>
      </c>
      <c r="C2792">
        <v>46353</v>
      </c>
      <c r="D2792" s="2">
        <v>338027.48</v>
      </c>
      <c r="E2792" s="1">
        <v>43242</v>
      </c>
      <c r="F2792" t="str">
        <f>"201805211101"</f>
        <v>201805211101</v>
      </c>
      <c r="G2792" t="str">
        <f>"Retiree May 2018"</f>
        <v>Retiree May 2018</v>
      </c>
      <c r="H2792">
        <v>15769.22</v>
      </c>
      <c r="I2792" t="str">
        <f>"Retiree May 2018"</f>
        <v>Retiree May 2018</v>
      </c>
    </row>
    <row r="2793" spans="1:9" x14ac:dyDescent="0.3">
      <c r="A2793" t="str">
        <f>""</f>
        <v/>
      </c>
      <c r="F2793" t="str">
        <f>"2EC201805010494"</f>
        <v>2EC201805010494</v>
      </c>
      <c r="G2793" t="str">
        <f>"BCBS PAYABLE"</f>
        <v>BCBS PAYABLE</v>
      </c>
      <c r="H2793">
        <v>44881</v>
      </c>
      <c r="I2793" t="str">
        <f t="shared" ref="I2793:I2856" si="43">"BCBS PAYABLE"</f>
        <v>BCBS PAYABLE</v>
      </c>
    </row>
    <row r="2794" spans="1:9" x14ac:dyDescent="0.3">
      <c r="A2794" t="str">
        <f>""</f>
        <v/>
      </c>
      <c r="F2794" t="str">
        <f>""</f>
        <v/>
      </c>
      <c r="G2794" t="str">
        <f>""</f>
        <v/>
      </c>
      <c r="I2794" t="str">
        <f t="shared" si="43"/>
        <v>BCBS PAYABLE</v>
      </c>
    </row>
    <row r="2795" spans="1:9" x14ac:dyDescent="0.3">
      <c r="A2795" t="str">
        <f>""</f>
        <v/>
      </c>
      <c r="F2795" t="str">
        <f>""</f>
        <v/>
      </c>
      <c r="G2795" t="str">
        <f>""</f>
        <v/>
      </c>
      <c r="I2795" t="str">
        <f t="shared" si="43"/>
        <v>BCBS PAYABLE</v>
      </c>
    </row>
    <row r="2796" spans="1:9" x14ac:dyDescent="0.3">
      <c r="A2796" t="str">
        <f>""</f>
        <v/>
      </c>
      <c r="F2796" t="str">
        <f>""</f>
        <v/>
      </c>
      <c r="G2796" t="str">
        <f>""</f>
        <v/>
      </c>
      <c r="I2796" t="str">
        <f t="shared" si="43"/>
        <v>BCBS PAYABLE</v>
      </c>
    </row>
    <row r="2797" spans="1:9" x14ac:dyDescent="0.3">
      <c r="A2797" t="str">
        <f>""</f>
        <v/>
      </c>
      <c r="F2797" t="str">
        <f>""</f>
        <v/>
      </c>
      <c r="G2797" t="str">
        <f>""</f>
        <v/>
      </c>
      <c r="I2797" t="str">
        <f t="shared" si="43"/>
        <v>BCBS PAYABLE</v>
      </c>
    </row>
    <row r="2798" spans="1:9" x14ac:dyDescent="0.3">
      <c r="A2798" t="str">
        <f>""</f>
        <v/>
      </c>
      <c r="F2798" t="str">
        <f>""</f>
        <v/>
      </c>
      <c r="G2798" t="str">
        <f>""</f>
        <v/>
      </c>
      <c r="I2798" t="str">
        <f t="shared" si="43"/>
        <v>BCBS PAYABLE</v>
      </c>
    </row>
    <row r="2799" spans="1:9" x14ac:dyDescent="0.3">
      <c r="A2799" t="str">
        <f>""</f>
        <v/>
      </c>
      <c r="F2799" t="str">
        <f>""</f>
        <v/>
      </c>
      <c r="G2799" t="str">
        <f>""</f>
        <v/>
      </c>
      <c r="I2799" t="str">
        <f t="shared" si="43"/>
        <v>BCBS PAYABLE</v>
      </c>
    </row>
    <row r="2800" spans="1:9" x14ac:dyDescent="0.3">
      <c r="A2800" t="str">
        <f>""</f>
        <v/>
      </c>
      <c r="F2800" t="str">
        <f>""</f>
        <v/>
      </c>
      <c r="G2800" t="str">
        <f>""</f>
        <v/>
      </c>
      <c r="I2800" t="str">
        <f t="shared" si="43"/>
        <v>BCBS PAYABLE</v>
      </c>
    </row>
    <row r="2801" spans="1:9" x14ac:dyDescent="0.3">
      <c r="A2801" t="str">
        <f>""</f>
        <v/>
      </c>
      <c r="F2801" t="str">
        <f>""</f>
        <v/>
      </c>
      <c r="G2801" t="str">
        <f>""</f>
        <v/>
      </c>
      <c r="I2801" t="str">
        <f t="shared" si="43"/>
        <v>BCBS PAYABLE</v>
      </c>
    </row>
    <row r="2802" spans="1:9" x14ac:dyDescent="0.3">
      <c r="A2802" t="str">
        <f>""</f>
        <v/>
      </c>
      <c r="F2802" t="str">
        <f>""</f>
        <v/>
      </c>
      <c r="G2802" t="str">
        <f>""</f>
        <v/>
      </c>
      <c r="I2802" t="str">
        <f t="shared" si="43"/>
        <v>BCBS PAYABLE</v>
      </c>
    </row>
    <row r="2803" spans="1:9" x14ac:dyDescent="0.3">
      <c r="A2803" t="str">
        <f>""</f>
        <v/>
      </c>
      <c r="F2803" t="str">
        <f>""</f>
        <v/>
      </c>
      <c r="G2803" t="str">
        <f>""</f>
        <v/>
      </c>
      <c r="I2803" t="str">
        <f t="shared" si="43"/>
        <v>BCBS PAYABLE</v>
      </c>
    </row>
    <row r="2804" spans="1:9" x14ac:dyDescent="0.3">
      <c r="A2804" t="str">
        <f>""</f>
        <v/>
      </c>
      <c r="F2804" t="str">
        <f>""</f>
        <v/>
      </c>
      <c r="G2804" t="str">
        <f>""</f>
        <v/>
      </c>
      <c r="I2804" t="str">
        <f t="shared" si="43"/>
        <v>BCBS PAYABLE</v>
      </c>
    </row>
    <row r="2805" spans="1:9" x14ac:dyDescent="0.3">
      <c r="A2805" t="str">
        <f>""</f>
        <v/>
      </c>
      <c r="F2805" t="str">
        <f>""</f>
        <v/>
      </c>
      <c r="G2805" t="str">
        <f>""</f>
        <v/>
      </c>
      <c r="I2805" t="str">
        <f t="shared" si="43"/>
        <v>BCBS PAYABLE</v>
      </c>
    </row>
    <row r="2806" spans="1:9" x14ac:dyDescent="0.3">
      <c r="A2806" t="str">
        <f>""</f>
        <v/>
      </c>
      <c r="F2806" t="str">
        <f>""</f>
        <v/>
      </c>
      <c r="G2806" t="str">
        <f>""</f>
        <v/>
      </c>
      <c r="I2806" t="str">
        <f t="shared" si="43"/>
        <v>BCBS PAYABLE</v>
      </c>
    </row>
    <row r="2807" spans="1:9" x14ac:dyDescent="0.3">
      <c r="A2807" t="str">
        <f>""</f>
        <v/>
      </c>
      <c r="F2807" t="str">
        <f>""</f>
        <v/>
      </c>
      <c r="G2807" t="str">
        <f>""</f>
        <v/>
      </c>
      <c r="I2807" t="str">
        <f t="shared" si="43"/>
        <v>BCBS PAYABLE</v>
      </c>
    </row>
    <row r="2808" spans="1:9" x14ac:dyDescent="0.3">
      <c r="A2808" t="str">
        <f>""</f>
        <v/>
      </c>
      <c r="F2808" t="str">
        <f>""</f>
        <v/>
      </c>
      <c r="G2808" t="str">
        <f>""</f>
        <v/>
      </c>
      <c r="I2808" t="str">
        <f t="shared" si="43"/>
        <v>BCBS PAYABLE</v>
      </c>
    </row>
    <row r="2809" spans="1:9" x14ac:dyDescent="0.3">
      <c r="A2809" t="str">
        <f>""</f>
        <v/>
      </c>
      <c r="F2809" t="str">
        <f>""</f>
        <v/>
      </c>
      <c r="G2809" t="str">
        <f>""</f>
        <v/>
      </c>
      <c r="I2809" t="str">
        <f t="shared" si="43"/>
        <v>BCBS PAYABLE</v>
      </c>
    </row>
    <row r="2810" spans="1:9" x14ac:dyDescent="0.3">
      <c r="A2810" t="str">
        <f>""</f>
        <v/>
      </c>
      <c r="F2810" t="str">
        <f>""</f>
        <v/>
      </c>
      <c r="G2810" t="str">
        <f>""</f>
        <v/>
      </c>
      <c r="I2810" t="str">
        <f t="shared" si="43"/>
        <v>BCBS PAYABLE</v>
      </c>
    </row>
    <row r="2811" spans="1:9" x14ac:dyDescent="0.3">
      <c r="A2811" t="str">
        <f>""</f>
        <v/>
      </c>
      <c r="F2811" t="str">
        <f>""</f>
        <v/>
      </c>
      <c r="G2811" t="str">
        <f>""</f>
        <v/>
      </c>
      <c r="I2811" t="str">
        <f t="shared" si="43"/>
        <v>BCBS PAYABLE</v>
      </c>
    </row>
    <row r="2812" spans="1:9" x14ac:dyDescent="0.3">
      <c r="A2812" t="str">
        <f>""</f>
        <v/>
      </c>
      <c r="F2812" t="str">
        <f>""</f>
        <v/>
      </c>
      <c r="G2812" t="str">
        <f>""</f>
        <v/>
      </c>
      <c r="I2812" t="str">
        <f t="shared" si="43"/>
        <v>BCBS PAYABLE</v>
      </c>
    </row>
    <row r="2813" spans="1:9" x14ac:dyDescent="0.3">
      <c r="A2813" t="str">
        <f>""</f>
        <v/>
      </c>
      <c r="F2813" t="str">
        <f>""</f>
        <v/>
      </c>
      <c r="G2813" t="str">
        <f>""</f>
        <v/>
      </c>
      <c r="I2813" t="str">
        <f t="shared" si="43"/>
        <v>BCBS PAYABLE</v>
      </c>
    </row>
    <row r="2814" spans="1:9" x14ac:dyDescent="0.3">
      <c r="A2814" t="str">
        <f>""</f>
        <v/>
      </c>
      <c r="F2814" t="str">
        <f>""</f>
        <v/>
      </c>
      <c r="G2814" t="str">
        <f>""</f>
        <v/>
      </c>
      <c r="I2814" t="str">
        <f t="shared" si="43"/>
        <v>BCBS PAYABLE</v>
      </c>
    </row>
    <row r="2815" spans="1:9" x14ac:dyDescent="0.3">
      <c r="A2815" t="str">
        <f>""</f>
        <v/>
      </c>
      <c r="F2815" t="str">
        <f>""</f>
        <v/>
      </c>
      <c r="G2815" t="str">
        <f>""</f>
        <v/>
      </c>
      <c r="I2815" t="str">
        <f t="shared" si="43"/>
        <v>BCBS PAYABLE</v>
      </c>
    </row>
    <row r="2816" spans="1:9" x14ac:dyDescent="0.3">
      <c r="A2816" t="str">
        <f>""</f>
        <v/>
      </c>
      <c r="F2816" t="str">
        <f>""</f>
        <v/>
      </c>
      <c r="G2816" t="str">
        <f>""</f>
        <v/>
      </c>
      <c r="I2816" t="str">
        <f t="shared" si="43"/>
        <v>BCBS PAYABLE</v>
      </c>
    </row>
    <row r="2817" spans="1:9" x14ac:dyDescent="0.3">
      <c r="A2817" t="str">
        <f>""</f>
        <v/>
      </c>
      <c r="F2817" t="str">
        <f>""</f>
        <v/>
      </c>
      <c r="G2817" t="str">
        <f>""</f>
        <v/>
      </c>
      <c r="I2817" t="str">
        <f t="shared" si="43"/>
        <v>BCBS PAYABLE</v>
      </c>
    </row>
    <row r="2818" spans="1:9" x14ac:dyDescent="0.3">
      <c r="A2818" t="str">
        <f>""</f>
        <v/>
      </c>
      <c r="F2818" t="str">
        <f>""</f>
        <v/>
      </c>
      <c r="G2818" t="str">
        <f>""</f>
        <v/>
      </c>
      <c r="I2818" t="str">
        <f t="shared" si="43"/>
        <v>BCBS PAYABLE</v>
      </c>
    </row>
    <row r="2819" spans="1:9" x14ac:dyDescent="0.3">
      <c r="A2819" t="str">
        <f>""</f>
        <v/>
      </c>
      <c r="F2819" t="str">
        <f>""</f>
        <v/>
      </c>
      <c r="G2819" t="str">
        <f>""</f>
        <v/>
      </c>
      <c r="I2819" t="str">
        <f t="shared" si="43"/>
        <v>BCBS PAYABLE</v>
      </c>
    </row>
    <row r="2820" spans="1:9" x14ac:dyDescent="0.3">
      <c r="A2820" t="str">
        <f>""</f>
        <v/>
      </c>
      <c r="F2820" t="str">
        <f>""</f>
        <v/>
      </c>
      <c r="G2820" t="str">
        <f>""</f>
        <v/>
      </c>
      <c r="I2820" t="str">
        <f t="shared" si="43"/>
        <v>BCBS PAYABLE</v>
      </c>
    </row>
    <row r="2821" spans="1:9" x14ac:dyDescent="0.3">
      <c r="A2821" t="str">
        <f>""</f>
        <v/>
      </c>
      <c r="F2821" t="str">
        <f>""</f>
        <v/>
      </c>
      <c r="G2821" t="str">
        <f>""</f>
        <v/>
      </c>
      <c r="I2821" t="str">
        <f t="shared" si="43"/>
        <v>BCBS PAYABLE</v>
      </c>
    </row>
    <row r="2822" spans="1:9" x14ac:dyDescent="0.3">
      <c r="A2822" t="str">
        <f>""</f>
        <v/>
      </c>
      <c r="F2822" t="str">
        <f>""</f>
        <v/>
      </c>
      <c r="G2822" t="str">
        <f>""</f>
        <v/>
      </c>
      <c r="I2822" t="str">
        <f t="shared" si="43"/>
        <v>BCBS PAYABLE</v>
      </c>
    </row>
    <row r="2823" spans="1:9" x14ac:dyDescent="0.3">
      <c r="A2823" t="str">
        <f>""</f>
        <v/>
      </c>
      <c r="F2823" t="str">
        <f>""</f>
        <v/>
      </c>
      <c r="G2823" t="str">
        <f>""</f>
        <v/>
      </c>
      <c r="I2823" t="str">
        <f t="shared" si="43"/>
        <v>BCBS PAYABLE</v>
      </c>
    </row>
    <row r="2824" spans="1:9" x14ac:dyDescent="0.3">
      <c r="A2824" t="str">
        <f>""</f>
        <v/>
      </c>
      <c r="F2824" t="str">
        <f>""</f>
        <v/>
      </c>
      <c r="G2824" t="str">
        <f>""</f>
        <v/>
      </c>
      <c r="I2824" t="str">
        <f t="shared" si="43"/>
        <v>BCBS PAYABLE</v>
      </c>
    </row>
    <row r="2825" spans="1:9" x14ac:dyDescent="0.3">
      <c r="A2825" t="str">
        <f>""</f>
        <v/>
      </c>
      <c r="F2825" t="str">
        <f>""</f>
        <v/>
      </c>
      <c r="G2825" t="str">
        <f>""</f>
        <v/>
      </c>
      <c r="I2825" t="str">
        <f t="shared" si="43"/>
        <v>BCBS PAYABLE</v>
      </c>
    </row>
    <row r="2826" spans="1:9" x14ac:dyDescent="0.3">
      <c r="A2826" t="str">
        <f>""</f>
        <v/>
      </c>
      <c r="F2826" t="str">
        <f>"2EC201805010495"</f>
        <v>2EC201805010495</v>
      </c>
      <c r="G2826" t="str">
        <f>"BCBS PAYABLE"</f>
        <v>BCBS PAYABLE</v>
      </c>
      <c r="H2826">
        <v>1795.24</v>
      </c>
      <c r="I2826" t="str">
        <f t="shared" si="43"/>
        <v>BCBS PAYABLE</v>
      </c>
    </row>
    <row r="2827" spans="1:9" x14ac:dyDescent="0.3">
      <c r="A2827" t="str">
        <f>""</f>
        <v/>
      </c>
      <c r="F2827" t="str">
        <f>""</f>
        <v/>
      </c>
      <c r="G2827" t="str">
        <f>""</f>
        <v/>
      </c>
      <c r="I2827" t="str">
        <f t="shared" si="43"/>
        <v>BCBS PAYABLE</v>
      </c>
    </row>
    <row r="2828" spans="1:9" x14ac:dyDescent="0.3">
      <c r="A2828" t="str">
        <f>""</f>
        <v/>
      </c>
      <c r="F2828" t="str">
        <f>"2EC201805161053"</f>
        <v>2EC201805161053</v>
      </c>
      <c r="G2828" t="str">
        <f>"BCBS PAYABLE"</f>
        <v>BCBS PAYABLE</v>
      </c>
      <c r="H2828">
        <v>45452.09</v>
      </c>
      <c r="I2828" t="str">
        <f t="shared" si="43"/>
        <v>BCBS PAYABLE</v>
      </c>
    </row>
    <row r="2829" spans="1:9" x14ac:dyDescent="0.3">
      <c r="A2829" t="str">
        <f>""</f>
        <v/>
      </c>
      <c r="F2829" t="str">
        <f>""</f>
        <v/>
      </c>
      <c r="G2829" t="str">
        <f>""</f>
        <v/>
      </c>
      <c r="I2829" t="str">
        <f t="shared" si="43"/>
        <v>BCBS PAYABLE</v>
      </c>
    </row>
    <row r="2830" spans="1:9" x14ac:dyDescent="0.3">
      <c r="A2830" t="str">
        <f>""</f>
        <v/>
      </c>
      <c r="F2830" t="str">
        <f>""</f>
        <v/>
      </c>
      <c r="G2830" t="str">
        <f>""</f>
        <v/>
      </c>
      <c r="I2830" t="str">
        <f t="shared" si="43"/>
        <v>BCBS PAYABLE</v>
      </c>
    </row>
    <row r="2831" spans="1:9" x14ac:dyDescent="0.3">
      <c r="A2831" t="str">
        <f>""</f>
        <v/>
      </c>
      <c r="F2831" t="str">
        <f>""</f>
        <v/>
      </c>
      <c r="G2831" t="str">
        <f>""</f>
        <v/>
      </c>
      <c r="I2831" t="str">
        <f t="shared" si="43"/>
        <v>BCBS PAYABLE</v>
      </c>
    </row>
    <row r="2832" spans="1:9" x14ac:dyDescent="0.3">
      <c r="A2832" t="str">
        <f>""</f>
        <v/>
      </c>
      <c r="F2832" t="str">
        <f>""</f>
        <v/>
      </c>
      <c r="G2832" t="str">
        <f>""</f>
        <v/>
      </c>
      <c r="I2832" t="str">
        <f t="shared" si="43"/>
        <v>BCBS PAYABLE</v>
      </c>
    </row>
    <row r="2833" spans="1:9" x14ac:dyDescent="0.3">
      <c r="A2833" t="str">
        <f>""</f>
        <v/>
      </c>
      <c r="F2833" t="str">
        <f>""</f>
        <v/>
      </c>
      <c r="G2833" t="str">
        <f>""</f>
        <v/>
      </c>
      <c r="I2833" t="str">
        <f t="shared" si="43"/>
        <v>BCBS PAYABLE</v>
      </c>
    </row>
    <row r="2834" spans="1:9" x14ac:dyDescent="0.3">
      <c r="A2834" t="str">
        <f>""</f>
        <v/>
      </c>
      <c r="F2834" t="str">
        <f>""</f>
        <v/>
      </c>
      <c r="G2834" t="str">
        <f>""</f>
        <v/>
      </c>
      <c r="I2834" t="str">
        <f t="shared" si="43"/>
        <v>BCBS PAYABLE</v>
      </c>
    </row>
    <row r="2835" spans="1:9" x14ac:dyDescent="0.3">
      <c r="A2835" t="str">
        <f>""</f>
        <v/>
      </c>
      <c r="F2835" t="str">
        <f>""</f>
        <v/>
      </c>
      <c r="G2835" t="str">
        <f>""</f>
        <v/>
      </c>
      <c r="I2835" t="str">
        <f t="shared" si="43"/>
        <v>BCBS PAYABLE</v>
      </c>
    </row>
    <row r="2836" spans="1:9" x14ac:dyDescent="0.3">
      <c r="A2836" t="str">
        <f>""</f>
        <v/>
      </c>
      <c r="F2836" t="str">
        <f>""</f>
        <v/>
      </c>
      <c r="G2836" t="str">
        <f>""</f>
        <v/>
      </c>
      <c r="I2836" t="str">
        <f t="shared" si="43"/>
        <v>BCBS PAYABLE</v>
      </c>
    </row>
    <row r="2837" spans="1:9" x14ac:dyDescent="0.3">
      <c r="A2837" t="str">
        <f>""</f>
        <v/>
      </c>
      <c r="F2837" t="str">
        <f>""</f>
        <v/>
      </c>
      <c r="G2837" t="str">
        <f>""</f>
        <v/>
      </c>
      <c r="I2837" t="str">
        <f t="shared" si="43"/>
        <v>BCBS PAYABLE</v>
      </c>
    </row>
    <row r="2838" spans="1:9" x14ac:dyDescent="0.3">
      <c r="A2838" t="str">
        <f>""</f>
        <v/>
      </c>
      <c r="F2838" t="str">
        <f>""</f>
        <v/>
      </c>
      <c r="G2838" t="str">
        <f>""</f>
        <v/>
      </c>
      <c r="I2838" t="str">
        <f t="shared" si="43"/>
        <v>BCBS PAYABLE</v>
      </c>
    </row>
    <row r="2839" spans="1:9" x14ac:dyDescent="0.3">
      <c r="A2839" t="str">
        <f>""</f>
        <v/>
      </c>
      <c r="F2839" t="str">
        <f>""</f>
        <v/>
      </c>
      <c r="G2839" t="str">
        <f>""</f>
        <v/>
      </c>
      <c r="I2839" t="str">
        <f t="shared" si="43"/>
        <v>BCBS PAYABLE</v>
      </c>
    </row>
    <row r="2840" spans="1:9" x14ac:dyDescent="0.3">
      <c r="A2840" t="str">
        <f>""</f>
        <v/>
      </c>
      <c r="F2840" t="str">
        <f>""</f>
        <v/>
      </c>
      <c r="G2840" t="str">
        <f>""</f>
        <v/>
      </c>
      <c r="I2840" t="str">
        <f t="shared" si="43"/>
        <v>BCBS PAYABLE</v>
      </c>
    </row>
    <row r="2841" spans="1:9" x14ac:dyDescent="0.3">
      <c r="A2841" t="str">
        <f>""</f>
        <v/>
      </c>
      <c r="F2841" t="str">
        <f>""</f>
        <v/>
      </c>
      <c r="G2841" t="str">
        <f>""</f>
        <v/>
      </c>
      <c r="I2841" t="str">
        <f t="shared" si="43"/>
        <v>BCBS PAYABLE</v>
      </c>
    </row>
    <row r="2842" spans="1:9" x14ac:dyDescent="0.3">
      <c r="A2842" t="str">
        <f>""</f>
        <v/>
      </c>
      <c r="F2842" t="str">
        <f>""</f>
        <v/>
      </c>
      <c r="G2842" t="str">
        <f>""</f>
        <v/>
      </c>
      <c r="I2842" t="str">
        <f t="shared" si="43"/>
        <v>BCBS PAYABLE</v>
      </c>
    </row>
    <row r="2843" spans="1:9" x14ac:dyDescent="0.3">
      <c r="A2843" t="str">
        <f>""</f>
        <v/>
      </c>
      <c r="F2843" t="str">
        <f>""</f>
        <v/>
      </c>
      <c r="G2843" t="str">
        <f>""</f>
        <v/>
      </c>
      <c r="I2843" t="str">
        <f t="shared" si="43"/>
        <v>BCBS PAYABLE</v>
      </c>
    </row>
    <row r="2844" spans="1:9" x14ac:dyDescent="0.3">
      <c r="A2844" t="str">
        <f>""</f>
        <v/>
      </c>
      <c r="F2844" t="str">
        <f>""</f>
        <v/>
      </c>
      <c r="G2844" t="str">
        <f>""</f>
        <v/>
      </c>
      <c r="I2844" t="str">
        <f t="shared" si="43"/>
        <v>BCBS PAYABLE</v>
      </c>
    </row>
    <row r="2845" spans="1:9" x14ac:dyDescent="0.3">
      <c r="A2845" t="str">
        <f>""</f>
        <v/>
      </c>
      <c r="F2845" t="str">
        <f>""</f>
        <v/>
      </c>
      <c r="G2845" t="str">
        <f>""</f>
        <v/>
      </c>
      <c r="I2845" t="str">
        <f t="shared" si="43"/>
        <v>BCBS PAYABLE</v>
      </c>
    </row>
    <row r="2846" spans="1:9" x14ac:dyDescent="0.3">
      <c r="A2846" t="str">
        <f>""</f>
        <v/>
      </c>
      <c r="F2846" t="str">
        <f>""</f>
        <v/>
      </c>
      <c r="G2846" t="str">
        <f>""</f>
        <v/>
      </c>
      <c r="I2846" t="str">
        <f t="shared" si="43"/>
        <v>BCBS PAYABLE</v>
      </c>
    </row>
    <row r="2847" spans="1:9" x14ac:dyDescent="0.3">
      <c r="A2847" t="str">
        <f>""</f>
        <v/>
      </c>
      <c r="F2847" t="str">
        <f>""</f>
        <v/>
      </c>
      <c r="G2847" t="str">
        <f>""</f>
        <v/>
      </c>
      <c r="I2847" t="str">
        <f t="shared" si="43"/>
        <v>BCBS PAYABLE</v>
      </c>
    </row>
    <row r="2848" spans="1:9" x14ac:dyDescent="0.3">
      <c r="A2848" t="str">
        <f>""</f>
        <v/>
      </c>
      <c r="F2848" t="str">
        <f>""</f>
        <v/>
      </c>
      <c r="G2848" t="str">
        <f>""</f>
        <v/>
      </c>
      <c r="I2848" t="str">
        <f t="shared" si="43"/>
        <v>BCBS PAYABLE</v>
      </c>
    </row>
    <row r="2849" spans="1:9" x14ac:dyDescent="0.3">
      <c r="A2849" t="str">
        <f>""</f>
        <v/>
      </c>
      <c r="F2849" t="str">
        <f>""</f>
        <v/>
      </c>
      <c r="G2849" t="str">
        <f>""</f>
        <v/>
      </c>
      <c r="I2849" t="str">
        <f t="shared" si="43"/>
        <v>BCBS PAYABLE</v>
      </c>
    </row>
    <row r="2850" spans="1:9" x14ac:dyDescent="0.3">
      <c r="A2850" t="str">
        <f>""</f>
        <v/>
      </c>
      <c r="F2850" t="str">
        <f>""</f>
        <v/>
      </c>
      <c r="G2850" t="str">
        <f>""</f>
        <v/>
      </c>
      <c r="I2850" t="str">
        <f t="shared" si="43"/>
        <v>BCBS PAYABLE</v>
      </c>
    </row>
    <row r="2851" spans="1:9" x14ac:dyDescent="0.3">
      <c r="A2851" t="str">
        <f>""</f>
        <v/>
      </c>
      <c r="F2851" t="str">
        <f>""</f>
        <v/>
      </c>
      <c r="G2851" t="str">
        <f>""</f>
        <v/>
      </c>
      <c r="I2851" t="str">
        <f t="shared" si="43"/>
        <v>BCBS PAYABLE</v>
      </c>
    </row>
    <row r="2852" spans="1:9" x14ac:dyDescent="0.3">
      <c r="A2852" t="str">
        <f>""</f>
        <v/>
      </c>
      <c r="F2852" t="str">
        <f>""</f>
        <v/>
      </c>
      <c r="G2852" t="str">
        <f>""</f>
        <v/>
      </c>
      <c r="I2852" t="str">
        <f t="shared" si="43"/>
        <v>BCBS PAYABLE</v>
      </c>
    </row>
    <row r="2853" spans="1:9" x14ac:dyDescent="0.3">
      <c r="A2853" t="str">
        <f>""</f>
        <v/>
      </c>
      <c r="F2853" t="str">
        <f>""</f>
        <v/>
      </c>
      <c r="G2853" t="str">
        <f>""</f>
        <v/>
      </c>
      <c r="I2853" t="str">
        <f t="shared" si="43"/>
        <v>BCBS PAYABLE</v>
      </c>
    </row>
    <row r="2854" spans="1:9" x14ac:dyDescent="0.3">
      <c r="A2854" t="str">
        <f>""</f>
        <v/>
      </c>
      <c r="F2854" t="str">
        <f>""</f>
        <v/>
      </c>
      <c r="G2854" t="str">
        <f>""</f>
        <v/>
      </c>
      <c r="I2854" t="str">
        <f t="shared" si="43"/>
        <v>BCBS PAYABLE</v>
      </c>
    </row>
    <row r="2855" spans="1:9" x14ac:dyDescent="0.3">
      <c r="A2855" t="str">
        <f>""</f>
        <v/>
      </c>
      <c r="F2855" t="str">
        <f>""</f>
        <v/>
      </c>
      <c r="G2855" t="str">
        <f>""</f>
        <v/>
      </c>
      <c r="I2855" t="str">
        <f t="shared" si="43"/>
        <v>BCBS PAYABLE</v>
      </c>
    </row>
    <row r="2856" spans="1:9" x14ac:dyDescent="0.3">
      <c r="A2856" t="str">
        <f>""</f>
        <v/>
      </c>
      <c r="F2856" t="str">
        <f>""</f>
        <v/>
      </c>
      <c r="G2856" t="str">
        <f>""</f>
        <v/>
      </c>
      <c r="I2856" t="str">
        <f t="shared" si="43"/>
        <v>BCBS PAYABLE</v>
      </c>
    </row>
    <row r="2857" spans="1:9" x14ac:dyDescent="0.3">
      <c r="A2857" t="str">
        <f>""</f>
        <v/>
      </c>
      <c r="F2857" t="str">
        <f>""</f>
        <v/>
      </c>
      <c r="G2857" t="str">
        <f>""</f>
        <v/>
      </c>
      <c r="I2857" t="str">
        <f t="shared" ref="I2857:I2920" si="44">"BCBS PAYABLE"</f>
        <v>BCBS PAYABLE</v>
      </c>
    </row>
    <row r="2858" spans="1:9" x14ac:dyDescent="0.3">
      <c r="A2858" t="str">
        <f>""</f>
        <v/>
      </c>
      <c r="F2858" t="str">
        <f>""</f>
        <v/>
      </c>
      <c r="G2858" t="str">
        <f>""</f>
        <v/>
      </c>
      <c r="I2858" t="str">
        <f t="shared" si="44"/>
        <v>BCBS PAYABLE</v>
      </c>
    </row>
    <row r="2859" spans="1:9" x14ac:dyDescent="0.3">
      <c r="A2859" t="str">
        <f>""</f>
        <v/>
      </c>
      <c r="F2859" t="str">
        <f>""</f>
        <v/>
      </c>
      <c r="G2859" t="str">
        <f>""</f>
        <v/>
      </c>
      <c r="I2859" t="str">
        <f t="shared" si="44"/>
        <v>BCBS PAYABLE</v>
      </c>
    </row>
    <row r="2860" spans="1:9" x14ac:dyDescent="0.3">
      <c r="A2860" t="str">
        <f>""</f>
        <v/>
      </c>
      <c r="F2860" t="str">
        <f>""</f>
        <v/>
      </c>
      <c r="G2860" t="str">
        <f>""</f>
        <v/>
      </c>
      <c r="I2860" t="str">
        <f t="shared" si="44"/>
        <v>BCBS PAYABLE</v>
      </c>
    </row>
    <row r="2861" spans="1:9" x14ac:dyDescent="0.3">
      <c r="A2861" t="str">
        <f>""</f>
        <v/>
      </c>
      <c r="F2861" t="str">
        <f>""</f>
        <v/>
      </c>
      <c r="G2861" t="str">
        <f>""</f>
        <v/>
      </c>
      <c r="I2861" t="str">
        <f t="shared" si="44"/>
        <v>BCBS PAYABLE</v>
      </c>
    </row>
    <row r="2862" spans="1:9" x14ac:dyDescent="0.3">
      <c r="A2862" t="str">
        <f>""</f>
        <v/>
      </c>
      <c r="F2862" t="str">
        <f>"2EC201805161054"</f>
        <v>2EC201805161054</v>
      </c>
      <c r="G2862" t="str">
        <f>"BCBS PAYABLE"</f>
        <v>BCBS PAYABLE</v>
      </c>
      <c r="H2862">
        <v>1795.24</v>
      </c>
      <c r="I2862" t="str">
        <f t="shared" si="44"/>
        <v>BCBS PAYABLE</v>
      </c>
    </row>
    <row r="2863" spans="1:9" x14ac:dyDescent="0.3">
      <c r="A2863" t="str">
        <f>""</f>
        <v/>
      </c>
      <c r="F2863" t="str">
        <f>""</f>
        <v/>
      </c>
      <c r="G2863" t="str">
        <f>""</f>
        <v/>
      </c>
      <c r="I2863" t="str">
        <f t="shared" si="44"/>
        <v>BCBS PAYABLE</v>
      </c>
    </row>
    <row r="2864" spans="1:9" x14ac:dyDescent="0.3">
      <c r="A2864" t="str">
        <f>""</f>
        <v/>
      </c>
      <c r="F2864" t="str">
        <f>"2EF201805010494"</f>
        <v>2EF201805010494</v>
      </c>
      <c r="G2864" t="str">
        <f>"BCBS PAYABLE"</f>
        <v>BCBS PAYABLE</v>
      </c>
      <c r="H2864">
        <v>1783.74</v>
      </c>
      <c r="I2864" t="str">
        <f t="shared" si="44"/>
        <v>BCBS PAYABLE</v>
      </c>
    </row>
    <row r="2865" spans="1:9" x14ac:dyDescent="0.3">
      <c r="A2865" t="str">
        <f>""</f>
        <v/>
      </c>
      <c r="F2865" t="str">
        <f>""</f>
        <v/>
      </c>
      <c r="G2865" t="str">
        <f>""</f>
        <v/>
      </c>
      <c r="I2865" t="str">
        <f t="shared" si="44"/>
        <v>BCBS PAYABLE</v>
      </c>
    </row>
    <row r="2866" spans="1:9" x14ac:dyDescent="0.3">
      <c r="A2866" t="str">
        <f>""</f>
        <v/>
      </c>
      <c r="F2866" t="str">
        <f>""</f>
        <v/>
      </c>
      <c r="G2866" t="str">
        <f>""</f>
        <v/>
      </c>
      <c r="I2866" t="str">
        <f t="shared" si="44"/>
        <v>BCBS PAYABLE</v>
      </c>
    </row>
    <row r="2867" spans="1:9" x14ac:dyDescent="0.3">
      <c r="A2867" t="str">
        <f>""</f>
        <v/>
      </c>
      <c r="F2867" t="str">
        <f>"2EF201805161053"</f>
        <v>2EF201805161053</v>
      </c>
      <c r="G2867" t="str">
        <f>"BCBS PAYABLE"</f>
        <v>BCBS PAYABLE</v>
      </c>
      <c r="H2867">
        <v>1783.74</v>
      </c>
      <c r="I2867" t="str">
        <f t="shared" si="44"/>
        <v>BCBS PAYABLE</v>
      </c>
    </row>
    <row r="2868" spans="1:9" x14ac:dyDescent="0.3">
      <c r="A2868" t="str">
        <f>""</f>
        <v/>
      </c>
      <c r="F2868" t="str">
        <f>""</f>
        <v/>
      </c>
      <c r="G2868" t="str">
        <f>""</f>
        <v/>
      </c>
      <c r="I2868" t="str">
        <f t="shared" si="44"/>
        <v>BCBS PAYABLE</v>
      </c>
    </row>
    <row r="2869" spans="1:9" x14ac:dyDescent="0.3">
      <c r="A2869" t="str">
        <f>""</f>
        <v/>
      </c>
      <c r="F2869" t="str">
        <f>""</f>
        <v/>
      </c>
      <c r="G2869" t="str">
        <f>""</f>
        <v/>
      </c>
      <c r="I2869" t="str">
        <f t="shared" si="44"/>
        <v>BCBS PAYABLE</v>
      </c>
    </row>
    <row r="2870" spans="1:9" x14ac:dyDescent="0.3">
      <c r="A2870" t="str">
        <f>""</f>
        <v/>
      </c>
      <c r="F2870" t="str">
        <f>"2EO201805010494"</f>
        <v>2EO201805010494</v>
      </c>
      <c r="G2870" t="str">
        <f>"BCBS PAYABLE"</f>
        <v>BCBS PAYABLE</v>
      </c>
      <c r="H2870">
        <v>90775.34</v>
      </c>
      <c r="I2870" t="str">
        <f t="shared" si="44"/>
        <v>BCBS PAYABLE</v>
      </c>
    </row>
    <row r="2871" spans="1:9" x14ac:dyDescent="0.3">
      <c r="A2871" t="str">
        <f>""</f>
        <v/>
      </c>
      <c r="F2871" t="str">
        <f>""</f>
        <v/>
      </c>
      <c r="G2871" t="str">
        <f>""</f>
        <v/>
      </c>
      <c r="I2871" t="str">
        <f t="shared" si="44"/>
        <v>BCBS PAYABLE</v>
      </c>
    </row>
    <row r="2872" spans="1:9" x14ac:dyDescent="0.3">
      <c r="A2872" t="str">
        <f>""</f>
        <v/>
      </c>
      <c r="F2872" t="str">
        <f>""</f>
        <v/>
      </c>
      <c r="G2872" t="str">
        <f>""</f>
        <v/>
      </c>
      <c r="I2872" t="str">
        <f t="shared" si="44"/>
        <v>BCBS PAYABLE</v>
      </c>
    </row>
    <row r="2873" spans="1:9" x14ac:dyDescent="0.3">
      <c r="A2873" t="str">
        <f>""</f>
        <v/>
      </c>
      <c r="F2873" t="str">
        <f>""</f>
        <v/>
      </c>
      <c r="G2873" t="str">
        <f>""</f>
        <v/>
      </c>
      <c r="I2873" t="str">
        <f t="shared" si="44"/>
        <v>BCBS PAYABLE</v>
      </c>
    </row>
    <row r="2874" spans="1:9" x14ac:dyDescent="0.3">
      <c r="A2874" t="str">
        <f>""</f>
        <v/>
      </c>
      <c r="F2874" t="str">
        <f>""</f>
        <v/>
      </c>
      <c r="G2874" t="str">
        <f>""</f>
        <v/>
      </c>
      <c r="I2874" t="str">
        <f t="shared" si="44"/>
        <v>BCBS PAYABLE</v>
      </c>
    </row>
    <row r="2875" spans="1:9" x14ac:dyDescent="0.3">
      <c r="A2875" t="str">
        <f>""</f>
        <v/>
      </c>
      <c r="F2875" t="str">
        <f>""</f>
        <v/>
      </c>
      <c r="G2875" t="str">
        <f>""</f>
        <v/>
      </c>
      <c r="I2875" t="str">
        <f t="shared" si="44"/>
        <v>BCBS PAYABLE</v>
      </c>
    </row>
    <row r="2876" spans="1:9" x14ac:dyDescent="0.3">
      <c r="A2876" t="str">
        <f>""</f>
        <v/>
      </c>
      <c r="F2876" t="str">
        <f>""</f>
        <v/>
      </c>
      <c r="G2876" t="str">
        <f>""</f>
        <v/>
      </c>
      <c r="I2876" t="str">
        <f t="shared" si="44"/>
        <v>BCBS PAYABLE</v>
      </c>
    </row>
    <row r="2877" spans="1:9" x14ac:dyDescent="0.3">
      <c r="A2877" t="str">
        <f>""</f>
        <v/>
      </c>
      <c r="F2877" t="str">
        <f>""</f>
        <v/>
      </c>
      <c r="G2877" t="str">
        <f>""</f>
        <v/>
      </c>
      <c r="I2877" t="str">
        <f t="shared" si="44"/>
        <v>BCBS PAYABLE</v>
      </c>
    </row>
    <row r="2878" spans="1:9" x14ac:dyDescent="0.3">
      <c r="A2878" t="str">
        <f>""</f>
        <v/>
      </c>
      <c r="F2878" t="str">
        <f>""</f>
        <v/>
      </c>
      <c r="G2878" t="str">
        <f>""</f>
        <v/>
      </c>
      <c r="I2878" t="str">
        <f t="shared" si="44"/>
        <v>BCBS PAYABLE</v>
      </c>
    </row>
    <row r="2879" spans="1:9" x14ac:dyDescent="0.3">
      <c r="A2879" t="str">
        <f>""</f>
        <v/>
      </c>
      <c r="F2879" t="str">
        <f>""</f>
        <v/>
      </c>
      <c r="G2879" t="str">
        <f>""</f>
        <v/>
      </c>
      <c r="I2879" t="str">
        <f t="shared" si="44"/>
        <v>BCBS PAYABLE</v>
      </c>
    </row>
    <row r="2880" spans="1:9" x14ac:dyDescent="0.3">
      <c r="A2880" t="str">
        <f>""</f>
        <v/>
      </c>
      <c r="F2880" t="str">
        <f>""</f>
        <v/>
      </c>
      <c r="G2880" t="str">
        <f>""</f>
        <v/>
      </c>
      <c r="I2880" t="str">
        <f t="shared" si="44"/>
        <v>BCBS PAYABLE</v>
      </c>
    </row>
    <row r="2881" spans="1:9" x14ac:dyDescent="0.3">
      <c r="A2881" t="str">
        <f>""</f>
        <v/>
      </c>
      <c r="F2881" t="str">
        <f>""</f>
        <v/>
      </c>
      <c r="G2881" t="str">
        <f>""</f>
        <v/>
      </c>
      <c r="I2881" t="str">
        <f t="shared" si="44"/>
        <v>BCBS PAYABLE</v>
      </c>
    </row>
    <row r="2882" spans="1:9" x14ac:dyDescent="0.3">
      <c r="A2882" t="str">
        <f>""</f>
        <v/>
      </c>
      <c r="F2882" t="str">
        <f>""</f>
        <v/>
      </c>
      <c r="G2882" t="str">
        <f>""</f>
        <v/>
      </c>
      <c r="I2882" t="str">
        <f t="shared" si="44"/>
        <v>BCBS PAYABLE</v>
      </c>
    </row>
    <row r="2883" spans="1:9" x14ac:dyDescent="0.3">
      <c r="A2883" t="str">
        <f>""</f>
        <v/>
      </c>
      <c r="F2883" t="str">
        <f>""</f>
        <v/>
      </c>
      <c r="G2883" t="str">
        <f>""</f>
        <v/>
      </c>
      <c r="I2883" t="str">
        <f t="shared" si="44"/>
        <v>BCBS PAYABLE</v>
      </c>
    </row>
    <row r="2884" spans="1:9" x14ac:dyDescent="0.3">
      <c r="A2884" t="str">
        <f>""</f>
        <v/>
      </c>
      <c r="F2884" t="str">
        <f>""</f>
        <v/>
      </c>
      <c r="G2884" t="str">
        <f>""</f>
        <v/>
      </c>
      <c r="I2884" t="str">
        <f t="shared" si="44"/>
        <v>BCBS PAYABLE</v>
      </c>
    </row>
    <row r="2885" spans="1:9" x14ac:dyDescent="0.3">
      <c r="A2885" t="str">
        <f>""</f>
        <v/>
      </c>
      <c r="F2885" t="str">
        <f>""</f>
        <v/>
      </c>
      <c r="G2885" t="str">
        <f>""</f>
        <v/>
      </c>
      <c r="I2885" t="str">
        <f t="shared" si="44"/>
        <v>BCBS PAYABLE</v>
      </c>
    </row>
    <row r="2886" spans="1:9" x14ac:dyDescent="0.3">
      <c r="A2886" t="str">
        <f>""</f>
        <v/>
      </c>
      <c r="F2886" t="str">
        <f>""</f>
        <v/>
      </c>
      <c r="G2886" t="str">
        <f>""</f>
        <v/>
      </c>
      <c r="I2886" t="str">
        <f t="shared" si="44"/>
        <v>BCBS PAYABLE</v>
      </c>
    </row>
    <row r="2887" spans="1:9" x14ac:dyDescent="0.3">
      <c r="A2887" t="str">
        <f>""</f>
        <v/>
      </c>
      <c r="F2887" t="str">
        <f>""</f>
        <v/>
      </c>
      <c r="G2887" t="str">
        <f>""</f>
        <v/>
      </c>
      <c r="I2887" t="str">
        <f t="shared" si="44"/>
        <v>BCBS PAYABLE</v>
      </c>
    </row>
    <row r="2888" spans="1:9" x14ac:dyDescent="0.3">
      <c r="A2888" t="str">
        <f>""</f>
        <v/>
      </c>
      <c r="F2888" t="str">
        <f>""</f>
        <v/>
      </c>
      <c r="G2888" t="str">
        <f>""</f>
        <v/>
      </c>
      <c r="I2888" t="str">
        <f t="shared" si="44"/>
        <v>BCBS PAYABLE</v>
      </c>
    </row>
    <row r="2889" spans="1:9" x14ac:dyDescent="0.3">
      <c r="A2889" t="str">
        <f>""</f>
        <v/>
      </c>
      <c r="F2889" t="str">
        <f>""</f>
        <v/>
      </c>
      <c r="G2889" t="str">
        <f>""</f>
        <v/>
      </c>
      <c r="I2889" t="str">
        <f t="shared" si="44"/>
        <v>BCBS PAYABLE</v>
      </c>
    </row>
    <row r="2890" spans="1:9" x14ac:dyDescent="0.3">
      <c r="A2890" t="str">
        <f>""</f>
        <v/>
      </c>
      <c r="F2890" t="str">
        <f>""</f>
        <v/>
      </c>
      <c r="G2890" t="str">
        <f>""</f>
        <v/>
      </c>
      <c r="I2890" t="str">
        <f t="shared" si="44"/>
        <v>BCBS PAYABLE</v>
      </c>
    </row>
    <row r="2891" spans="1:9" x14ac:dyDescent="0.3">
      <c r="A2891" t="str">
        <f>""</f>
        <v/>
      </c>
      <c r="F2891" t="str">
        <f>""</f>
        <v/>
      </c>
      <c r="G2891" t="str">
        <f>""</f>
        <v/>
      </c>
      <c r="I2891" t="str">
        <f t="shared" si="44"/>
        <v>BCBS PAYABLE</v>
      </c>
    </row>
    <row r="2892" spans="1:9" x14ac:dyDescent="0.3">
      <c r="A2892" t="str">
        <f>""</f>
        <v/>
      </c>
      <c r="F2892" t="str">
        <f>""</f>
        <v/>
      </c>
      <c r="G2892" t="str">
        <f>""</f>
        <v/>
      </c>
      <c r="I2892" t="str">
        <f t="shared" si="44"/>
        <v>BCBS PAYABLE</v>
      </c>
    </row>
    <row r="2893" spans="1:9" x14ac:dyDescent="0.3">
      <c r="A2893" t="str">
        <f>""</f>
        <v/>
      </c>
      <c r="F2893" t="str">
        <f>""</f>
        <v/>
      </c>
      <c r="G2893" t="str">
        <f>""</f>
        <v/>
      </c>
      <c r="I2893" t="str">
        <f t="shared" si="44"/>
        <v>BCBS PAYABLE</v>
      </c>
    </row>
    <row r="2894" spans="1:9" x14ac:dyDescent="0.3">
      <c r="A2894" t="str">
        <f>""</f>
        <v/>
      </c>
      <c r="F2894" t="str">
        <f>""</f>
        <v/>
      </c>
      <c r="G2894" t="str">
        <f>""</f>
        <v/>
      </c>
      <c r="I2894" t="str">
        <f t="shared" si="44"/>
        <v>BCBS PAYABLE</v>
      </c>
    </row>
    <row r="2895" spans="1:9" x14ac:dyDescent="0.3">
      <c r="A2895" t="str">
        <f>""</f>
        <v/>
      </c>
      <c r="F2895" t="str">
        <f>""</f>
        <v/>
      </c>
      <c r="G2895" t="str">
        <f>""</f>
        <v/>
      </c>
      <c r="I2895" t="str">
        <f t="shared" si="44"/>
        <v>BCBS PAYABLE</v>
      </c>
    </row>
    <row r="2896" spans="1:9" x14ac:dyDescent="0.3">
      <c r="A2896" t="str">
        <f>""</f>
        <v/>
      </c>
      <c r="F2896" t="str">
        <f>""</f>
        <v/>
      </c>
      <c r="G2896" t="str">
        <f>""</f>
        <v/>
      </c>
      <c r="I2896" t="str">
        <f t="shared" si="44"/>
        <v>BCBS PAYABLE</v>
      </c>
    </row>
    <row r="2897" spans="1:9" x14ac:dyDescent="0.3">
      <c r="A2897" t="str">
        <f>""</f>
        <v/>
      </c>
      <c r="F2897" t="str">
        <f>""</f>
        <v/>
      </c>
      <c r="G2897" t="str">
        <f>""</f>
        <v/>
      </c>
      <c r="I2897" t="str">
        <f t="shared" si="44"/>
        <v>BCBS PAYABLE</v>
      </c>
    </row>
    <row r="2898" spans="1:9" x14ac:dyDescent="0.3">
      <c r="A2898" t="str">
        <f>""</f>
        <v/>
      </c>
      <c r="F2898" t="str">
        <f>""</f>
        <v/>
      </c>
      <c r="G2898" t="str">
        <f>""</f>
        <v/>
      </c>
      <c r="I2898" t="str">
        <f t="shared" si="44"/>
        <v>BCBS PAYABLE</v>
      </c>
    </row>
    <row r="2899" spans="1:9" x14ac:dyDescent="0.3">
      <c r="A2899" t="str">
        <f>""</f>
        <v/>
      </c>
      <c r="F2899" t="str">
        <f>""</f>
        <v/>
      </c>
      <c r="G2899" t="str">
        <f>""</f>
        <v/>
      </c>
      <c r="I2899" t="str">
        <f t="shared" si="44"/>
        <v>BCBS PAYABLE</v>
      </c>
    </row>
    <row r="2900" spans="1:9" x14ac:dyDescent="0.3">
      <c r="A2900" t="str">
        <f>""</f>
        <v/>
      </c>
      <c r="F2900" t="str">
        <f>""</f>
        <v/>
      </c>
      <c r="G2900" t="str">
        <f>""</f>
        <v/>
      </c>
      <c r="I2900" t="str">
        <f t="shared" si="44"/>
        <v>BCBS PAYABLE</v>
      </c>
    </row>
    <row r="2901" spans="1:9" x14ac:dyDescent="0.3">
      <c r="A2901" t="str">
        <f>""</f>
        <v/>
      </c>
      <c r="F2901" t="str">
        <f>""</f>
        <v/>
      </c>
      <c r="G2901" t="str">
        <f>""</f>
        <v/>
      </c>
      <c r="I2901" t="str">
        <f t="shared" si="44"/>
        <v>BCBS PAYABLE</v>
      </c>
    </row>
    <row r="2902" spans="1:9" x14ac:dyDescent="0.3">
      <c r="A2902" t="str">
        <f>""</f>
        <v/>
      </c>
      <c r="F2902" t="str">
        <f>""</f>
        <v/>
      </c>
      <c r="G2902" t="str">
        <f>""</f>
        <v/>
      </c>
      <c r="I2902" t="str">
        <f t="shared" si="44"/>
        <v>BCBS PAYABLE</v>
      </c>
    </row>
    <row r="2903" spans="1:9" x14ac:dyDescent="0.3">
      <c r="A2903" t="str">
        <f>""</f>
        <v/>
      </c>
      <c r="F2903" t="str">
        <f>""</f>
        <v/>
      </c>
      <c r="G2903" t="str">
        <f>""</f>
        <v/>
      </c>
      <c r="I2903" t="str">
        <f t="shared" si="44"/>
        <v>BCBS PAYABLE</v>
      </c>
    </row>
    <row r="2904" spans="1:9" x14ac:dyDescent="0.3">
      <c r="A2904" t="str">
        <f>""</f>
        <v/>
      </c>
      <c r="F2904" t="str">
        <f>""</f>
        <v/>
      </c>
      <c r="G2904" t="str">
        <f>""</f>
        <v/>
      </c>
      <c r="I2904" t="str">
        <f t="shared" si="44"/>
        <v>BCBS PAYABLE</v>
      </c>
    </row>
    <row r="2905" spans="1:9" x14ac:dyDescent="0.3">
      <c r="A2905" t="str">
        <f>""</f>
        <v/>
      </c>
      <c r="F2905" t="str">
        <f>""</f>
        <v/>
      </c>
      <c r="G2905" t="str">
        <f>""</f>
        <v/>
      </c>
      <c r="I2905" t="str">
        <f t="shared" si="44"/>
        <v>BCBS PAYABLE</v>
      </c>
    </row>
    <row r="2906" spans="1:9" x14ac:dyDescent="0.3">
      <c r="A2906" t="str">
        <f>""</f>
        <v/>
      </c>
      <c r="F2906" t="str">
        <f>""</f>
        <v/>
      </c>
      <c r="G2906" t="str">
        <f>""</f>
        <v/>
      </c>
      <c r="I2906" t="str">
        <f t="shared" si="44"/>
        <v>BCBS PAYABLE</v>
      </c>
    </row>
    <row r="2907" spans="1:9" x14ac:dyDescent="0.3">
      <c r="A2907" t="str">
        <f>""</f>
        <v/>
      </c>
      <c r="F2907" t="str">
        <f>""</f>
        <v/>
      </c>
      <c r="G2907" t="str">
        <f>""</f>
        <v/>
      </c>
      <c r="I2907" t="str">
        <f t="shared" si="44"/>
        <v>BCBS PAYABLE</v>
      </c>
    </row>
    <row r="2908" spans="1:9" x14ac:dyDescent="0.3">
      <c r="A2908" t="str">
        <f>""</f>
        <v/>
      </c>
      <c r="F2908" t="str">
        <f>""</f>
        <v/>
      </c>
      <c r="G2908" t="str">
        <f>""</f>
        <v/>
      </c>
      <c r="I2908" t="str">
        <f t="shared" si="44"/>
        <v>BCBS PAYABLE</v>
      </c>
    </row>
    <row r="2909" spans="1:9" x14ac:dyDescent="0.3">
      <c r="A2909" t="str">
        <f>""</f>
        <v/>
      </c>
      <c r="F2909" t="str">
        <f>""</f>
        <v/>
      </c>
      <c r="G2909" t="str">
        <f>""</f>
        <v/>
      </c>
      <c r="I2909" t="str">
        <f t="shared" si="44"/>
        <v>BCBS PAYABLE</v>
      </c>
    </row>
    <row r="2910" spans="1:9" x14ac:dyDescent="0.3">
      <c r="A2910" t="str">
        <f>""</f>
        <v/>
      </c>
      <c r="F2910" t="str">
        <f>""</f>
        <v/>
      </c>
      <c r="G2910" t="str">
        <f>""</f>
        <v/>
      </c>
      <c r="I2910" t="str">
        <f t="shared" si="44"/>
        <v>BCBS PAYABLE</v>
      </c>
    </row>
    <row r="2911" spans="1:9" x14ac:dyDescent="0.3">
      <c r="A2911" t="str">
        <f>""</f>
        <v/>
      </c>
      <c r="F2911" t="str">
        <f>""</f>
        <v/>
      </c>
      <c r="G2911" t="str">
        <f>""</f>
        <v/>
      </c>
      <c r="I2911" t="str">
        <f t="shared" si="44"/>
        <v>BCBS PAYABLE</v>
      </c>
    </row>
    <row r="2912" spans="1:9" x14ac:dyDescent="0.3">
      <c r="A2912" t="str">
        <f>""</f>
        <v/>
      </c>
      <c r="F2912" t="str">
        <f>""</f>
        <v/>
      </c>
      <c r="G2912" t="str">
        <f>""</f>
        <v/>
      </c>
      <c r="I2912" t="str">
        <f t="shared" si="44"/>
        <v>BCBS PAYABLE</v>
      </c>
    </row>
    <row r="2913" spans="1:9" x14ac:dyDescent="0.3">
      <c r="A2913" t="str">
        <f>""</f>
        <v/>
      </c>
      <c r="F2913" t="str">
        <f>"2EO201805010495"</f>
        <v>2EO201805010495</v>
      </c>
      <c r="G2913" t="str">
        <f>"BCBS PAYABLE"</f>
        <v>BCBS PAYABLE</v>
      </c>
      <c r="H2913">
        <v>3591.83</v>
      </c>
      <c r="I2913" t="str">
        <f t="shared" si="44"/>
        <v>BCBS PAYABLE</v>
      </c>
    </row>
    <row r="2914" spans="1:9" x14ac:dyDescent="0.3">
      <c r="A2914" t="str">
        <f>""</f>
        <v/>
      </c>
      <c r="F2914" t="str">
        <f>"2EO201805161053"</f>
        <v>2EO201805161053</v>
      </c>
      <c r="G2914" t="str">
        <f>"BCBS PAYABLE"</f>
        <v>BCBS PAYABLE</v>
      </c>
      <c r="H2914">
        <v>90448.81</v>
      </c>
      <c r="I2914" t="str">
        <f t="shared" si="44"/>
        <v>BCBS PAYABLE</v>
      </c>
    </row>
    <row r="2915" spans="1:9" x14ac:dyDescent="0.3">
      <c r="A2915" t="str">
        <f>""</f>
        <v/>
      </c>
      <c r="F2915" t="str">
        <f>""</f>
        <v/>
      </c>
      <c r="G2915" t="str">
        <f>""</f>
        <v/>
      </c>
      <c r="I2915" t="str">
        <f t="shared" si="44"/>
        <v>BCBS PAYABLE</v>
      </c>
    </row>
    <row r="2916" spans="1:9" x14ac:dyDescent="0.3">
      <c r="A2916" t="str">
        <f>""</f>
        <v/>
      </c>
      <c r="F2916" t="str">
        <f>""</f>
        <v/>
      </c>
      <c r="G2916" t="str">
        <f>""</f>
        <v/>
      </c>
      <c r="I2916" t="str">
        <f t="shared" si="44"/>
        <v>BCBS PAYABLE</v>
      </c>
    </row>
    <row r="2917" spans="1:9" x14ac:dyDescent="0.3">
      <c r="A2917" t="str">
        <f>""</f>
        <v/>
      </c>
      <c r="F2917" t="str">
        <f>""</f>
        <v/>
      </c>
      <c r="G2917" t="str">
        <f>""</f>
        <v/>
      </c>
      <c r="I2917" t="str">
        <f t="shared" si="44"/>
        <v>BCBS PAYABLE</v>
      </c>
    </row>
    <row r="2918" spans="1:9" x14ac:dyDescent="0.3">
      <c r="A2918" t="str">
        <f>""</f>
        <v/>
      </c>
      <c r="F2918" t="str">
        <f>""</f>
        <v/>
      </c>
      <c r="G2918" t="str">
        <f>""</f>
        <v/>
      </c>
      <c r="I2918" t="str">
        <f t="shared" si="44"/>
        <v>BCBS PAYABLE</v>
      </c>
    </row>
    <row r="2919" spans="1:9" x14ac:dyDescent="0.3">
      <c r="A2919" t="str">
        <f>""</f>
        <v/>
      </c>
      <c r="F2919" t="str">
        <f>""</f>
        <v/>
      </c>
      <c r="G2919" t="str">
        <f>""</f>
        <v/>
      </c>
      <c r="I2919" t="str">
        <f t="shared" si="44"/>
        <v>BCBS PAYABLE</v>
      </c>
    </row>
    <row r="2920" spans="1:9" x14ac:dyDescent="0.3">
      <c r="A2920" t="str">
        <f>""</f>
        <v/>
      </c>
      <c r="F2920" t="str">
        <f>""</f>
        <v/>
      </c>
      <c r="G2920" t="str">
        <f>""</f>
        <v/>
      </c>
      <c r="I2920" t="str">
        <f t="shared" si="44"/>
        <v>BCBS PAYABLE</v>
      </c>
    </row>
    <row r="2921" spans="1:9" x14ac:dyDescent="0.3">
      <c r="A2921" t="str">
        <f>""</f>
        <v/>
      </c>
      <c r="F2921" t="str">
        <f>""</f>
        <v/>
      </c>
      <c r="G2921" t="str">
        <f>""</f>
        <v/>
      </c>
      <c r="I2921" t="str">
        <f t="shared" ref="I2921:I2984" si="45">"BCBS PAYABLE"</f>
        <v>BCBS PAYABLE</v>
      </c>
    </row>
    <row r="2922" spans="1:9" x14ac:dyDescent="0.3">
      <c r="A2922" t="str">
        <f>""</f>
        <v/>
      </c>
      <c r="F2922" t="str">
        <f>""</f>
        <v/>
      </c>
      <c r="G2922" t="str">
        <f>""</f>
        <v/>
      </c>
      <c r="I2922" t="str">
        <f t="shared" si="45"/>
        <v>BCBS PAYABLE</v>
      </c>
    </row>
    <row r="2923" spans="1:9" x14ac:dyDescent="0.3">
      <c r="A2923" t="str">
        <f>""</f>
        <v/>
      </c>
      <c r="F2923" t="str">
        <f>""</f>
        <v/>
      </c>
      <c r="G2923" t="str">
        <f>""</f>
        <v/>
      </c>
      <c r="I2923" t="str">
        <f t="shared" si="45"/>
        <v>BCBS PAYABLE</v>
      </c>
    </row>
    <row r="2924" spans="1:9" x14ac:dyDescent="0.3">
      <c r="A2924" t="str">
        <f>""</f>
        <v/>
      </c>
      <c r="F2924" t="str">
        <f>""</f>
        <v/>
      </c>
      <c r="G2924" t="str">
        <f>""</f>
        <v/>
      </c>
      <c r="I2924" t="str">
        <f t="shared" si="45"/>
        <v>BCBS PAYABLE</v>
      </c>
    </row>
    <row r="2925" spans="1:9" x14ac:dyDescent="0.3">
      <c r="A2925" t="str">
        <f>""</f>
        <v/>
      </c>
      <c r="F2925" t="str">
        <f>""</f>
        <v/>
      </c>
      <c r="G2925" t="str">
        <f>""</f>
        <v/>
      </c>
      <c r="I2925" t="str">
        <f t="shared" si="45"/>
        <v>BCBS PAYABLE</v>
      </c>
    </row>
    <row r="2926" spans="1:9" x14ac:dyDescent="0.3">
      <c r="A2926" t="str">
        <f>""</f>
        <v/>
      </c>
      <c r="F2926" t="str">
        <f>""</f>
        <v/>
      </c>
      <c r="G2926" t="str">
        <f>""</f>
        <v/>
      </c>
      <c r="I2926" t="str">
        <f t="shared" si="45"/>
        <v>BCBS PAYABLE</v>
      </c>
    </row>
    <row r="2927" spans="1:9" x14ac:dyDescent="0.3">
      <c r="A2927" t="str">
        <f>""</f>
        <v/>
      </c>
      <c r="F2927" t="str">
        <f>""</f>
        <v/>
      </c>
      <c r="G2927" t="str">
        <f>""</f>
        <v/>
      </c>
      <c r="I2927" t="str">
        <f t="shared" si="45"/>
        <v>BCBS PAYABLE</v>
      </c>
    </row>
    <row r="2928" spans="1:9" x14ac:dyDescent="0.3">
      <c r="A2928" t="str">
        <f>""</f>
        <v/>
      </c>
      <c r="F2928" t="str">
        <f>""</f>
        <v/>
      </c>
      <c r="G2928" t="str">
        <f>""</f>
        <v/>
      </c>
      <c r="I2928" t="str">
        <f t="shared" si="45"/>
        <v>BCBS PAYABLE</v>
      </c>
    </row>
    <row r="2929" spans="1:9" x14ac:dyDescent="0.3">
      <c r="A2929" t="str">
        <f>""</f>
        <v/>
      </c>
      <c r="F2929" t="str">
        <f>""</f>
        <v/>
      </c>
      <c r="G2929" t="str">
        <f>""</f>
        <v/>
      </c>
      <c r="I2929" t="str">
        <f t="shared" si="45"/>
        <v>BCBS PAYABLE</v>
      </c>
    </row>
    <row r="2930" spans="1:9" x14ac:dyDescent="0.3">
      <c r="A2930" t="str">
        <f>""</f>
        <v/>
      </c>
      <c r="F2930" t="str">
        <f>""</f>
        <v/>
      </c>
      <c r="G2930" t="str">
        <f>""</f>
        <v/>
      </c>
      <c r="I2930" t="str">
        <f t="shared" si="45"/>
        <v>BCBS PAYABLE</v>
      </c>
    </row>
    <row r="2931" spans="1:9" x14ac:dyDescent="0.3">
      <c r="A2931" t="str">
        <f>""</f>
        <v/>
      </c>
      <c r="F2931" t="str">
        <f>""</f>
        <v/>
      </c>
      <c r="G2931" t="str">
        <f>""</f>
        <v/>
      </c>
      <c r="I2931" t="str">
        <f t="shared" si="45"/>
        <v>BCBS PAYABLE</v>
      </c>
    </row>
    <row r="2932" spans="1:9" x14ac:dyDescent="0.3">
      <c r="A2932" t="str">
        <f>""</f>
        <v/>
      </c>
      <c r="F2932" t="str">
        <f>""</f>
        <v/>
      </c>
      <c r="G2932" t="str">
        <f>""</f>
        <v/>
      </c>
      <c r="I2932" t="str">
        <f t="shared" si="45"/>
        <v>BCBS PAYABLE</v>
      </c>
    </row>
    <row r="2933" spans="1:9" x14ac:dyDescent="0.3">
      <c r="A2933" t="str">
        <f>""</f>
        <v/>
      </c>
      <c r="F2933" t="str">
        <f>""</f>
        <v/>
      </c>
      <c r="G2933" t="str">
        <f>""</f>
        <v/>
      </c>
      <c r="I2933" t="str">
        <f t="shared" si="45"/>
        <v>BCBS PAYABLE</v>
      </c>
    </row>
    <row r="2934" spans="1:9" x14ac:dyDescent="0.3">
      <c r="A2934" t="str">
        <f>""</f>
        <v/>
      </c>
      <c r="F2934" t="str">
        <f>""</f>
        <v/>
      </c>
      <c r="G2934" t="str">
        <f>""</f>
        <v/>
      </c>
      <c r="I2934" t="str">
        <f t="shared" si="45"/>
        <v>BCBS PAYABLE</v>
      </c>
    </row>
    <row r="2935" spans="1:9" x14ac:dyDescent="0.3">
      <c r="A2935" t="str">
        <f>""</f>
        <v/>
      </c>
      <c r="F2935" t="str">
        <f>""</f>
        <v/>
      </c>
      <c r="G2935" t="str">
        <f>""</f>
        <v/>
      </c>
      <c r="I2935" t="str">
        <f t="shared" si="45"/>
        <v>BCBS PAYABLE</v>
      </c>
    </row>
    <row r="2936" spans="1:9" x14ac:dyDescent="0.3">
      <c r="A2936" t="str">
        <f>""</f>
        <v/>
      </c>
      <c r="F2936" t="str">
        <f>""</f>
        <v/>
      </c>
      <c r="G2936" t="str">
        <f>""</f>
        <v/>
      </c>
      <c r="I2936" t="str">
        <f t="shared" si="45"/>
        <v>BCBS PAYABLE</v>
      </c>
    </row>
    <row r="2937" spans="1:9" x14ac:dyDescent="0.3">
      <c r="A2937" t="str">
        <f>""</f>
        <v/>
      </c>
      <c r="F2937" t="str">
        <f>""</f>
        <v/>
      </c>
      <c r="G2937" t="str">
        <f>""</f>
        <v/>
      </c>
      <c r="I2937" t="str">
        <f t="shared" si="45"/>
        <v>BCBS PAYABLE</v>
      </c>
    </row>
    <row r="2938" spans="1:9" x14ac:dyDescent="0.3">
      <c r="A2938" t="str">
        <f>""</f>
        <v/>
      </c>
      <c r="F2938" t="str">
        <f>""</f>
        <v/>
      </c>
      <c r="G2938" t="str">
        <f>""</f>
        <v/>
      </c>
      <c r="I2938" t="str">
        <f t="shared" si="45"/>
        <v>BCBS PAYABLE</v>
      </c>
    </row>
    <row r="2939" spans="1:9" x14ac:dyDescent="0.3">
      <c r="A2939" t="str">
        <f>""</f>
        <v/>
      </c>
      <c r="F2939" t="str">
        <f>""</f>
        <v/>
      </c>
      <c r="G2939" t="str">
        <f>""</f>
        <v/>
      </c>
      <c r="I2939" t="str">
        <f t="shared" si="45"/>
        <v>BCBS PAYABLE</v>
      </c>
    </row>
    <row r="2940" spans="1:9" x14ac:dyDescent="0.3">
      <c r="A2940" t="str">
        <f>""</f>
        <v/>
      </c>
      <c r="F2940" t="str">
        <f>""</f>
        <v/>
      </c>
      <c r="G2940" t="str">
        <f>""</f>
        <v/>
      </c>
      <c r="I2940" t="str">
        <f t="shared" si="45"/>
        <v>BCBS PAYABLE</v>
      </c>
    </row>
    <row r="2941" spans="1:9" x14ac:dyDescent="0.3">
      <c r="A2941" t="str">
        <f>""</f>
        <v/>
      </c>
      <c r="F2941" t="str">
        <f>""</f>
        <v/>
      </c>
      <c r="G2941" t="str">
        <f>""</f>
        <v/>
      </c>
      <c r="I2941" t="str">
        <f t="shared" si="45"/>
        <v>BCBS PAYABLE</v>
      </c>
    </row>
    <row r="2942" spans="1:9" x14ac:dyDescent="0.3">
      <c r="A2942" t="str">
        <f>""</f>
        <v/>
      </c>
      <c r="F2942" t="str">
        <f>""</f>
        <v/>
      </c>
      <c r="G2942" t="str">
        <f>""</f>
        <v/>
      </c>
      <c r="I2942" t="str">
        <f t="shared" si="45"/>
        <v>BCBS PAYABLE</v>
      </c>
    </row>
    <row r="2943" spans="1:9" x14ac:dyDescent="0.3">
      <c r="A2943" t="str">
        <f>""</f>
        <v/>
      </c>
      <c r="F2943" t="str">
        <f>""</f>
        <v/>
      </c>
      <c r="G2943" t="str">
        <f>""</f>
        <v/>
      </c>
      <c r="I2943" t="str">
        <f t="shared" si="45"/>
        <v>BCBS PAYABLE</v>
      </c>
    </row>
    <row r="2944" spans="1:9" x14ac:dyDescent="0.3">
      <c r="A2944" t="str">
        <f>""</f>
        <v/>
      </c>
      <c r="F2944" t="str">
        <f>""</f>
        <v/>
      </c>
      <c r="G2944" t="str">
        <f>""</f>
        <v/>
      </c>
      <c r="I2944" t="str">
        <f t="shared" si="45"/>
        <v>BCBS PAYABLE</v>
      </c>
    </row>
    <row r="2945" spans="1:9" x14ac:dyDescent="0.3">
      <c r="A2945" t="str">
        <f>""</f>
        <v/>
      </c>
      <c r="F2945" t="str">
        <f>""</f>
        <v/>
      </c>
      <c r="G2945" t="str">
        <f>""</f>
        <v/>
      </c>
      <c r="I2945" t="str">
        <f t="shared" si="45"/>
        <v>BCBS PAYABLE</v>
      </c>
    </row>
    <row r="2946" spans="1:9" x14ac:dyDescent="0.3">
      <c r="A2946" t="str">
        <f>""</f>
        <v/>
      </c>
      <c r="F2946" t="str">
        <f>""</f>
        <v/>
      </c>
      <c r="G2946" t="str">
        <f>""</f>
        <v/>
      </c>
      <c r="I2946" t="str">
        <f t="shared" si="45"/>
        <v>BCBS PAYABLE</v>
      </c>
    </row>
    <row r="2947" spans="1:9" x14ac:dyDescent="0.3">
      <c r="A2947" t="str">
        <f>""</f>
        <v/>
      </c>
      <c r="F2947" t="str">
        <f>""</f>
        <v/>
      </c>
      <c r="G2947" t="str">
        <f>""</f>
        <v/>
      </c>
      <c r="I2947" t="str">
        <f t="shared" si="45"/>
        <v>BCBS PAYABLE</v>
      </c>
    </row>
    <row r="2948" spans="1:9" x14ac:dyDescent="0.3">
      <c r="A2948" t="str">
        <f>""</f>
        <v/>
      </c>
      <c r="F2948" t="str">
        <f>""</f>
        <v/>
      </c>
      <c r="G2948" t="str">
        <f>""</f>
        <v/>
      </c>
      <c r="I2948" t="str">
        <f t="shared" si="45"/>
        <v>BCBS PAYABLE</v>
      </c>
    </row>
    <row r="2949" spans="1:9" x14ac:dyDescent="0.3">
      <c r="A2949" t="str">
        <f>""</f>
        <v/>
      </c>
      <c r="F2949" t="str">
        <f>""</f>
        <v/>
      </c>
      <c r="G2949" t="str">
        <f>""</f>
        <v/>
      </c>
      <c r="I2949" t="str">
        <f t="shared" si="45"/>
        <v>BCBS PAYABLE</v>
      </c>
    </row>
    <row r="2950" spans="1:9" x14ac:dyDescent="0.3">
      <c r="A2950" t="str">
        <f>""</f>
        <v/>
      </c>
      <c r="F2950" t="str">
        <f>""</f>
        <v/>
      </c>
      <c r="G2950" t="str">
        <f>""</f>
        <v/>
      </c>
      <c r="I2950" t="str">
        <f t="shared" si="45"/>
        <v>BCBS PAYABLE</v>
      </c>
    </row>
    <row r="2951" spans="1:9" x14ac:dyDescent="0.3">
      <c r="A2951" t="str">
        <f>""</f>
        <v/>
      </c>
      <c r="F2951" t="str">
        <f>""</f>
        <v/>
      </c>
      <c r="G2951" t="str">
        <f>""</f>
        <v/>
      </c>
      <c r="I2951" t="str">
        <f t="shared" si="45"/>
        <v>BCBS PAYABLE</v>
      </c>
    </row>
    <row r="2952" spans="1:9" x14ac:dyDescent="0.3">
      <c r="A2952" t="str">
        <f>""</f>
        <v/>
      </c>
      <c r="F2952" t="str">
        <f>""</f>
        <v/>
      </c>
      <c r="G2952" t="str">
        <f>""</f>
        <v/>
      </c>
      <c r="I2952" t="str">
        <f t="shared" si="45"/>
        <v>BCBS PAYABLE</v>
      </c>
    </row>
    <row r="2953" spans="1:9" x14ac:dyDescent="0.3">
      <c r="A2953" t="str">
        <f>""</f>
        <v/>
      </c>
      <c r="F2953" t="str">
        <f>""</f>
        <v/>
      </c>
      <c r="G2953" t="str">
        <f>""</f>
        <v/>
      </c>
      <c r="I2953" t="str">
        <f t="shared" si="45"/>
        <v>BCBS PAYABLE</v>
      </c>
    </row>
    <row r="2954" spans="1:9" x14ac:dyDescent="0.3">
      <c r="A2954" t="str">
        <f>""</f>
        <v/>
      </c>
      <c r="F2954" t="str">
        <f>""</f>
        <v/>
      </c>
      <c r="G2954" t="str">
        <f>""</f>
        <v/>
      </c>
      <c r="I2954" t="str">
        <f t="shared" si="45"/>
        <v>BCBS PAYABLE</v>
      </c>
    </row>
    <row r="2955" spans="1:9" x14ac:dyDescent="0.3">
      <c r="A2955" t="str">
        <f>""</f>
        <v/>
      </c>
      <c r="F2955" t="str">
        <f>""</f>
        <v/>
      </c>
      <c r="G2955" t="str">
        <f>""</f>
        <v/>
      </c>
      <c r="I2955" t="str">
        <f t="shared" si="45"/>
        <v>BCBS PAYABLE</v>
      </c>
    </row>
    <row r="2956" spans="1:9" x14ac:dyDescent="0.3">
      <c r="A2956" t="str">
        <f>""</f>
        <v/>
      </c>
      <c r="F2956" t="str">
        <f>""</f>
        <v/>
      </c>
      <c r="G2956" t="str">
        <f>""</f>
        <v/>
      </c>
      <c r="I2956" t="str">
        <f t="shared" si="45"/>
        <v>BCBS PAYABLE</v>
      </c>
    </row>
    <row r="2957" spans="1:9" x14ac:dyDescent="0.3">
      <c r="A2957" t="str">
        <f>""</f>
        <v/>
      </c>
      <c r="F2957" t="str">
        <f>"2EO201805161054"</f>
        <v>2EO201805161054</v>
      </c>
      <c r="G2957" t="str">
        <f>"BCBS PAYABLE"</f>
        <v>BCBS PAYABLE</v>
      </c>
      <c r="H2957">
        <v>3591.83</v>
      </c>
      <c r="I2957" t="str">
        <f t="shared" si="45"/>
        <v>BCBS PAYABLE</v>
      </c>
    </row>
    <row r="2958" spans="1:9" x14ac:dyDescent="0.3">
      <c r="A2958" t="str">
        <f>""</f>
        <v/>
      </c>
      <c r="F2958" t="str">
        <f>"2ES201805010494"</f>
        <v>2ES201805010494</v>
      </c>
      <c r="G2958" t="str">
        <f>"BCBS PAYABLE"</f>
        <v>BCBS PAYABLE</v>
      </c>
      <c r="H2958">
        <v>17660.28</v>
      </c>
      <c r="I2958" t="str">
        <f t="shared" si="45"/>
        <v>BCBS PAYABLE</v>
      </c>
    </row>
    <row r="2959" spans="1:9" x14ac:dyDescent="0.3">
      <c r="A2959" t="str">
        <f>""</f>
        <v/>
      </c>
      <c r="F2959" t="str">
        <f>""</f>
        <v/>
      </c>
      <c r="G2959" t="str">
        <f>""</f>
        <v/>
      </c>
      <c r="I2959" t="str">
        <f t="shared" si="45"/>
        <v>BCBS PAYABLE</v>
      </c>
    </row>
    <row r="2960" spans="1:9" x14ac:dyDescent="0.3">
      <c r="A2960" t="str">
        <f>""</f>
        <v/>
      </c>
      <c r="F2960" t="str">
        <f>""</f>
        <v/>
      </c>
      <c r="G2960" t="str">
        <f>""</f>
        <v/>
      </c>
      <c r="I2960" t="str">
        <f t="shared" si="45"/>
        <v>BCBS PAYABLE</v>
      </c>
    </row>
    <row r="2961" spans="1:9" x14ac:dyDescent="0.3">
      <c r="A2961" t="str">
        <f>""</f>
        <v/>
      </c>
      <c r="F2961" t="str">
        <f>""</f>
        <v/>
      </c>
      <c r="G2961" t="str">
        <f>""</f>
        <v/>
      </c>
      <c r="I2961" t="str">
        <f t="shared" si="45"/>
        <v>BCBS PAYABLE</v>
      </c>
    </row>
    <row r="2962" spans="1:9" x14ac:dyDescent="0.3">
      <c r="A2962" t="str">
        <f>""</f>
        <v/>
      </c>
      <c r="F2962" t="str">
        <f>""</f>
        <v/>
      </c>
      <c r="G2962" t="str">
        <f>""</f>
        <v/>
      </c>
      <c r="I2962" t="str">
        <f t="shared" si="45"/>
        <v>BCBS PAYABLE</v>
      </c>
    </row>
    <row r="2963" spans="1:9" x14ac:dyDescent="0.3">
      <c r="A2963" t="str">
        <f>""</f>
        <v/>
      </c>
      <c r="F2963" t="str">
        <f>""</f>
        <v/>
      </c>
      <c r="G2963" t="str">
        <f>""</f>
        <v/>
      </c>
      <c r="I2963" t="str">
        <f t="shared" si="45"/>
        <v>BCBS PAYABLE</v>
      </c>
    </row>
    <row r="2964" spans="1:9" x14ac:dyDescent="0.3">
      <c r="A2964" t="str">
        <f>""</f>
        <v/>
      </c>
      <c r="F2964" t="str">
        <f>""</f>
        <v/>
      </c>
      <c r="G2964" t="str">
        <f>""</f>
        <v/>
      </c>
      <c r="I2964" t="str">
        <f t="shared" si="45"/>
        <v>BCBS PAYABLE</v>
      </c>
    </row>
    <row r="2965" spans="1:9" x14ac:dyDescent="0.3">
      <c r="A2965" t="str">
        <f>""</f>
        <v/>
      </c>
      <c r="F2965" t="str">
        <f>""</f>
        <v/>
      </c>
      <c r="G2965" t="str">
        <f>""</f>
        <v/>
      </c>
      <c r="I2965" t="str">
        <f t="shared" si="45"/>
        <v>BCBS PAYABLE</v>
      </c>
    </row>
    <row r="2966" spans="1:9" x14ac:dyDescent="0.3">
      <c r="A2966" t="str">
        <f>""</f>
        <v/>
      </c>
      <c r="F2966" t="str">
        <f>""</f>
        <v/>
      </c>
      <c r="G2966" t="str">
        <f>""</f>
        <v/>
      </c>
      <c r="I2966" t="str">
        <f t="shared" si="45"/>
        <v>BCBS PAYABLE</v>
      </c>
    </row>
    <row r="2967" spans="1:9" x14ac:dyDescent="0.3">
      <c r="A2967" t="str">
        <f>""</f>
        <v/>
      </c>
      <c r="F2967" t="str">
        <f>""</f>
        <v/>
      </c>
      <c r="G2967" t="str">
        <f>""</f>
        <v/>
      </c>
      <c r="I2967" t="str">
        <f t="shared" si="45"/>
        <v>BCBS PAYABLE</v>
      </c>
    </row>
    <row r="2968" spans="1:9" x14ac:dyDescent="0.3">
      <c r="A2968" t="str">
        <f>""</f>
        <v/>
      </c>
      <c r="F2968" t="str">
        <f>""</f>
        <v/>
      </c>
      <c r="G2968" t="str">
        <f>""</f>
        <v/>
      </c>
      <c r="I2968" t="str">
        <f t="shared" si="45"/>
        <v>BCBS PAYABLE</v>
      </c>
    </row>
    <row r="2969" spans="1:9" x14ac:dyDescent="0.3">
      <c r="A2969" t="str">
        <f>""</f>
        <v/>
      </c>
      <c r="F2969" t="str">
        <f>""</f>
        <v/>
      </c>
      <c r="G2969" t="str">
        <f>""</f>
        <v/>
      </c>
      <c r="I2969" t="str">
        <f t="shared" si="45"/>
        <v>BCBS PAYABLE</v>
      </c>
    </row>
    <row r="2970" spans="1:9" x14ac:dyDescent="0.3">
      <c r="A2970" t="str">
        <f>""</f>
        <v/>
      </c>
      <c r="F2970" t="str">
        <f>""</f>
        <v/>
      </c>
      <c r="G2970" t="str">
        <f>""</f>
        <v/>
      </c>
      <c r="I2970" t="str">
        <f t="shared" si="45"/>
        <v>BCBS PAYABLE</v>
      </c>
    </row>
    <row r="2971" spans="1:9" x14ac:dyDescent="0.3">
      <c r="A2971" t="str">
        <f>""</f>
        <v/>
      </c>
      <c r="F2971" t="str">
        <f>""</f>
        <v/>
      </c>
      <c r="G2971" t="str">
        <f>""</f>
        <v/>
      </c>
      <c r="I2971" t="str">
        <f t="shared" si="45"/>
        <v>BCBS PAYABLE</v>
      </c>
    </row>
    <row r="2972" spans="1:9" x14ac:dyDescent="0.3">
      <c r="A2972" t="str">
        <f>""</f>
        <v/>
      </c>
      <c r="F2972" t="str">
        <f>""</f>
        <v/>
      </c>
      <c r="G2972" t="str">
        <f>""</f>
        <v/>
      </c>
      <c r="I2972" t="str">
        <f t="shared" si="45"/>
        <v>BCBS PAYABLE</v>
      </c>
    </row>
    <row r="2973" spans="1:9" x14ac:dyDescent="0.3">
      <c r="A2973" t="str">
        <f>""</f>
        <v/>
      </c>
      <c r="F2973" t="str">
        <f>""</f>
        <v/>
      </c>
      <c r="G2973" t="str">
        <f>""</f>
        <v/>
      </c>
      <c r="I2973" t="str">
        <f t="shared" si="45"/>
        <v>BCBS PAYABLE</v>
      </c>
    </row>
    <row r="2974" spans="1:9" x14ac:dyDescent="0.3">
      <c r="A2974" t="str">
        <f>""</f>
        <v/>
      </c>
      <c r="F2974" t="str">
        <f>""</f>
        <v/>
      </c>
      <c r="G2974" t="str">
        <f>""</f>
        <v/>
      </c>
      <c r="I2974" t="str">
        <f t="shared" si="45"/>
        <v>BCBS PAYABLE</v>
      </c>
    </row>
    <row r="2975" spans="1:9" x14ac:dyDescent="0.3">
      <c r="A2975" t="str">
        <f>""</f>
        <v/>
      </c>
      <c r="F2975" t="str">
        <f>""</f>
        <v/>
      </c>
      <c r="G2975" t="str">
        <f>""</f>
        <v/>
      </c>
      <c r="I2975" t="str">
        <f t="shared" si="45"/>
        <v>BCBS PAYABLE</v>
      </c>
    </row>
    <row r="2976" spans="1:9" x14ac:dyDescent="0.3">
      <c r="A2976" t="str">
        <f>""</f>
        <v/>
      </c>
      <c r="F2976" t="str">
        <f>""</f>
        <v/>
      </c>
      <c r="G2976" t="str">
        <f>""</f>
        <v/>
      </c>
      <c r="I2976" t="str">
        <f t="shared" si="45"/>
        <v>BCBS PAYABLE</v>
      </c>
    </row>
    <row r="2977" spans="1:9" x14ac:dyDescent="0.3">
      <c r="A2977" t="str">
        <f>""</f>
        <v/>
      </c>
      <c r="F2977" t="str">
        <f>"2ES201805010495"</f>
        <v>2ES201805010495</v>
      </c>
      <c r="G2977" t="str">
        <f>"BCBS PAYABLE"</f>
        <v>BCBS PAYABLE</v>
      </c>
      <c r="H2977">
        <v>519.41999999999996</v>
      </c>
      <c r="I2977" t="str">
        <f t="shared" si="45"/>
        <v>BCBS PAYABLE</v>
      </c>
    </row>
    <row r="2978" spans="1:9" x14ac:dyDescent="0.3">
      <c r="A2978" t="str">
        <f>""</f>
        <v/>
      </c>
      <c r="F2978" t="str">
        <f>""</f>
        <v/>
      </c>
      <c r="G2978" t="str">
        <f>""</f>
        <v/>
      </c>
      <c r="I2978" t="str">
        <f t="shared" si="45"/>
        <v>BCBS PAYABLE</v>
      </c>
    </row>
    <row r="2979" spans="1:9" x14ac:dyDescent="0.3">
      <c r="A2979" t="str">
        <f>""</f>
        <v/>
      </c>
      <c r="F2979" t="str">
        <f>"2ES201805161053"</f>
        <v>2ES201805161053</v>
      </c>
      <c r="G2979" t="str">
        <f>"BCBS PAYABLE"</f>
        <v>BCBS PAYABLE</v>
      </c>
      <c r="H2979">
        <v>17660.28</v>
      </c>
      <c r="I2979" t="str">
        <f t="shared" si="45"/>
        <v>BCBS PAYABLE</v>
      </c>
    </row>
    <row r="2980" spans="1:9" x14ac:dyDescent="0.3">
      <c r="A2980" t="str">
        <f>""</f>
        <v/>
      </c>
      <c r="F2980" t="str">
        <f>""</f>
        <v/>
      </c>
      <c r="G2980" t="str">
        <f>""</f>
        <v/>
      </c>
      <c r="I2980" t="str">
        <f t="shared" si="45"/>
        <v>BCBS PAYABLE</v>
      </c>
    </row>
    <row r="2981" spans="1:9" x14ac:dyDescent="0.3">
      <c r="A2981" t="str">
        <f>""</f>
        <v/>
      </c>
      <c r="F2981" t="str">
        <f>""</f>
        <v/>
      </c>
      <c r="G2981" t="str">
        <f>""</f>
        <v/>
      </c>
      <c r="I2981" t="str">
        <f t="shared" si="45"/>
        <v>BCBS PAYABLE</v>
      </c>
    </row>
    <row r="2982" spans="1:9" x14ac:dyDescent="0.3">
      <c r="A2982" t="str">
        <f>""</f>
        <v/>
      </c>
      <c r="F2982" t="str">
        <f>""</f>
        <v/>
      </c>
      <c r="G2982" t="str">
        <f>""</f>
        <v/>
      </c>
      <c r="I2982" t="str">
        <f t="shared" si="45"/>
        <v>BCBS PAYABLE</v>
      </c>
    </row>
    <row r="2983" spans="1:9" x14ac:dyDescent="0.3">
      <c r="A2983" t="str">
        <f>""</f>
        <v/>
      </c>
      <c r="F2983" t="str">
        <f>""</f>
        <v/>
      </c>
      <c r="G2983" t="str">
        <f>""</f>
        <v/>
      </c>
      <c r="I2983" t="str">
        <f t="shared" si="45"/>
        <v>BCBS PAYABLE</v>
      </c>
    </row>
    <row r="2984" spans="1:9" x14ac:dyDescent="0.3">
      <c r="A2984" t="str">
        <f>""</f>
        <v/>
      </c>
      <c r="F2984" t="str">
        <f>""</f>
        <v/>
      </c>
      <c r="G2984" t="str">
        <f>""</f>
        <v/>
      </c>
      <c r="I2984" t="str">
        <f t="shared" si="45"/>
        <v>BCBS PAYABLE</v>
      </c>
    </row>
    <row r="2985" spans="1:9" x14ac:dyDescent="0.3">
      <c r="A2985" t="str">
        <f>""</f>
        <v/>
      </c>
      <c r="F2985" t="str">
        <f>""</f>
        <v/>
      </c>
      <c r="G2985" t="str">
        <f>""</f>
        <v/>
      </c>
      <c r="I2985" t="str">
        <f t="shared" ref="I2985:I2999" si="46">"BCBS PAYABLE"</f>
        <v>BCBS PAYABLE</v>
      </c>
    </row>
    <row r="2986" spans="1:9" x14ac:dyDescent="0.3">
      <c r="A2986" t="str">
        <f>""</f>
        <v/>
      </c>
      <c r="F2986" t="str">
        <f>""</f>
        <v/>
      </c>
      <c r="G2986" t="str">
        <f>""</f>
        <v/>
      </c>
      <c r="I2986" t="str">
        <f t="shared" si="46"/>
        <v>BCBS PAYABLE</v>
      </c>
    </row>
    <row r="2987" spans="1:9" x14ac:dyDescent="0.3">
      <c r="A2987" t="str">
        <f>""</f>
        <v/>
      </c>
      <c r="F2987" t="str">
        <f>""</f>
        <v/>
      </c>
      <c r="G2987" t="str">
        <f>""</f>
        <v/>
      </c>
      <c r="I2987" t="str">
        <f t="shared" si="46"/>
        <v>BCBS PAYABLE</v>
      </c>
    </row>
    <row r="2988" spans="1:9" x14ac:dyDescent="0.3">
      <c r="A2988" t="str">
        <f>""</f>
        <v/>
      </c>
      <c r="F2988" t="str">
        <f>""</f>
        <v/>
      </c>
      <c r="G2988" t="str">
        <f>""</f>
        <v/>
      </c>
      <c r="I2988" t="str">
        <f t="shared" si="46"/>
        <v>BCBS PAYABLE</v>
      </c>
    </row>
    <row r="2989" spans="1:9" x14ac:dyDescent="0.3">
      <c r="A2989" t="str">
        <f>""</f>
        <v/>
      </c>
      <c r="F2989" t="str">
        <f>""</f>
        <v/>
      </c>
      <c r="G2989" t="str">
        <f>""</f>
        <v/>
      </c>
      <c r="I2989" t="str">
        <f t="shared" si="46"/>
        <v>BCBS PAYABLE</v>
      </c>
    </row>
    <row r="2990" spans="1:9" x14ac:dyDescent="0.3">
      <c r="A2990" t="str">
        <f>""</f>
        <v/>
      </c>
      <c r="F2990" t="str">
        <f>""</f>
        <v/>
      </c>
      <c r="G2990" t="str">
        <f>""</f>
        <v/>
      </c>
      <c r="I2990" t="str">
        <f t="shared" si="46"/>
        <v>BCBS PAYABLE</v>
      </c>
    </row>
    <row r="2991" spans="1:9" x14ac:dyDescent="0.3">
      <c r="A2991" t="str">
        <f>""</f>
        <v/>
      </c>
      <c r="F2991" t="str">
        <f>""</f>
        <v/>
      </c>
      <c r="G2991" t="str">
        <f>""</f>
        <v/>
      </c>
      <c r="I2991" t="str">
        <f t="shared" si="46"/>
        <v>BCBS PAYABLE</v>
      </c>
    </row>
    <row r="2992" spans="1:9" x14ac:dyDescent="0.3">
      <c r="A2992" t="str">
        <f>""</f>
        <v/>
      </c>
      <c r="F2992" t="str">
        <f>""</f>
        <v/>
      </c>
      <c r="G2992" t="str">
        <f>""</f>
        <v/>
      </c>
      <c r="I2992" t="str">
        <f t="shared" si="46"/>
        <v>BCBS PAYABLE</v>
      </c>
    </row>
    <row r="2993" spans="1:9" x14ac:dyDescent="0.3">
      <c r="A2993" t="str">
        <f>""</f>
        <v/>
      </c>
      <c r="F2993" t="str">
        <f>""</f>
        <v/>
      </c>
      <c r="G2993" t="str">
        <f>""</f>
        <v/>
      </c>
      <c r="I2993" t="str">
        <f t="shared" si="46"/>
        <v>BCBS PAYABLE</v>
      </c>
    </row>
    <row r="2994" spans="1:9" x14ac:dyDescent="0.3">
      <c r="A2994" t="str">
        <f>""</f>
        <v/>
      </c>
      <c r="F2994" t="str">
        <f>""</f>
        <v/>
      </c>
      <c r="G2994" t="str">
        <f>""</f>
        <v/>
      </c>
      <c r="I2994" t="str">
        <f t="shared" si="46"/>
        <v>BCBS PAYABLE</v>
      </c>
    </row>
    <row r="2995" spans="1:9" x14ac:dyDescent="0.3">
      <c r="A2995" t="str">
        <f>""</f>
        <v/>
      </c>
      <c r="F2995" t="str">
        <f>""</f>
        <v/>
      </c>
      <c r="G2995" t="str">
        <f>""</f>
        <v/>
      </c>
      <c r="I2995" t="str">
        <f t="shared" si="46"/>
        <v>BCBS PAYABLE</v>
      </c>
    </row>
    <row r="2996" spans="1:9" x14ac:dyDescent="0.3">
      <c r="A2996" t="str">
        <f>""</f>
        <v/>
      </c>
      <c r="F2996" t="str">
        <f>""</f>
        <v/>
      </c>
      <c r="G2996" t="str">
        <f>""</f>
        <v/>
      </c>
      <c r="I2996" t="str">
        <f t="shared" si="46"/>
        <v>BCBS PAYABLE</v>
      </c>
    </row>
    <row r="2997" spans="1:9" x14ac:dyDescent="0.3">
      <c r="A2997" t="str">
        <f>""</f>
        <v/>
      </c>
      <c r="F2997" t="str">
        <f>""</f>
        <v/>
      </c>
      <c r="G2997" t="str">
        <f>""</f>
        <v/>
      </c>
      <c r="I2997" t="str">
        <f t="shared" si="46"/>
        <v>BCBS PAYABLE</v>
      </c>
    </row>
    <row r="2998" spans="1:9" x14ac:dyDescent="0.3">
      <c r="A2998" t="str">
        <f>""</f>
        <v/>
      </c>
      <c r="F2998" t="str">
        <f>"2ES201805161054"</f>
        <v>2ES201805161054</v>
      </c>
      <c r="G2998" t="str">
        <f>"BCBS PAYABLE"</f>
        <v>BCBS PAYABLE</v>
      </c>
      <c r="H2998">
        <v>519.41999999999996</v>
      </c>
      <c r="I2998" t="str">
        <f t="shared" si="46"/>
        <v>BCBS PAYABLE</v>
      </c>
    </row>
    <row r="2999" spans="1:9" x14ac:dyDescent="0.3">
      <c r="A2999" t="str">
        <f>""</f>
        <v/>
      </c>
      <c r="F2999" t="str">
        <f>""</f>
        <v/>
      </c>
      <c r="G2999" t="str">
        <f>""</f>
        <v/>
      </c>
      <c r="I2999" t="str">
        <f t="shared" si="46"/>
        <v>BCBS PAYABLE</v>
      </c>
    </row>
    <row r="3000" spans="1:9" x14ac:dyDescent="0.3">
      <c r="A3000" t="str">
        <f>"TAGO"</f>
        <v>TAGO</v>
      </c>
      <c r="B3000" t="s">
        <v>577</v>
      </c>
      <c r="C3000">
        <v>0</v>
      </c>
      <c r="D3000" s="2">
        <v>4421.7299999999996</v>
      </c>
      <c r="E3000" s="1">
        <v>43224</v>
      </c>
      <c r="F3000" t="str">
        <f>"C18201805010495"</f>
        <v>C18201805010495</v>
      </c>
      <c r="G3000" t="str">
        <f>"CAUSE# 0011635329"</f>
        <v>CAUSE# 0011635329</v>
      </c>
      <c r="H3000">
        <v>603.23</v>
      </c>
      <c r="I3000" t="str">
        <f>"CAUSE# 0011635329"</f>
        <v>CAUSE# 0011635329</v>
      </c>
    </row>
    <row r="3001" spans="1:9" x14ac:dyDescent="0.3">
      <c r="A3001" t="str">
        <f>""</f>
        <v/>
      </c>
      <c r="F3001" t="str">
        <f>"C2 201805010495"</f>
        <v>C2 201805010495</v>
      </c>
      <c r="G3001" t="str">
        <f>"0012982132CCL7445"</f>
        <v>0012982132CCL7445</v>
      </c>
      <c r="H3001">
        <v>692.31</v>
      </c>
      <c r="I3001" t="str">
        <f>"0012982132CCL7445"</f>
        <v>0012982132CCL7445</v>
      </c>
    </row>
    <row r="3002" spans="1:9" x14ac:dyDescent="0.3">
      <c r="A3002" t="str">
        <f>""</f>
        <v/>
      </c>
      <c r="F3002" t="str">
        <f>"C20201805010494"</f>
        <v>C20201805010494</v>
      </c>
      <c r="G3002" t="str">
        <f>"001003981107-12252"</f>
        <v>001003981107-12252</v>
      </c>
      <c r="H3002">
        <v>115.39</v>
      </c>
      <c r="I3002" t="str">
        <f>"001003981107-12252"</f>
        <v>001003981107-12252</v>
      </c>
    </row>
    <row r="3003" spans="1:9" x14ac:dyDescent="0.3">
      <c r="A3003" t="str">
        <f>""</f>
        <v/>
      </c>
      <c r="F3003" t="str">
        <f>"C39201805010494"</f>
        <v>C39201805010494</v>
      </c>
      <c r="G3003" t="str">
        <f>"0012352184423-1520"</f>
        <v>0012352184423-1520</v>
      </c>
      <c r="H3003">
        <v>273.23</v>
      </c>
      <c r="I3003" t="str">
        <f>"0012352184423-1520"</f>
        <v>0012352184423-1520</v>
      </c>
    </row>
    <row r="3004" spans="1:9" x14ac:dyDescent="0.3">
      <c r="A3004" t="str">
        <f>""</f>
        <v/>
      </c>
      <c r="F3004" t="str">
        <f>"C42201805010494"</f>
        <v>C42201805010494</v>
      </c>
      <c r="G3004" t="str">
        <f>"001236769211-14410"</f>
        <v>001236769211-14410</v>
      </c>
      <c r="H3004">
        <v>230.31</v>
      </c>
      <c r="I3004" t="str">
        <f>"001236769211-14410"</f>
        <v>001236769211-14410</v>
      </c>
    </row>
    <row r="3005" spans="1:9" x14ac:dyDescent="0.3">
      <c r="A3005" t="str">
        <f>""</f>
        <v/>
      </c>
      <c r="F3005" t="str">
        <f>"C46201805010494"</f>
        <v>C46201805010494</v>
      </c>
      <c r="G3005" t="str">
        <f>"CAUSE# 11-14911"</f>
        <v>CAUSE# 11-14911</v>
      </c>
      <c r="H3005">
        <v>238.62</v>
      </c>
      <c r="I3005" t="str">
        <f>"CAUSE# 11-14911"</f>
        <v>CAUSE# 11-14911</v>
      </c>
    </row>
    <row r="3006" spans="1:9" x14ac:dyDescent="0.3">
      <c r="A3006" t="str">
        <f>""</f>
        <v/>
      </c>
      <c r="F3006" t="str">
        <f>"C53201805010494"</f>
        <v>C53201805010494</v>
      </c>
      <c r="G3006" t="str">
        <f>"0012453366"</f>
        <v>0012453366</v>
      </c>
      <c r="H3006">
        <v>207.69</v>
      </c>
      <c r="I3006" t="str">
        <f>"0012453366"</f>
        <v>0012453366</v>
      </c>
    </row>
    <row r="3007" spans="1:9" x14ac:dyDescent="0.3">
      <c r="A3007" t="str">
        <f>""</f>
        <v/>
      </c>
      <c r="F3007" t="str">
        <f>"C59201805010494"</f>
        <v>C59201805010494</v>
      </c>
      <c r="G3007" t="str">
        <f>"0012936495140043"</f>
        <v>0012936495140043</v>
      </c>
      <c r="H3007">
        <v>226.15</v>
      </c>
      <c r="I3007" t="str">
        <f>"0012936495140043"</f>
        <v>0012936495140043</v>
      </c>
    </row>
    <row r="3008" spans="1:9" x14ac:dyDescent="0.3">
      <c r="A3008" t="str">
        <f>""</f>
        <v/>
      </c>
      <c r="F3008" t="str">
        <f>"C60201805010494"</f>
        <v>C60201805010494</v>
      </c>
      <c r="G3008" t="str">
        <f>"00130730762012V300"</f>
        <v>00130730762012V300</v>
      </c>
      <c r="H3008">
        <v>399.32</v>
      </c>
      <c r="I3008" t="str">
        <f>"00130730762012V300"</f>
        <v>00130730762012V300</v>
      </c>
    </row>
    <row r="3009" spans="1:9" x14ac:dyDescent="0.3">
      <c r="A3009" t="str">
        <f>""</f>
        <v/>
      </c>
      <c r="F3009" t="str">
        <f>"C61201805010494"</f>
        <v>C61201805010494</v>
      </c>
      <c r="G3009" t="str">
        <f>"001174398213713"</f>
        <v>001174398213713</v>
      </c>
      <c r="H3009">
        <v>22.39</v>
      </c>
      <c r="I3009" t="str">
        <f>"001174398213713"</f>
        <v>001174398213713</v>
      </c>
    </row>
    <row r="3010" spans="1:9" x14ac:dyDescent="0.3">
      <c r="A3010" t="str">
        <f>""</f>
        <v/>
      </c>
      <c r="F3010" t="str">
        <f>"C62201805010494"</f>
        <v>C62201805010494</v>
      </c>
      <c r="G3010" t="str">
        <f>"# 0012128865"</f>
        <v># 0012128865</v>
      </c>
      <c r="H3010">
        <v>243.23</v>
      </c>
      <c r="I3010" t="str">
        <f>"# 0012128865"</f>
        <v># 0012128865</v>
      </c>
    </row>
    <row r="3011" spans="1:9" x14ac:dyDescent="0.3">
      <c r="A3011" t="str">
        <f>""</f>
        <v/>
      </c>
      <c r="F3011" t="str">
        <f>"C65201805010494"</f>
        <v>C65201805010494</v>
      </c>
      <c r="G3011" t="str">
        <f>"12-14956"</f>
        <v>12-14956</v>
      </c>
      <c r="H3011">
        <v>351.1</v>
      </c>
      <c r="I3011" t="str">
        <f>"12-14956"</f>
        <v>12-14956</v>
      </c>
    </row>
    <row r="3012" spans="1:9" x14ac:dyDescent="0.3">
      <c r="A3012" t="str">
        <f>""</f>
        <v/>
      </c>
      <c r="F3012" t="str">
        <f>"C66201805010494"</f>
        <v>C66201805010494</v>
      </c>
      <c r="G3012" t="str">
        <f>"# 0012871801"</f>
        <v># 0012871801</v>
      </c>
      <c r="H3012">
        <v>90</v>
      </c>
      <c r="I3012" t="str">
        <f>"# 0012871801"</f>
        <v># 0012871801</v>
      </c>
    </row>
    <row r="3013" spans="1:9" x14ac:dyDescent="0.3">
      <c r="A3013" t="str">
        <f>""</f>
        <v/>
      </c>
      <c r="F3013" t="str">
        <f>"C66201805010496"</f>
        <v>C66201805010496</v>
      </c>
      <c r="G3013" t="str">
        <f>"CAUSE#D1FM13007058"</f>
        <v>CAUSE#D1FM13007058</v>
      </c>
      <c r="H3013">
        <v>138.46</v>
      </c>
      <c r="I3013" t="str">
        <f>"CAUSE#D1FM13007058"</f>
        <v>CAUSE#D1FM13007058</v>
      </c>
    </row>
    <row r="3014" spans="1:9" x14ac:dyDescent="0.3">
      <c r="A3014" t="str">
        <f>""</f>
        <v/>
      </c>
      <c r="F3014" t="str">
        <f>"C68201805010494"</f>
        <v>C68201805010494</v>
      </c>
      <c r="G3014" t="str">
        <f>"00125374142011CM2291"</f>
        <v>00125374142011CM2291</v>
      </c>
      <c r="H3014">
        <v>402.92</v>
      </c>
      <c r="I3014" t="str">
        <f>"00125374142011CM2291"</f>
        <v>00125374142011CM2291</v>
      </c>
    </row>
    <row r="3015" spans="1:9" x14ac:dyDescent="0.3">
      <c r="A3015" t="str">
        <f>""</f>
        <v/>
      </c>
      <c r="F3015" t="str">
        <f>"C69201805010494"</f>
        <v>C69201805010494</v>
      </c>
      <c r="G3015" t="str">
        <f>"0012046911423672"</f>
        <v>0012046911423672</v>
      </c>
      <c r="H3015">
        <v>187.38</v>
      </c>
      <c r="I3015" t="str">
        <f>"0012046911423672"</f>
        <v>0012046911423672</v>
      </c>
    </row>
    <row r="3016" spans="1:9" x14ac:dyDescent="0.3">
      <c r="A3016" t="str">
        <f>"TAGO"</f>
        <v>TAGO</v>
      </c>
      <c r="B3016" t="s">
        <v>577</v>
      </c>
      <c r="C3016">
        <v>0</v>
      </c>
      <c r="D3016" s="2">
        <v>4421.7299999999996</v>
      </c>
      <c r="E3016" s="1">
        <v>43238</v>
      </c>
      <c r="F3016" t="str">
        <f>"C18201805161054"</f>
        <v>C18201805161054</v>
      </c>
      <c r="G3016" t="str">
        <f>"CAUSE# 0011635329"</f>
        <v>CAUSE# 0011635329</v>
      </c>
      <c r="H3016">
        <v>603.23</v>
      </c>
      <c r="I3016" t="str">
        <f>"CAUSE# 0011635329"</f>
        <v>CAUSE# 0011635329</v>
      </c>
    </row>
    <row r="3017" spans="1:9" x14ac:dyDescent="0.3">
      <c r="A3017" t="str">
        <f>""</f>
        <v/>
      </c>
      <c r="F3017" t="str">
        <f>"C2 201805161054"</f>
        <v>C2 201805161054</v>
      </c>
      <c r="G3017" t="str">
        <f>"0012982132CCL7445"</f>
        <v>0012982132CCL7445</v>
      </c>
      <c r="H3017">
        <v>692.31</v>
      </c>
      <c r="I3017" t="str">
        <f>"0012982132CCL7445"</f>
        <v>0012982132CCL7445</v>
      </c>
    </row>
    <row r="3018" spans="1:9" x14ac:dyDescent="0.3">
      <c r="A3018" t="str">
        <f>""</f>
        <v/>
      </c>
      <c r="F3018" t="str">
        <f>"C20201805161053"</f>
        <v>C20201805161053</v>
      </c>
      <c r="G3018" t="str">
        <f>"001003981107-12252"</f>
        <v>001003981107-12252</v>
      </c>
      <c r="H3018">
        <v>115.39</v>
      </c>
      <c r="I3018" t="str">
        <f>"001003981107-12252"</f>
        <v>001003981107-12252</v>
      </c>
    </row>
    <row r="3019" spans="1:9" x14ac:dyDescent="0.3">
      <c r="A3019" t="str">
        <f>""</f>
        <v/>
      </c>
      <c r="F3019" t="str">
        <f>"C39201805161053"</f>
        <v>C39201805161053</v>
      </c>
      <c r="G3019" t="str">
        <f>"0012352184423-1520"</f>
        <v>0012352184423-1520</v>
      </c>
      <c r="H3019">
        <v>273.23</v>
      </c>
      <c r="I3019" t="str">
        <f>"0012352184423-1520"</f>
        <v>0012352184423-1520</v>
      </c>
    </row>
    <row r="3020" spans="1:9" x14ac:dyDescent="0.3">
      <c r="A3020" t="str">
        <f>""</f>
        <v/>
      </c>
      <c r="F3020" t="str">
        <f>"C42201805161053"</f>
        <v>C42201805161053</v>
      </c>
      <c r="G3020" t="str">
        <f>"001236769211-14410"</f>
        <v>001236769211-14410</v>
      </c>
      <c r="H3020">
        <v>230.31</v>
      </c>
      <c r="I3020" t="str">
        <f>"001236769211-14410"</f>
        <v>001236769211-14410</v>
      </c>
    </row>
    <row r="3021" spans="1:9" x14ac:dyDescent="0.3">
      <c r="A3021" t="str">
        <f>""</f>
        <v/>
      </c>
      <c r="F3021" t="str">
        <f>"C46201805161053"</f>
        <v>C46201805161053</v>
      </c>
      <c r="G3021" t="str">
        <f>"CAUSE# 11-14911"</f>
        <v>CAUSE# 11-14911</v>
      </c>
      <c r="H3021">
        <v>238.62</v>
      </c>
      <c r="I3021" t="str">
        <f>"CAUSE# 11-14911"</f>
        <v>CAUSE# 11-14911</v>
      </c>
    </row>
    <row r="3022" spans="1:9" x14ac:dyDescent="0.3">
      <c r="A3022" t="str">
        <f>""</f>
        <v/>
      </c>
      <c r="F3022" t="str">
        <f>"C53201805161053"</f>
        <v>C53201805161053</v>
      </c>
      <c r="G3022" t="str">
        <f>"0012453366"</f>
        <v>0012453366</v>
      </c>
      <c r="H3022">
        <v>207.69</v>
      </c>
      <c r="I3022" t="str">
        <f>"0012453366"</f>
        <v>0012453366</v>
      </c>
    </row>
    <row r="3023" spans="1:9" x14ac:dyDescent="0.3">
      <c r="A3023" t="str">
        <f>""</f>
        <v/>
      </c>
      <c r="F3023" t="str">
        <f>"C59201805161053"</f>
        <v>C59201805161053</v>
      </c>
      <c r="G3023" t="str">
        <f>"0012936495140043"</f>
        <v>0012936495140043</v>
      </c>
      <c r="H3023">
        <v>226.15</v>
      </c>
      <c r="I3023" t="str">
        <f>"0012936495140043"</f>
        <v>0012936495140043</v>
      </c>
    </row>
    <row r="3024" spans="1:9" x14ac:dyDescent="0.3">
      <c r="A3024" t="str">
        <f>""</f>
        <v/>
      </c>
      <c r="F3024" t="str">
        <f>"C60201805161053"</f>
        <v>C60201805161053</v>
      </c>
      <c r="G3024" t="str">
        <f>"00130730762012V300"</f>
        <v>00130730762012V300</v>
      </c>
      <c r="H3024">
        <v>399.32</v>
      </c>
      <c r="I3024" t="str">
        <f>"00130730762012V300"</f>
        <v>00130730762012V300</v>
      </c>
    </row>
    <row r="3025" spans="1:9" x14ac:dyDescent="0.3">
      <c r="A3025" t="str">
        <f>""</f>
        <v/>
      </c>
      <c r="F3025" t="str">
        <f>"C61201805161053"</f>
        <v>C61201805161053</v>
      </c>
      <c r="G3025" t="str">
        <f>"001174398213713"</f>
        <v>001174398213713</v>
      </c>
      <c r="H3025">
        <v>22.39</v>
      </c>
      <c r="I3025" t="str">
        <f>"001174398213713"</f>
        <v>001174398213713</v>
      </c>
    </row>
    <row r="3026" spans="1:9" x14ac:dyDescent="0.3">
      <c r="A3026" t="str">
        <f>""</f>
        <v/>
      </c>
      <c r="F3026" t="str">
        <f>"C62201805161053"</f>
        <v>C62201805161053</v>
      </c>
      <c r="G3026" t="str">
        <f>"# 0012128865"</f>
        <v># 0012128865</v>
      </c>
      <c r="H3026">
        <v>243.23</v>
      </c>
      <c r="I3026" t="str">
        <f>"# 0012128865"</f>
        <v># 0012128865</v>
      </c>
    </row>
    <row r="3027" spans="1:9" x14ac:dyDescent="0.3">
      <c r="A3027" t="str">
        <f>""</f>
        <v/>
      </c>
      <c r="F3027" t="str">
        <f>"C65201805161053"</f>
        <v>C65201805161053</v>
      </c>
      <c r="G3027" t="str">
        <f>"12-14956"</f>
        <v>12-14956</v>
      </c>
      <c r="H3027">
        <v>351.1</v>
      </c>
      <c r="I3027" t="str">
        <f>"12-14956"</f>
        <v>12-14956</v>
      </c>
    </row>
    <row r="3028" spans="1:9" x14ac:dyDescent="0.3">
      <c r="A3028" t="str">
        <f>""</f>
        <v/>
      </c>
      <c r="F3028" t="str">
        <f>"C66201805161053"</f>
        <v>C66201805161053</v>
      </c>
      <c r="G3028" t="str">
        <f>"# 0012871801"</f>
        <v># 0012871801</v>
      </c>
      <c r="H3028">
        <v>90</v>
      </c>
      <c r="I3028" t="str">
        <f>"# 0012871801"</f>
        <v># 0012871801</v>
      </c>
    </row>
    <row r="3029" spans="1:9" x14ac:dyDescent="0.3">
      <c r="A3029" t="str">
        <f>""</f>
        <v/>
      </c>
      <c r="F3029" t="str">
        <f>"C66201805161055"</f>
        <v>C66201805161055</v>
      </c>
      <c r="G3029" t="str">
        <f>"CAUSE#D1FM13007058"</f>
        <v>CAUSE#D1FM13007058</v>
      </c>
      <c r="H3029">
        <v>138.46</v>
      </c>
      <c r="I3029" t="str">
        <f>"CAUSE#D1FM13007058"</f>
        <v>CAUSE#D1FM13007058</v>
      </c>
    </row>
    <row r="3030" spans="1:9" x14ac:dyDescent="0.3">
      <c r="A3030" t="str">
        <f>""</f>
        <v/>
      </c>
      <c r="F3030" t="str">
        <f>"C68201805161053"</f>
        <v>C68201805161053</v>
      </c>
      <c r="G3030" t="str">
        <f>"00125374142011CM2291"</f>
        <v>00125374142011CM2291</v>
      </c>
      <c r="H3030">
        <v>402.92</v>
      </c>
      <c r="I3030" t="str">
        <f>"00125374142011CM2291"</f>
        <v>00125374142011CM2291</v>
      </c>
    </row>
    <row r="3031" spans="1:9" x14ac:dyDescent="0.3">
      <c r="A3031" t="str">
        <f>""</f>
        <v/>
      </c>
      <c r="F3031" t="str">
        <f>"C69201805161053"</f>
        <v>C69201805161053</v>
      </c>
      <c r="G3031" t="str">
        <f>"0012046911423672"</f>
        <v>0012046911423672</v>
      </c>
      <c r="H3031">
        <v>187.38</v>
      </c>
      <c r="I3031" t="str">
        <f>"0012046911423672"</f>
        <v>0012046911423672</v>
      </c>
    </row>
    <row r="3032" spans="1:9" x14ac:dyDescent="0.3">
      <c r="A3032" t="str">
        <f>"TCDRS"</f>
        <v>TCDRS</v>
      </c>
      <c r="B3032" t="s">
        <v>578</v>
      </c>
      <c r="C3032">
        <v>0</v>
      </c>
      <c r="D3032" s="2">
        <v>326342.51</v>
      </c>
      <c r="E3032" s="1">
        <v>43238</v>
      </c>
      <c r="F3032" t="str">
        <f>"RET201805010494"</f>
        <v>RET201805010494</v>
      </c>
      <c r="G3032" t="str">
        <f>"TEXAS COUNTY &amp; DISTRICT RET"</f>
        <v>TEXAS COUNTY &amp; DISTRICT RET</v>
      </c>
      <c r="H3032">
        <v>147165.70000000001</v>
      </c>
      <c r="I3032" t="str">
        <f t="shared" ref="I3032:I3063" si="47">"TEXAS COUNTY &amp; DISTRICT RET"</f>
        <v>TEXAS COUNTY &amp; DISTRICT RET</v>
      </c>
    </row>
    <row r="3033" spans="1:9" x14ac:dyDescent="0.3">
      <c r="A3033" t="str">
        <f>""</f>
        <v/>
      </c>
      <c r="F3033" t="str">
        <f>""</f>
        <v/>
      </c>
      <c r="G3033" t="str">
        <f>""</f>
        <v/>
      </c>
      <c r="I3033" t="str">
        <f t="shared" si="47"/>
        <v>TEXAS COUNTY &amp; DISTRICT RET</v>
      </c>
    </row>
    <row r="3034" spans="1:9" x14ac:dyDescent="0.3">
      <c r="A3034" t="str">
        <f>""</f>
        <v/>
      </c>
      <c r="F3034" t="str">
        <f>""</f>
        <v/>
      </c>
      <c r="G3034" t="str">
        <f>""</f>
        <v/>
      </c>
      <c r="I3034" t="str">
        <f t="shared" si="47"/>
        <v>TEXAS COUNTY &amp; DISTRICT RET</v>
      </c>
    </row>
    <row r="3035" spans="1:9" x14ac:dyDescent="0.3">
      <c r="A3035" t="str">
        <f>""</f>
        <v/>
      </c>
      <c r="F3035" t="str">
        <f>""</f>
        <v/>
      </c>
      <c r="G3035" t="str">
        <f>""</f>
        <v/>
      </c>
      <c r="I3035" t="str">
        <f t="shared" si="47"/>
        <v>TEXAS COUNTY &amp; DISTRICT RET</v>
      </c>
    </row>
    <row r="3036" spans="1:9" x14ac:dyDescent="0.3">
      <c r="A3036" t="str">
        <f>""</f>
        <v/>
      </c>
      <c r="F3036" t="str">
        <f>""</f>
        <v/>
      </c>
      <c r="G3036" t="str">
        <f>""</f>
        <v/>
      </c>
      <c r="I3036" t="str">
        <f t="shared" si="47"/>
        <v>TEXAS COUNTY &amp; DISTRICT RET</v>
      </c>
    </row>
    <row r="3037" spans="1:9" x14ac:dyDescent="0.3">
      <c r="A3037" t="str">
        <f>""</f>
        <v/>
      </c>
      <c r="F3037" t="str">
        <f>""</f>
        <v/>
      </c>
      <c r="G3037" t="str">
        <f>""</f>
        <v/>
      </c>
      <c r="I3037" t="str">
        <f t="shared" si="47"/>
        <v>TEXAS COUNTY &amp; DISTRICT RET</v>
      </c>
    </row>
    <row r="3038" spans="1:9" x14ac:dyDescent="0.3">
      <c r="A3038" t="str">
        <f>""</f>
        <v/>
      </c>
      <c r="F3038" t="str">
        <f>""</f>
        <v/>
      </c>
      <c r="G3038" t="str">
        <f>""</f>
        <v/>
      </c>
      <c r="I3038" t="str">
        <f t="shared" si="47"/>
        <v>TEXAS COUNTY &amp; DISTRICT RET</v>
      </c>
    </row>
    <row r="3039" spans="1:9" x14ac:dyDescent="0.3">
      <c r="A3039" t="str">
        <f>""</f>
        <v/>
      </c>
      <c r="F3039" t="str">
        <f>""</f>
        <v/>
      </c>
      <c r="G3039" t="str">
        <f>""</f>
        <v/>
      </c>
      <c r="I3039" t="str">
        <f t="shared" si="47"/>
        <v>TEXAS COUNTY &amp; DISTRICT RET</v>
      </c>
    </row>
    <row r="3040" spans="1:9" x14ac:dyDescent="0.3">
      <c r="A3040" t="str">
        <f>""</f>
        <v/>
      </c>
      <c r="F3040" t="str">
        <f>""</f>
        <v/>
      </c>
      <c r="G3040" t="str">
        <f>""</f>
        <v/>
      </c>
      <c r="I3040" t="str">
        <f t="shared" si="47"/>
        <v>TEXAS COUNTY &amp; DISTRICT RET</v>
      </c>
    </row>
    <row r="3041" spans="1:9" x14ac:dyDescent="0.3">
      <c r="A3041" t="str">
        <f>""</f>
        <v/>
      </c>
      <c r="F3041" t="str">
        <f>""</f>
        <v/>
      </c>
      <c r="G3041" t="str">
        <f>""</f>
        <v/>
      </c>
      <c r="I3041" t="str">
        <f t="shared" si="47"/>
        <v>TEXAS COUNTY &amp; DISTRICT RET</v>
      </c>
    </row>
    <row r="3042" spans="1:9" x14ac:dyDescent="0.3">
      <c r="A3042" t="str">
        <f>""</f>
        <v/>
      </c>
      <c r="F3042" t="str">
        <f>""</f>
        <v/>
      </c>
      <c r="G3042" t="str">
        <f>""</f>
        <v/>
      </c>
      <c r="I3042" t="str">
        <f t="shared" si="47"/>
        <v>TEXAS COUNTY &amp; DISTRICT RET</v>
      </c>
    </row>
    <row r="3043" spans="1:9" x14ac:dyDescent="0.3">
      <c r="A3043" t="str">
        <f>""</f>
        <v/>
      </c>
      <c r="F3043" t="str">
        <f>""</f>
        <v/>
      </c>
      <c r="G3043" t="str">
        <f>""</f>
        <v/>
      </c>
      <c r="I3043" t="str">
        <f t="shared" si="47"/>
        <v>TEXAS COUNTY &amp; DISTRICT RET</v>
      </c>
    </row>
    <row r="3044" spans="1:9" x14ac:dyDescent="0.3">
      <c r="A3044" t="str">
        <f>""</f>
        <v/>
      </c>
      <c r="F3044" t="str">
        <f>""</f>
        <v/>
      </c>
      <c r="G3044" t="str">
        <f>""</f>
        <v/>
      </c>
      <c r="I3044" t="str">
        <f t="shared" si="47"/>
        <v>TEXAS COUNTY &amp; DISTRICT RET</v>
      </c>
    </row>
    <row r="3045" spans="1:9" x14ac:dyDescent="0.3">
      <c r="A3045" t="str">
        <f>""</f>
        <v/>
      </c>
      <c r="F3045" t="str">
        <f>""</f>
        <v/>
      </c>
      <c r="G3045" t="str">
        <f>""</f>
        <v/>
      </c>
      <c r="I3045" t="str">
        <f t="shared" si="47"/>
        <v>TEXAS COUNTY &amp; DISTRICT RET</v>
      </c>
    </row>
    <row r="3046" spans="1:9" x14ac:dyDescent="0.3">
      <c r="A3046" t="str">
        <f>""</f>
        <v/>
      </c>
      <c r="F3046" t="str">
        <f>""</f>
        <v/>
      </c>
      <c r="G3046" t="str">
        <f>""</f>
        <v/>
      </c>
      <c r="I3046" t="str">
        <f t="shared" si="47"/>
        <v>TEXAS COUNTY &amp; DISTRICT RET</v>
      </c>
    </row>
    <row r="3047" spans="1:9" x14ac:dyDescent="0.3">
      <c r="A3047" t="str">
        <f>""</f>
        <v/>
      </c>
      <c r="F3047" t="str">
        <f>""</f>
        <v/>
      </c>
      <c r="G3047" t="str">
        <f>""</f>
        <v/>
      </c>
      <c r="I3047" t="str">
        <f t="shared" si="47"/>
        <v>TEXAS COUNTY &amp; DISTRICT RET</v>
      </c>
    </row>
    <row r="3048" spans="1:9" x14ac:dyDescent="0.3">
      <c r="A3048" t="str">
        <f>""</f>
        <v/>
      </c>
      <c r="F3048" t="str">
        <f>""</f>
        <v/>
      </c>
      <c r="G3048" t="str">
        <f>""</f>
        <v/>
      </c>
      <c r="I3048" t="str">
        <f t="shared" si="47"/>
        <v>TEXAS COUNTY &amp; DISTRICT RET</v>
      </c>
    </row>
    <row r="3049" spans="1:9" x14ac:dyDescent="0.3">
      <c r="A3049" t="str">
        <f>""</f>
        <v/>
      </c>
      <c r="F3049" t="str">
        <f>""</f>
        <v/>
      </c>
      <c r="G3049" t="str">
        <f>""</f>
        <v/>
      </c>
      <c r="I3049" t="str">
        <f t="shared" si="47"/>
        <v>TEXAS COUNTY &amp; DISTRICT RET</v>
      </c>
    </row>
    <row r="3050" spans="1:9" x14ac:dyDescent="0.3">
      <c r="A3050" t="str">
        <f>""</f>
        <v/>
      </c>
      <c r="F3050" t="str">
        <f>""</f>
        <v/>
      </c>
      <c r="G3050" t="str">
        <f>""</f>
        <v/>
      </c>
      <c r="I3050" t="str">
        <f t="shared" si="47"/>
        <v>TEXAS COUNTY &amp; DISTRICT RET</v>
      </c>
    </row>
    <row r="3051" spans="1:9" x14ac:dyDescent="0.3">
      <c r="A3051" t="str">
        <f>""</f>
        <v/>
      </c>
      <c r="F3051" t="str">
        <f>""</f>
        <v/>
      </c>
      <c r="G3051" t="str">
        <f>""</f>
        <v/>
      </c>
      <c r="I3051" t="str">
        <f t="shared" si="47"/>
        <v>TEXAS COUNTY &amp; DISTRICT RET</v>
      </c>
    </row>
    <row r="3052" spans="1:9" x14ac:dyDescent="0.3">
      <c r="A3052" t="str">
        <f>""</f>
        <v/>
      </c>
      <c r="F3052" t="str">
        <f>""</f>
        <v/>
      </c>
      <c r="G3052" t="str">
        <f>""</f>
        <v/>
      </c>
      <c r="I3052" t="str">
        <f t="shared" si="47"/>
        <v>TEXAS COUNTY &amp; DISTRICT RET</v>
      </c>
    </row>
    <row r="3053" spans="1:9" x14ac:dyDescent="0.3">
      <c r="A3053" t="str">
        <f>""</f>
        <v/>
      </c>
      <c r="F3053" t="str">
        <f>""</f>
        <v/>
      </c>
      <c r="G3053" t="str">
        <f>""</f>
        <v/>
      </c>
      <c r="I3053" t="str">
        <f t="shared" si="47"/>
        <v>TEXAS COUNTY &amp; DISTRICT RET</v>
      </c>
    </row>
    <row r="3054" spans="1:9" x14ac:dyDescent="0.3">
      <c r="A3054" t="str">
        <f>""</f>
        <v/>
      </c>
      <c r="F3054" t="str">
        <f>""</f>
        <v/>
      </c>
      <c r="G3054" t="str">
        <f>""</f>
        <v/>
      </c>
      <c r="I3054" t="str">
        <f t="shared" si="47"/>
        <v>TEXAS COUNTY &amp; DISTRICT RET</v>
      </c>
    </row>
    <row r="3055" spans="1:9" x14ac:dyDescent="0.3">
      <c r="A3055" t="str">
        <f>""</f>
        <v/>
      </c>
      <c r="F3055" t="str">
        <f>""</f>
        <v/>
      </c>
      <c r="G3055" t="str">
        <f>""</f>
        <v/>
      </c>
      <c r="I3055" t="str">
        <f t="shared" si="47"/>
        <v>TEXAS COUNTY &amp; DISTRICT RET</v>
      </c>
    </row>
    <row r="3056" spans="1:9" x14ac:dyDescent="0.3">
      <c r="A3056" t="str">
        <f>""</f>
        <v/>
      </c>
      <c r="F3056" t="str">
        <f>""</f>
        <v/>
      </c>
      <c r="G3056" t="str">
        <f>""</f>
        <v/>
      </c>
      <c r="I3056" t="str">
        <f t="shared" si="47"/>
        <v>TEXAS COUNTY &amp; DISTRICT RET</v>
      </c>
    </row>
    <row r="3057" spans="1:9" x14ac:dyDescent="0.3">
      <c r="A3057" t="str">
        <f>""</f>
        <v/>
      </c>
      <c r="F3057" t="str">
        <f>""</f>
        <v/>
      </c>
      <c r="G3057" t="str">
        <f>""</f>
        <v/>
      </c>
      <c r="I3057" t="str">
        <f t="shared" si="47"/>
        <v>TEXAS COUNTY &amp; DISTRICT RET</v>
      </c>
    </row>
    <row r="3058" spans="1:9" x14ac:dyDescent="0.3">
      <c r="A3058" t="str">
        <f>""</f>
        <v/>
      </c>
      <c r="F3058" t="str">
        <f>""</f>
        <v/>
      </c>
      <c r="G3058" t="str">
        <f>""</f>
        <v/>
      </c>
      <c r="I3058" t="str">
        <f t="shared" si="47"/>
        <v>TEXAS COUNTY &amp; DISTRICT RET</v>
      </c>
    </row>
    <row r="3059" spans="1:9" x14ac:dyDescent="0.3">
      <c r="A3059" t="str">
        <f>""</f>
        <v/>
      </c>
      <c r="F3059" t="str">
        <f>""</f>
        <v/>
      </c>
      <c r="G3059" t="str">
        <f>""</f>
        <v/>
      </c>
      <c r="I3059" t="str">
        <f t="shared" si="47"/>
        <v>TEXAS COUNTY &amp; DISTRICT RET</v>
      </c>
    </row>
    <row r="3060" spans="1:9" x14ac:dyDescent="0.3">
      <c r="A3060" t="str">
        <f>""</f>
        <v/>
      </c>
      <c r="F3060" t="str">
        <f>""</f>
        <v/>
      </c>
      <c r="G3060" t="str">
        <f>""</f>
        <v/>
      </c>
      <c r="I3060" t="str">
        <f t="shared" si="47"/>
        <v>TEXAS COUNTY &amp; DISTRICT RET</v>
      </c>
    </row>
    <row r="3061" spans="1:9" x14ac:dyDescent="0.3">
      <c r="A3061" t="str">
        <f>""</f>
        <v/>
      </c>
      <c r="F3061" t="str">
        <f>""</f>
        <v/>
      </c>
      <c r="G3061" t="str">
        <f>""</f>
        <v/>
      </c>
      <c r="I3061" t="str">
        <f t="shared" si="47"/>
        <v>TEXAS COUNTY &amp; DISTRICT RET</v>
      </c>
    </row>
    <row r="3062" spans="1:9" x14ac:dyDescent="0.3">
      <c r="A3062" t="str">
        <f>""</f>
        <v/>
      </c>
      <c r="F3062" t="str">
        <f>""</f>
        <v/>
      </c>
      <c r="G3062" t="str">
        <f>""</f>
        <v/>
      </c>
      <c r="I3062" t="str">
        <f t="shared" si="47"/>
        <v>TEXAS COUNTY &amp; DISTRICT RET</v>
      </c>
    </row>
    <row r="3063" spans="1:9" x14ac:dyDescent="0.3">
      <c r="A3063" t="str">
        <f>""</f>
        <v/>
      </c>
      <c r="F3063" t="str">
        <f>""</f>
        <v/>
      </c>
      <c r="G3063" t="str">
        <f>""</f>
        <v/>
      </c>
      <c r="I3063" t="str">
        <f t="shared" si="47"/>
        <v>TEXAS COUNTY &amp; DISTRICT RET</v>
      </c>
    </row>
    <row r="3064" spans="1:9" x14ac:dyDescent="0.3">
      <c r="A3064" t="str">
        <f>""</f>
        <v/>
      </c>
      <c r="F3064" t="str">
        <f>""</f>
        <v/>
      </c>
      <c r="G3064" t="str">
        <f>""</f>
        <v/>
      </c>
      <c r="I3064" t="str">
        <f t="shared" ref="I3064:I3083" si="48">"TEXAS COUNTY &amp; DISTRICT RET"</f>
        <v>TEXAS COUNTY &amp; DISTRICT RET</v>
      </c>
    </row>
    <row r="3065" spans="1:9" x14ac:dyDescent="0.3">
      <c r="A3065" t="str">
        <f>""</f>
        <v/>
      </c>
      <c r="F3065" t="str">
        <f>""</f>
        <v/>
      </c>
      <c r="G3065" t="str">
        <f>""</f>
        <v/>
      </c>
      <c r="I3065" t="str">
        <f t="shared" si="48"/>
        <v>TEXAS COUNTY &amp; DISTRICT RET</v>
      </c>
    </row>
    <row r="3066" spans="1:9" x14ac:dyDescent="0.3">
      <c r="A3066" t="str">
        <f>""</f>
        <v/>
      </c>
      <c r="F3066" t="str">
        <f>""</f>
        <v/>
      </c>
      <c r="G3066" t="str">
        <f>""</f>
        <v/>
      </c>
      <c r="I3066" t="str">
        <f t="shared" si="48"/>
        <v>TEXAS COUNTY &amp; DISTRICT RET</v>
      </c>
    </row>
    <row r="3067" spans="1:9" x14ac:dyDescent="0.3">
      <c r="A3067" t="str">
        <f>""</f>
        <v/>
      </c>
      <c r="F3067" t="str">
        <f>""</f>
        <v/>
      </c>
      <c r="G3067" t="str">
        <f>""</f>
        <v/>
      </c>
      <c r="I3067" t="str">
        <f t="shared" si="48"/>
        <v>TEXAS COUNTY &amp; DISTRICT RET</v>
      </c>
    </row>
    <row r="3068" spans="1:9" x14ac:dyDescent="0.3">
      <c r="A3068" t="str">
        <f>""</f>
        <v/>
      </c>
      <c r="F3068" t="str">
        <f>""</f>
        <v/>
      </c>
      <c r="G3068" t="str">
        <f>""</f>
        <v/>
      </c>
      <c r="I3068" t="str">
        <f t="shared" si="48"/>
        <v>TEXAS COUNTY &amp; DISTRICT RET</v>
      </c>
    </row>
    <row r="3069" spans="1:9" x14ac:dyDescent="0.3">
      <c r="A3069" t="str">
        <f>""</f>
        <v/>
      </c>
      <c r="F3069" t="str">
        <f>""</f>
        <v/>
      </c>
      <c r="G3069" t="str">
        <f>""</f>
        <v/>
      </c>
      <c r="I3069" t="str">
        <f t="shared" si="48"/>
        <v>TEXAS COUNTY &amp; DISTRICT RET</v>
      </c>
    </row>
    <row r="3070" spans="1:9" x14ac:dyDescent="0.3">
      <c r="A3070" t="str">
        <f>""</f>
        <v/>
      </c>
      <c r="F3070" t="str">
        <f>""</f>
        <v/>
      </c>
      <c r="G3070" t="str">
        <f>""</f>
        <v/>
      </c>
      <c r="I3070" t="str">
        <f t="shared" si="48"/>
        <v>TEXAS COUNTY &amp; DISTRICT RET</v>
      </c>
    </row>
    <row r="3071" spans="1:9" x14ac:dyDescent="0.3">
      <c r="A3071" t="str">
        <f>""</f>
        <v/>
      </c>
      <c r="F3071" t="str">
        <f>""</f>
        <v/>
      </c>
      <c r="G3071" t="str">
        <f>""</f>
        <v/>
      </c>
      <c r="I3071" t="str">
        <f t="shared" si="48"/>
        <v>TEXAS COUNTY &amp; DISTRICT RET</v>
      </c>
    </row>
    <row r="3072" spans="1:9" x14ac:dyDescent="0.3">
      <c r="A3072" t="str">
        <f>""</f>
        <v/>
      </c>
      <c r="F3072" t="str">
        <f>""</f>
        <v/>
      </c>
      <c r="G3072" t="str">
        <f>""</f>
        <v/>
      </c>
      <c r="I3072" t="str">
        <f t="shared" si="48"/>
        <v>TEXAS COUNTY &amp; DISTRICT RET</v>
      </c>
    </row>
    <row r="3073" spans="1:9" x14ac:dyDescent="0.3">
      <c r="A3073" t="str">
        <f>""</f>
        <v/>
      </c>
      <c r="F3073" t="str">
        <f>""</f>
        <v/>
      </c>
      <c r="G3073" t="str">
        <f>""</f>
        <v/>
      </c>
      <c r="I3073" t="str">
        <f t="shared" si="48"/>
        <v>TEXAS COUNTY &amp; DISTRICT RET</v>
      </c>
    </row>
    <row r="3074" spans="1:9" x14ac:dyDescent="0.3">
      <c r="A3074" t="str">
        <f>""</f>
        <v/>
      </c>
      <c r="F3074" t="str">
        <f>""</f>
        <v/>
      </c>
      <c r="G3074" t="str">
        <f>""</f>
        <v/>
      </c>
      <c r="I3074" t="str">
        <f t="shared" si="48"/>
        <v>TEXAS COUNTY &amp; DISTRICT RET</v>
      </c>
    </row>
    <row r="3075" spans="1:9" x14ac:dyDescent="0.3">
      <c r="A3075" t="str">
        <f>""</f>
        <v/>
      </c>
      <c r="F3075" t="str">
        <f>""</f>
        <v/>
      </c>
      <c r="G3075" t="str">
        <f>""</f>
        <v/>
      </c>
      <c r="I3075" t="str">
        <f t="shared" si="48"/>
        <v>TEXAS COUNTY &amp; DISTRICT RET</v>
      </c>
    </row>
    <row r="3076" spans="1:9" x14ac:dyDescent="0.3">
      <c r="A3076" t="str">
        <f>""</f>
        <v/>
      </c>
      <c r="F3076" t="str">
        <f>""</f>
        <v/>
      </c>
      <c r="G3076" t="str">
        <f>""</f>
        <v/>
      </c>
      <c r="I3076" t="str">
        <f t="shared" si="48"/>
        <v>TEXAS COUNTY &amp; DISTRICT RET</v>
      </c>
    </row>
    <row r="3077" spans="1:9" x14ac:dyDescent="0.3">
      <c r="A3077" t="str">
        <f>""</f>
        <v/>
      </c>
      <c r="F3077" t="str">
        <f>""</f>
        <v/>
      </c>
      <c r="G3077" t="str">
        <f>""</f>
        <v/>
      </c>
      <c r="I3077" t="str">
        <f t="shared" si="48"/>
        <v>TEXAS COUNTY &amp; DISTRICT RET</v>
      </c>
    </row>
    <row r="3078" spans="1:9" x14ac:dyDescent="0.3">
      <c r="A3078" t="str">
        <f>""</f>
        <v/>
      </c>
      <c r="F3078" t="str">
        <f>""</f>
        <v/>
      </c>
      <c r="G3078" t="str">
        <f>""</f>
        <v/>
      </c>
      <c r="I3078" t="str">
        <f t="shared" si="48"/>
        <v>TEXAS COUNTY &amp; DISTRICT RET</v>
      </c>
    </row>
    <row r="3079" spans="1:9" x14ac:dyDescent="0.3">
      <c r="A3079" t="str">
        <f>""</f>
        <v/>
      </c>
      <c r="F3079" t="str">
        <f>""</f>
        <v/>
      </c>
      <c r="G3079" t="str">
        <f>""</f>
        <v/>
      </c>
      <c r="I3079" t="str">
        <f t="shared" si="48"/>
        <v>TEXAS COUNTY &amp; DISTRICT RET</v>
      </c>
    </row>
    <row r="3080" spans="1:9" x14ac:dyDescent="0.3">
      <c r="A3080" t="str">
        <f>""</f>
        <v/>
      </c>
      <c r="F3080" t="str">
        <f>""</f>
        <v/>
      </c>
      <c r="G3080" t="str">
        <f>""</f>
        <v/>
      </c>
      <c r="I3080" t="str">
        <f t="shared" si="48"/>
        <v>TEXAS COUNTY &amp; DISTRICT RET</v>
      </c>
    </row>
    <row r="3081" spans="1:9" x14ac:dyDescent="0.3">
      <c r="A3081" t="str">
        <f>""</f>
        <v/>
      </c>
      <c r="F3081" t="str">
        <f>""</f>
        <v/>
      </c>
      <c r="G3081" t="str">
        <f>""</f>
        <v/>
      </c>
      <c r="I3081" t="str">
        <f t="shared" si="48"/>
        <v>TEXAS COUNTY &amp; DISTRICT RET</v>
      </c>
    </row>
    <row r="3082" spans="1:9" x14ac:dyDescent="0.3">
      <c r="A3082" t="str">
        <f>""</f>
        <v/>
      </c>
      <c r="F3082" t="str">
        <f>""</f>
        <v/>
      </c>
      <c r="G3082" t="str">
        <f>""</f>
        <v/>
      </c>
      <c r="I3082" t="str">
        <f t="shared" si="48"/>
        <v>TEXAS COUNTY &amp; DISTRICT RET</v>
      </c>
    </row>
    <row r="3083" spans="1:9" x14ac:dyDescent="0.3">
      <c r="A3083" t="str">
        <f>""</f>
        <v/>
      </c>
      <c r="F3083" t="str">
        <f>""</f>
        <v/>
      </c>
      <c r="G3083" t="str">
        <f>""</f>
        <v/>
      </c>
      <c r="I3083" t="str">
        <f t="shared" si="48"/>
        <v>TEXAS COUNTY &amp; DISTRICT RET</v>
      </c>
    </row>
    <row r="3084" spans="1:9" x14ac:dyDescent="0.3">
      <c r="A3084" t="str">
        <f>""</f>
        <v/>
      </c>
      <c r="F3084" t="str">
        <f>"RET201805010495"</f>
        <v>RET201805010495</v>
      </c>
      <c r="G3084" t="str">
        <f>"TEXAS COUNTY  DISTRICT RET"</f>
        <v>TEXAS COUNTY  DISTRICT RET</v>
      </c>
      <c r="H3084">
        <v>5823.42</v>
      </c>
      <c r="I3084" t="str">
        <f>"TEXAS COUNTY  DISTRICT RET"</f>
        <v>TEXAS COUNTY  DISTRICT RET</v>
      </c>
    </row>
    <row r="3085" spans="1:9" x14ac:dyDescent="0.3">
      <c r="A3085" t="str">
        <f>""</f>
        <v/>
      </c>
      <c r="F3085" t="str">
        <f>""</f>
        <v/>
      </c>
      <c r="G3085" t="str">
        <f>""</f>
        <v/>
      </c>
      <c r="I3085" t="str">
        <f>"TEXAS COUNTY  DISTRICT RET"</f>
        <v>TEXAS COUNTY  DISTRICT RET</v>
      </c>
    </row>
    <row r="3086" spans="1:9" x14ac:dyDescent="0.3">
      <c r="A3086" t="str">
        <f>""</f>
        <v/>
      </c>
      <c r="F3086" t="str">
        <f>"RET201805010496"</f>
        <v>RET201805010496</v>
      </c>
      <c r="G3086" t="str">
        <f>"TEXAS COUNTY &amp; DISTRICT RET"</f>
        <v>TEXAS COUNTY &amp; DISTRICT RET</v>
      </c>
      <c r="H3086">
        <v>8518.76</v>
      </c>
      <c r="I3086" t="str">
        <f t="shared" ref="I3086:I3117" si="49">"TEXAS COUNTY &amp; DISTRICT RET"</f>
        <v>TEXAS COUNTY &amp; DISTRICT RET</v>
      </c>
    </row>
    <row r="3087" spans="1:9" x14ac:dyDescent="0.3">
      <c r="A3087" t="str">
        <f>""</f>
        <v/>
      </c>
      <c r="F3087" t="str">
        <f>""</f>
        <v/>
      </c>
      <c r="G3087" t="str">
        <f>""</f>
        <v/>
      </c>
      <c r="I3087" t="str">
        <f t="shared" si="49"/>
        <v>TEXAS COUNTY &amp; DISTRICT RET</v>
      </c>
    </row>
    <row r="3088" spans="1:9" x14ac:dyDescent="0.3">
      <c r="A3088" t="str">
        <f>""</f>
        <v/>
      </c>
      <c r="F3088" t="str">
        <f>"RET201805161053"</f>
        <v>RET201805161053</v>
      </c>
      <c r="G3088" t="str">
        <f>"TEXAS COUNTY &amp; DISTRICT RET"</f>
        <v>TEXAS COUNTY &amp; DISTRICT RET</v>
      </c>
      <c r="H3088">
        <v>150650.04</v>
      </c>
      <c r="I3088" t="str">
        <f t="shared" si="49"/>
        <v>TEXAS COUNTY &amp; DISTRICT RET</v>
      </c>
    </row>
    <row r="3089" spans="1:9" x14ac:dyDescent="0.3">
      <c r="A3089" t="str">
        <f>""</f>
        <v/>
      </c>
      <c r="F3089" t="str">
        <f>""</f>
        <v/>
      </c>
      <c r="G3089" t="str">
        <f>""</f>
        <v/>
      </c>
      <c r="I3089" t="str">
        <f t="shared" si="49"/>
        <v>TEXAS COUNTY &amp; DISTRICT RET</v>
      </c>
    </row>
    <row r="3090" spans="1:9" x14ac:dyDescent="0.3">
      <c r="A3090" t="str">
        <f>""</f>
        <v/>
      </c>
      <c r="F3090" t="str">
        <f>""</f>
        <v/>
      </c>
      <c r="G3090" t="str">
        <f>""</f>
        <v/>
      </c>
      <c r="I3090" t="str">
        <f t="shared" si="49"/>
        <v>TEXAS COUNTY &amp; DISTRICT RET</v>
      </c>
    </row>
    <row r="3091" spans="1:9" x14ac:dyDescent="0.3">
      <c r="A3091" t="str">
        <f>""</f>
        <v/>
      </c>
      <c r="F3091" t="str">
        <f>""</f>
        <v/>
      </c>
      <c r="G3091" t="str">
        <f>""</f>
        <v/>
      </c>
      <c r="I3091" t="str">
        <f t="shared" si="49"/>
        <v>TEXAS COUNTY &amp; DISTRICT RET</v>
      </c>
    </row>
    <row r="3092" spans="1:9" x14ac:dyDescent="0.3">
      <c r="A3092" t="str">
        <f>""</f>
        <v/>
      </c>
      <c r="F3092" t="str">
        <f>""</f>
        <v/>
      </c>
      <c r="G3092" t="str">
        <f>""</f>
        <v/>
      </c>
      <c r="I3092" t="str">
        <f t="shared" si="49"/>
        <v>TEXAS COUNTY &amp; DISTRICT RET</v>
      </c>
    </row>
    <row r="3093" spans="1:9" x14ac:dyDescent="0.3">
      <c r="A3093" t="str">
        <f>""</f>
        <v/>
      </c>
      <c r="F3093" t="str">
        <f>""</f>
        <v/>
      </c>
      <c r="G3093" t="str">
        <f>""</f>
        <v/>
      </c>
      <c r="I3093" t="str">
        <f t="shared" si="49"/>
        <v>TEXAS COUNTY &amp; DISTRICT RET</v>
      </c>
    </row>
    <row r="3094" spans="1:9" x14ac:dyDescent="0.3">
      <c r="A3094" t="str">
        <f>""</f>
        <v/>
      </c>
      <c r="F3094" t="str">
        <f>""</f>
        <v/>
      </c>
      <c r="G3094" t="str">
        <f>""</f>
        <v/>
      </c>
      <c r="I3094" t="str">
        <f t="shared" si="49"/>
        <v>TEXAS COUNTY &amp; DISTRICT RET</v>
      </c>
    </row>
    <row r="3095" spans="1:9" x14ac:dyDescent="0.3">
      <c r="A3095" t="str">
        <f>""</f>
        <v/>
      </c>
      <c r="F3095" t="str">
        <f>""</f>
        <v/>
      </c>
      <c r="G3095" t="str">
        <f>""</f>
        <v/>
      </c>
      <c r="I3095" t="str">
        <f t="shared" si="49"/>
        <v>TEXAS COUNTY &amp; DISTRICT RET</v>
      </c>
    </row>
    <row r="3096" spans="1:9" x14ac:dyDescent="0.3">
      <c r="A3096" t="str">
        <f>""</f>
        <v/>
      </c>
      <c r="F3096" t="str">
        <f>""</f>
        <v/>
      </c>
      <c r="G3096" t="str">
        <f>""</f>
        <v/>
      </c>
      <c r="I3096" t="str">
        <f t="shared" si="49"/>
        <v>TEXAS COUNTY &amp; DISTRICT RET</v>
      </c>
    </row>
    <row r="3097" spans="1:9" x14ac:dyDescent="0.3">
      <c r="A3097" t="str">
        <f>""</f>
        <v/>
      </c>
      <c r="F3097" t="str">
        <f>""</f>
        <v/>
      </c>
      <c r="G3097" t="str">
        <f>""</f>
        <v/>
      </c>
      <c r="I3097" t="str">
        <f t="shared" si="49"/>
        <v>TEXAS COUNTY &amp; DISTRICT RET</v>
      </c>
    </row>
    <row r="3098" spans="1:9" x14ac:dyDescent="0.3">
      <c r="A3098" t="str">
        <f>""</f>
        <v/>
      </c>
      <c r="F3098" t="str">
        <f>""</f>
        <v/>
      </c>
      <c r="G3098" t="str">
        <f>""</f>
        <v/>
      </c>
      <c r="I3098" t="str">
        <f t="shared" si="49"/>
        <v>TEXAS COUNTY &amp; DISTRICT RET</v>
      </c>
    </row>
    <row r="3099" spans="1:9" x14ac:dyDescent="0.3">
      <c r="A3099" t="str">
        <f>""</f>
        <v/>
      </c>
      <c r="F3099" t="str">
        <f>""</f>
        <v/>
      </c>
      <c r="G3099" t="str">
        <f>""</f>
        <v/>
      </c>
      <c r="I3099" t="str">
        <f t="shared" si="49"/>
        <v>TEXAS COUNTY &amp; DISTRICT RET</v>
      </c>
    </row>
    <row r="3100" spans="1:9" x14ac:dyDescent="0.3">
      <c r="A3100" t="str">
        <f>""</f>
        <v/>
      </c>
      <c r="F3100" t="str">
        <f>""</f>
        <v/>
      </c>
      <c r="G3100" t="str">
        <f>""</f>
        <v/>
      </c>
      <c r="I3100" t="str">
        <f t="shared" si="49"/>
        <v>TEXAS COUNTY &amp; DISTRICT RET</v>
      </c>
    </row>
    <row r="3101" spans="1:9" x14ac:dyDescent="0.3">
      <c r="A3101" t="str">
        <f>""</f>
        <v/>
      </c>
      <c r="F3101" t="str">
        <f>""</f>
        <v/>
      </c>
      <c r="G3101" t="str">
        <f>""</f>
        <v/>
      </c>
      <c r="I3101" t="str">
        <f t="shared" si="49"/>
        <v>TEXAS COUNTY &amp; DISTRICT RET</v>
      </c>
    </row>
    <row r="3102" spans="1:9" x14ac:dyDescent="0.3">
      <c r="A3102" t="str">
        <f>""</f>
        <v/>
      </c>
      <c r="F3102" t="str">
        <f>""</f>
        <v/>
      </c>
      <c r="G3102" t="str">
        <f>""</f>
        <v/>
      </c>
      <c r="I3102" t="str">
        <f t="shared" si="49"/>
        <v>TEXAS COUNTY &amp; DISTRICT RET</v>
      </c>
    </row>
    <row r="3103" spans="1:9" x14ac:dyDescent="0.3">
      <c r="A3103" t="str">
        <f>""</f>
        <v/>
      </c>
      <c r="F3103" t="str">
        <f>""</f>
        <v/>
      </c>
      <c r="G3103" t="str">
        <f>""</f>
        <v/>
      </c>
      <c r="I3103" t="str">
        <f t="shared" si="49"/>
        <v>TEXAS COUNTY &amp; DISTRICT RET</v>
      </c>
    </row>
    <row r="3104" spans="1:9" x14ac:dyDescent="0.3">
      <c r="A3104" t="str">
        <f>""</f>
        <v/>
      </c>
      <c r="F3104" t="str">
        <f>""</f>
        <v/>
      </c>
      <c r="G3104" t="str">
        <f>""</f>
        <v/>
      </c>
      <c r="I3104" t="str">
        <f t="shared" si="49"/>
        <v>TEXAS COUNTY &amp; DISTRICT RET</v>
      </c>
    </row>
    <row r="3105" spans="1:9" x14ac:dyDescent="0.3">
      <c r="A3105" t="str">
        <f>""</f>
        <v/>
      </c>
      <c r="F3105" t="str">
        <f>""</f>
        <v/>
      </c>
      <c r="G3105" t="str">
        <f>""</f>
        <v/>
      </c>
      <c r="I3105" t="str">
        <f t="shared" si="49"/>
        <v>TEXAS COUNTY &amp; DISTRICT RET</v>
      </c>
    </row>
    <row r="3106" spans="1:9" x14ac:dyDescent="0.3">
      <c r="A3106" t="str">
        <f>""</f>
        <v/>
      </c>
      <c r="F3106" t="str">
        <f>""</f>
        <v/>
      </c>
      <c r="G3106" t="str">
        <f>""</f>
        <v/>
      </c>
      <c r="I3106" t="str">
        <f t="shared" si="49"/>
        <v>TEXAS COUNTY &amp; DISTRICT RET</v>
      </c>
    </row>
    <row r="3107" spans="1:9" x14ac:dyDescent="0.3">
      <c r="A3107" t="str">
        <f>""</f>
        <v/>
      </c>
      <c r="F3107" t="str">
        <f>""</f>
        <v/>
      </c>
      <c r="G3107" t="str">
        <f>""</f>
        <v/>
      </c>
      <c r="I3107" t="str">
        <f t="shared" si="49"/>
        <v>TEXAS COUNTY &amp; DISTRICT RET</v>
      </c>
    </row>
    <row r="3108" spans="1:9" x14ac:dyDescent="0.3">
      <c r="A3108" t="str">
        <f>""</f>
        <v/>
      </c>
      <c r="F3108" t="str">
        <f>""</f>
        <v/>
      </c>
      <c r="G3108" t="str">
        <f>""</f>
        <v/>
      </c>
      <c r="I3108" t="str">
        <f t="shared" si="49"/>
        <v>TEXAS COUNTY &amp; DISTRICT RET</v>
      </c>
    </row>
    <row r="3109" spans="1:9" x14ac:dyDescent="0.3">
      <c r="A3109" t="str">
        <f>""</f>
        <v/>
      </c>
      <c r="F3109" t="str">
        <f>""</f>
        <v/>
      </c>
      <c r="G3109" t="str">
        <f>""</f>
        <v/>
      </c>
      <c r="I3109" t="str">
        <f t="shared" si="49"/>
        <v>TEXAS COUNTY &amp; DISTRICT RET</v>
      </c>
    </row>
    <row r="3110" spans="1:9" x14ac:dyDescent="0.3">
      <c r="A3110" t="str">
        <f>""</f>
        <v/>
      </c>
      <c r="F3110" t="str">
        <f>""</f>
        <v/>
      </c>
      <c r="G3110" t="str">
        <f>""</f>
        <v/>
      </c>
      <c r="I3110" t="str">
        <f t="shared" si="49"/>
        <v>TEXAS COUNTY &amp; DISTRICT RET</v>
      </c>
    </row>
    <row r="3111" spans="1:9" x14ac:dyDescent="0.3">
      <c r="A3111" t="str">
        <f>""</f>
        <v/>
      </c>
      <c r="F3111" t="str">
        <f>""</f>
        <v/>
      </c>
      <c r="G3111" t="str">
        <f>""</f>
        <v/>
      </c>
      <c r="I3111" t="str">
        <f t="shared" si="49"/>
        <v>TEXAS COUNTY &amp; DISTRICT RET</v>
      </c>
    </row>
    <row r="3112" spans="1:9" x14ac:dyDescent="0.3">
      <c r="A3112" t="str">
        <f>""</f>
        <v/>
      </c>
      <c r="F3112" t="str">
        <f>""</f>
        <v/>
      </c>
      <c r="G3112" t="str">
        <f>""</f>
        <v/>
      </c>
      <c r="I3112" t="str">
        <f t="shared" si="49"/>
        <v>TEXAS COUNTY &amp; DISTRICT RET</v>
      </c>
    </row>
    <row r="3113" spans="1:9" x14ac:dyDescent="0.3">
      <c r="A3113" t="str">
        <f>""</f>
        <v/>
      </c>
      <c r="F3113" t="str">
        <f>""</f>
        <v/>
      </c>
      <c r="G3113" t="str">
        <f>""</f>
        <v/>
      </c>
      <c r="I3113" t="str">
        <f t="shared" si="49"/>
        <v>TEXAS COUNTY &amp; DISTRICT RET</v>
      </c>
    </row>
    <row r="3114" spans="1:9" x14ac:dyDescent="0.3">
      <c r="A3114" t="str">
        <f>""</f>
        <v/>
      </c>
      <c r="F3114" t="str">
        <f>""</f>
        <v/>
      </c>
      <c r="G3114" t="str">
        <f>""</f>
        <v/>
      </c>
      <c r="I3114" t="str">
        <f t="shared" si="49"/>
        <v>TEXAS COUNTY &amp; DISTRICT RET</v>
      </c>
    </row>
    <row r="3115" spans="1:9" x14ac:dyDescent="0.3">
      <c r="A3115" t="str">
        <f>""</f>
        <v/>
      </c>
      <c r="F3115" t="str">
        <f>""</f>
        <v/>
      </c>
      <c r="G3115" t="str">
        <f>""</f>
        <v/>
      </c>
      <c r="I3115" t="str">
        <f t="shared" si="49"/>
        <v>TEXAS COUNTY &amp; DISTRICT RET</v>
      </c>
    </row>
    <row r="3116" spans="1:9" x14ac:dyDescent="0.3">
      <c r="A3116" t="str">
        <f>""</f>
        <v/>
      </c>
      <c r="F3116" t="str">
        <f>""</f>
        <v/>
      </c>
      <c r="G3116" t="str">
        <f>""</f>
        <v/>
      </c>
      <c r="I3116" t="str">
        <f t="shared" si="49"/>
        <v>TEXAS COUNTY &amp; DISTRICT RET</v>
      </c>
    </row>
    <row r="3117" spans="1:9" x14ac:dyDescent="0.3">
      <c r="A3117" t="str">
        <f>""</f>
        <v/>
      </c>
      <c r="F3117" t="str">
        <f>""</f>
        <v/>
      </c>
      <c r="G3117" t="str">
        <f>""</f>
        <v/>
      </c>
      <c r="I3117" t="str">
        <f t="shared" si="49"/>
        <v>TEXAS COUNTY &amp; DISTRICT RET</v>
      </c>
    </row>
    <row r="3118" spans="1:9" x14ac:dyDescent="0.3">
      <c r="A3118" t="str">
        <f>""</f>
        <v/>
      </c>
      <c r="F3118" t="str">
        <f>""</f>
        <v/>
      </c>
      <c r="G3118" t="str">
        <f>""</f>
        <v/>
      </c>
      <c r="I3118" t="str">
        <f t="shared" ref="I3118:I3139" si="50">"TEXAS COUNTY &amp; DISTRICT RET"</f>
        <v>TEXAS COUNTY &amp; DISTRICT RET</v>
      </c>
    </row>
    <row r="3119" spans="1:9" x14ac:dyDescent="0.3">
      <c r="A3119" t="str">
        <f>""</f>
        <v/>
      </c>
      <c r="F3119" t="str">
        <f>""</f>
        <v/>
      </c>
      <c r="G3119" t="str">
        <f>""</f>
        <v/>
      </c>
      <c r="I3119" t="str">
        <f t="shared" si="50"/>
        <v>TEXAS COUNTY &amp; DISTRICT RET</v>
      </c>
    </row>
    <row r="3120" spans="1:9" x14ac:dyDescent="0.3">
      <c r="A3120" t="str">
        <f>""</f>
        <v/>
      </c>
      <c r="F3120" t="str">
        <f>""</f>
        <v/>
      </c>
      <c r="G3120" t="str">
        <f>""</f>
        <v/>
      </c>
      <c r="I3120" t="str">
        <f t="shared" si="50"/>
        <v>TEXAS COUNTY &amp; DISTRICT RET</v>
      </c>
    </row>
    <row r="3121" spans="1:9" x14ac:dyDescent="0.3">
      <c r="A3121" t="str">
        <f>""</f>
        <v/>
      </c>
      <c r="F3121" t="str">
        <f>""</f>
        <v/>
      </c>
      <c r="G3121" t="str">
        <f>""</f>
        <v/>
      </c>
      <c r="I3121" t="str">
        <f t="shared" si="50"/>
        <v>TEXAS COUNTY &amp; DISTRICT RET</v>
      </c>
    </row>
    <row r="3122" spans="1:9" x14ac:dyDescent="0.3">
      <c r="A3122" t="str">
        <f>""</f>
        <v/>
      </c>
      <c r="F3122" t="str">
        <f>""</f>
        <v/>
      </c>
      <c r="G3122" t="str">
        <f>""</f>
        <v/>
      </c>
      <c r="I3122" t="str">
        <f t="shared" si="50"/>
        <v>TEXAS COUNTY &amp; DISTRICT RET</v>
      </c>
    </row>
    <row r="3123" spans="1:9" x14ac:dyDescent="0.3">
      <c r="A3123" t="str">
        <f>""</f>
        <v/>
      </c>
      <c r="F3123" t="str">
        <f>""</f>
        <v/>
      </c>
      <c r="G3123" t="str">
        <f>""</f>
        <v/>
      </c>
      <c r="I3123" t="str">
        <f t="shared" si="50"/>
        <v>TEXAS COUNTY &amp; DISTRICT RET</v>
      </c>
    </row>
    <row r="3124" spans="1:9" x14ac:dyDescent="0.3">
      <c r="A3124" t="str">
        <f>""</f>
        <v/>
      </c>
      <c r="F3124" t="str">
        <f>""</f>
        <v/>
      </c>
      <c r="G3124" t="str">
        <f>""</f>
        <v/>
      </c>
      <c r="I3124" t="str">
        <f t="shared" si="50"/>
        <v>TEXAS COUNTY &amp; DISTRICT RET</v>
      </c>
    </row>
    <row r="3125" spans="1:9" x14ac:dyDescent="0.3">
      <c r="A3125" t="str">
        <f>""</f>
        <v/>
      </c>
      <c r="F3125" t="str">
        <f>""</f>
        <v/>
      </c>
      <c r="G3125" t="str">
        <f>""</f>
        <v/>
      </c>
      <c r="I3125" t="str">
        <f t="shared" si="50"/>
        <v>TEXAS COUNTY &amp; DISTRICT RET</v>
      </c>
    </row>
    <row r="3126" spans="1:9" x14ac:dyDescent="0.3">
      <c r="A3126" t="str">
        <f>""</f>
        <v/>
      </c>
      <c r="F3126" t="str">
        <f>""</f>
        <v/>
      </c>
      <c r="G3126" t="str">
        <f>""</f>
        <v/>
      </c>
      <c r="I3126" t="str">
        <f t="shared" si="50"/>
        <v>TEXAS COUNTY &amp; DISTRICT RET</v>
      </c>
    </row>
    <row r="3127" spans="1:9" x14ac:dyDescent="0.3">
      <c r="A3127" t="str">
        <f>""</f>
        <v/>
      </c>
      <c r="F3127" t="str">
        <f>""</f>
        <v/>
      </c>
      <c r="G3127" t="str">
        <f>""</f>
        <v/>
      </c>
      <c r="I3127" t="str">
        <f t="shared" si="50"/>
        <v>TEXAS COUNTY &amp; DISTRICT RET</v>
      </c>
    </row>
    <row r="3128" spans="1:9" x14ac:dyDescent="0.3">
      <c r="A3128" t="str">
        <f>""</f>
        <v/>
      </c>
      <c r="F3128" t="str">
        <f>""</f>
        <v/>
      </c>
      <c r="G3128" t="str">
        <f>""</f>
        <v/>
      </c>
      <c r="I3128" t="str">
        <f t="shared" si="50"/>
        <v>TEXAS COUNTY &amp; DISTRICT RET</v>
      </c>
    </row>
    <row r="3129" spans="1:9" x14ac:dyDescent="0.3">
      <c r="A3129" t="str">
        <f>""</f>
        <v/>
      </c>
      <c r="F3129" t="str">
        <f>""</f>
        <v/>
      </c>
      <c r="G3129" t="str">
        <f>""</f>
        <v/>
      </c>
      <c r="I3129" t="str">
        <f t="shared" si="50"/>
        <v>TEXAS COUNTY &amp; DISTRICT RET</v>
      </c>
    </row>
    <row r="3130" spans="1:9" x14ac:dyDescent="0.3">
      <c r="A3130" t="str">
        <f>""</f>
        <v/>
      </c>
      <c r="F3130" t="str">
        <f>""</f>
        <v/>
      </c>
      <c r="G3130" t="str">
        <f>""</f>
        <v/>
      </c>
      <c r="I3130" t="str">
        <f t="shared" si="50"/>
        <v>TEXAS COUNTY &amp; DISTRICT RET</v>
      </c>
    </row>
    <row r="3131" spans="1:9" x14ac:dyDescent="0.3">
      <c r="A3131" t="str">
        <f>""</f>
        <v/>
      </c>
      <c r="F3131" t="str">
        <f>""</f>
        <v/>
      </c>
      <c r="G3131" t="str">
        <f>""</f>
        <v/>
      </c>
      <c r="I3131" t="str">
        <f t="shared" si="50"/>
        <v>TEXAS COUNTY &amp; DISTRICT RET</v>
      </c>
    </row>
    <row r="3132" spans="1:9" x14ac:dyDescent="0.3">
      <c r="A3132" t="str">
        <f>""</f>
        <v/>
      </c>
      <c r="F3132" t="str">
        <f>""</f>
        <v/>
      </c>
      <c r="G3132" t="str">
        <f>""</f>
        <v/>
      </c>
      <c r="I3132" t="str">
        <f t="shared" si="50"/>
        <v>TEXAS COUNTY &amp; DISTRICT RET</v>
      </c>
    </row>
    <row r="3133" spans="1:9" x14ac:dyDescent="0.3">
      <c r="A3133" t="str">
        <f>""</f>
        <v/>
      </c>
      <c r="F3133" t="str">
        <f>""</f>
        <v/>
      </c>
      <c r="G3133" t="str">
        <f>""</f>
        <v/>
      </c>
      <c r="I3133" t="str">
        <f t="shared" si="50"/>
        <v>TEXAS COUNTY &amp; DISTRICT RET</v>
      </c>
    </row>
    <row r="3134" spans="1:9" x14ac:dyDescent="0.3">
      <c r="A3134" t="str">
        <f>""</f>
        <v/>
      </c>
      <c r="F3134" t="str">
        <f>""</f>
        <v/>
      </c>
      <c r="G3134" t="str">
        <f>""</f>
        <v/>
      </c>
      <c r="I3134" t="str">
        <f t="shared" si="50"/>
        <v>TEXAS COUNTY &amp; DISTRICT RET</v>
      </c>
    </row>
    <row r="3135" spans="1:9" x14ac:dyDescent="0.3">
      <c r="A3135" t="str">
        <f>""</f>
        <v/>
      </c>
      <c r="F3135" t="str">
        <f>""</f>
        <v/>
      </c>
      <c r="G3135" t="str">
        <f>""</f>
        <v/>
      </c>
      <c r="I3135" t="str">
        <f t="shared" si="50"/>
        <v>TEXAS COUNTY &amp; DISTRICT RET</v>
      </c>
    </row>
    <row r="3136" spans="1:9" x14ac:dyDescent="0.3">
      <c r="A3136" t="str">
        <f>""</f>
        <v/>
      </c>
      <c r="F3136" t="str">
        <f>""</f>
        <v/>
      </c>
      <c r="G3136" t="str">
        <f>""</f>
        <v/>
      </c>
      <c r="I3136" t="str">
        <f t="shared" si="50"/>
        <v>TEXAS COUNTY &amp; DISTRICT RET</v>
      </c>
    </row>
    <row r="3137" spans="1:9" x14ac:dyDescent="0.3">
      <c r="A3137" t="str">
        <f>""</f>
        <v/>
      </c>
      <c r="F3137" t="str">
        <f>""</f>
        <v/>
      </c>
      <c r="G3137" t="str">
        <f>""</f>
        <v/>
      </c>
      <c r="I3137" t="str">
        <f t="shared" si="50"/>
        <v>TEXAS COUNTY &amp; DISTRICT RET</v>
      </c>
    </row>
    <row r="3138" spans="1:9" x14ac:dyDescent="0.3">
      <c r="A3138" t="str">
        <f>""</f>
        <v/>
      </c>
      <c r="F3138" t="str">
        <f>""</f>
        <v/>
      </c>
      <c r="G3138" t="str">
        <f>""</f>
        <v/>
      </c>
      <c r="I3138" t="str">
        <f t="shared" si="50"/>
        <v>TEXAS COUNTY &amp; DISTRICT RET</v>
      </c>
    </row>
    <row r="3139" spans="1:9" x14ac:dyDescent="0.3">
      <c r="A3139" t="str">
        <f>""</f>
        <v/>
      </c>
      <c r="F3139" t="str">
        <f>""</f>
        <v/>
      </c>
      <c r="G3139" t="str">
        <f>""</f>
        <v/>
      </c>
      <c r="I3139" t="str">
        <f t="shared" si="50"/>
        <v>TEXAS COUNTY &amp; DISTRICT RET</v>
      </c>
    </row>
    <row r="3140" spans="1:9" x14ac:dyDescent="0.3">
      <c r="A3140" t="str">
        <f>""</f>
        <v/>
      </c>
      <c r="F3140" t="str">
        <f>"RET201805161054"</f>
        <v>RET201805161054</v>
      </c>
      <c r="G3140" t="str">
        <f>"TEXAS COUNTY  DISTRICT RET"</f>
        <v>TEXAS COUNTY  DISTRICT RET</v>
      </c>
      <c r="H3140">
        <v>5816.09</v>
      </c>
      <c r="I3140" t="str">
        <f>"TEXAS COUNTY  DISTRICT RET"</f>
        <v>TEXAS COUNTY  DISTRICT RET</v>
      </c>
    </row>
    <row r="3141" spans="1:9" x14ac:dyDescent="0.3">
      <c r="A3141" t="str">
        <f>""</f>
        <v/>
      </c>
      <c r="F3141" t="str">
        <f>""</f>
        <v/>
      </c>
      <c r="G3141" t="str">
        <f>""</f>
        <v/>
      </c>
      <c r="I3141" t="str">
        <f>"TEXAS COUNTY  DISTRICT RET"</f>
        <v>TEXAS COUNTY  DISTRICT RET</v>
      </c>
    </row>
    <row r="3142" spans="1:9" x14ac:dyDescent="0.3">
      <c r="A3142" t="str">
        <f>""</f>
        <v/>
      </c>
      <c r="F3142" t="str">
        <f>"RET201805161055"</f>
        <v>RET201805161055</v>
      </c>
      <c r="G3142" t="str">
        <f>"TEXAS COUNTY &amp; DISTRICT RET"</f>
        <v>TEXAS COUNTY &amp; DISTRICT RET</v>
      </c>
      <c r="H3142">
        <v>8368.5</v>
      </c>
      <c r="I3142" t="str">
        <f>"TEXAS COUNTY &amp; DISTRICT RET"</f>
        <v>TEXAS COUNTY &amp; DISTRICT RET</v>
      </c>
    </row>
    <row r="3143" spans="1:9" x14ac:dyDescent="0.3">
      <c r="A3143" t="str">
        <f>""</f>
        <v/>
      </c>
      <c r="F3143" t="str">
        <f>""</f>
        <v/>
      </c>
      <c r="G3143" t="str">
        <f>""</f>
        <v/>
      </c>
      <c r="I3143" t="str">
        <f>"TEXAS COUNTY &amp; DISTRICT RET"</f>
        <v>TEXAS COUNTY &amp; DISTRICT RET</v>
      </c>
    </row>
    <row r="3144" spans="1:9" x14ac:dyDescent="0.3">
      <c r="A3144" t="str">
        <f>"002457"</f>
        <v>002457</v>
      </c>
      <c r="B3144" t="s">
        <v>579</v>
      </c>
      <c r="C3144">
        <v>46352</v>
      </c>
      <c r="D3144" s="2">
        <v>1120</v>
      </c>
      <c r="E3144" s="1">
        <v>43242</v>
      </c>
      <c r="F3144" t="str">
        <f>"LEG201805010494"</f>
        <v>LEG201805010494</v>
      </c>
      <c r="G3144" t="str">
        <f>"TEXAS LEGAL PROTECTION PLAN"</f>
        <v>TEXAS LEGAL PROTECTION PLAN</v>
      </c>
      <c r="H3144">
        <v>560</v>
      </c>
      <c r="I3144" t="str">
        <f>"TEXAS LEGAL PROTECTION PLAN"</f>
        <v>TEXAS LEGAL PROTECTION PLAN</v>
      </c>
    </row>
    <row r="3145" spans="1:9" x14ac:dyDescent="0.3">
      <c r="A3145" t="str">
        <f>""</f>
        <v/>
      </c>
      <c r="F3145" t="str">
        <f>"LEG201805161053"</f>
        <v>LEG201805161053</v>
      </c>
      <c r="G3145" t="str">
        <f>"TEXAS LEGAL PROTECTION PLAN"</f>
        <v>TEXAS LEGAL PROTECTION PLAN</v>
      </c>
      <c r="H3145">
        <v>560</v>
      </c>
      <c r="I3145" t="str">
        <f>"TEXAS LEGAL PROTECTION PLAN"</f>
        <v>TEXAS LEGAL PROTECTION PLAN</v>
      </c>
    </row>
    <row r="3146" spans="1:9" x14ac:dyDescent="0.3">
      <c r="A3146" t="str">
        <f>"T14362"</f>
        <v>T14362</v>
      </c>
      <c r="B3146" t="s">
        <v>580</v>
      </c>
      <c r="C3146">
        <v>46310</v>
      </c>
      <c r="D3146" s="2">
        <v>186</v>
      </c>
      <c r="E3146" s="1">
        <v>43224</v>
      </c>
      <c r="F3146" t="str">
        <f>"SL6201805010494"</f>
        <v>SL6201805010494</v>
      </c>
      <c r="G3146" t="str">
        <f>"TG STUDENT LOAN - P CROUCH"</f>
        <v>TG STUDENT LOAN - P CROUCH</v>
      </c>
      <c r="H3146">
        <v>186</v>
      </c>
      <c r="I3146" t="str">
        <f>"TG STUDENT LOAN - P CROUCH"</f>
        <v>TG STUDENT LOAN - P CROUCH</v>
      </c>
    </row>
    <row r="3147" spans="1:9" x14ac:dyDescent="0.3">
      <c r="A3147" t="str">
        <f>"T14362"</f>
        <v>T14362</v>
      </c>
      <c r="B3147" t="s">
        <v>580</v>
      </c>
      <c r="C3147">
        <v>46351</v>
      </c>
      <c r="D3147" s="2">
        <v>218.61</v>
      </c>
      <c r="E3147" s="1">
        <v>43238</v>
      </c>
      <c r="F3147" t="str">
        <f>"SL6201805161053"</f>
        <v>SL6201805161053</v>
      </c>
      <c r="G3147" t="str">
        <f>"TG STUDENT LOAN - P CROUCH"</f>
        <v>TG STUDENT LOAN - P CROUCH</v>
      </c>
      <c r="H3147">
        <v>218.61</v>
      </c>
      <c r="I3147" t="str">
        <f>"TG STUDENT LOAN - P CROUCH"</f>
        <v>TG STUDENT LOAN - P CROUCH</v>
      </c>
    </row>
    <row r="3148" spans="1:9" x14ac:dyDescent="0.3">
      <c r="A3148" t="str">
        <f>"T10887"</f>
        <v>T10887</v>
      </c>
      <c r="B3148" t="s">
        <v>581</v>
      </c>
      <c r="C3148">
        <v>46309</v>
      </c>
      <c r="D3148" s="2">
        <v>378.02</v>
      </c>
      <c r="E3148" s="1">
        <v>43224</v>
      </c>
      <c r="F3148" t="str">
        <f>"S10201805010494"</f>
        <v>S10201805010494</v>
      </c>
      <c r="G3148" t="str">
        <f>"STUDENT LOAN"</f>
        <v>STUDENT LOAN</v>
      </c>
      <c r="H3148">
        <v>165.37</v>
      </c>
      <c r="I3148" t="str">
        <f>"STUDENT LOAN"</f>
        <v>STUDENT LOAN</v>
      </c>
    </row>
    <row r="3149" spans="1:9" x14ac:dyDescent="0.3">
      <c r="A3149" t="str">
        <f>""</f>
        <v/>
      </c>
      <c r="F3149" t="str">
        <f>"SL9201805010494"</f>
        <v>SL9201805010494</v>
      </c>
      <c r="G3149" t="str">
        <f>"STUDENT LOAN"</f>
        <v>STUDENT LOAN</v>
      </c>
      <c r="H3149">
        <v>212.65</v>
      </c>
      <c r="I3149" t="str">
        <f>"STUDENT LOAN"</f>
        <v>STUDENT LOAN</v>
      </c>
    </row>
    <row r="3150" spans="1:9" x14ac:dyDescent="0.3">
      <c r="A3150" t="str">
        <f>"T10887"</f>
        <v>T10887</v>
      </c>
      <c r="B3150" t="s">
        <v>581</v>
      </c>
      <c r="C3150">
        <v>46350</v>
      </c>
      <c r="D3150" s="2">
        <v>378.02</v>
      </c>
      <c r="E3150" s="1">
        <v>43238</v>
      </c>
      <c r="F3150" t="str">
        <f>"S10201805161053"</f>
        <v>S10201805161053</v>
      </c>
      <c r="G3150" t="str">
        <f>"STUDENT LOAN"</f>
        <v>STUDENT LOAN</v>
      </c>
      <c r="H3150">
        <v>165.37</v>
      </c>
      <c r="I3150" t="str">
        <f>"STUDENT LOAN"</f>
        <v>STUDENT LOAN</v>
      </c>
    </row>
    <row r="3151" spans="1:9" x14ac:dyDescent="0.3">
      <c r="A3151" t="str">
        <f>""</f>
        <v/>
      </c>
      <c r="F3151" t="str">
        <f>"SL9201805161053"</f>
        <v>SL9201805161053</v>
      </c>
      <c r="G3151" t="str">
        <f>"STUDENT LOAN"</f>
        <v>STUDENT LOAN</v>
      </c>
      <c r="H3151">
        <v>212.65</v>
      </c>
      <c r="I3151" t="str">
        <f>"STUDENT LOAN"</f>
        <v>STUDENT LOAN</v>
      </c>
    </row>
    <row r="3152" spans="1:9" x14ac:dyDescent="0.3">
      <c r="A3152" t="str">
        <f>"004767"</f>
        <v>004767</v>
      </c>
      <c r="B3152" t="s">
        <v>533</v>
      </c>
      <c r="C3152">
        <v>0</v>
      </c>
      <c r="D3152" s="2">
        <v>11627.32</v>
      </c>
      <c r="E3152" s="1">
        <v>43224</v>
      </c>
      <c r="F3152" t="str">
        <f>"FSA201805010494"</f>
        <v>FSA201805010494</v>
      </c>
      <c r="G3152" t="str">
        <f>"WAGE WORKS"</f>
        <v>WAGE WORKS</v>
      </c>
      <c r="H3152">
        <v>8543.48</v>
      </c>
      <c r="I3152" t="str">
        <f>"WAGE WORKS"</f>
        <v>WAGE WORKS</v>
      </c>
    </row>
    <row r="3153" spans="1:9" x14ac:dyDescent="0.3">
      <c r="A3153" t="str">
        <f>""</f>
        <v/>
      </c>
      <c r="F3153" t="str">
        <f>"FSA201805010495"</f>
        <v>FSA201805010495</v>
      </c>
      <c r="G3153" t="str">
        <f>"WAGE WORKS"</f>
        <v>WAGE WORKS</v>
      </c>
      <c r="H3153">
        <v>574</v>
      </c>
      <c r="I3153" t="str">
        <f>"WAGE WORKS"</f>
        <v>WAGE WORKS</v>
      </c>
    </row>
    <row r="3154" spans="1:9" x14ac:dyDescent="0.3">
      <c r="A3154" t="str">
        <f>""</f>
        <v/>
      </c>
      <c r="F3154" t="str">
        <f>"FSC201805010494"</f>
        <v>FSC201805010494</v>
      </c>
      <c r="G3154" t="str">
        <f>"WAGE WORKS"</f>
        <v>WAGE WORKS</v>
      </c>
      <c r="H3154">
        <v>913.95</v>
      </c>
      <c r="I3154" t="str">
        <f>"WAGE WORKS"</f>
        <v>WAGE WORKS</v>
      </c>
    </row>
    <row r="3155" spans="1:9" x14ac:dyDescent="0.3">
      <c r="A3155" t="str">
        <f>""</f>
        <v/>
      </c>
      <c r="F3155" t="str">
        <f>"FSF201805010494"</f>
        <v>FSF201805010494</v>
      </c>
      <c r="G3155" t="str">
        <f>"WAGE WORKS - FSA &amp; HRA FEES"</f>
        <v>WAGE WORKS - FSA &amp; HRA FEES</v>
      </c>
      <c r="H3155">
        <v>537.95000000000005</v>
      </c>
      <c r="I3155" t="str">
        <f t="shared" ref="I3155:I3195" si="51">"WAGE WORKS - FSA &amp; HRA FEES"</f>
        <v>WAGE WORKS - FSA &amp; HRA FEES</v>
      </c>
    </row>
    <row r="3156" spans="1:9" x14ac:dyDescent="0.3">
      <c r="A3156" t="str">
        <f>""</f>
        <v/>
      </c>
      <c r="F3156" t="str">
        <f>""</f>
        <v/>
      </c>
      <c r="G3156" t="str">
        <f>""</f>
        <v/>
      </c>
      <c r="I3156" t="str">
        <f t="shared" si="51"/>
        <v>WAGE WORKS - FSA &amp; HRA FEES</v>
      </c>
    </row>
    <row r="3157" spans="1:9" x14ac:dyDescent="0.3">
      <c r="A3157" t="str">
        <f>""</f>
        <v/>
      </c>
      <c r="F3157" t="str">
        <f>""</f>
        <v/>
      </c>
      <c r="G3157" t="str">
        <f>""</f>
        <v/>
      </c>
      <c r="I3157" t="str">
        <f t="shared" si="51"/>
        <v>WAGE WORKS - FSA &amp; HRA FEES</v>
      </c>
    </row>
    <row r="3158" spans="1:9" x14ac:dyDescent="0.3">
      <c r="A3158" t="str">
        <f>""</f>
        <v/>
      </c>
      <c r="F3158" t="str">
        <f>""</f>
        <v/>
      </c>
      <c r="G3158" t="str">
        <f>""</f>
        <v/>
      </c>
      <c r="I3158" t="str">
        <f t="shared" si="51"/>
        <v>WAGE WORKS - FSA &amp; HRA FEES</v>
      </c>
    </row>
    <row r="3159" spans="1:9" x14ac:dyDescent="0.3">
      <c r="A3159" t="str">
        <f>""</f>
        <v/>
      </c>
      <c r="F3159" t="str">
        <f>""</f>
        <v/>
      </c>
      <c r="G3159" t="str">
        <f>""</f>
        <v/>
      </c>
      <c r="I3159" t="str">
        <f t="shared" si="51"/>
        <v>WAGE WORKS - FSA &amp; HRA FEES</v>
      </c>
    </row>
    <row r="3160" spans="1:9" x14ac:dyDescent="0.3">
      <c r="A3160" t="str">
        <f>""</f>
        <v/>
      </c>
      <c r="F3160" t="str">
        <f>""</f>
        <v/>
      </c>
      <c r="G3160" t="str">
        <f>""</f>
        <v/>
      </c>
      <c r="I3160" t="str">
        <f t="shared" si="51"/>
        <v>WAGE WORKS - FSA &amp; HRA FEES</v>
      </c>
    </row>
    <row r="3161" spans="1:9" x14ac:dyDescent="0.3">
      <c r="A3161" t="str">
        <f>""</f>
        <v/>
      </c>
      <c r="F3161" t="str">
        <f>""</f>
        <v/>
      </c>
      <c r="G3161" t="str">
        <f>""</f>
        <v/>
      </c>
      <c r="I3161" t="str">
        <f t="shared" si="51"/>
        <v>WAGE WORKS - FSA &amp; HRA FEES</v>
      </c>
    </row>
    <row r="3162" spans="1:9" x14ac:dyDescent="0.3">
      <c r="A3162" t="str">
        <f>""</f>
        <v/>
      </c>
      <c r="F3162" t="str">
        <f>""</f>
        <v/>
      </c>
      <c r="G3162" t="str">
        <f>""</f>
        <v/>
      </c>
      <c r="I3162" t="str">
        <f t="shared" si="51"/>
        <v>WAGE WORKS - FSA &amp; HRA FEES</v>
      </c>
    </row>
    <row r="3163" spans="1:9" x14ac:dyDescent="0.3">
      <c r="A3163" t="str">
        <f>""</f>
        <v/>
      </c>
      <c r="F3163" t="str">
        <f>""</f>
        <v/>
      </c>
      <c r="G3163" t="str">
        <f>""</f>
        <v/>
      </c>
      <c r="I3163" t="str">
        <f t="shared" si="51"/>
        <v>WAGE WORKS - FSA &amp; HRA FEES</v>
      </c>
    </row>
    <row r="3164" spans="1:9" x14ac:dyDescent="0.3">
      <c r="A3164" t="str">
        <f>""</f>
        <v/>
      </c>
      <c r="F3164" t="str">
        <f>""</f>
        <v/>
      </c>
      <c r="G3164" t="str">
        <f>""</f>
        <v/>
      </c>
      <c r="I3164" t="str">
        <f t="shared" si="51"/>
        <v>WAGE WORKS - FSA &amp; HRA FEES</v>
      </c>
    </row>
    <row r="3165" spans="1:9" x14ac:dyDescent="0.3">
      <c r="A3165" t="str">
        <f>""</f>
        <v/>
      </c>
      <c r="F3165" t="str">
        <f>""</f>
        <v/>
      </c>
      <c r="G3165" t="str">
        <f>""</f>
        <v/>
      </c>
      <c r="I3165" t="str">
        <f t="shared" si="51"/>
        <v>WAGE WORKS - FSA &amp; HRA FEES</v>
      </c>
    </row>
    <row r="3166" spans="1:9" x14ac:dyDescent="0.3">
      <c r="A3166" t="str">
        <f>""</f>
        <v/>
      </c>
      <c r="F3166" t="str">
        <f>""</f>
        <v/>
      </c>
      <c r="G3166" t="str">
        <f>""</f>
        <v/>
      </c>
      <c r="I3166" t="str">
        <f t="shared" si="51"/>
        <v>WAGE WORKS - FSA &amp; HRA FEES</v>
      </c>
    </row>
    <row r="3167" spans="1:9" x14ac:dyDescent="0.3">
      <c r="A3167" t="str">
        <f>""</f>
        <v/>
      </c>
      <c r="F3167" t="str">
        <f>""</f>
        <v/>
      </c>
      <c r="G3167" t="str">
        <f>""</f>
        <v/>
      </c>
      <c r="I3167" t="str">
        <f t="shared" si="51"/>
        <v>WAGE WORKS - FSA &amp; HRA FEES</v>
      </c>
    </row>
    <row r="3168" spans="1:9" x14ac:dyDescent="0.3">
      <c r="A3168" t="str">
        <f>""</f>
        <v/>
      </c>
      <c r="F3168" t="str">
        <f>""</f>
        <v/>
      </c>
      <c r="G3168" t="str">
        <f>""</f>
        <v/>
      </c>
      <c r="I3168" t="str">
        <f t="shared" si="51"/>
        <v>WAGE WORKS - FSA &amp; HRA FEES</v>
      </c>
    </row>
    <row r="3169" spans="1:9" x14ac:dyDescent="0.3">
      <c r="A3169" t="str">
        <f>""</f>
        <v/>
      </c>
      <c r="F3169" t="str">
        <f>""</f>
        <v/>
      </c>
      <c r="G3169" t="str">
        <f>""</f>
        <v/>
      </c>
      <c r="I3169" t="str">
        <f t="shared" si="51"/>
        <v>WAGE WORKS - FSA &amp; HRA FEES</v>
      </c>
    </row>
    <row r="3170" spans="1:9" x14ac:dyDescent="0.3">
      <c r="A3170" t="str">
        <f>""</f>
        <v/>
      </c>
      <c r="F3170" t="str">
        <f>""</f>
        <v/>
      </c>
      <c r="G3170" t="str">
        <f>""</f>
        <v/>
      </c>
      <c r="I3170" t="str">
        <f t="shared" si="51"/>
        <v>WAGE WORKS - FSA &amp; HRA FEES</v>
      </c>
    </row>
    <row r="3171" spans="1:9" x14ac:dyDescent="0.3">
      <c r="A3171" t="str">
        <f>""</f>
        <v/>
      </c>
      <c r="F3171" t="str">
        <f>""</f>
        <v/>
      </c>
      <c r="G3171" t="str">
        <f>""</f>
        <v/>
      </c>
      <c r="I3171" t="str">
        <f t="shared" si="51"/>
        <v>WAGE WORKS - FSA &amp; HRA FEES</v>
      </c>
    </row>
    <row r="3172" spans="1:9" x14ac:dyDescent="0.3">
      <c r="A3172" t="str">
        <f>""</f>
        <v/>
      </c>
      <c r="F3172" t="str">
        <f>""</f>
        <v/>
      </c>
      <c r="G3172" t="str">
        <f>""</f>
        <v/>
      </c>
      <c r="I3172" t="str">
        <f t="shared" si="51"/>
        <v>WAGE WORKS - FSA &amp; HRA FEES</v>
      </c>
    </row>
    <row r="3173" spans="1:9" x14ac:dyDescent="0.3">
      <c r="A3173" t="str">
        <f>""</f>
        <v/>
      </c>
      <c r="F3173" t="str">
        <f>""</f>
        <v/>
      </c>
      <c r="G3173" t="str">
        <f>""</f>
        <v/>
      </c>
      <c r="I3173" t="str">
        <f t="shared" si="51"/>
        <v>WAGE WORKS - FSA &amp; HRA FEES</v>
      </c>
    </row>
    <row r="3174" spans="1:9" x14ac:dyDescent="0.3">
      <c r="A3174" t="str">
        <f>""</f>
        <v/>
      </c>
      <c r="F3174" t="str">
        <f>""</f>
        <v/>
      </c>
      <c r="G3174" t="str">
        <f>""</f>
        <v/>
      </c>
      <c r="I3174" t="str">
        <f t="shared" si="51"/>
        <v>WAGE WORKS - FSA &amp; HRA FEES</v>
      </c>
    </row>
    <row r="3175" spans="1:9" x14ac:dyDescent="0.3">
      <c r="A3175" t="str">
        <f>""</f>
        <v/>
      </c>
      <c r="F3175" t="str">
        <f>""</f>
        <v/>
      </c>
      <c r="G3175" t="str">
        <f>""</f>
        <v/>
      </c>
      <c r="I3175" t="str">
        <f t="shared" si="51"/>
        <v>WAGE WORKS - FSA &amp; HRA FEES</v>
      </c>
    </row>
    <row r="3176" spans="1:9" x14ac:dyDescent="0.3">
      <c r="A3176" t="str">
        <f>""</f>
        <v/>
      </c>
      <c r="F3176" t="str">
        <f>""</f>
        <v/>
      </c>
      <c r="G3176" t="str">
        <f>""</f>
        <v/>
      </c>
      <c r="I3176" t="str">
        <f t="shared" si="51"/>
        <v>WAGE WORKS - FSA &amp; HRA FEES</v>
      </c>
    </row>
    <row r="3177" spans="1:9" x14ac:dyDescent="0.3">
      <c r="A3177" t="str">
        <f>""</f>
        <v/>
      </c>
      <c r="F3177" t="str">
        <f>""</f>
        <v/>
      </c>
      <c r="G3177" t="str">
        <f>""</f>
        <v/>
      </c>
      <c r="I3177" t="str">
        <f t="shared" si="51"/>
        <v>WAGE WORKS - FSA &amp; HRA FEES</v>
      </c>
    </row>
    <row r="3178" spans="1:9" x14ac:dyDescent="0.3">
      <c r="A3178" t="str">
        <f>""</f>
        <v/>
      </c>
      <c r="F3178" t="str">
        <f>""</f>
        <v/>
      </c>
      <c r="G3178" t="str">
        <f>""</f>
        <v/>
      </c>
      <c r="I3178" t="str">
        <f t="shared" si="51"/>
        <v>WAGE WORKS - FSA &amp; HRA FEES</v>
      </c>
    </row>
    <row r="3179" spans="1:9" x14ac:dyDescent="0.3">
      <c r="A3179" t="str">
        <f>""</f>
        <v/>
      </c>
      <c r="F3179" t="str">
        <f>""</f>
        <v/>
      </c>
      <c r="G3179" t="str">
        <f>""</f>
        <v/>
      </c>
      <c r="I3179" t="str">
        <f t="shared" si="51"/>
        <v>WAGE WORKS - FSA &amp; HRA FEES</v>
      </c>
    </row>
    <row r="3180" spans="1:9" x14ac:dyDescent="0.3">
      <c r="A3180" t="str">
        <f>""</f>
        <v/>
      </c>
      <c r="F3180" t="str">
        <f>""</f>
        <v/>
      </c>
      <c r="G3180" t="str">
        <f>""</f>
        <v/>
      </c>
      <c r="I3180" t="str">
        <f t="shared" si="51"/>
        <v>WAGE WORKS - FSA &amp; HRA FEES</v>
      </c>
    </row>
    <row r="3181" spans="1:9" x14ac:dyDescent="0.3">
      <c r="A3181" t="str">
        <f>""</f>
        <v/>
      </c>
      <c r="F3181" t="str">
        <f>""</f>
        <v/>
      </c>
      <c r="G3181" t="str">
        <f>""</f>
        <v/>
      </c>
      <c r="I3181" t="str">
        <f t="shared" si="51"/>
        <v>WAGE WORKS - FSA &amp; HRA FEES</v>
      </c>
    </row>
    <row r="3182" spans="1:9" x14ac:dyDescent="0.3">
      <c r="A3182" t="str">
        <f>""</f>
        <v/>
      </c>
      <c r="F3182" t="str">
        <f>""</f>
        <v/>
      </c>
      <c r="G3182" t="str">
        <f>""</f>
        <v/>
      </c>
      <c r="I3182" t="str">
        <f t="shared" si="51"/>
        <v>WAGE WORKS - FSA &amp; HRA FEES</v>
      </c>
    </row>
    <row r="3183" spans="1:9" x14ac:dyDescent="0.3">
      <c r="A3183" t="str">
        <f>""</f>
        <v/>
      </c>
      <c r="F3183" t="str">
        <f>""</f>
        <v/>
      </c>
      <c r="G3183" t="str">
        <f>""</f>
        <v/>
      </c>
      <c r="I3183" t="str">
        <f t="shared" si="51"/>
        <v>WAGE WORKS - FSA &amp; HRA FEES</v>
      </c>
    </row>
    <row r="3184" spans="1:9" x14ac:dyDescent="0.3">
      <c r="A3184" t="str">
        <f>""</f>
        <v/>
      </c>
      <c r="F3184" t="str">
        <f>""</f>
        <v/>
      </c>
      <c r="G3184" t="str">
        <f>""</f>
        <v/>
      </c>
      <c r="I3184" t="str">
        <f t="shared" si="51"/>
        <v>WAGE WORKS - FSA &amp; HRA FEES</v>
      </c>
    </row>
    <row r="3185" spans="1:9" x14ac:dyDescent="0.3">
      <c r="A3185" t="str">
        <f>""</f>
        <v/>
      </c>
      <c r="F3185" t="str">
        <f>""</f>
        <v/>
      </c>
      <c r="G3185" t="str">
        <f>""</f>
        <v/>
      </c>
      <c r="I3185" t="str">
        <f t="shared" si="51"/>
        <v>WAGE WORKS - FSA &amp; HRA FEES</v>
      </c>
    </row>
    <row r="3186" spans="1:9" x14ac:dyDescent="0.3">
      <c r="A3186" t="str">
        <f>""</f>
        <v/>
      </c>
      <c r="F3186" t="str">
        <f>""</f>
        <v/>
      </c>
      <c r="G3186" t="str">
        <f>""</f>
        <v/>
      </c>
      <c r="I3186" t="str">
        <f t="shared" si="51"/>
        <v>WAGE WORKS - FSA &amp; HRA FEES</v>
      </c>
    </row>
    <row r="3187" spans="1:9" x14ac:dyDescent="0.3">
      <c r="A3187" t="str">
        <f>""</f>
        <v/>
      </c>
      <c r="F3187" t="str">
        <f>""</f>
        <v/>
      </c>
      <c r="G3187" t="str">
        <f>""</f>
        <v/>
      </c>
      <c r="I3187" t="str">
        <f t="shared" si="51"/>
        <v>WAGE WORKS - FSA &amp; HRA FEES</v>
      </c>
    </row>
    <row r="3188" spans="1:9" x14ac:dyDescent="0.3">
      <c r="A3188" t="str">
        <f>""</f>
        <v/>
      </c>
      <c r="F3188" t="str">
        <f>""</f>
        <v/>
      </c>
      <c r="G3188" t="str">
        <f>""</f>
        <v/>
      </c>
      <c r="I3188" t="str">
        <f t="shared" si="51"/>
        <v>WAGE WORKS - FSA &amp; HRA FEES</v>
      </c>
    </row>
    <row r="3189" spans="1:9" x14ac:dyDescent="0.3">
      <c r="A3189" t="str">
        <f>""</f>
        <v/>
      </c>
      <c r="F3189" t="str">
        <f>""</f>
        <v/>
      </c>
      <c r="G3189" t="str">
        <f>""</f>
        <v/>
      </c>
      <c r="I3189" t="str">
        <f t="shared" si="51"/>
        <v>WAGE WORKS - FSA &amp; HRA FEES</v>
      </c>
    </row>
    <row r="3190" spans="1:9" x14ac:dyDescent="0.3">
      <c r="A3190" t="str">
        <f>""</f>
        <v/>
      </c>
      <c r="F3190" t="str">
        <f>""</f>
        <v/>
      </c>
      <c r="G3190" t="str">
        <f>""</f>
        <v/>
      </c>
      <c r="I3190" t="str">
        <f t="shared" si="51"/>
        <v>WAGE WORKS - FSA &amp; HRA FEES</v>
      </c>
    </row>
    <row r="3191" spans="1:9" x14ac:dyDescent="0.3">
      <c r="A3191" t="str">
        <f>""</f>
        <v/>
      </c>
      <c r="F3191" t="str">
        <f>""</f>
        <v/>
      </c>
      <c r="G3191" t="str">
        <f>""</f>
        <v/>
      </c>
      <c r="I3191" t="str">
        <f t="shared" si="51"/>
        <v>WAGE WORKS - FSA &amp; HRA FEES</v>
      </c>
    </row>
    <row r="3192" spans="1:9" x14ac:dyDescent="0.3">
      <c r="A3192" t="str">
        <f>""</f>
        <v/>
      </c>
      <c r="F3192" t="str">
        <f>""</f>
        <v/>
      </c>
      <c r="G3192" t="str">
        <f>""</f>
        <v/>
      </c>
      <c r="I3192" t="str">
        <f t="shared" si="51"/>
        <v>WAGE WORKS - FSA &amp; HRA FEES</v>
      </c>
    </row>
    <row r="3193" spans="1:9" x14ac:dyDescent="0.3">
      <c r="A3193" t="str">
        <f>""</f>
        <v/>
      </c>
      <c r="F3193" t="str">
        <f>""</f>
        <v/>
      </c>
      <c r="G3193" t="str">
        <f>""</f>
        <v/>
      </c>
      <c r="I3193" t="str">
        <f t="shared" si="51"/>
        <v>WAGE WORKS - FSA &amp; HRA FEES</v>
      </c>
    </row>
    <row r="3194" spans="1:9" x14ac:dyDescent="0.3">
      <c r="A3194" t="str">
        <f>""</f>
        <v/>
      </c>
      <c r="F3194" t="str">
        <f>""</f>
        <v/>
      </c>
      <c r="G3194" t="str">
        <f>""</f>
        <v/>
      </c>
      <c r="I3194" t="str">
        <f t="shared" si="51"/>
        <v>WAGE WORKS - FSA &amp; HRA FEES</v>
      </c>
    </row>
    <row r="3195" spans="1:9" x14ac:dyDescent="0.3">
      <c r="A3195" t="str">
        <f>""</f>
        <v/>
      </c>
      <c r="F3195" t="str">
        <f>"FSF201805010495"</f>
        <v>FSF201805010495</v>
      </c>
      <c r="G3195" t="str">
        <f>"WAGE WORKS - FSA &amp; HRA FEES"</f>
        <v>WAGE WORKS - FSA &amp; HRA FEES</v>
      </c>
      <c r="H3195">
        <v>25.97</v>
      </c>
      <c r="I3195" t="str">
        <f t="shared" si="51"/>
        <v>WAGE WORKS - FSA &amp; HRA FEES</v>
      </c>
    </row>
    <row r="3196" spans="1:9" x14ac:dyDescent="0.3">
      <c r="A3196" t="str">
        <f>""</f>
        <v/>
      </c>
      <c r="F3196" t="str">
        <f>"FSO201805010494"</f>
        <v>FSO201805010494</v>
      </c>
      <c r="G3196" t="str">
        <f>"WAGE WORKS - FSA FEES"</f>
        <v>WAGE WORKS - FSA FEES</v>
      </c>
      <c r="H3196">
        <v>13.02</v>
      </c>
      <c r="I3196" t="str">
        <f t="shared" ref="I3196:I3204" si="52">"WAGE WORKS - FSA FEES"</f>
        <v>WAGE WORKS - FSA FEES</v>
      </c>
    </row>
    <row r="3197" spans="1:9" x14ac:dyDescent="0.3">
      <c r="A3197" t="str">
        <f>""</f>
        <v/>
      </c>
      <c r="F3197" t="str">
        <f>""</f>
        <v/>
      </c>
      <c r="G3197" t="str">
        <f>""</f>
        <v/>
      </c>
      <c r="I3197" t="str">
        <f t="shared" si="52"/>
        <v>WAGE WORKS - FSA FEES</v>
      </c>
    </row>
    <row r="3198" spans="1:9" x14ac:dyDescent="0.3">
      <c r="A3198" t="str">
        <f>""</f>
        <v/>
      </c>
      <c r="F3198" t="str">
        <f>""</f>
        <v/>
      </c>
      <c r="G3198" t="str">
        <f>""</f>
        <v/>
      </c>
      <c r="I3198" t="str">
        <f t="shared" si="52"/>
        <v>WAGE WORKS - FSA FEES</v>
      </c>
    </row>
    <row r="3199" spans="1:9" x14ac:dyDescent="0.3">
      <c r="A3199" t="str">
        <f>""</f>
        <v/>
      </c>
      <c r="F3199" t="str">
        <f>""</f>
        <v/>
      </c>
      <c r="G3199" t="str">
        <f>""</f>
        <v/>
      </c>
      <c r="I3199" t="str">
        <f t="shared" si="52"/>
        <v>WAGE WORKS - FSA FEES</v>
      </c>
    </row>
    <row r="3200" spans="1:9" x14ac:dyDescent="0.3">
      <c r="A3200" t="str">
        <f>""</f>
        <v/>
      </c>
      <c r="F3200" t="str">
        <f>""</f>
        <v/>
      </c>
      <c r="G3200" t="str">
        <f>""</f>
        <v/>
      </c>
      <c r="I3200" t="str">
        <f t="shared" si="52"/>
        <v>WAGE WORKS - FSA FEES</v>
      </c>
    </row>
    <row r="3201" spans="1:9" x14ac:dyDescent="0.3">
      <c r="A3201" t="str">
        <f>""</f>
        <v/>
      </c>
      <c r="F3201" t="str">
        <f>""</f>
        <v/>
      </c>
      <c r="G3201" t="str">
        <f>""</f>
        <v/>
      </c>
      <c r="I3201" t="str">
        <f t="shared" si="52"/>
        <v>WAGE WORKS - FSA FEES</v>
      </c>
    </row>
    <row r="3202" spans="1:9" x14ac:dyDescent="0.3">
      <c r="A3202" t="str">
        <f>""</f>
        <v/>
      </c>
      <c r="F3202" t="str">
        <f>""</f>
        <v/>
      </c>
      <c r="G3202" t="str">
        <f>""</f>
        <v/>
      </c>
      <c r="I3202" t="str">
        <f t="shared" si="52"/>
        <v>WAGE WORKS - FSA FEES</v>
      </c>
    </row>
    <row r="3203" spans="1:9" x14ac:dyDescent="0.3">
      <c r="A3203" t="str">
        <f>""</f>
        <v/>
      </c>
      <c r="F3203" t="str">
        <f>""</f>
        <v/>
      </c>
      <c r="G3203" t="str">
        <f>""</f>
        <v/>
      </c>
      <c r="I3203" t="str">
        <f t="shared" si="52"/>
        <v>WAGE WORKS - FSA FEES</v>
      </c>
    </row>
    <row r="3204" spans="1:9" x14ac:dyDescent="0.3">
      <c r="A3204" t="str">
        <f>""</f>
        <v/>
      </c>
      <c r="F3204" t="str">
        <f>"FSO201805010495"</f>
        <v>FSO201805010495</v>
      </c>
      <c r="G3204" t="str">
        <f>"WAGE WORKS - FSA FEES"</f>
        <v>WAGE WORKS - FSA FEES</v>
      </c>
      <c r="H3204">
        <v>1.86</v>
      </c>
      <c r="I3204" t="str">
        <f t="shared" si="52"/>
        <v>WAGE WORKS - FSA FEES</v>
      </c>
    </row>
    <row r="3205" spans="1:9" x14ac:dyDescent="0.3">
      <c r="A3205" t="str">
        <f>""</f>
        <v/>
      </c>
      <c r="F3205" t="str">
        <f>"HRA201805010494"</f>
        <v>HRA201805010494</v>
      </c>
      <c r="G3205" t="str">
        <f>"WAGE WORKS"</f>
        <v>WAGE WORKS</v>
      </c>
      <c r="H3205">
        <v>500.01</v>
      </c>
      <c r="I3205" t="str">
        <f>"WAGE WORKS"</f>
        <v>WAGE WORKS</v>
      </c>
    </row>
    <row r="3206" spans="1:9" x14ac:dyDescent="0.3">
      <c r="A3206" t="str">
        <f>""</f>
        <v/>
      </c>
      <c r="F3206" t="str">
        <f>""</f>
        <v/>
      </c>
      <c r="G3206" t="str">
        <f>""</f>
        <v/>
      </c>
      <c r="I3206" t="str">
        <f>"WAGE WORKS"</f>
        <v>WAGE WORKS</v>
      </c>
    </row>
    <row r="3207" spans="1:9" x14ac:dyDescent="0.3">
      <c r="A3207" t="str">
        <f>""</f>
        <v/>
      </c>
      <c r="F3207" t="str">
        <f>""</f>
        <v/>
      </c>
      <c r="G3207" t="str">
        <f>""</f>
        <v/>
      </c>
      <c r="I3207" t="str">
        <f>"WAGE WORKS"</f>
        <v>WAGE WORKS</v>
      </c>
    </row>
    <row r="3208" spans="1:9" x14ac:dyDescent="0.3">
      <c r="A3208" t="str">
        <f>""</f>
        <v/>
      </c>
      <c r="F3208" t="str">
        <f>"HRF201805010494"</f>
        <v>HRF201805010494</v>
      </c>
      <c r="G3208" t="str">
        <f>"WAGE WORKS - HRA FEES"</f>
        <v>WAGE WORKS - HRA FEES</v>
      </c>
      <c r="H3208">
        <v>500.34</v>
      </c>
      <c r="I3208" t="str">
        <f t="shared" ref="I3208:I3247" si="53">"WAGE WORKS - HRA FEES"</f>
        <v>WAGE WORKS - HRA FEES</v>
      </c>
    </row>
    <row r="3209" spans="1:9" x14ac:dyDescent="0.3">
      <c r="A3209" t="str">
        <f>""</f>
        <v/>
      </c>
      <c r="F3209" t="str">
        <f>""</f>
        <v/>
      </c>
      <c r="G3209" t="str">
        <f>""</f>
        <v/>
      </c>
      <c r="I3209" t="str">
        <f t="shared" si="53"/>
        <v>WAGE WORKS - HRA FEES</v>
      </c>
    </row>
    <row r="3210" spans="1:9" x14ac:dyDescent="0.3">
      <c r="A3210" t="str">
        <f>""</f>
        <v/>
      </c>
      <c r="F3210" t="str">
        <f>""</f>
        <v/>
      </c>
      <c r="G3210" t="str">
        <f>""</f>
        <v/>
      </c>
      <c r="I3210" t="str">
        <f t="shared" si="53"/>
        <v>WAGE WORKS - HRA FEES</v>
      </c>
    </row>
    <row r="3211" spans="1:9" x14ac:dyDescent="0.3">
      <c r="A3211" t="str">
        <f>""</f>
        <v/>
      </c>
      <c r="F3211" t="str">
        <f>""</f>
        <v/>
      </c>
      <c r="G3211" t="str">
        <f>""</f>
        <v/>
      </c>
      <c r="I3211" t="str">
        <f t="shared" si="53"/>
        <v>WAGE WORKS - HRA FEES</v>
      </c>
    </row>
    <row r="3212" spans="1:9" x14ac:dyDescent="0.3">
      <c r="A3212" t="str">
        <f>""</f>
        <v/>
      </c>
      <c r="F3212" t="str">
        <f>""</f>
        <v/>
      </c>
      <c r="G3212" t="str">
        <f>""</f>
        <v/>
      </c>
      <c r="I3212" t="str">
        <f t="shared" si="53"/>
        <v>WAGE WORKS - HRA FEES</v>
      </c>
    </row>
    <row r="3213" spans="1:9" x14ac:dyDescent="0.3">
      <c r="A3213" t="str">
        <f>""</f>
        <v/>
      </c>
      <c r="F3213" t="str">
        <f>""</f>
        <v/>
      </c>
      <c r="G3213" t="str">
        <f>""</f>
        <v/>
      </c>
      <c r="I3213" t="str">
        <f t="shared" si="53"/>
        <v>WAGE WORKS - HRA FEES</v>
      </c>
    </row>
    <row r="3214" spans="1:9" x14ac:dyDescent="0.3">
      <c r="A3214" t="str">
        <f>""</f>
        <v/>
      </c>
      <c r="F3214" t="str">
        <f>""</f>
        <v/>
      </c>
      <c r="G3214" t="str">
        <f>""</f>
        <v/>
      </c>
      <c r="I3214" t="str">
        <f t="shared" si="53"/>
        <v>WAGE WORKS - HRA FEES</v>
      </c>
    </row>
    <row r="3215" spans="1:9" x14ac:dyDescent="0.3">
      <c r="A3215" t="str">
        <f>""</f>
        <v/>
      </c>
      <c r="F3215" t="str">
        <f>""</f>
        <v/>
      </c>
      <c r="G3215" t="str">
        <f>""</f>
        <v/>
      </c>
      <c r="I3215" t="str">
        <f t="shared" si="53"/>
        <v>WAGE WORKS - HRA FEES</v>
      </c>
    </row>
    <row r="3216" spans="1:9" x14ac:dyDescent="0.3">
      <c r="A3216" t="str">
        <f>""</f>
        <v/>
      </c>
      <c r="F3216" t="str">
        <f>""</f>
        <v/>
      </c>
      <c r="G3216" t="str">
        <f>""</f>
        <v/>
      </c>
      <c r="I3216" t="str">
        <f t="shared" si="53"/>
        <v>WAGE WORKS - HRA FEES</v>
      </c>
    </row>
    <row r="3217" spans="1:9" x14ac:dyDescent="0.3">
      <c r="A3217" t="str">
        <f>""</f>
        <v/>
      </c>
      <c r="F3217" t="str">
        <f>""</f>
        <v/>
      </c>
      <c r="G3217" t="str">
        <f>""</f>
        <v/>
      </c>
      <c r="I3217" t="str">
        <f t="shared" si="53"/>
        <v>WAGE WORKS - HRA FEES</v>
      </c>
    </row>
    <row r="3218" spans="1:9" x14ac:dyDescent="0.3">
      <c r="A3218" t="str">
        <f>""</f>
        <v/>
      </c>
      <c r="F3218" t="str">
        <f>""</f>
        <v/>
      </c>
      <c r="G3218" t="str">
        <f>""</f>
        <v/>
      </c>
      <c r="I3218" t="str">
        <f t="shared" si="53"/>
        <v>WAGE WORKS - HRA FEES</v>
      </c>
    </row>
    <row r="3219" spans="1:9" x14ac:dyDescent="0.3">
      <c r="A3219" t="str">
        <f>""</f>
        <v/>
      </c>
      <c r="F3219" t="str">
        <f>""</f>
        <v/>
      </c>
      <c r="G3219" t="str">
        <f>""</f>
        <v/>
      </c>
      <c r="I3219" t="str">
        <f t="shared" si="53"/>
        <v>WAGE WORKS - HRA FEES</v>
      </c>
    </row>
    <row r="3220" spans="1:9" x14ac:dyDescent="0.3">
      <c r="A3220" t="str">
        <f>""</f>
        <v/>
      </c>
      <c r="F3220" t="str">
        <f>""</f>
        <v/>
      </c>
      <c r="G3220" t="str">
        <f>""</f>
        <v/>
      </c>
      <c r="I3220" t="str">
        <f t="shared" si="53"/>
        <v>WAGE WORKS - HRA FEES</v>
      </c>
    </row>
    <row r="3221" spans="1:9" x14ac:dyDescent="0.3">
      <c r="A3221" t="str">
        <f>""</f>
        <v/>
      </c>
      <c r="F3221" t="str">
        <f>""</f>
        <v/>
      </c>
      <c r="G3221" t="str">
        <f>""</f>
        <v/>
      </c>
      <c r="I3221" t="str">
        <f t="shared" si="53"/>
        <v>WAGE WORKS - HRA FEES</v>
      </c>
    </row>
    <row r="3222" spans="1:9" x14ac:dyDescent="0.3">
      <c r="A3222" t="str">
        <f>""</f>
        <v/>
      </c>
      <c r="F3222" t="str">
        <f>""</f>
        <v/>
      </c>
      <c r="G3222" t="str">
        <f>""</f>
        <v/>
      </c>
      <c r="I3222" t="str">
        <f t="shared" si="53"/>
        <v>WAGE WORKS - HRA FEES</v>
      </c>
    </row>
    <row r="3223" spans="1:9" x14ac:dyDescent="0.3">
      <c r="A3223" t="str">
        <f>""</f>
        <v/>
      </c>
      <c r="F3223" t="str">
        <f>""</f>
        <v/>
      </c>
      <c r="G3223" t="str">
        <f>""</f>
        <v/>
      </c>
      <c r="I3223" t="str">
        <f t="shared" si="53"/>
        <v>WAGE WORKS - HRA FEES</v>
      </c>
    </row>
    <row r="3224" spans="1:9" x14ac:dyDescent="0.3">
      <c r="A3224" t="str">
        <f>""</f>
        <v/>
      </c>
      <c r="F3224" t="str">
        <f>""</f>
        <v/>
      </c>
      <c r="G3224" t="str">
        <f>""</f>
        <v/>
      </c>
      <c r="I3224" t="str">
        <f t="shared" si="53"/>
        <v>WAGE WORKS - HRA FEES</v>
      </c>
    </row>
    <row r="3225" spans="1:9" x14ac:dyDescent="0.3">
      <c r="A3225" t="str">
        <f>""</f>
        <v/>
      </c>
      <c r="F3225" t="str">
        <f>""</f>
        <v/>
      </c>
      <c r="G3225" t="str">
        <f>""</f>
        <v/>
      </c>
      <c r="I3225" t="str">
        <f t="shared" si="53"/>
        <v>WAGE WORKS - HRA FEES</v>
      </c>
    </row>
    <row r="3226" spans="1:9" x14ac:dyDescent="0.3">
      <c r="A3226" t="str">
        <f>""</f>
        <v/>
      </c>
      <c r="F3226" t="str">
        <f>""</f>
        <v/>
      </c>
      <c r="G3226" t="str">
        <f>""</f>
        <v/>
      </c>
      <c r="I3226" t="str">
        <f t="shared" si="53"/>
        <v>WAGE WORKS - HRA FEES</v>
      </c>
    </row>
    <row r="3227" spans="1:9" x14ac:dyDescent="0.3">
      <c r="A3227" t="str">
        <f>""</f>
        <v/>
      </c>
      <c r="F3227" t="str">
        <f>""</f>
        <v/>
      </c>
      <c r="G3227" t="str">
        <f>""</f>
        <v/>
      </c>
      <c r="I3227" t="str">
        <f t="shared" si="53"/>
        <v>WAGE WORKS - HRA FEES</v>
      </c>
    </row>
    <row r="3228" spans="1:9" x14ac:dyDescent="0.3">
      <c r="A3228" t="str">
        <f>""</f>
        <v/>
      </c>
      <c r="F3228" t="str">
        <f>""</f>
        <v/>
      </c>
      <c r="G3228" t="str">
        <f>""</f>
        <v/>
      </c>
      <c r="I3228" t="str">
        <f t="shared" si="53"/>
        <v>WAGE WORKS - HRA FEES</v>
      </c>
    </row>
    <row r="3229" spans="1:9" x14ac:dyDescent="0.3">
      <c r="A3229" t="str">
        <f>""</f>
        <v/>
      </c>
      <c r="F3229" t="str">
        <f>""</f>
        <v/>
      </c>
      <c r="G3229" t="str">
        <f>""</f>
        <v/>
      </c>
      <c r="I3229" t="str">
        <f t="shared" si="53"/>
        <v>WAGE WORKS - HRA FEES</v>
      </c>
    </row>
    <row r="3230" spans="1:9" x14ac:dyDescent="0.3">
      <c r="A3230" t="str">
        <f>""</f>
        <v/>
      </c>
      <c r="F3230" t="str">
        <f>""</f>
        <v/>
      </c>
      <c r="G3230" t="str">
        <f>""</f>
        <v/>
      </c>
      <c r="I3230" t="str">
        <f t="shared" si="53"/>
        <v>WAGE WORKS - HRA FEES</v>
      </c>
    </row>
    <row r="3231" spans="1:9" x14ac:dyDescent="0.3">
      <c r="A3231" t="str">
        <f>""</f>
        <v/>
      </c>
      <c r="F3231" t="str">
        <f>""</f>
        <v/>
      </c>
      <c r="G3231" t="str">
        <f>""</f>
        <v/>
      </c>
      <c r="I3231" t="str">
        <f t="shared" si="53"/>
        <v>WAGE WORKS - HRA FEES</v>
      </c>
    </row>
    <row r="3232" spans="1:9" x14ac:dyDescent="0.3">
      <c r="A3232" t="str">
        <f>""</f>
        <v/>
      </c>
      <c r="F3232" t="str">
        <f>""</f>
        <v/>
      </c>
      <c r="G3232" t="str">
        <f>""</f>
        <v/>
      </c>
      <c r="I3232" t="str">
        <f t="shared" si="53"/>
        <v>WAGE WORKS - HRA FEES</v>
      </c>
    </row>
    <row r="3233" spans="1:9" x14ac:dyDescent="0.3">
      <c r="A3233" t="str">
        <f>""</f>
        <v/>
      </c>
      <c r="F3233" t="str">
        <f>""</f>
        <v/>
      </c>
      <c r="G3233" t="str">
        <f>""</f>
        <v/>
      </c>
      <c r="I3233" t="str">
        <f t="shared" si="53"/>
        <v>WAGE WORKS - HRA FEES</v>
      </c>
    </row>
    <row r="3234" spans="1:9" x14ac:dyDescent="0.3">
      <c r="A3234" t="str">
        <f>""</f>
        <v/>
      </c>
      <c r="F3234" t="str">
        <f>""</f>
        <v/>
      </c>
      <c r="G3234" t="str">
        <f>""</f>
        <v/>
      </c>
      <c r="I3234" t="str">
        <f t="shared" si="53"/>
        <v>WAGE WORKS - HRA FEES</v>
      </c>
    </row>
    <row r="3235" spans="1:9" x14ac:dyDescent="0.3">
      <c r="A3235" t="str">
        <f>""</f>
        <v/>
      </c>
      <c r="F3235" t="str">
        <f>""</f>
        <v/>
      </c>
      <c r="G3235" t="str">
        <f>""</f>
        <v/>
      </c>
      <c r="I3235" t="str">
        <f t="shared" si="53"/>
        <v>WAGE WORKS - HRA FEES</v>
      </c>
    </row>
    <row r="3236" spans="1:9" x14ac:dyDescent="0.3">
      <c r="A3236" t="str">
        <f>""</f>
        <v/>
      </c>
      <c r="F3236" t="str">
        <f>""</f>
        <v/>
      </c>
      <c r="G3236" t="str">
        <f>""</f>
        <v/>
      </c>
      <c r="I3236" t="str">
        <f t="shared" si="53"/>
        <v>WAGE WORKS - HRA FEES</v>
      </c>
    </row>
    <row r="3237" spans="1:9" x14ac:dyDescent="0.3">
      <c r="A3237" t="str">
        <f>""</f>
        <v/>
      </c>
      <c r="F3237" t="str">
        <f>""</f>
        <v/>
      </c>
      <c r="G3237" t="str">
        <f>""</f>
        <v/>
      </c>
      <c r="I3237" t="str">
        <f t="shared" si="53"/>
        <v>WAGE WORKS - HRA FEES</v>
      </c>
    </row>
    <row r="3238" spans="1:9" x14ac:dyDescent="0.3">
      <c r="A3238" t="str">
        <f>""</f>
        <v/>
      </c>
      <c r="F3238" t="str">
        <f>""</f>
        <v/>
      </c>
      <c r="G3238" t="str">
        <f>""</f>
        <v/>
      </c>
      <c r="I3238" t="str">
        <f t="shared" si="53"/>
        <v>WAGE WORKS - HRA FEES</v>
      </c>
    </row>
    <row r="3239" spans="1:9" x14ac:dyDescent="0.3">
      <c r="A3239" t="str">
        <f>""</f>
        <v/>
      </c>
      <c r="F3239" t="str">
        <f>""</f>
        <v/>
      </c>
      <c r="G3239" t="str">
        <f>""</f>
        <v/>
      </c>
      <c r="I3239" t="str">
        <f t="shared" si="53"/>
        <v>WAGE WORKS - HRA FEES</v>
      </c>
    </row>
    <row r="3240" spans="1:9" x14ac:dyDescent="0.3">
      <c r="A3240" t="str">
        <f>""</f>
        <v/>
      </c>
      <c r="F3240" t="str">
        <f>""</f>
        <v/>
      </c>
      <c r="G3240" t="str">
        <f>""</f>
        <v/>
      </c>
      <c r="I3240" t="str">
        <f t="shared" si="53"/>
        <v>WAGE WORKS - HRA FEES</v>
      </c>
    </row>
    <row r="3241" spans="1:9" x14ac:dyDescent="0.3">
      <c r="A3241" t="str">
        <f>""</f>
        <v/>
      </c>
      <c r="F3241" t="str">
        <f>""</f>
        <v/>
      </c>
      <c r="G3241" t="str">
        <f>""</f>
        <v/>
      </c>
      <c r="I3241" t="str">
        <f t="shared" si="53"/>
        <v>WAGE WORKS - HRA FEES</v>
      </c>
    </row>
    <row r="3242" spans="1:9" x14ac:dyDescent="0.3">
      <c r="A3242" t="str">
        <f>""</f>
        <v/>
      </c>
      <c r="F3242" t="str">
        <f>""</f>
        <v/>
      </c>
      <c r="G3242" t="str">
        <f>""</f>
        <v/>
      </c>
      <c r="I3242" t="str">
        <f t="shared" si="53"/>
        <v>WAGE WORKS - HRA FEES</v>
      </c>
    </row>
    <row r="3243" spans="1:9" x14ac:dyDescent="0.3">
      <c r="A3243" t="str">
        <f>""</f>
        <v/>
      </c>
      <c r="F3243" t="str">
        <f>""</f>
        <v/>
      </c>
      <c r="G3243" t="str">
        <f>""</f>
        <v/>
      </c>
      <c r="I3243" t="str">
        <f t="shared" si="53"/>
        <v>WAGE WORKS - HRA FEES</v>
      </c>
    </row>
    <row r="3244" spans="1:9" x14ac:dyDescent="0.3">
      <c r="A3244" t="str">
        <f>""</f>
        <v/>
      </c>
      <c r="F3244" t="str">
        <f>""</f>
        <v/>
      </c>
      <c r="G3244" t="str">
        <f>""</f>
        <v/>
      </c>
      <c r="I3244" t="str">
        <f t="shared" si="53"/>
        <v>WAGE WORKS - HRA FEES</v>
      </c>
    </row>
    <row r="3245" spans="1:9" x14ac:dyDescent="0.3">
      <c r="A3245" t="str">
        <f>""</f>
        <v/>
      </c>
      <c r="F3245" t="str">
        <f>""</f>
        <v/>
      </c>
      <c r="G3245" t="str">
        <f>""</f>
        <v/>
      </c>
      <c r="I3245" t="str">
        <f t="shared" si="53"/>
        <v>WAGE WORKS - HRA FEES</v>
      </c>
    </row>
    <row r="3246" spans="1:9" x14ac:dyDescent="0.3">
      <c r="A3246" t="str">
        <f>""</f>
        <v/>
      </c>
      <c r="F3246" t="str">
        <f>""</f>
        <v/>
      </c>
      <c r="G3246" t="str">
        <f>""</f>
        <v/>
      </c>
      <c r="I3246" t="str">
        <f t="shared" si="53"/>
        <v>WAGE WORKS - HRA FEES</v>
      </c>
    </row>
    <row r="3247" spans="1:9" x14ac:dyDescent="0.3">
      <c r="A3247" t="str">
        <f>""</f>
        <v/>
      </c>
      <c r="F3247" t="str">
        <f>"HRF201805010495"</f>
        <v>HRF201805010495</v>
      </c>
      <c r="G3247" t="str">
        <f>"WAGE WORKS - HRA FEES"</f>
        <v>WAGE WORKS - HRA FEES</v>
      </c>
      <c r="H3247">
        <v>16.739999999999998</v>
      </c>
      <c r="I3247" t="str">
        <f t="shared" si="53"/>
        <v>WAGE WORKS - HRA FEES</v>
      </c>
    </row>
    <row r="3248" spans="1:9" x14ac:dyDescent="0.3">
      <c r="A3248" t="str">
        <f>"004767"</f>
        <v>004767</v>
      </c>
      <c r="B3248" t="s">
        <v>533</v>
      </c>
      <c r="C3248">
        <v>0</v>
      </c>
      <c r="D3248" s="2">
        <v>11127.31</v>
      </c>
      <c r="E3248" s="1">
        <v>43238</v>
      </c>
      <c r="F3248" t="str">
        <f>"FSA201805161053"</f>
        <v>FSA201805161053</v>
      </c>
      <c r="G3248" t="str">
        <f>"WAGE WORKS"</f>
        <v>WAGE WORKS</v>
      </c>
      <c r="H3248">
        <v>8543.48</v>
      </c>
      <c r="I3248" t="str">
        <f>"WAGE WORKS"</f>
        <v>WAGE WORKS</v>
      </c>
    </row>
    <row r="3249" spans="1:9" x14ac:dyDescent="0.3">
      <c r="A3249" t="str">
        <f>""</f>
        <v/>
      </c>
      <c r="F3249" t="str">
        <f>"FSA201805161054"</f>
        <v>FSA201805161054</v>
      </c>
      <c r="G3249" t="str">
        <f>"WAGE WORKS"</f>
        <v>WAGE WORKS</v>
      </c>
      <c r="H3249">
        <v>574</v>
      </c>
      <c r="I3249" t="str">
        <f>"WAGE WORKS"</f>
        <v>WAGE WORKS</v>
      </c>
    </row>
    <row r="3250" spans="1:9" x14ac:dyDescent="0.3">
      <c r="A3250" t="str">
        <f>""</f>
        <v/>
      </c>
      <c r="F3250" t="str">
        <f>"FSC201805161053"</f>
        <v>FSC201805161053</v>
      </c>
      <c r="G3250" t="str">
        <f>"WAGE WORKS"</f>
        <v>WAGE WORKS</v>
      </c>
      <c r="H3250">
        <v>913.95</v>
      </c>
      <c r="I3250" t="str">
        <f>"WAGE WORKS"</f>
        <v>WAGE WORKS</v>
      </c>
    </row>
    <row r="3251" spans="1:9" x14ac:dyDescent="0.3">
      <c r="A3251" t="str">
        <f>""</f>
        <v/>
      </c>
      <c r="F3251" t="str">
        <f>"FSF201805161053"</f>
        <v>FSF201805161053</v>
      </c>
      <c r="G3251" t="str">
        <f>"WAGE WORKS - FSA &amp; HRA FEES"</f>
        <v>WAGE WORKS - FSA &amp; HRA FEES</v>
      </c>
      <c r="H3251">
        <v>537.95000000000005</v>
      </c>
      <c r="I3251" t="str">
        <f t="shared" ref="I3251:I3292" si="54">"WAGE WORKS - FSA &amp; HRA FEES"</f>
        <v>WAGE WORKS - FSA &amp; HRA FEES</v>
      </c>
    </row>
    <row r="3252" spans="1:9" x14ac:dyDescent="0.3">
      <c r="A3252" t="str">
        <f>""</f>
        <v/>
      </c>
      <c r="F3252" t="str">
        <f>""</f>
        <v/>
      </c>
      <c r="G3252" t="str">
        <f>""</f>
        <v/>
      </c>
      <c r="I3252" t="str">
        <f t="shared" si="54"/>
        <v>WAGE WORKS - FSA &amp; HRA FEES</v>
      </c>
    </row>
    <row r="3253" spans="1:9" x14ac:dyDescent="0.3">
      <c r="A3253" t="str">
        <f>""</f>
        <v/>
      </c>
      <c r="F3253" t="str">
        <f>""</f>
        <v/>
      </c>
      <c r="G3253" t="str">
        <f>""</f>
        <v/>
      </c>
      <c r="I3253" t="str">
        <f t="shared" si="54"/>
        <v>WAGE WORKS - FSA &amp; HRA FEES</v>
      </c>
    </row>
    <row r="3254" spans="1:9" x14ac:dyDescent="0.3">
      <c r="A3254" t="str">
        <f>""</f>
        <v/>
      </c>
      <c r="F3254" t="str">
        <f>""</f>
        <v/>
      </c>
      <c r="G3254" t="str">
        <f>""</f>
        <v/>
      </c>
      <c r="I3254" t="str">
        <f t="shared" si="54"/>
        <v>WAGE WORKS - FSA &amp; HRA FEES</v>
      </c>
    </row>
    <row r="3255" spans="1:9" x14ac:dyDescent="0.3">
      <c r="A3255" t="str">
        <f>""</f>
        <v/>
      </c>
      <c r="F3255" t="str">
        <f>""</f>
        <v/>
      </c>
      <c r="G3255" t="str">
        <f>""</f>
        <v/>
      </c>
      <c r="I3255" t="str">
        <f t="shared" si="54"/>
        <v>WAGE WORKS - FSA &amp; HRA FEES</v>
      </c>
    </row>
    <row r="3256" spans="1:9" x14ac:dyDescent="0.3">
      <c r="A3256" t="str">
        <f>""</f>
        <v/>
      </c>
      <c r="F3256" t="str">
        <f>""</f>
        <v/>
      </c>
      <c r="G3256" t="str">
        <f>""</f>
        <v/>
      </c>
      <c r="I3256" t="str">
        <f t="shared" si="54"/>
        <v>WAGE WORKS - FSA &amp; HRA FEES</v>
      </c>
    </row>
    <row r="3257" spans="1:9" x14ac:dyDescent="0.3">
      <c r="A3257" t="str">
        <f>""</f>
        <v/>
      </c>
      <c r="F3257" t="str">
        <f>""</f>
        <v/>
      </c>
      <c r="G3257" t="str">
        <f>""</f>
        <v/>
      </c>
      <c r="I3257" t="str">
        <f t="shared" si="54"/>
        <v>WAGE WORKS - FSA &amp; HRA FEES</v>
      </c>
    </row>
    <row r="3258" spans="1:9" x14ac:dyDescent="0.3">
      <c r="A3258" t="str">
        <f>""</f>
        <v/>
      </c>
      <c r="F3258" t="str">
        <f>""</f>
        <v/>
      </c>
      <c r="G3258" t="str">
        <f>""</f>
        <v/>
      </c>
      <c r="I3258" t="str">
        <f t="shared" si="54"/>
        <v>WAGE WORKS - FSA &amp; HRA FEES</v>
      </c>
    </row>
    <row r="3259" spans="1:9" x14ac:dyDescent="0.3">
      <c r="A3259" t="str">
        <f>""</f>
        <v/>
      </c>
      <c r="F3259" t="str">
        <f>""</f>
        <v/>
      </c>
      <c r="G3259" t="str">
        <f>""</f>
        <v/>
      </c>
      <c r="I3259" t="str">
        <f t="shared" si="54"/>
        <v>WAGE WORKS - FSA &amp; HRA FEES</v>
      </c>
    </row>
    <row r="3260" spans="1:9" x14ac:dyDescent="0.3">
      <c r="A3260" t="str">
        <f>""</f>
        <v/>
      </c>
      <c r="F3260" t="str">
        <f>""</f>
        <v/>
      </c>
      <c r="G3260" t="str">
        <f>""</f>
        <v/>
      </c>
      <c r="I3260" t="str">
        <f t="shared" si="54"/>
        <v>WAGE WORKS - FSA &amp; HRA FEES</v>
      </c>
    </row>
    <row r="3261" spans="1:9" x14ac:dyDescent="0.3">
      <c r="A3261" t="str">
        <f>""</f>
        <v/>
      </c>
      <c r="F3261" t="str">
        <f>""</f>
        <v/>
      </c>
      <c r="G3261" t="str">
        <f>""</f>
        <v/>
      </c>
      <c r="I3261" t="str">
        <f t="shared" si="54"/>
        <v>WAGE WORKS - FSA &amp; HRA FEES</v>
      </c>
    </row>
    <row r="3262" spans="1:9" x14ac:dyDescent="0.3">
      <c r="A3262" t="str">
        <f>""</f>
        <v/>
      </c>
      <c r="F3262" t="str">
        <f>""</f>
        <v/>
      </c>
      <c r="G3262" t="str">
        <f>""</f>
        <v/>
      </c>
      <c r="I3262" t="str">
        <f t="shared" si="54"/>
        <v>WAGE WORKS - FSA &amp; HRA FEES</v>
      </c>
    </row>
    <row r="3263" spans="1:9" x14ac:dyDescent="0.3">
      <c r="A3263" t="str">
        <f>""</f>
        <v/>
      </c>
      <c r="F3263" t="str">
        <f>""</f>
        <v/>
      </c>
      <c r="G3263" t="str">
        <f>""</f>
        <v/>
      </c>
      <c r="I3263" t="str">
        <f t="shared" si="54"/>
        <v>WAGE WORKS - FSA &amp; HRA FEES</v>
      </c>
    </row>
    <row r="3264" spans="1:9" x14ac:dyDescent="0.3">
      <c r="A3264" t="str">
        <f>""</f>
        <v/>
      </c>
      <c r="F3264" t="str">
        <f>""</f>
        <v/>
      </c>
      <c r="G3264" t="str">
        <f>""</f>
        <v/>
      </c>
      <c r="I3264" t="str">
        <f t="shared" si="54"/>
        <v>WAGE WORKS - FSA &amp; HRA FEES</v>
      </c>
    </row>
    <row r="3265" spans="1:9" x14ac:dyDescent="0.3">
      <c r="A3265" t="str">
        <f>""</f>
        <v/>
      </c>
      <c r="F3265" t="str">
        <f>""</f>
        <v/>
      </c>
      <c r="G3265" t="str">
        <f>""</f>
        <v/>
      </c>
      <c r="I3265" t="str">
        <f t="shared" si="54"/>
        <v>WAGE WORKS - FSA &amp; HRA FEES</v>
      </c>
    </row>
    <row r="3266" spans="1:9" x14ac:dyDescent="0.3">
      <c r="A3266" t="str">
        <f>""</f>
        <v/>
      </c>
      <c r="F3266" t="str">
        <f>""</f>
        <v/>
      </c>
      <c r="G3266" t="str">
        <f>""</f>
        <v/>
      </c>
      <c r="I3266" t="str">
        <f t="shared" si="54"/>
        <v>WAGE WORKS - FSA &amp; HRA FEES</v>
      </c>
    </row>
    <row r="3267" spans="1:9" x14ac:dyDescent="0.3">
      <c r="A3267" t="str">
        <f>""</f>
        <v/>
      </c>
      <c r="F3267" t="str">
        <f>""</f>
        <v/>
      </c>
      <c r="G3267" t="str">
        <f>""</f>
        <v/>
      </c>
      <c r="I3267" t="str">
        <f t="shared" si="54"/>
        <v>WAGE WORKS - FSA &amp; HRA FEES</v>
      </c>
    </row>
    <row r="3268" spans="1:9" x14ac:dyDescent="0.3">
      <c r="A3268" t="str">
        <f>""</f>
        <v/>
      </c>
      <c r="F3268" t="str">
        <f>""</f>
        <v/>
      </c>
      <c r="G3268" t="str">
        <f>""</f>
        <v/>
      </c>
      <c r="I3268" t="str">
        <f t="shared" si="54"/>
        <v>WAGE WORKS - FSA &amp; HRA FEES</v>
      </c>
    </row>
    <row r="3269" spans="1:9" x14ac:dyDescent="0.3">
      <c r="A3269" t="str">
        <f>""</f>
        <v/>
      </c>
      <c r="F3269" t="str">
        <f>""</f>
        <v/>
      </c>
      <c r="G3269" t="str">
        <f>""</f>
        <v/>
      </c>
      <c r="I3269" t="str">
        <f t="shared" si="54"/>
        <v>WAGE WORKS - FSA &amp; HRA FEES</v>
      </c>
    </row>
    <row r="3270" spans="1:9" x14ac:dyDescent="0.3">
      <c r="A3270" t="str">
        <f>""</f>
        <v/>
      </c>
      <c r="F3270" t="str">
        <f>""</f>
        <v/>
      </c>
      <c r="G3270" t="str">
        <f>""</f>
        <v/>
      </c>
      <c r="I3270" t="str">
        <f t="shared" si="54"/>
        <v>WAGE WORKS - FSA &amp; HRA FEES</v>
      </c>
    </row>
    <row r="3271" spans="1:9" x14ac:dyDescent="0.3">
      <c r="A3271" t="str">
        <f>""</f>
        <v/>
      </c>
      <c r="F3271" t="str">
        <f>""</f>
        <v/>
      </c>
      <c r="G3271" t="str">
        <f>""</f>
        <v/>
      </c>
      <c r="I3271" t="str">
        <f t="shared" si="54"/>
        <v>WAGE WORKS - FSA &amp; HRA FEES</v>
      </c>
    </row>
    <row r="3272" spans="1:9" x14ac:dyDescent="0.3">
      <c r="A3272" t="str">
        <f>""</f>
        <v/>
      </c>
      <c r="F3272" t="str">
        <f>""</f>
        <v/>
      </c>
      <c r="G3272" t="str">
        <f>""</f>
        <v/>
      </c>
      <c r="I3272" t="str">
        <f t="shared" si="54"/>
        <v>WAGE WORKS - FSA &amp; HRA FEES</v>
      </c>
    </row>
    <row r="3273" spans="1:9" x14ac:dyDescent="0.3">
      <c r="A3273" t="str">
        <f>""</f>
        <v/>
      </c>
      <c r="F3273" t="str">
        <f>""</f>
        <v/>
      </c>
      <c r="G3273" t="str">
        <f>""</f>
        <v/>
      </c>
      <c r="I3273" t="str">
        <f t="shared" si="54"/>
        <v>WAGE WORKS - FSA &amp; HRA FEES</v>
      </c>
    </row>
    <row r="3274" spans="1:9" x14ac:dyDescent="0.3">
      <c r="A3274" t="str">
        <f>""</f>
        <v/>
      </c>
      <c r="F3274" t="str">
        <f>""</f>
        <v/>
      </c>
      <c r="G3274" t="str">
        <f>""</f>
        <v/>
      </c>
      <c r="I3274" t="str">
        <f t="shared" si="54"/>
        <v>WAGE WORKS - FSA &amp; HRA FEES</v>
      </c>
    </row>
    <row r="3275" spans="1:9" x14ac:dyDescent="0.3">
      <c r="A3275" t="str">
        <f>""</f>
        <v/>
      </c>
      <c r="F3275" t="str">
        <f>""</f>
        <v/>
      </c>
      <c r="G3275" t="str">
        <f>""</f>
        <v/>
      </c>
      <c r="I3275" t="str">
        <f t="shared" si="54"/>
        <v>WAGE WORKS - FSA &amp; HRA FEES</v>
      </c>
    </row>
    <row r="3276" spans="1:9" x14ac:dyDescent="0.3">
      <c r="A3276" t="str">
        <f>""</f>
        <v/>
      </c>
      <c r="F3276" t="str">
        <f>""</f>
        <v/>
      </c>
      <c r="G3276" t="str">
        <f>""</f>
        <v/>
      </c>
      <c r="I3276" t="str">
        <f t="shared" si="54"/>
        <v>WAGE WORKS - FSA &amp; HRA FEES</v>
      </c>
    </row>
    <row r="3277" spans="1:9" x14ac:dyDescent="0.3">
      <c r="A3277" t="str">
        <f>""</f>
        <v/>
      </c>
      <c r="F3277" t="str">
        <f>""</f>
        <v/>
      </c>
      <c r="G3277" t="str">
        <f>""</f>
        <v/>
      </c>
      <c r="I3277" t="str">
        <f t="shared" si="54"/>
        <v>WAGE WORKS - FSA &amp; HRA FEES</v>
      </c>
    </row>
    <row r="3278" spans="1:9" x14ac:dyDescent="0.3">
      <c r="A3278" t="str">
        <f>""</f>
        <v/>
      </c>
      <c r="F3278" t="str">
        <f>""</f>
        <v/>
      </c>
      <c r="G3278" t="str">
        <f>""</f>
        <v/>
      </c>
      <c r="I3278" t="str">
        <f t="shared" si="54"/>
        <v>WAGE WORKS - FSA &amp; HRA FEES</v>
      </c>
    </row>
    <row r="3279" spans="1:9" x14ac:dyDescent="0.3">
      <c r="A3279" t="str">
        <f>""</f>
        <v/>
      </c>
      <c r="F3279" t="str">
        <f>""</f>
        <v/>
      </c>
      <c r="G3279" t="str">
        <f>""</f>
        <v/>
      </c>
      <c r="I3279" t="str">
        <f t="shared" si="54"/>
        <v>WAGE WORKS - FSA &amp; HRA FEES</v>
      </c>
    </row>
    <row r="3280" spans="1:9" x14ac:dyDescent="0.3">
      <c r="A3280" t="str">
        <f>""</f>
        <v/>
      </c>
      <c r="F3280" t="str">
        <f>""</f>
        <v/>
      </c>
      <c r="G3280" t="str">
        <f>""</f>
        <v/>
      </c>
      <c r="I3280" t="str">
        <f t="shared" si="54"/>
        <v>WAGE WORKS - FSA &amp; HRA FEES</v>
      </c>
    </row>
    <row r="3281" spans="1:9" x14ac:dyDescent="0.3">
      <c r="A3281" t="str">
        <f>""</f>
        <v/>
      </c>
      <c r="F3281" t="str">
        <f>""</f>
        <v/>
      </c>
      <c r="G3281" t="str">
        <f>""</f>
        <v/>
      </c>
      <c r="I3281" t="str">
        <f t="shared" si="54"/>
        <v>WAGE WORKS - FSA &amp; HRA FEES</v>
      </c>
    </row>
    <row r="3282" spans="1:9" x14ac:dyDescent="0.3">
      <c r="A3282" t="str">
        <f>""</f>
        <v/>
      </c>
      <c r="F3282" t="str">
        <f>""</f>
        <v/>
      </c>
      <c r="G3282" t="str">
        <f>""</f>
        <v/>
      </c>
      <c r="I3282" t="str">
        <f t="shared" si="54"/>
        <v>WAGE WORKS - FSA &amp; HRA FEES</v>
      </c>
    </row>
    <row r="3283" spans="1:9" x14ac:dyDescent="0.3">
      <c r="A3283" t="str">
        <f>""</f>
        <v/>
      </c>
      <c r="F3283" t="str">
        <f>""</f>
        <v/>
      </c>
      <c r="G3283" t="str">
        <f>""</f>
        <v/>
      </c>
      <c r="I3283" t="str">
        <f t="shared" si="54"/>
        <v>WAGE WORKS - FSA &amp; HRA FEES</v>
      </c>
    </row>
    <row r="3284" spans="1:9" x14ac:dyDescent="0.3">
      <c r="A3284" t="str">
        <f>""</f>
        <v/>
      </c>
      <c r="F3284" t="str">
        <f>""</f>
        <v/>
      </c>
      <c r="G3284" t="str">
        <f>""</f>
        <v/>
      </c>
      <c r="I3284" t="str">
        <f t="shared" si="54"/>
        <v>WAGE WORKS - FSA &amp; HRA FEES</v>
      </c>
    </row>
    <row r="3285" spans="1:9" x14ac:dyDescent="0.3">
      <c r="A3285" t="str">
        <f>""</f>
        <v/>
      </c>
      <c r="F3285" t="str">
        <f>""</f>
        <v/>
      </c>
      <c r="G3285" t="str">
        <f>""</f>
        <v/>
      </c>
      <c r="I3285" t="str">
        <f t="shared" si="54"/>
        <v>WAGE WORKS - FSA &amp; HRA FEES</v>
      </c>
    </row>
    <row r="3286" spans="1:9" x14ac:dyDescent="0.3">
      <c r="A3286" t="str">
        <f>""</f>
        <v/>
      </c>
      <c r="F3286" t="str">
        <f>""</f>
        <v/>
      </c>
      <c r="G3286" t="str">
        <f>""</f>
        <v/>
      </c>
      <c r="I3286" t="str">
        <f t="shared" si="54"/>
        <v>WAGE WORKS - FSA &amp; HRA FEES</v>
      </c>
    </row>
    <row r="3287" spans="1:9" x14ac:dyDescent="0.3">
      <c r="A3287" t="str">
        <f>""</f>
        <v/>
      </c>
      <c r="F3287" t="str">
        <f>""</f>
        <v/>
      </c>
      <c r="G3287" t="str">
        <f>""</f>
        <v/>
      </c>
      <c r="I3287" t="str">
        <f t="shared" si="54"/>
        <v>WAGE WORKS - FSA &amp; HRA FEES</v>
      </c>
    </row>
    <row r="3288" spans="1:9" x14ac:dyDescent="0.3">
      <c r="A3288" t="str">
        <f>""</f>
        <v/>
      </c>
      <c r="F3288" t="str">
        <f>""</f>
        <v/>
      </c>
      <c r="G3288" t="str">
        <f>""</f>
        <v/>
      </c>
      <c r="I3288" t="str">
        <f t="shared" si="54"/>
        <v>WAGE WORKS - FSA &amp; HRA FEES</v>
      </c>
    </row>
    <row r="3289" spans="1:9" x14ac:dyDescent="0.3">
      <c r="A3289" t="str">
        <f>""</f>
        <v/>
      </c>
      <c r="F3289" t="str">
        <f>""</f>
        <v/>
      </c>
      <c r="G3289" t="str">
        <f>""</f>
        <v/>
      </c>
      <c r="I3289" t="str">
        <f t="shared" si="54"/>
        <v>WAGE WORKS - FSA &amp; HRA FEES</v>
      </c>
    </row>
    <row r="3290" spans="1:9" x14ac:dyDescent="0.3">
      <c r="A3290" t="str">
        <f>""</f>
        <v/>
      </c>
      <c r="F3290" t="str">
        <f>""</f>
        <v/>
      </c>
      <c r="G3290" t="str">
        <f>""</f>
        <v/>
      </c>
      <c r="I3290" t="str">
        <f t="shared" si="54"/>
        <v>WAGE WORKS - FSA &amp; HRA FEES</v>
      </c>
    </row>
    <row r="3291" spans="1:9" x14ac:dyDescent="0.3">
      <c r="A3291" t="str">
        <f>""</f>
        <v/>
      </c>
      <c r="F3291" t="str">
        <f>""</f>
        <v/>
      </c>
      <c r="G3291" t="str">
        <f>""</f>
        <v/>
      </c>
      <c r="I3291" t="str">
        <f t="shared" si="54"/>
        <v>WAGE WORKS - FSA &amp; HRA FEES</v>
      </c>
    </row>
    <row r="3292" spans="1:9" x14ac:dyDescent="0.3">
      <c r="A3292" t="str">
        <f>""</f>
        <v/>
      </c>
      <c r="F3292" t="str">
        <f>"FSF201805161054"</f>
        <v>FSF201805161054</v>
      </c>
      <c r="G3292" t="str">
        <f>"WAGE WORKS - FSA &amp; HRA FEES"</f>
        <v>WAGE WORKS - FSA &amp; HRA FEES</v>
      </c>
      <c r="H3292">
        <v>25.97</v>
      </c>
      <c r="I3292" t="str">
        <f t="shared" si="54"/>
        <v>WAGE WORKS - FSA &amp; HRA FEES</v>
      </c>
    </row>
    <row r="3293" spans="1:9" x14ac:dyDescent="0.3">
      <c r="A3293" t="str">
        <f>""</f>
        <v/>
      </c>
      <c r="F3293" t="str">
        <f>"FSO201805161053"</f>
        <v>FSO201805161053</v>
      </c>
      <c r="G3293" t="str">
        <f>"WAGE WORKS - FSA FEES"</f>
        <v>WAGE WORKS - FSA FEES</v>
      </c>
      <c r="H3293">
        <v>13.02</v>
      </c>
      <c r="I3293" t="str">
        <f t="shared" ref="I3293:I3301" si="55">"WAGE WORKS - FSA FEES"</f>
        <v>WAGE WORKS - FSA FEES</v>
      </c>
    </row>
    <row r="3294" spans="1:9" x14ac:dyDescent="0.3">
      <c r="A3294" t="str">
        <f>""</f>
        <v/>
      </c>
      <c r="F3294" t="str">
        <f>""</f>
        <v/>
      </c>
      <c r="G3294" t="str">
        <f>""</f>
        <v/>
      </c>
      <c r="I3294" t="str">
        <f t="shared" si="55"/>
        <v>WAGE WORKS - FSA FEES</v>
      </c>
    </row>
    <row r="3295" spans="1:9" x14ac:dyDescent="0.3">
      <c r="A3295" t="str">
        <f>""</f>
        <v/>
      </c>
      <c r="F3295" t="str">
        <f>""</f>
        <v/>
      </c>
      <c r="G3295" t="str">
        <f>""</f>
        <v/>
      </c>
      <c r="I3295" t="str">
        <f t="shared" si="55"/>
        <v>WAGE WORKS - FSA FEES</v>
      </c>
    </row>
    <row r="3296" spans="1:9" x14ac:dyDescent="0.3">
      <c r="A3296" t="str">
        <f>""</f>
        <v/>
      </c>
      <c r="F3296" t="str">
        <f>""</f>
        <v/>
      </c>
      <c r="G3296" t="str">
        <f>""</f>
        <v/>
      </c>
      <c r="I3296" t="str">
        <f t="shared" si="55"/>
        <v>WAGE WORKS - FSA FEES</v>
      </c>
    </row>
    <row r="3297" spans="1:9" x14ac:dyDescent="0.3">
      <c r="A3297" t="str">
        <f>""</f>
        <v/>
      </c>
      <c r="F3297" t="str">
        <f>""</f>
        <v/>
      </c>
      <c r="G3297" t="str">
        <f>""</f>
        <v/>
      </c>
      <c r="I3297" t="str">
        <f t="shared" si="55"/>
        <v>WAGE WORKS - FSA FEES</v>
      </c>
    </row>
    <row r="3298" spans="1:9" x14ac:dyDescent="0.3">
      <c r="A3298" t="str">
        <f>""</f>
        <v/>
      </c>
      <c r="F3298" t="str">
        <f>""</f>
        <v/>
      </c>
      <c r="G3298" t="str">
        <f>""</f>
        <v/>
      </c>
      <c r="I3298" t="str">
        <f t="shared" si="55"/>
        <v>WAGE WORKS - FSA FEES</v>
      </c>
    </row>
    <row r="3299" spans="1:9" x14ac:dyDescent="0.3">
      <c r="A3299" t="str">
        <f>""</f>
        <v/>
      </c>
      <c r="F3299" t="str">
        <f>""</f>
        <v/>
      </c>
      <c r="G3299" t="str">
        <f>""</f>
        <v/>
      </c>
      <c r="I3299" t="str">
        <f t="shared" si="55"/>
        <v>WAGE WORKS - FSA FEES</v>
      </c>
    </row>
    <row r="3300" spans="1:9" x14ac:dyDescent="0.3">
      <c r="A3300" t="str">
        <f>""</f>
        <v/>
      </c>
      <c r="F3300" t="str">
        <f>""</f>
        <v/>
      </c>
      <c r="G3300" t="str">
        <f>""</f>
        <v/>
      </c>
      <c r="I3300" t="str">
        <f t="shared" si="55"/>
        <v>WAGE WORKS - FSA FEES</v>
      </c>
    </row>
    <row r="3301" spans="1:9" x14ac:dyDescent="0.3">
      <c r="A3301" t="str">
        <f>""</f>
        <v/>
      </c>
      <c r="F3301" t="str">
        <f>"FSO201805161054"</f>
        <v>FSO201805161054</v>
      </c>
      <c r="G3301" t="str">
        <f>"WAGE WORKS - FSA FEES"</f>
        <v>WAGE WORKS - FSA FEES</v>
      </c>
      <c r="H3301">
        <v>1.86</v>
      </c>
      <c r="I3301" t="str">
        <f t="shared" si="55"/>
        <v>WAGE WORKS - FSA FEES</v>
      </c>
    </row>
    <row r="3302" spans="1:9" x14ac:dyDescent="0.3">
      <c r="A3302" t="str">
        <f>""</f>
        <v/>
      </c>
      <c r="F3302" t="str">
        <f>"HRF201805161053"</f>
        <v>HRF201805161053</v>
      </c>
      <c r="G3302" t="str">
        <f>"WAGE WORKS - HRA FEES"</f>
        <v>WAGE WORKS - HRA FEES</v>
      </c>
      <c r="H3302">
        <v>500.34</v>
      </c>
      <c r="I3302" t="str">
        <f t="shared" ref="I3302:I3341" si="56">"WAGE WORKS - HRA FEES"</f>
        <v>WAGE WORKS - HRA FEES</v>
      </c>
    </row>
    <row r="3303" spans="1:9" x14ac:dyDescent="0.3">
      <c r="A3303" t="str">
        <f>""</f>
        <v/>
      </c>
      <c r="F3303" t="str">
        <f>""</f>
        <v/>
      </c>
      <c r="G3303" t="str">
        <f>""</f>
        <v/>
      </c>
      <c r="I3303" t="str">
        <f t="shared" si="56"/>
        <v>WAGE WORKS - HRA FEES</v>
      </c>
    </row>
    <row r="3304" spans="1:9" x14ac:dyDescent="0.3">
      <c r="A3304" t="str">
        <f>""</f>
        <v/>
      </c>
      <c r="F3304" t="str">
        <f>""</f>
        <v/>
      </c>
      <c r="G3304" t="str">
        <f>""</f>
        <v/>
      </c>
      <c r="I3304" t="str">
        <f t="shared" si="56"/>
        <v>WAGE WORKS - HRA FEES</v>
      </c>
    </row>
    <row r="3305" spans="1:9" x14ac:dyDescent="0.3">
      <c r="A3305" t="str">
        <f>""</f>
        <v/>
      </c>
      <c r="F3305" t="str">
        <f>""</f>
        <v/>
      </c>
      <c r="G3305" t="str">
        <f>""</f>
        <v/>
      </c>
      <c r="I3305" t="str">
        <f t="shared" si="56"/>
        <v>WAGE WORKS - HRA FEES</v>
      </c>
    </row>
    <row r="3306" spans="1:9" x14ac:dyDescent="0.3">
      <c r="A3306" t="str">
        <f>""</f>
        <v/>
      </c>
      <c r="F3306" t="str">
        <f>""</f>
        <v/>
      </c>
      <c r="G3306" t="str">
        <f>""</f>
        <v/>
      </c>
      <c r="I3306" t="str">
        <f t="shared" si="56"/>
        <v>WAGE WORKS - HRA FEES</v>
      </c>
    </row>
    <row r="3307" spans="1:9" x14ac:dyDescent="0.3">
      <c r="A3307" t="str">
        <f>""</f>
        <v/>
      </c>
      <c r="F3307" t="str">
        <f>""</f>
        <v/>
      </c>
      <c r="G3307" t="str">
        <f>""</f>
        <v/>
      </c>
      <c r="I3307" t="str">
        <f t="shared" si="56"/>
        <v>WAGE WORKS - HRA FEES</v>
      </c>
    </row>
    <row r="3308" spans="1:9" x14ac:dyDescent="0.3">
      <c r="A3308" t="str">
        <f>""</f>
        <v/>
      </c>
      <c r="F3308" t="str">
        <f>""</f>
        <v/>
      </c>
      <c r="G3308" t="str">
        <f>""</f>
        <v/>
      </c>
      <c r="I3308" t="str">
        <f t="shared" si="56"/>
        <v>WAGE WORKS - HRA FEES</v>
      </c>
    </row>
    <row r="3309" spans="1:9" x14ac:dyDescent="0.3">
      <c r="A3309" t="str">
        <f>""</f>
        <v/>
      </c>
      <c r="F3309" t="str">
        <f>""</f>
        <v/>
      </c>
      <c r="G3309" t="str">
        <f>""</f>
        <v/>
      </c>
      <c r="I3309" t="str">
        <f t="shared" si="56"/>
        <v>WAGE WORKS - HRA FEES</v>
      </c>
    </row>
    <row r="3310" spans="1:9" x14ac:dyDescent="0.3">
      <c r="A3310" t="str">
        <f>""</f>
        <v/>
      </c>
      <c r="F3310" t="str">
        <f>""</f>
        <v/>
      </c>
      <c r="G3310" t="str">
        <f>""</f>
        <v/>
      </c>
      <c r="I3310" t="str">
        <f t="shared" si="56"/>
        <v>WAGE WORKS - HRA FEES</v>
      </c>
    </row>
    <row r="3311" spans="1:9" x14ac:dyDescent="0.3">
      <c r="A3311" t="str">
        <f>""</f>
        <v/>
      </c>
      <c r="F3311" t="str">
        <f>""</f>
        <v/>
      </c>
      <c r="G3311" t="str">
        <f>""</f>
        <v/>
      </c>
      <c r="I3311" t="str">
        <f t="shared" si="56"/>
        <v>WAGE WORKS - HRA FEES</v>
      </c>
    </row>
    <row r="3312" spans="1:9" x14ac:dyDescent="0.3">
      <c r="A3312" t="str">
        <f>""</f>
        <v/>
      </c>
      <c r="F3312" t="str">
        <f>""</f>
        <v/>
      </c>
      <c r="G3312" t="str">
        <f>""</f>
        <v/>
      </c>
      <c r="I3312" t="str">
        <f t="shared" si="56"/>
        <v>WAGE WORKS - HRA FEES</v>
      </c>
    </row>
    <row r="3313" spans="1:9" x14ac:dyDescent="0.3">
      <c r="A3313" t="str">
        <f>""</f>
        <v/>
      </c>
      <c r="F3313" t="str">
        <f>""</f>
        <v/>
      </c>
      <c r="G3313" t="str">
        <f>""</f>
        <v/>
      </c>
      <c r="I3313" t="str">
        <f t="shared" si="56"/>
        <v>WAGE WORKS - HRA FEES</v>
      </c>
    </row>
    <row r="3314" spans="1:9" x14ac:dyDescent="0.3">
      <c r="A3314" t="str">
        <f>""</f>
        <v/>
      </c>
      <c r="F3314" t="str">
        <f>""</f>
        <v/>
      </c>
      <c r="G3314" t="str">
        <f>""</f>
        <v/>
      </c>
      <c r="I3314" t="str">
        <f t="shared" si="56"/>
        <v>WAGE WORKS - HRA FEES</v>
      </c>
    </row>
    <row r="3315" spans="1:9" x14ac:dyDescent="0.3">
      <c r="A3315" t="str">
        <f>""</f>
        <v/>
      </c>
      <c r="F3315" t="str">
        <f>""</f>
        <v/>
      </c>
      <c r="G3315" t="str">
        <f>""</f>
        <v/>
      </c>
      <c r="I3315" t="str">
        <f t="shared" si="56"/>
        <v>WAGE WORKS - HRA FEES</v>
      </c>
    </row>
    <row r="3316" spans="1:9" x14ac:dyDescent="0.3">
      <c r="A3316" t="str">
        <f>""</f>
        <v/>
      </c>
      <c r="F3316" t="str">
        <f>""</f>
        <v/>
      </c>
      <c r="G3316" t="str">
        <f>""</f>
        <v/>
      </c>
      <c r="I3316" t="str">
        <f t="shared" si="56"/>
        <v>WAGE WORKS - HRA FEES</v>
      </c>
    </row>
    <row r="3317" spans="1:9" x14ac:dyDescent="0.3">
      <c r="A3317" t="str">
        <f>""</f>
        <v/>
      </c>
      <c r="F3317" t="str">
        <f>""</f>
        <v/>
      </c>
      <c r="G3317" t="str">
        <f>""</f>
        <v/>
      </c>
      <c r="I3317" t="str">
        <f t="shared" si="56"/>
        <v>WAGE WORKS - HRA FEES</v>
      </c>
    </row>
    <row r="3318" spans="1:9" x14ac:dyDescent="0.3">
      <c r="A3318" t="str">
        <f>""</f>
        <v/>
      </c>
      <c r="F3318" t="str">
        <f>""</f>
        <v/>
      </c>
      <c r="G3318" t="str">
        <f>""</f>
        <v/>
      </c>
      <c r="I3318" t="str">
        <f t="shared" si="56"/>
        <v>WAGE WORKS - HRA FEES</v>
      </c>
    </row>
    <row r="3319" spans="1:9" x14ac:dyDescent="0.3">
      <c r="A3319" t="str">
        <f>""</f>
        <v/>
      </c>
      <c r="F3319" t="str">
        <f>""</f>
        <v/>
      </c>
      <c r="G3319" t="str">
        <f>""</f>
        <v/>
      </c>
      <c r="I3319" t="str">
        <f t="shared" si="56"/>
        <v>WAGE WORKS - HRA FEES</v>
      </c>
    </row>
    <row r="3320" spans="1:9" x14ac:dyDescent="0.3">
      <c r="A3320" t="str">
        <f>""</f>
        <v/>
      </c>
      <c r="F3320" t="str">
        <f>""</f>
        <v/>
      </c>
      <c r="G3320" t="str">
        <f>""</f>
        <v/>
      </c>
      <c r="I3320" t="str">
        <f t="shared" si="56"/>
        <v>WAGE WORKS - HRA FEES</v>
      </c>
    </row>
    <row r="3321" spans="1:9" x14ac:dyDescent="0.3">
      <c r="A3321" t="str">
        <f>""</f>
        <v/>
      </c>
      <c r="F3321" t="str">
        <f>""</f>
        <v/>
      </c>
      <c r="G3321" t="str">
        <f>""</f>
        <v/>
      </c>
      <c r="I3321" t="str">
        <f t="shared" si="56"/>
        <v>WAGE WORKS - HRA FEES</v>
      </c>
    </row>
    <row r="3322" spans="1:9" x14ac:dyDescent="0.3">
      <c r="A3322" t="str">
        <f>""</f>
        <v/>
      </c>
      <c r="F3322" t="str">
        <f>""</f>
        <v/>
      </c>
      <c r="G3322" t="str">
        <f>""</f>
        <v/>
      </c>
      <c r="I3322" t="str">
        <f t="shared" si="56"/>
        <v>WAGE WORKS - HRA FEES</v>
      </c>
    </row>
    <row r="3323" spans="1:9" x14ac:dyDescent="0.3">
      <c r="A3323" t="str">
        <f>""</f>
        <v/>
      </c>
      <c r="F3323" t="str">
        <f>""</f>
        <v/>
      </c>
      <c r="G3323" t="str">
        <f>""</f>
        <v/>
      </c>
      <c r="I3323" t="str">
        <f t="shared" si="56"/>
        <v>WAGE WORKS - HRA FEES</v>
      </c>
    </row>
    <row r="3324" spans="1:9" x14ac:dyDescent="0.3">
      <c r="A3324" t="str">
        <f>""</f>
        <v/>
      </c>
      <c r="F3324" t="str">
        <f>""</f>
        <v/>
      </c>
      <c r="G3324" t="str">
        <f>""</f>
        <v/>
      </c>
      <c r="I3324" t="str">
        <f t="shared" si="56"/>
        <v>WAGE WORKS - HRA FEES</v>
      </c>
    </row>
    <row r="3325" spans="1:9" x14ac:dyDescent="0.3">
      <c r="A3325" t="str">
        <f>""</f>
        <v/>
      </c>
      <c r="F3325" t="str">
        <f>""</f>
        <v/>
      </c>
      <c r="G3325" t="str">
        <f>""</f>
        <v/>
      </c>
      <c r="I3325" t="str">
        <f t="shared" si="56"/>
        <v>WAGE WORKS - HRA FEES</v>
      </c>
    </row>
    <row r="3326" spans="1:9" x14ac:dyDescent="0.3">
      <c r="A3326" t="str">
        <f>""</f>
        <v/>
      </c>
      <c r="F3326" t="str">
        <f>""</f>
        <v/>
      </c>
      <c r="G3326" t="str">
        <f>""</f>
        <v/>
      </c>
      <c r="I3326" t="str">
        <f t="shared" si="56"/>
        <v>WAGE WORKS - HRA FEES</v>
      </c>
    </row>
    <row r="3327" spans="1:9" x14ac:dyDescent="0.3">
      <c r="A3327" t="str">
        <f>""</f>
        <v/>
      </c>
      <c r="F3327" t="str">
        <f>""</f>
        <v/>
      </c>
      <c r="G3327" t="str">
        <f>""</f>
        <v/>
      </c>
      <c r="I3327" t="str">
        <f t="shared" si="56"/>
        <v>WAGE WORKS - HRA FEES</v>
      </c>
    </row>
    <row r="3328" spans="1:9" x14ac:dyDescent="0.3">
      <c r="A3328" t="str">
        <f>""</f>
        <v/>
      </c>
      <c r="F3328" t="str">
        <f>""</f>
        <v/>
      </c>
      <c r="G3328" t="str">
        <f>""</f>
        <v/>
      </c>
      <c r="I3328" t="str">
        <f t="shared" si="56"/>
        <v>WAGE WORKS - HRA FEES</v>
      </c>
    </row>
    <row r="3329" spans="1:9" x14ac:dyDescent="0.3">
      <c r="A3329" t="str">
        <f>""</f>
        <v/>
      </c>
      <c r="F3329" t="str">
        <f>""</f>
        <v/>
      </c>
      <c r="G3329" t="str">
        <f>""</f>
        <v/>
      </c>
      <c r="I3329" t="str">
        <f t="shared" si="56"/>
        <v>WAGE WORKS - HRA FEES</v>
      </c>
    </row>
    <row r="3330" spans="1:9" x14ac:dyDescent="0.3">
      <c r="A3330" t="str">
        <f>""</f>
        <v/>
      </c>
      <c r="F3330" t="str">
        <f>""</f>
        <v/>
      </c>
      <c r="G3330" t="str">
        <f>""</f>
        <v/>
      </c>
      <c r="I3330" t="str">
        <f t="shared" si="56"/>
        <v>WAGE WORKS - HRA FEES</v>
      </c>
    </row>
    <row r="3331" spans="1:9" x14ac:dyDescent="0.3">
      <c r="A3331" t="str">
        <f>""</f>
        <v/>
      </c>
      <c r="F3331" t="str">
        <f>""</f>
        <v/>
      </c>
      <c r="G3331" t="str">
        <f>""</f>
        <v/>
      </c>
      <c r="I3331" t="str">
        <f t="shared" si="56"/>
        <v>WAGE WORKS - HRA FEES</v>
      </c>
    </row>
    <row r="3332" spans="1:9" x14ac:dyDescent="0.3">
      <c r="A3332" t="str">
        <f>""</f>
        <v/>
      </c>
      <c r="F3332" t="str">
        <f>""</f>
        <v/>
      </c>
      <c r="G3332" t="str">
        <f>""</f>
        <v/>
      </c>
      <c r="I3332" t="str">
        <f t="shared" si="56"/>
        <v>WAGE WORKS - HRA FEES</v>
      </c>
    </row>
    <row r="3333" spans="1:9" x14ac:dyDescent="0.3">
      <c r="A3333" t="str">
        <f>""</f>
        <v/>
      </c>
      <c r="F3333" t="str">
        <f>""</f>
        <v/>
      </c>
      <c r="G3333" t="str">
        <f>""</f>
        <v/>
      </c>
      <c r="I3333" t="str">
        <f t="shared" si="56"/>
        <v>WAGE WORKS - HRA FEES</v>
      </c>
    </row>
    <row r="3334" spans="1:9" x14ac:dyDescent="0.3">
      <c r="A3334" t="str">
        <f>""</f>
        <v/>
      </c>
      <c r="F3334" t="str">
        <f>""</f>
        <v/>
      </c>
      <c r="G3334" t="str">
        <f>""</f>
        <v/>
      </c>
      <c r="I3334" t="str">
        <f t="shared" si="56"/>
        <v>WAGE WORKS - HRA FEES</v>
      </c>
    </row>
    <row r="3335" spans="1:9" x14ac:dyDescent="0.3">
      <c r="A3335" t="str">
        <f>""</f>
        <v/>
      </c>
      <c r="F3335" t="str">
        <f>""</f>
        <v/>
      </c>
      <c r="G3335" t="str">
        <f>""</f>
        <v/>
      </c>
      <c r="I3335" t="str">
        <f t="shared" si="56"/>
        <v>WAGE WORKS - HRA FEES</v>
      </c>
    </row>
    <row r="3336" spans="1:9" x14ac:dyDescent="0.3">
      <c r="A3336" t="str">
        <f>""</f>
        <v/>
      </c>
      <c r="F3336" t="str">
        <f>""</f>
        <v/>
      </c>
      <c r="G3336" t="str">
        <f>""</f>
        <v/>
      </c>
      <c r="I3336" t="str">
        <f t="shared" si="56"/>
        <v>WAGE WORKS - HRA FEES</v>
      </c>
    </row>
    <row r="3337" spans="1:9" x14ac:dyDescent="0.3">
      <c r="A3337" t="str">
        <f>""</f>
        <v/>
      </c>
      <c r="F3337" t="str">
        <f>""</f>
        <v/>
      </c>
      <c r="G3337" t="str">
        <f>""</f>
        <v/>
      </c>
      <c r="I3337" t="str">
        <f t="shared" si="56"/>
        <v>WAGE WORKS - HRA FEES</v>
      </c>
    </row>
    <row r="3338" spans="1:9" x14ac:dyDescent="0.3">
      <c r="A3338" t="str">
        <f>""</f>
        <v/>
      </c>
      <c r="F3338" t="str">
        <f>""</f>
        <v/>
      </c>
      <c r="G3338" t="str">
        <f>""</f>
        <v/>
      </c>
      <c r="I3338" t="str">
        <f t="shared" si="56"/>
        <v>WAGE WORKS - HRA FEES</v>
      </c>
    </row>
    <row r="3339" spans="1:9" x14ac:dyDescent="0.3">
      <c r="A3339" t="str">
        <f>""</f>
        <v/>
      </c>
      <c r="F3339" t="str">
        <f>""</f>
        <v/>
      </c>
      <c r="G3339" t="str">
        <f>""</f>
        <v/>
      </c>
      <c r="I3339" t="str">
        <f t="shared" si="56"/>
        <v>WAGE WORKS - HRA FEES</v>
      </c>
    </row>
    <row r="3340" spans="1:9" x14ac:dyDescent="0.3">
      <c r="A3340" t="str">
        <f>""</f>
        <v/>
      </c>
      <c r="F3340" t="str">
        <f>""</f>
        <v/>
      </c>
      <c r="G3340" t="str">
        <f>""</f>
        <v/>
      </c>
      <c r="I3340" t="str">
        <f t="shared" si="56"/>
        <v>WAGE WORKS - HRA FEES</v>
      </c>
    </row>
    <row r="3341" spans="1:9" x14ac:dyDescent="0.3">
      <c r="A3341" t="str">
        <f>""</f>
        <v/>
      </c>
      <c r="C3341" s="3" t="s">
        <v>582</v>
      </c>
      <c r="D3341" s="2">
        <f>SUM(D2:D3340)</f>
        <v>8483045.0900000017</v>
      </c>
      <c r="F3341" t="str">
        <f>"HRF201805161054"</f>
        <v>HRF201805161054</v>
      </c>
      <c r="G3341" t="str">
        <f>"WAGE WORKS - HRA FEES"</f>
        <v>WAGE WORKS - HRA FEES</v>
      </c>
      <c r="H3341">
        <v>16.739999999999998</v>
      </c>
      <c r="I3341" t="str">
        <f t="shared" si="56"/>
        <v>WAGE WORKS - HRA FEES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AP-CHK-RPT-20180629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Ingram</dc:creator>
  <cp:lastModifiedBy>Ingram, Laurie</cp:lastModifiedBy>
  <dcterms:created xsi:type="dcterms:W3CDTF">2018-06-29T15:03:57Z</dcterms:created>
  <dcterms:modified xsi:type="dcterms:W3CDTF">2018-06-29T15:11:44Z</dcterms:modified>
</cp:coreProperties>
</file>