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ystel.burton\Desktop\"/>
    </mc:Choice>
  </mc:AlternateContent>
  <bookViews>
    <workbookView xWindow="0" yWindow="60" windowWidth="22980" windowHeight="10845"/>
  </bookViews>
  <sheets>
    <sheet name="AP-CHK-RPT-20180430" sheetId="1" r:id="rId1"/>
  </sheets>
  <calcPr calcId="162913"/>
</workbook>
</file>

<file path=xl/calcChain.xml><?xml version="1.0" encoding="utf-8"?>
<calcChain xmlns="http://schemas.openxmlformats.org/spreadsheetml/2006/main">
  <c r="D3073" i="1" l="1"/>
  <c r="A2" i="1" l="1"/>
  <c r="F2" i="1"/>
  <c r="G2" i="1"/>
  <c r="I2" i="1"/>
  <c r="A3" i="1"/>
  <c r="F3" i="1"/>
  <c r="G3" i="1"/>
  <c r="I3" i="1"/>
  <c r="A4" i="1"/>
  <c r="F4" i="1"/>
  <c r="G4" i="1"/>
  <c r="I4" i="1"/>
  <c r="A5" i="1"/>
  <c r="F5" i="1"/>
  <c r="G5" i="1"/>
  <c r="I5" i="1"/>
  <c r="A6" i="1"/>
  <c r="F6" i="1"/>
  <c r="G6" i="1"/>
  <c r="I6" i="1"/>
  <c r="A7" i="1"/>
  <c r="F7" i="1"/>
  <c r="G7" i="1"/>
  <c r="I7" i="1"/>
  <c r="A8" i="1"/>
  <c r="F8" i="1"/>
  <c r="G8" i="1"/>
  <c r="I8" i="1"/>
  <c r="A9" i="1"/>
  <c r="F9" i="1"/>
  <c r="G9" i="1"/>
  <c r="I9" i="1"/>
  <c r="A10" i="1"/>
  <c r="F10" i="1"/>
  <c r="G10" i="1"/>
  <c r="I10" i="1"/>
  <c r="A11" i="1"/>
  <c r="F11" i="1"/>
  <c r="G11" i="1"/>
  <c r="I11" i="1"/>
  <c r="A12" i="1"/>
  <c r="F12" i="1"/>
  <c r="G12" i="1"/>
  <c r="I12" i="1"/>
  <c r="A13" i="1"/>
  <c r="F13" i="1"/>
  <c r="G13" i="1"/>
  <c r="I13" i="1"/>
  <c r="A14" i="1"/>
  <c r="F14" i="1"/>
  <c r="G14" i="1"/>
  <c r="I14" i="1"/>
  <c r="A15" i="1"/>
  <c r="F15" i="1"/>
  <c r="G15" i="1"/>
  <c r="I15" i="1"/>
  <c r="A16" i="1"/>
  <c r="F16" i="1"/>
  <c r="G16" i="1"/>
  <c r="I16" i="1"/>
  <c r="A17" i="1"/>
  <c r="F17" i="1"/>
  <c r="G17" i="1"/>
  <c r="I17" i="1"/>
  <c r="A18" i="1"/>
  <c r="F18" i="1"/>
  <c r="G18" i="1"/>
  <c r="I18" i="1"/>
  <c r="A19" i="1"/>
  <c r="F19" i="1"/>
  <c r="G19" i="1"/>
  <c r="I19" i="1"/>
  <c r="A20" i="1"/>
  <c r="F20" i="1"/>
  <c r="G20" i="1"/>
  <c r="I20" i="1"/>
  <c r="A21" i="1"/>
  <c r="F21" i="1"/>
  <c r="G21" i="1"/>
  <c r="I21" i="1"/>
  <c r="A22" i="1"/>
  <c r="F22" i="1"/>
  <c r="G22" i="1"/>
  <c r="I22" i="1"/>
  <c r="A23" i="1"/>
  <c r="F23" i="1"/>
  <c r="G23" i="1"/>
  <c r="I23" i="1"/>
  <c r="A24" i="1"/>
  <c r="F24" i="1"/>
  <c r="G24" i="1"/>
  <c r="I24" i="1"/>
  <c r="A25" i="1"/>
  <c r="F25" i="1"/>
  <c r="G25" i="1"/>
  <c r="I25" i="1"/>
  <c r="A26" i="1"/>
  <c r="F26" i="1"/>
  <c r="G26" i="1"/>
  <c r="I26" i="1"/>
  <c r="A27" i="1"/>
  <c r="F27" i="1"/>
  <c r="G27" i="1"/>
  <c r="I27" i="1"/>
  <c r="A28" i="1"/>
  <c r="F28" i="1"/>
  <c r="G28" i="1"/>
  <c r="I28" i="1"/>
  <c r="A29" i="1"/>
  <c r="F29" i="1"/>
  <c r="G29" i="1"/>
  <c r="I29" i="1"/>
  <c r="A30" i="1"/>
  <c r="F30" i="1"/>
  <c r="G30" i="1"/>
  <c r="I30" i="1"/>
  <c r="A31" i="1"/>
  <c r="F31" i="1"/>
  <c r="G31" i="1"/>
  <c r="I31" i="1"/>
  <c r="A32" i="1"/>
  <c r="F32" i="1"/>
  <c r="G32" i="1"/>
  <c r="I32" i="1"/>
  <c r="A33" i="1"/>
  <c r="F33" i="1"/>
  <c r="G33" i="1"/>
  <c r="I33" i="1"/>
  <c r="A34" i="1"/>
  <c r="F34" i="1"/>
  <c r="G34" i="1"/>
  <c r="I34" i="1"/>
  <c r="A35" i="1"/>
  <c r="F35" i="1"/>
  <c r="G35" i="1"/>
  <c r="I35" i="1"/>
  <c r="A36" i="1"/>
  <c r="F36" i="1"/>
  <c r="G36" i="1"/>
  <c r="I36" i="1"/>
  <c r="A37" i="1"/>
  <c r="F37" i="1"/>
  <c r="G37" i="1"/>
  <c r="I37" i="1"/>
  <c r="A38" i="1"/>
  <c r="F38" i="1"/>
  <c r="G38" i="1"/>
  <c r="I38" i="1"/>
  <c r="A39" i="1"/>
  <c r="F39" i="1"/>
  <c r="G39" i="1"/>
  <c r="I39" i="1"/>
  <c r="A40" i="1"/>
  <c r="F40" i="1"/>
  <c r="G40" i="1"/>
  <c r="I40" i="1"/>
  <c r="A41" i="1"/>
  <c r="F41" i="1"/>
  <c r="G41" i="1"/>
  <c r="I41" i="1"/>
  <c r="A42" i="1"/>
  <c r="F42" i="1"/>
  <c r="G42" i="1"/>
  <c r="I42" i="1"/>
  <c r="A43" i="1"/>
  <c r="F43" i="1"/>
  <c r="G43" i="1"/>
  <c r="I43" i="1"/>
  <c r="A44" i="1"/>
  <c r="F44" i="1"/>
  <c r="G44" i="1"/>
  <c r="I44" i="1"/>
  <c r="A45" i="1"/>
  <c r="F45" i="1"/>
  <c r="G45" i="1"/>
  <c r="I45" i="1"/>
  <c r="A46" i="1"/>
  <c r="F46" i="1"/>
  <c r="G46" i="1"/>
  <c r="I46" i="1"/>
  <c r="A47" i="1"/>
  <c r="F47" i="1"/>
  <c r="G47" i="1"/>
  <c r="I47" i="1"/>
  <c r="A48" i="1"/>
  <c r="F48" i="1"/>
  <c r="G48" i="1"/>
  <c r="I48" i="1"/>
  <c r="A49" i="1"/>
  <c r="F49" i="1"/>
  <c r="G49" i="1"/>
  <c r="I49" i="1"/>
  <c r="A50" i="1"/>
  <c r="F50" i="1"/>
  <c r="G50" i="1"/>
  <c r="I50" i="1"/>
  <c r="A51" i="1"/>
  <c r="F51" i="1"/>
  <c r="G51" i="1"/>
  <c r="I51" i="1"/>
  <c r="A52" i="1"/>
  <c r="F52" i="1"/>
  <c r="G52" i="1"/>
  <c r="I52" i="1"/>
  <c r="A53" i="1"/>
  <c r="F53" i="1"/>
  <c r="G53" i="1"/>
  <c r="I53" i="1"/>
  <c r="A54" i="1"/>
  <c r="H54" i="1"/>
  <c r="I54" i="1"/>
  <c r="A55" i="1"/>
  <c r="F55" i="1"/>
  <c r="G55" i="1"/>
  <c r="I55" i="1"/>
  <c r="A56" i="1"/>
  <c r="F56" i="1"/>
  <c r="G56" i="1"/>
  <c r="I56" i="1"/>
  <c r="A57" i="1"/>
  <c r="F57" i="1"/>
  <c r="G57" i="1"/>
  <c r="I57" i="1"/>
  <c r="A58" i="1"/>
  <c r="F58" i="1"/>
  <c r="G58" i="1"/>
  <c r="I58" i="1"/>
  <c r="A59" i="1"/>
  <c r="F59" i="1"/>
  <c r="G59" i="1"/>
  <c r="I59" i="1"/>
  <c r="A60" i="1"/>
  <c r="F60" i="1"/>
  <c r="G60" i="1"/>
  <c r="I60" i="1"/>
  <c r="A61" i="1"/>
  <c r="F61" i="1"/>
  <c r="G61" i="1"/>
  <c r="I61" i="1"/>
  <c r="A62" i="1"/>
  <c r="F62" i="1"/>
  <c r="G62" i="1"/>
  <c r="I62" i="1"/>
  <c r="A63" i="1"/>
  <c r="F63" i="1"/>
  <c r="G63" i="1"/>
  <c r="I63" i="1"/>
  <c r="A64" i="1"/>
  <c r="F64" i="1"/>
  <c r="G64" i="1"/>
  <c r="I64" i="1"/>
  <c r="A65" i="1"/>
  <c r="F65" i="1"/>
  <c r="G65" i="1"/>
  <c r="I65" i="1"/>
  <c r="A66" i="1"/>
  <c r="F66" i="1"/>
  <c r="G66" i="1"/>
  <c r="I66" i="1"/>
  <c r="A67" i="1"/>
  <c r="F67" i="1"/>
  <c r="G67" i="1"/>
  <c r="I67" i="1"/>
  <c r="A68" i="1"/>
  <c r="F68" i="1"/>
  <c r="G68" i="1"/>
  <c r="I68" i="1"/>
  <c r="A69" i="1"/>
  <c r="F69" i="1"/>
  <c r="G69" i="1"/>
  <c r="I69" i="1"/>
  <c r="A70" i="1"/>
  <c r="F70" i="1"/>
  <c r="G70" i="1"/>
  <c r="A71" i="1"/>
  <c r="F71" i="1"/>
  <c r="G71" i="1"/>
  <c r="I71" i="1"/>
  <c r="A72" i="1"/>
  <c r="F72" i="1"/>
  <c r="G72" i="1"/>
  <c r="I72" i="1"/>
  <c r="A73" i="1"/>
  <c r="F73" i="1"/>
  <c r="G73" i="1"/>
  <c r="I73" i="1"/>
  <c r="A74" i="1"/>
  <c r="F74" i="1"/>
  <c r="G74" i="1"/>
  <c r="I74" i="1"/>
  <c r="A75" i="1"/>
  <c r="F75" i="1"/>
  <c r="G75" i="1"/>
  <c r="I75" i="1"/>
  <c r="A76" i="1"/>
  <c r="F76" i="1"/>
  <c r="G76" i="1"/>
  <c r="I76" i="1"/>
  <c r="A77" i="1"/>
  <c r="F77" i="1"/>
  <c r="G77" i="1"/>
  <c r="I77" i="1"/>
  <c r="A78" i="1"/>
  <c r="F78" i="1"/>
  <c r="G78" i="1"/>
  <c r="I78" i="1"/>
  <c r="A79" i="1"/>
  <c r="F79" i="1"/>
  <c r="G79" i="1"/>
  <c r="I79" i="1"/>
  <c r="A80" i="1"/>
  <c r="F80" i="1"/>
  <c r="G80" i="1"/>
  <c r="I80" i="1"/>
  <c r="A81" i="1"/>
  <c r="F81" i="1"/>
  <c r="G81" i="1"/>
  <c r="I81" i="1"/>
  <c r="A82" i="1"/>
  <c r="F82" i="1"/>
  <c r="G82" i="1"/>
  <c r="I82" i="1"/>
  <c r="A83" i="1"/>
  <c r="F83" i="1"/>
  <c r="G83" i="1"/>
  <c r="I83" i="1"/>
  <c r="A84" i="1"/>
  <c r="F84" i="1"/>
  <c r="G84" i="1"/>
  <c r="I84" i="1"/>
  <c r="A85" i="1"/>
  <c r="F85" i="1"/>
  <c r="G85" i="1"/>
  <c r="I85" i="1"/>
  <c r="A86" i="1"/>
  <c r="F86" i="1"/>
  <c r="G86" i="1"/>
  <c r="I86" i="1"/>
  <c r="A87" i="1"/>
  <c r="F87" i="1"/>
  <c r="G87" i="1"/>
  <c r="I87" i="1"/>
  <c r="A88" i="1"/>
  <c r="F88" i="1"/>
  <c r="G88" i="1"/>
  <c r="I88" i="1"/>
  <c r="A89" i="1"/>
  <c r="F89" i="1"/>
  <c r="G89" i="1"/>
  <c r="I89" i="1"/>
  <c r="A90" i="1"/>
  <c r="F90" i="1"/>
  <c r="G90" i="1"/>
  <c r="I90" i="1"/>
  <c r="A91" i="1"/>
  <c r="F91" i="1"/>
  <c r="G91" i="1"/>
  <c r="I91" i="1"/>
  <c r="A92" i="1"/>
  <c r="F92" i="1"/>
  <c r="G92" i="1"/>
  <c r="I92" i="1"/>
  <c r="A93" i="1"/>
  <c r="F93" i="1"/>
  <c r="G93" i="1"/>
  <c r="I93" i="1"/>
  <c r="A94" i="1"/>
  <c r="F94" i="1"/>
  <c r="G94" i="1"/>
  <c r="I94" i="1"/>
  <c r="A95" i="1"/>
  <c r="F95" i="1"/>
  <c r="G95" i="1"/>
  <c r="I95" i="1"/>
  <c r="A96" i="1"/>
  <c r="F96" i="1"/>
  <c r="G96" i="1"/>
  <c r="I96" i="1"/>
  <c r="A97" i="1"/>
  <c r="F97" i="1"/>
  <c r="G97" i="1"/>
  <c r="I97" i="1"/>
  <c r="A98" i="1"/>
  <c r="F98" i="1"/>
  <c r="G98" i="1"/>
  <c r="I98" i="1"/>
  <c r="A99" i="1"/>
  <c r="F99" i="1"/>
  <c r="G99" i="1"/>
  <c r="I99" i="1"/>
  <c r="A100" i="1"/>
  <c r="F100" i="1"/>
  <c r="G100" i="1"/>
  <c r="I100" i="1"/>
  <c r="A101" i="1"/>
  <c r="F101" i="1"/>
  <c r="G101" i="1"/>
  <c r="I101" i="1"/>
  <c r="A102" i="1"/>
  <c r="F102" i="1"/>
  <c r="G102" i="1"/>
  <c r="I102" i="1"/>
  <c r="A103" i="1"/>
  <c r="F103" i="1"/>
  <c r="G103" i="1"/>
  <c r="I103" i="1"/>
  <c r="A104" i="1"/>
  <c r="F104" i="1"/>
  <c r="G104" i="1"/>
  <c r="I104" i="1"/>
  <c r="A105" i="1"/>
  <c r="F105" i="1"/>
  <c r="G105" i="1"/>
  <c r="I105" i="1"/>
  <c r="A106" i="1"/>
  <c r="F106" i="1"/>
  <c r="G106" i="1"/>
  <c r="I106" i="1"/>
  <c r="A107" i="1"/>
  <c r="F107" i="1"/>
  <c r="G107" i="1"/>
  <c r="I107" i="1"/>
  <c r="A108" i="1"/>
  <c r="F108" i="1"/>
  <c r="G108" i="1"/>
  <c r="I108" i="1"/>
  <c r="A109" i="1"/>
  <c r="F109" i="1"/>
  <c r="G109" i="1"/>
  <c r="I109" i="1"/>
  <c r="A110" i="1"/>
  <c r="F110" i="1"/>
  <c r="G110" i="1"/>
  <c r="I110" i="1"/>
  <c r="A111" i="1"/>
  <c r="F111" i="1"/>
  <c r="G111" i="1"/>
  <c r="I111" i="1"/>
  <c r="A112" i="1"/>
  <c r="F112" i="1"/>
  <c r="G112" i="1"/>
  <c r="I112" i="1"/>
  <c r="A113" i="1"/>
  <c r="F113" i="1"/>
  <c r="G113" i="1"/>
  <c r="I113" i="1"/>
  <c r="A114" i="1"/>
  <c r="F114" i="1"/>
  <c r="G114" i="1"/>
  <c r="I114" i="1"/>
  <c r="A115" i="1"/>
  <c r="F115" i="1"/>
  <c r="G115" i="1"/>
  <c r="I115" i="1"/>
  <c r="A116" i="1"/>
  <c r="F116" i="1"/>
  <c r="G116" i="1"/>
  <c r="I116" i="1"/>
  <c r="A117" i="1"/>
  <c r="F117" i="1"/>
  <c r="G117" i="1"/>
  <c r="I117" i="1"/>
  <c r="A118" i="1"/>
  <c r="F118" i="1"/>
  <c r="G118" i="1"/>
  <c r="I118" i="1"/>
  <c r="A119" i="1"/>
  <c r="F119" i="1"/>
  <c r="G119" i="1"/>
  <c r="I119" i="1"/>
  <c r="A120" i="1"/>
  <c r="F120" i="1"/>
  <c r="G120" i="1"/>
  <c r="I120" i="1"/>
  <c r="A121" i="1"/>
  <c r="F121" i="1"/>
  <c r="G121" i="1"/>
  <c r="I121" i="1"/>
  <c r="A122" i="1"/>
  <c r="F122" i="1"/>
  <c r="G122" i="1"/>
  <c r="I122" i="1"/>
  <c r="A123" i="1"/>
  <c r="F123" i="1"/>
  <c r="G123" i="1"/>
  <c r="I123" i="1"/>
  <c r="A124" i="1"/>
  <c r="F124" i="1"/>
  <c r="G124" i="1"/>
  <c r="I124" i="1"/>
  <c r="A125" i="1"/>
  <c r="F125" i="1"/>
  <c r="G125" i="1"/>
  <c r="I125" i="1"/>
  <c r="A126" i="1"/>
  <c r="F126" i="1"/>
  <c r="G126" i="1"/>
  <c r="I126" i="1"/>
  <c r="A127" i="1"/>
  <c r="F127" i="1"/>
  <c r="G127" i="1"/>
  <c r="I127" i="1"/>
  <c r="A128" i="1"/>
  <c r="F128" i="1"/>
  <c r="G128" i="1"/>
  <c r="I128" i="1"/>
  <c r="A129" i="1"/>
  <c r="F129" i="1"/>
  <c r="G129" i="1"/>
  <c r="I129" i="1"/>
  <c r="A130" i="1"/>
  <c r="F130" i="1"/>
  <c r="G130" i="1"/>
  <c r="I130" i="1"/>
  <c r="A131" i="1"/>
  <c r="F131" i="1"/>
  <c r="G131" i="1"/>
  <c r="I131" i="1"/>
  <c r="A132" i="1"/>
  <c r="F132" i="1"/>
  <c r="G132" i="1"/>
  <c r="I132" i="1"/>
  <c r="A133" i="1"/>
  <c r="F133" i="1"/>
  <c r="G133" i="1"/>
  <c r="I133" i="1"/>
  <c r="A134" i="1"/>
  <c r="F134" i="1"/>
  <c r="G134" i="1"/>
  <c r="I134" i="1"/>
  <c r="A135" i="1"/>
  <c r="F135" i="1"/>
  <c r="G135" i="1"/>
  <c r="I135" i="1"/>
  <c r="A136" i="1"/>
  <c r="F136" i="1"/>
  <c r="G136" i="1"/>
  <c r="I136" i="1"/>
  <c r="A137" i="1"/>
  <c r="F137" i="1"/>
  <c r="G137" i="1"/>
  <c r="I137" i="1"/>
  <c r="A138" i="1"/>
  <c r="F138" i="1"/>
  <c r="G138" i="1"/>
  <c r="I138" i="1"/>
  <c r="A139" i="1"/>
  <c r="F139" i="1"/>
  <c r="G139" i="1"/>
  <c r="I139" i="1"/>
  <c r="A140" i="1"/>
  <c r="F140" i="1"/>
  <c r="G140" i="1"/>
  <c r="I140" i="1"/>
  <c r="A141" i="1"/>
  <c r="F141" i="1"/>
  <c r="G141" i="1"/>
  <c r="I141" i="1"/>
  <c r="A142" i="1"/>
  <c r="F142" i="1"/>
  <c r="G142" i="1"/>
  <c r="I142" i="1"/>
  <c r="A143" i="1"/>
  <c r="F143" i="1"/>
  <c r="G143" i="1"/>
  <c r="I143" i="1"/>
  <c r="A144" i="1"/>
  <c r="F144" i="1"/>
  <c r="G144" i="1"/>
  <c r="I144" i="1"/>
  <c r="A145" i="1"/>
  <c r="F145" i="1"/>
  <c r="G145" i="1"/>
  <c r="I145" i="1"/>
  <c r="A146" i="1"/>
  <c r="F146" i="1"/>
  <c r="G146" i="1"/>
  <c r="I146" i="1"/>
  <c r="A147" i="1"/>
  <c r="F147" i="1"/>
  <c r="G147" i="1"/>
  <c r="I147" i="1"/>
  <c r="A148" i="1"/>
  <c r="F148" i="1"/>
  <c r="G148" i="1"/>
  <c r="I148" i="1"/>
  <c r="A149" i="1"/>
  <c r="F149" i="1"/>
  <c r="G149" i="1"/>
  <c r="I149" i="1"/>
  <c r="A150" i="1"/>
  <c r="F150" i="1"/>
  <c r="G150" i="1"/>
  <c r="I150" i="1"/>
  <c r="A151" i="1"/>
  <c r="F151" i="1"/>
  <c r="G151" i="1"/>
  <c r="I151" i="1"/>
  <c r="A152" i="1"/>
  <c r="F152" i="1"/>
  <c r="G152" i="1"/>
  <c r="I152" i="1"/>
  <c r="A153" i="1"/>
  <c r="F153" i="1"/>
  <c r="G153" i="1"/>
  <c r="I153" i="1"/>
  <c r="A154" i="1"/>
  <c r="F154" i="1"/>
  <c r="G154" i="1"/>
  <c r="I154" i="1"/>
  <c r="A155" i="1"/>
  <c r="F155" i="1"/>
  <c r="G155" i="1"/>
  <c r="I155" i="1"/>
  <c r="A156" i="1"/>
  <c r="F156" i="1"/>
  <c r="G156" i="1"/>
  <c r="I156" i="1"/>
  <c r="A157" i="1"/>
  <c r="F157" i="1"/>
  <c r="G157" i="1"/>
  <c r="I157" i="1"/>
  <c r="A158" i="1"/>
  <c r="F158" i="1"/>
  <c r="G158" i="1"/>
  <c r="I158" i="1"/>
  <c r="A159" i="1"/>
  <c r="F159" i="1"/>
  <c r="G159" i="1"/>
  <c r="I159" i="1"/>
  <c r="A160" i="1"/>
  <c r="F160" i="1"/>
  <c r="G160" i="1"/>
  <c r="I160" i="1"/>
  <c r="A161" i="1"/>
  <c r="F161" i="1"/>
  <c r="G161" i="1"/>
  <c r="I161" i="1"/>
  <c r="A162" i="1"/>
  <c r="F162" i="1"/>
  <c r="G162" i="1"/>
  <c r="I162" i="1"/>
  <c r="A163" i="1"/>
  <c r="F163" i="1"/>
  <c r="G163" i="1"/>
  <c r="I163" i="1"/>
  <c r="A164" i="1"/>
  <c r="F164" i="1"/>
  <c r="G164" i="1"/>
  <c r="I164" i="1"/>
  <c r="A165" i="1"/>
  <c r="F165" i="1"/>
  <c r="G165" i="1"/>
  <c r="I165" i="1"/>
  <c r="A166" i="1"/>
  <c r="F166" i="1"/>
  <c r="G166" i="1"/>
  <c r="I166" i="1"/>
  <c r="A167" i="1"/>
  <c r="F167" i="1"/>
  <c r="G167" i="1"/>
  <c r="I167" i="1"/>
  <c r="A168" i="1"/>
  <c r="F168" i="1"/>
  <c r="G168" i="1"/>
  <c r="I168" i="1"/>
  <c r="A169" i="1"/>
  <c r="F169" i="1"/>
  <c r="G169" i="1"/>
  <c r="I169" i="1"/>
  <c r="A170" i="1"/>
  <c r="F170" i="1"/>
  <c r="G170" i="1"/>
  <c r="I170" i="1"/>
  <c r="A171" i="1"/>
  <c r="F171" i="1"/>
  <c r="G171" i="1"/>
  <c r="I171" i="1"/>
  <c r="A172" i="1"/>
  <c r="F172" i="1"/>
  <c r="G172" i="1"/>
  <c r="I172" i="1"/>
  <c r="A173" i="1"/>
  <c r="F173" i="1"/>
  <c r="G173" i="1"/>
  <c r="I173" i="1"/>
  <c r="A174" i="1"/>
  <c r="F174" i="1"/>
  <c r="G174" i="1"/>
  <c r="I174" i="1"/>
  <c r="A175" i="1"/>
  <c r="F175" i="1"/>
  <c r="G175" i="1"/>
  <c r="I175" i="1"/>
  <c r="A176" i="1"/>
  <c r="F176" i="1"/>
  <c r="G176" i="1"/>
  <c r="I176" i="1"/>
  <c r="A177" i="1"/>
  <c r="F177" i="1"/>
  <c r="G177" i="1"/>
  <c r="I177" i="1"/>
  <c r="A178" i="1"/>
  <c r="F178" i="1"/>
  <c r="G178" i="1"/>
  <c r="I178" i="1"/>
  <c r="A179" i="1"/>
  <c r="F179" i="1"/>
  <c r="G179" i="1"/>
  <c r="I179" i="1"/>
  <c r="A180" i="1"/>
  <c r="F180" i="1"/>
  <c r="G180" i="1"/>
  <c r="I180" i="1"/>
  <c r="A181" i="1"/>
  <c r="F181" i="1"/>
  <c r="G181" i="1"/>
  <c r="I181" i="1"/>
  <c r="A182" i="1"/>
  <c r="F182" i="1"/>
  <c r="G182" i="1"/>
  <c r="I182" i="1"/>
  <c r="A183" i="1"/>
  <c r="F183" i="1"/>
  <c r="G183" i="1"/>
  <c r="I183" i="1"/>
  <c r="A184" i="1"/>
  <c r="F184" i="1"/>
  <c r="G184" i="1"/>
  <c r="I184" i="1"/>
  <c r="A185" i="1"/>
  <c r="F185" i="1"/>
  <c r="G185" i="1"/>
  <c r="I185" i="1"/>
  <c r="A186" i="1"/>
  <c r="F186" i="1"/>
  <c r="G186" i="1"/>
  <c r="I186" i="1"/>
  <c r="A187" i="1"/>
  <c r="F187" i="1"/>
  <c r="G187" i="1"/>
  <c r="I187" i="1"/>
  <c r="A188" i="1"/>
  <c r="F188" i="1"/>
  <c r="G188" i="1"/>
  <c r="I188" i="1"/>
  <c r="A189" i="1"/>
  <c r="F189" i="1"/>
  <c r="G189" i="1"/>
  <c r="I189" i="1"/>
  <c r="A190" i="1"/>
  <c r="F190" i="1"/>
  <c r="G190" i="1"/>
  <c r="I190" i="1"/>
  <c r="A191" i="1"/>
  <c r="F191" i="1"/>
  <c r="G191" i="1"/>
  <c r="I191" i="1"/>
  <c r="A192" i="1"/>
  <c r="F192" i="1"/>
  <c r="G192" i="1"/>
  <c r="I192" i="1"/>
  <c r="A193" i="1"/>
  <c r="F193" i="1"/>
  <c r="G193" i="1"/>
  <c r="I193" i="1"/>
  <c r="A194" i="1"/>
  <c r="F194" i="1"/>
  <c r="G194" i="1"/>
  <c r="I194" i="1"/>
  <c r="A195" i="1"/>
  <c r="F195" i="1"/>
  <c r="G195" i="1"/>
  <c r="I195" i="1"/>
  <c r="A196" i="1"/>
  <c r="F196" i="1"/>
  <c r="G196" i="1"/>
  <c r="I196" i="1"/>
  <c r="A197" i="1"/>
  <c r="F197" i="1"/>
  <c r="G197" i="1"/>
  <c r="I197" i="1"/>
  <c r="A198" i="1"/>
  <c r="F198" i="1"/>
  <c r="G198" i="1"/>
  <c r="I198" i="1"/>
  <c r="A199" i="1"/>
  <c r="F199" i="1"/>
  <c r="G199" i="1"/>
  <c r="I199" i="1"/>
  <c r="A200" i="1"/>
  <c r="F200" i="1"/>
  <c r="G200" i="1"/>
  <c r="I200" i="1"/>
  <c r="A201" i="1"/>
  <c r="F201" i="1"/>
  <c r="G201" i="1"/>
  <c r="I201" i="1"/>
  <c r="A202" i="1"/>
  <c r="F202" i="1"/>
  <c r="G202" i="1"/>
  <c r="I202" i="1"/>
  <c r="A203" i="1"/>
  <c r="F203" i="1"/>
  <c r="G203" i="1"/>
  <c r="I203" i="1"/>
  <c r="A204" i="1"/>
  <c r="F204" i="1"/>
  <c r="G204" i="1"/>
  <c r="I204" i="1"/>
  <c r="A205" i="1"/>
  <c r="F205" i="1"/>
  <c r="G205" i="1"/>
  <c r="I205" i="1"/>
  <c r="A206" i="1"/>
  <c r="F206" i="1"/>
  <c r="G206" i="1"/>
  <c r="I206" i="1"/>
  <c r="A207" i="1"/>
  <c r="F207" i="1"/>
  <c r="G207" i="1"/>
  <c r="I207" i="1"/>
  <c r="A208" i="1"/>
  <c r="F208" i="1"/>
  <c r="G208" i="1"/>
  <c r="I208" i="1"/>
  <c r="A209" i="1"/>
  <c r="F209" i="1"/>
  <c r="G209" i="1"/>
  <c r="I209" i="1"/>
  <c r="A210" i="1"/>
  <c r="F210" i="1"/>
  <c r="G210" i="1"/>
  <c r="I210" i="1"/>
  <c r="A211" i="1"/>
  <c r="H211" i="1"/>
  <c r="I211" i="1"/>
  <c r="A212" i="1"/>
  <c r="H212" i="1"/>
  <c r="I212" i="1"/>
  <c r="A213" i="1"/>
  <c r="H213" i="1"/>
  <c r="I213" i="1"/>
  <c r="A214" i="1"/>
  <c r="H214" i="1"/>
  <c r="I214" i="1"/>
  <c r="A215" i="1"/>
  <c r="F215" i="1"/>
  <c r="G215" i="1"/>
  <c r="I215" i="1"/>
  <c r="A216" i="1"/>
  <c r="F216" i="1"/>
  <c r="G216" i="1"/>
  <c r="I216" i="1"/>
  <c r="A217" i="1"/>
  <c r="F217" i="1"/>
  <c r="G217" i="1"/>
  <c r="I217" i="1"/>
  <c r="A218" i="1"/>
  <c r="F218" i="1"/>
  <c r="G218" i="1"/>
  <c r="I218" i="1"/>
  <c r="A219" i="1"/>
  <c r="F219" i="1"/>
  <c r="G219" i="1"/>
  <c r="I219" i="1"/>
  <c r="A220" i="1"/>
  <c r="F220" i="1"/>
  <c r="G220" i="1"/>
  <c r="I220" i="1"/>
  <c r="A221" i="1"/>
  <c r="F221" i="1"/>
  <c r="G221" i="1"/>
  <c r="I221" i="1"/>
  <c r="A222" i="1"/>
  <c r="F222" i="1"/>
  <c r="G222" i="1"/>
  <c r="I222" i="1"/>
  <c r="A223" i="1"/>
  <c r="F223" i="1"/>
  <c r="G223" i="1"/>
  <c r="I223" i="1"/>
  <c r="A224" i="1"/>
  <c r="F224" i="1"/>
  <c r="G224" i="1"/>
  <c r="I224" i="1"/>
  <c r="A225" i="1"/>
  <c r="H225" i="1"/>
  <c r="I225" i="1"/>
  <c r="A226" i="1"/>
  <c r="F226" i="1"/>
  <c r="G226" i="1"/>
  <c r="I226" i="1"/>
  <c r="A227" i="1"/>
  <c r="F227" i="1"/>
  <c r="G227" i="1"/>
  <c r="I227" i="1"/>
  <c r="A228" i="1"/>
  <c r="F228" i="1"/>
  <c r="G228" i="1"/>
  <c r="I228" i="1"/>
  <c r="A229" i="1"/>
  <c r="F229" i="1"/>
  <c r="G229" i="1"/>
  <c r="I229" i="1"/>
  <c r="A230" i="1"/>
  <c r="F230" i="1"/>
  <c r="G230" i="1"/>
  <c r="I230" i="1"/>
  <c r="A231" i="1"/>
  <c r="F231" i="1"/>
  <c r="G231" i="1"/>
  <c r="I231" i="1"/>
  <c r="A232" i="1"/>
  <c r="F232" i="1"/>
  <c r="G232" i="1"/>
  <c r="I232" i="1"/>
  <c r="A233" i="1"/>
  <c r="F233" i="1"/>
  <c r="G233" i="1"/>
  <c r="I233" i="1"/>
  <c r="A234" i="1"/>
  <c r="F234" i="1"/>
  <c r="G234" i="1"/>
  <c r="I234" i="1"/>
  <c r="A235" i="1"/>
  <c r="F235" i="1"/>
  <c r="G235" i="1"/>
  <c r="I235" i="1"/>
  <c r="A236" i="1"/>
  <c r="F236" i="1"/>
  <c r="G236" i="1"/>
  <c r="I236" i="1"/>
  <c r="A237" i="1"/>
  <c r="F237" i="1"/>
  <c r="G237" i="1"/>
  <c r="I237" i="1"/>
  <c r="A238" i="1"/>
  <c r="F238" i="1"/>
  <c r="G238" i="1"/>
  <c r="I238" i="1"/>
  <c r="A239" i="1"/>
  <c r="F239" i="1"/>
  <c r="G239" i="1"/>
  <c r="I239" i="1"/>
  <c r="A240" i="1"/>
  <c r="F240" i="1"/>
  <c r="G240" i="1"/>
  <c r="I240" i="1"/>
  <c r="A241" i="1"/>
  <c r="F241" i="1"/>
  <c r="G241" i="1"/>
  <c r="I241" i="1"/>
  <c r="A242" i="1"/>
  <c r="F242" i="1"/>
  <c r="G242" i="1"/>
  <c r="I242" i="1"/>
  <c r="A243" i="1"/>
  <c r="F243" i="1"/>
  <c r="G243" i="1"/>
  <c r="I243" i="1"/>
  <c r="A244" i="1"/>
  <c r="F244" i="1"/>
  <c r="G244" i="1"/>
  <c r="I244" i="1"/>
  <c r="A245" i="1"/>
  <c r="F245" i="1"/>
  <c r="G245" i="1"/>
  <c r="I245" i="1"/>
  <c r="A246" i="1"/>
  <c r="F246" i="1"/>
  <c r="G246" i="1"/>
  <c r="I246" i="1"/>
  <c r="A247" i="1"/>
  <c r="F247" i="1"/>
  <c r="G247" i="1"/>
  <c r="I247" i="1"/>
  <c r="A248" i="1"/>
  <c r="F248" i="1"/>
  <c r="G248" i="1"/>
  <c r="I248" i="1"/>
  <c r="A249" i="1"/>
  <c r="F249" i="1"/>
  <c r="G249" i="1"/>
  <c r="I249" i="1"/>
  <c r="A250" i="1"/>
  <c r="F250" i="1"/>
  <c r="G250" i="1"/>
  <c r="I250" i="1"/>
  <c r="A251" i="1"/>
  <c r="F251" i="1"/>
  <c r="G251" i="1"/>
  <c r="I251" i="1"/>
  <c r="A252" i="1"/>
  <c r="F252" i="1"/>
  <c r="G252" i="1"/>
  <c r="I252" i="1"/>
  <c r="A253" i="1"/>
  <c r="F253" i="1"/>
  <c r="G253" i="1"/>
  <c r="I253" i="1"/>
  <c r="A254" i="1"/>
  <c r="F254" i="1"/>
  <c r="G254" i="1"/>
  <c r="I254" i="1"/>
  <c r="A255" i="1"/>
  <c r="F255" i="1"/>
  <c r="G255" i="1"/>
  <c r="I255" i="1"/>
  <c r="A256" i="1"/>
  <c r="F256" i="1"/>
  <c r="G256" i="1"/>
  <c r="I256" i="1"/>
  <c r="A257" i="1"/>
  <c r="F257" i="1"/>
  <c r="G257" i="1"/>
  <c r="I257" i="1"/>
  <c r="A258" i="1"/>
  <c r="F258" i="1"/>
  <c r="G258" i="1"/>
  <c r="I258" i="1"/>
  <c r="A259" i="1"/>
  <c r="F259" i="1"/>
  <c r="G259" i="1"/>
  <c r="I259" i="1"/>
  <c r="A260" i="1"/>
  <c r="F260" i="1"/>
  <c r="G260" i="1"/>
  <c r="I260" i="1"/>
  <c r="A261" i="1"/>
  <c r="F261" i="1"/>
  <c r="G261" i="1"/>
  <c r="I261" i="1"/>
  <c r="A262" i="1"/>
  <c r="F262" i="1"/>
  <c r="G262" i="1"/>
  <c r="I262" i="1"/>
  <c r="A263" i="1"/>
  <c r="F263" i="1"/>
  <c r="G263" i="1"/>
  <c r="I263" i="1"/>
  <c r="A264" i="1"/>
  <c r="F264" i="1"/>
  <c r="G264" i="1"/>
  <c r="I264" i="1"/>
  <c r="A265" i="1"/>
  <c r="F265" i="1"/>
  <c r="G265" i="1"/>
  <c r="I265" i="1"/>
  <c r="A266" i="1"/>
  <c r="F266" i="1"/>
  <c r="G266" i="1"/>
  <c r="I266" i="1"/>
  <c r="A267" i="1"/>
  <c r="F267" i="1"/>
  <c r="G267" i="1"/>
  <c r="I267" i="1"/>
  <c r="A268" i="1"/>
  <c r="F268" i="1"/>
  <c r="G268" i="1"/>
  <c r="I268" i="1"/>
  <c r="A269" i="1"/>
  <c r="F269" i="1"/>
  <c r="G269" i="1"/>
  <c r="I269" i="1"/>
  <c r="A270" i="1"/>
  <c r="F270" i="1"/>
  <c r="G270" i="1"/>
  <c r="I270" i="1"/>
  <c r="A271" i="1"/>
  <c r="F271" i="1"/>
  <c r="G271" i="1"/>
  <c r="I271" i="1"/>
  <c r="A272" i="1"/>
  <c r="F272" i="1"/>
  <c r="G272" i="1"/>
  <c r="I272" i="1"/>
  <c r="A273" i="1"/>
  <c r="F273" i="1"/>
  <c r="G273" i="1"/>
  <c r="I273" i="1"/>
  <c r="A274" i="1"/>
  <c r="F274" i="1"/>
  <c r="G274" i="1"/>
  <c r="I274" i="1"/>
  <c r="A275" i="1"/>
  <c r="F275" i="1"/>
  <c r="G275" i="1"/>
  <c r="I275" i="1"/>
  <c r="A276" i="1"/>
  <c r="F276" i="1"/>
  <c r="G276" i="1"/>
  <c r="I276" i="1"/>
  <c r="A277" i="1"/>
  <c r="F277" i="1"/>
  <c r="G277" i="1"/>
  <c r="I277" i="1"/>
  <c r="A278" i="1"/>
  <c r="F278" i="1"/>
  <c r="G278" i="1"/>
  <c r="I278" i="1"/>
  <c r="A279" i="1"/>
  <c r="F279" i="1"/>
  <c r="G279" i="1"/>
  <c r="I279" i="1"/>
  <c r="A280" i="1"/>
  <c r="F280" i="1"/>
  <c r="G280" i="1"/>
  <c r="I280" i="1"/>
  <c r="A281" i="1"/>
  <c r="F281" i="1"/>
  <c r="G281" i="1"/>
  <c r="I281" i="1"/>
  <c r="A282" i="1"/>
  <c r="F282" i="1"/>
  <c r="G282" i="1"/>
  <c r="I282" i="1"/>
  <c r="A283" i="1"/>
  <c r="F283" i="1"/>
  <c r="G283" i="1"/>
  <c r="I283" i="1"/>
  <c r="A284" i="1"/>
  <c r="F284" i="1"/>
  <c r="G284" i="1"/>
  <c r="I284" i="1"/>
  <c r="A285" i="1"/>
  <c r="F285" i="1"/>
  <c r="G285" i="1"/>
  <c r="I285" i="1"/>
  <c r="A286" i="1"/>
  <c r="F286" i="1"/>
  <c r="G286" i="1"/>
  <c r="I286" i="1"/>
  <c r="A287" i="1"/>
  <c r="F287" i="1"/>
  <c r="G287" i="1"/>
  <c r="I287" i="1"/>
  <c r="A288" i="1"/>
  <c r="F288" i="1"/>
  <c r="G288" i="1"/>
  <c r="I288" i="1"/>
  <c r="A289" i="1"/>
  <c r="F289" i="1"/>
  <c r="G289" i="1"/>
  <c r="I289" i="1"/>
  <c r="A290" i="1"/>
  <c r="F290" i="1"/>
  <c r="G290" i="1"/>
  <c r="I290" i="1"/>
  <c r="A291" i="1"/>
  <c r="F291" i="1"/>
  <c r="G291" i="1"/>
  <c r="I291" i="1"/>
  <c r="A292" i="1"/>
  <c r="F292" i="1"/>
  <c r="G292" i="1"/>
  <c r="I292" i="1"/>
  <c r="A293" i="1"/>
  <c r="F293" i="1"/>
  <c r="G293" i="1"/>
  <c r="I293" i="1"/>
  <c r="A294" i="1"/>
  <c r="F294" i="1"/>
  <c r="G294" i="1"/>
  <c r="I294" i="1"/>
  <c r="A295" i="1"/>
  <c r="F295" i="1"/>
  <c r="G295" i="1"/>
  <c r="I295" i="1"/>
  <c r="A296" i="1"/>
  <c r="F296" i="1"/>
  <c r="G296" i="1"/>
  <c r="I296" i="1"/>
  <c r="A297" i="1"/>
  <c r="F297" i="1"/>
  <c r="G297" i="1"/>
  <c r="I297" i="1"/>
  <c r="A298" i="1"/>
  <c r="F298" i="1"/>
  <c r="G298" i="1"/>
  <c r="I298" i="1"/>
  <c r="A299" i="1"/>
  <c r="F299" i="1"/>
  <c r="G299" i="1"/>
  <c r="I299" i="1"/>
  <c r="A300" i="1"/>
  <c r="F300" i="1"/>
  <c r="G300" i="1"/>
  <c r="I300" i="1"/>
  <c r="A301" i="1"/>
  <c r="F301" i="1"/>
  <c r="G301" i="1"/>
  <c r="I301" i="1"/>
  <c r="A302" i="1"/>
  <c r="F302" i="1"/>
  <c r="G302" i="1"/>
  <c r="I302" i="1"/>
  <c r="A303" i="1"/>
  <c r="F303" i="1"/>
  <c r="G303" i="1"/>
  <c r="I303" i="1"/>
  <c r="A304" i="1"/>
  <c r="F304" i="1"/>
  <c r="G304" i="1"/>
  <c r="I304" i="1"/>
  <c r="A305" i="1"/>
  <c r="F305" i="1"/>
  <c r="G305" i="1"/>
  <c r="I305" i="1"/>
  <c r="A306" i="1"/>
  <c r="F306" i="1"/>
  <c r="G306" i="1"/>
  <c r="I306" i="1"/>
  <c r="A307" i="1"/>
  <c r="F307" i="1"/>
  <c r="G307" i="1"/>
  <c r="I307" i="1"/>
  <c r="A308" i="1"/>
  <c r="F308" i="1"/>
  <c r="G308" i="1"/>
  <c r="I308" i="1"/>
  <c r="A309" i="1"/>
  <c r="F309" i="1"/>
  <c r="G309" i="1"/>
  <c r="I309" i="1"/>
  <c r="A310" i="1"/>
  <c r="F310" i="1"/>
  <c r="G310" i="1"/>
  <c r="I310" i="1"/>
  <c r="A311" i="1"/>
  <c r="F311" i="1"/>
  <c r="G311" i="1"/>
  <c r="I311" i="1"/>
  <c r="A312" i="1"/>
  <c r="F312" i="1"/>
  <c r="G312" i="1"/>
  <c r="I312" i="1"/>
  <c r="A313" i="1"/>
  <c r="F313" i="1"/>
  <c r="G313" i="1"/>
  <c r="I313" i="1"/>
  <c r="A314" i="1"/>
  <c r="F314" i="1"/>
  <c r="G314" i="1"/>
  <c r="I314" i="1"/>
  <c r="A315" i="1"/>
  <c r="F315" i="1"/>
  <c r="G315" i="1"/>
  <c r="I315" i="1"/>
  <c r="A316" i="1"/>
  <c r="F316" i="1"/>
  <c r="G316" i="1"/>
  <c r="I316" i="1"/>
  <c r="A317" i="1"/>
  <c r="F317" i="1"/>
  <c r="G317" i="1"/>
  <c r="I317" i="1"/>
  <c r="A318" i="1"/>
  <c r="F318" i="1"/>
  <c r="G318" i="1"/>
  <c r="I318" i="1"/>
  <c r="A319" i="1"/>
  <c r="F319" i="1"/>
  <c r="G319" i="1"/>
  <c r="I319" i="1"/>
  <c r="A320" i="1"/>
  <c r="F320" i="1"/>
  <c r="G320" i="1"/>
  <c r="I320" i="1"/>
  <c r="A321" i="1"/>
  <c r="F321" i="1"/>
  <c r="G321" i="1"/>
  <c r="I321" i="1"/>
  <c r="A322" i="1"/>
  <c r="F322" i="1"/>
  <c r="G322" i="1"/>
  <c r="I322" i="1"/>
  <c r="A323" i="1"/>
  <c r="F323" i="1"/>
  <c r="G323" i="1"/>
  <c r="I323" i="1"/>
  <c r="A324" i="1"/>
  <c r="F324" i="1"/>
  <c r="G324" i="1"/>
  <c r="I324" i="1"/>
  <c r="A325" i="1"/>
  <c r="F325" i="1"/>
  <c r="G325" i="1"/>
  <c r="I325" i="1"/>
  <c r="A326" i="1"/>
  <c r="F326" i="1"/>
  <c r="G326" i="1"/>
  <c r="I326" i="1"/>
  <c r="A327" i="1"/>
  <c r="F327" i="1"/>
  <c r="G327" i="1"/>
  <c r="I327" i="1"/>
  <c r="A328" i="1"/>
  <c r="F328" i="1"/>
  <c r="G328" i="1"/>
  <c r="I328" i="1"/>
  <c r="A329" i="1"/>
  <c r="F329" i="1"/>
  <c r="G329" i="1"/>
  <c r="I329" i="1"/>
  <c r="A330" i="1"/>
  <c r="F330" i="1"/>
  <c r="G330" i="1"/>
  <c r="I330" i="1"/>
  <c r="A331" i="1"/>
  <c r="F331" i="1"/>
  <c r="G331" i="1"/>
  <c r="I331" i="1"/>
  <c r="A332" i="1"/>
  <c r="F332" i="1"/>
  <c r="G332" i="1"/>
  <c r="I332" i="1"/>
  <c r="A333" i="1"/>
  <c r="F333" i="1"/>
  <c r="G333" i="1"/>
  <c r="I333" i="1"/>
  <c r="A334" i="1"/>
  <c r="F334" i="1"/>
  <c r="G334" i="1"/>
  <c r="I334" i="1"/>
  <c r="A335" i="1"/>
  <c r="F335" i="1"/>
  <c r="G335" i="1"/>
  <c r="I335" i="1"/>
  <c r="A336" i="1"/>
  <c r="F336" i="1"/>
  <c r="G336" i="1"/>
  <c r="I336" i="1"/>
  <c r="A337" i="1"/>
  <c r="F337" i="1"/>
  <c r="G337" i="1"/>
  <c r="I337" i="1"/>
  <c r="A338" i="1"/>
  <c r="F338" i="1"/>
  <c r="G338" i="1"/>
  <c r="I338" i="1"/>
  <c r="A339" i="1"/>
  <c r="F339" i="1"/>
  <c r="G339" i="1"/>
  <c r="I339" i="1"/>
  <c r="A340" i="1"/>
  <c r="F340" i="1"/>
  <c r="G340" i="1"/>
  <c r="I340" i="1"/>
  <c r="A341" i="1"/>
  <c r="F341" i="1"/>
  <c r="G341" i="1"/>
  <c r="I341" i="1"/>
  <c r="A342" i="1"/>
  <c r="F342" i="1"/>
  <c r="G342" i="1"/>
  <c r="I342" i="1"/>
  <c r="A343" i="1"/>
  <c r="F343" i="1"/>
  <c r="G343" i="1"/>
  <c r="I343" i="1"/>
  <c r="A344" i="1"/>
  <c r="F344" i="1"/>
  <c r="G344" i="1"/>
  <c r="I344" i="1"/>
  <c r="A345" i="1"/>
  <c r="F345" i="1"/>
  <c r="G345" i="1"/>
  <c r="I345" i="1"/>
  <c r="A346" i="1"/>
  <c r="F346" i="1"/>
  <c r="G346" i="1"/>
  <c r="I346" i="1"/>
  <c r="A347" i="1"/>
  <c r="F347" i="1"/>
  <c r="G347" i="1"/>
  <c r="I347" i="1"/>
  <c r="A348" i="1"/>
  <c r="F348" i="1"/>
  <c r="G348" i="1"/>
  <c r="I348" i="1"/>
  <c r="A349" i="1"/>
  <c r="F349" i="1"/>
  <c r="G349" i="1"/>
  <c r="I349" i="1"/>
  <c r="A350" i="1"/>
  <c r="F350" i="1"/>
  <c r="G350" i="1"/>
  <c r="I350" i="1"/>
  <c r="A351" i="1"/>
  <c r="F351" i="1"/>
  <c r="G351" i="1"/>
  <c r="I351" i="1"/>
  <c r="A352" i="1"/>
  <c r="F352" i="1"/>
  <c r="G352" i="1"/>
  <c r="I352" i="1"/>
  <c r="A353" i="1"/>
  <c r="F353" i="1"/>
  <c r="G353" i="1"/>
  <c r="I353" i="1"/>
  <c r="A354" i="1"/>
  <c r="F354" i="1"/>
  <c r="G354" i="1"/>
  <c r="I354" i="1"/>
  <c r="A355" i="1"/>
  <c r="F355" i="1"/>
  <c r="G355" i="1"/>
  <c r="I355" i="1"/>
  <c r="A356" i="1"/>
  <c r="F356" i="1"/>
  <c r="G356" i="1"/>
  <c r="I356" i="1"/>
  <c r="A357" i="1"/>
  <c r="F357" i="1"/>
  <c r="G357" i="1"/>
  <c r="I357" i="1"/>
  <c r="A358" i="1"/>
  <c r="F358" i="1"/>
  <c r="G358" i="1"/>
  <c r="I358" i="1"/>
  <c r="A359" i="1"/>
  <c r="F359" i="1"/>
  <c r="G359" i="1"/>
  <c r="I359" i="1"/>
  <c r="A360" i="1"/>
  <c r="F360" i="1"/>
  <c r="G360" i="1"/>
  <c r="I360" i="1"/>
  <c r="A361" i="1"/>
  <c r="F361" i="1"/>
  <c r="G361" i="1"/>
  <c r="I361" i="1"/>
  <c r="A362" i="1"/>
  <c r="F362" i="1"/>
  <c r="G362" i="1"/>
  <c r="I362" i="1"/>
  <c r="A363" i="1"/>
  <c r="F363" i="1"/>
  <c r="G363" i="1"/>
  <c r="I363" i="1"/>
  <c r="A364" i="1"/>
  <c r="F364" i="1"/>
  <c r="G364" i="1"/>
  <c r="I364" i="1"/>
  <c r="A365" i="1"/>
  <c r="F365" i="1"/>
  <c r="G365" i="1"/>
  <c r="I365" i="1"/>
  <c r="A366" i="1"/>
  <c r="F366" i="1"/>
  <c r="G366" i="1"/>
  <c r="I366" i="1"/>
  <c r="A367" i="1"/>
  <c r="F367" i="1"/>
  <c r="G367" i="1"/>
  <c r="I367" i="1"/>
  <c r="A368" i="1"/>
  <c r="F368" i="1"/>
  <c r="G368" i="1"/>
  <c r="I368" i="1"/>
  <c r="A369" i="1"/>
  <c r="F369" i="1"/>
  <c r="G369" i="1"/>
  <c r="I369" i="1"/>
  <c r="A370" i="1"/>
  <c r="F370" i="1"/>
  <c r="G370" i="1"/>
  <c r="I370" i="1"/>
  <c r="A371" i="1"/>
  <c r="F371" i="1"/>
  <c r="G371" i="1"/>
  <c r="I371" i="1"/>
  <c r="A372" i="1"/>
  <c r="F372" i="1"/>
  <c r="G372" i="1"/>
  <c r="I372" i="1"/>
  <c r="A373" i="1"/>
  <c r="F373" i="1"/>
  <c r="G373" i="1"/>
  <c r="I373" i="1"/>
  <c r="A374" i="1"/>
  <c r="F374" i="1"/>
  <c r="G374" i="1"/>
  <c r="I374" i="1"/>
  <c r="A375" i="1"/>
  <c r="F375" i="1"/>
  <c r="G375" i="1"/>
  <c r="I375" i="1"/>
  <c r="A376" i="1"/>
  <c r="F376" i="1"/>
  <c r="G376" i="1"/>
  <c r="I376" i="1"/>
  <c r="A377" i="1"/>
  <c r="F377" i="1"/>
  <c r="G377" i="1"/>
  <c r="I377" i="1"/>
  <c r="A378" i="1"/>
  <c r="F378" i="1"/>
  <c r="G378" i="1"/>
  <c r="I378" i="1"/>
  <c r="A379" i="1"/>
  <c r="F379" i="1"/>
  <c r="G379" i="1"/>
  <c r="I379" i="1"/>
  <c r="A380" i="1"/>
  <c r="F380" i="1"/>
  <c r="G380" i="1"/>
  <c r="I380" i="1"/>
  <c r="A381" i="1"/>
  <c r="F381" i="1"/>
  <c r="G381" i="1"/>
  <c r="I381" i="1"/>
  <c r="A382" i="1"/>
  <c r="F382" i="1"/>
  <c r="G382" i="1"/>
  <c r="I382" i="1"/>
  <c r="A383" i="1"/>
  <c r="F383" i="1"/>
  <c r="G383" i="1"/>
  <c r="I383" i="1"/>
  <c r="A384" i="1"/>
  <c r="F384" i="1"/>
  <c r="G384" i="1"/>
  <c r="I384" i="1"/>
  <c r="A385" i="1"/>
  <c r="F385" i="1"/>
  <c r="G385" i="1"/>
  <c r="I385" i="1"/>
  <c r="A386" i="1"/>
  <c r="F386" i="1"/>
  <c r="G386" i="1"/>
  <c r="I386" i="1"/>
  <c r="A387" i="1"/>
  <c r="F387" i="1"/>
  <c r="G387" i="1"/>
  <c r="I387" i="1"/>
  <c r="A388" i="1"/>
  <c r="F388" i="1"/>
  <c r="G388" i="1"/>
  <c r="I388" i="1"/>
  <c r="A389" i="1"/>
  <c r="F389" i="1"/>
  <c r="G389" i="1"/>
  <c r="I389" i="1"/>
  <c r="A390" i="1"/>
  <c r="F390" i="1"/>
  <c r="G390" i="1"/>
  <c r="I390" i="1"/>
  <c r="A391" i="1"/>
  <c r="F391" i="1"/>
  <c r="G391" i="1"/>
  <c r="I391" i="1"/>
  <c r="A392" i="1"/>
  <c r="F392" i="1"/>
  <c r="G392" i="1"/>
  <c r="I392" i="1"/>
  <c r="A393" i="1"/>
  <c r="F393" i="1"/>
  <c r="G393" i="1"/>
  <c r="I393" i="1"/>
  <c r="A394" i="1"/>
  <c r="F394" i="1"/>
  <c r="G394" i="1"/>
  <c r="I394" i="1"/>
  <c r="A395" i="1"/>
  <c r="F395" i="1"/>
  <c r="G395" i="1"/>
  <c r="I395" i="1"/>
  <c r="A396" i="1"/>
  <c r="F396" i="1"/>
  <c r="G396" i="1"/>
  <c r="I396" i="1"/>
  <c r="A397" i="1"/>
  <c r="F397" i="1"/>
  <c r="G397" i="1"/>
  <c r="I397" i="1"/>
  <c r="A398" i="1"/>
  <c r="F398" i="1"/>
  <c r="G398" i="1"/>
  <c r="I398" i="1"/>
  <c r="A399" i="1"/>
  <c r="F399" i="1"/>
  <c r="G399" i="1"/>
  <c r="I399" i="1"/>
  <c r="A400" i="1"/>
  <c r="F400" i="1"/>
  <c r="G400" i="1"/>
  <c r="I400" i="1"/>
  <c r="A401" i="1"/>
  <c r="F401" i="1"/>
  <c r="G401" i="1"/>
  <c r="I401" i="1"/>
  <c r="A402" i="1"/>
  <c r="F402" i="1"/>
  <c r="G402" i="1"/>
  <c r="I402" i="1"/>
  <c r="A403" i="1"/>
  <c r="F403" i="1"/>
  <c r="G403" i="1"/>
  <c r="I403" i="1"/>
  <c r="A404" i="1"/>
  <c r="F404" i="1"/>
  <c r="G404" i="1"/>
  <c r="I404" i="1"/>
  <c r="A405" i="1"/>
  <c r="F405" i="1"/>
  <c r="G405" i="1"/>
  <c r="I405" i="1"/>
  <c r="A406" i="1"/>
  <c r="F406" i="1"/>
  <c r="G406" i="1"/>
  <c r="I406" i="1"/>
  <c r="A407" i="1"/>
  <c r="F407" i="1"/>
  <c r="G407" i="1"/>
  <c r="I407" i="1"/>
  <c r="A408" i="1"/>
  <c r="F408" i="1"/>
  <c r="G408" i="1"/>
  <c r="I408" i="1"/>
  <c r="A409" i="1"/>
  <c r="F409" i="1"/>
  <c r="G409" i="1"/>
  <c r="I409" i="1"/>
  <c r="A410" i="1"/>
  <c r="F410" i="1"/>
  <c r="G410" i="1"/>
  <c r="I410" i="1"/>
  <c r="A411" i="1"/>
  <c r="F411" i="1"/>
  <c r="G411" i="1"/>
  <c r="I411" i="1"/>
  <c r="A412" i="1"/>
  <c r="F412" i="1"/>
  <c r="G412" i="1"/>
  <c r="I412" i="1"/>
  <c r="A413" i="1"/>
  <c r="F413" i="1"/>
  <c r="G413" i="1"/>
  <c r="I413" i="1"/>
  <c r="A414" i="1"/>
  <c r="F414" i="1"/>
  <c r="G414" i="1"/>
  <c r="I414" i="1"/>
  <c r="A415" i="1"/>
  <c r="F415" i="1"/>
  <c r="G415" i="1"/>
  <c r="I415" i="1"/>
  <c r="A416" i="1"/>
  <c r="F416" i="1"/>
  <c r="G416" i="1"/>
  <c r="I416" i="1"/>
  <c r="A417" i="1"/>
  <c r="F417" i="1"/>
  <c r="G417" i="1"/>
  <c r="I417" i="1"/>
  <c r="A418" i="1"/>
  <c r="F418" i="1"/>
  <c r="G418" i="1"/>
  <c r="I418" i="1"/>
  <c r="A419" i="1"/>
  <c r="F419" i="1"/>
  <c r="G419" i="1"/>
  <c r="I419" i="1"/>
  <c r="A420" i="1"/>
  <c r="F420" i="1"/>
  <c r="G420" i="1"/>
  <c r="I420" i="1"/>
  <c r="A421" i="1"/>
  <c r="F421" i="1"/>
  <c r="G421" i="1"/>
  <c r="I421" i="1"/>
  <c r="A422" i="1"/>
  <c r="F422" i="1"/>
  <c r="G422" i="1"/>
  <c r="I422" i="1"/>
  <c r="A423" i="1"/>
  <c r="F423" i="1"/>
  <c r="G423" i="1"/>
  <c r="I423" i="1"/>
  <c r="A424" i="1"/>
  <c r="F424" i="1"/>
  <c r="G424" i="1"/>
  <c r="I424" i="1"/>
  <c r="A425" i="1"/>
  <c r="F425" i="1"/>
  <c r="G425" i="1"/>
  <c r="I425" i="1"/>
  <c r="A426" i="1"/>
  <c r="F426" i="1"/>
  <c r="G426" i="1"/>
  <c r="I426" i="1"/>
  <c r="A427" i="1"/>
  <c r="F427" i="1"/>
  <c r="G427" i="1"/>
  <c r="I427" i="1"/>
  <c r="A428" i="1"/>
  <c r="F428" i="1"/>
  <c r="G428" i="1"/>
  <c r="I428" i="1"/>
  <c r="A429" i="1"/>
  <c r="F429" i="1"/>
  <c r="G429" i="1"/>
  <c r="I429" i="1"/>
  <c r="A430" i="1"/>
  <c r="F430" i="1"/>
  <c r="G430" i="1"/>
  <c r="I430" i="1"/>
  <c r="A431" i="1"/>
  <c r="F431" i="1"/>
  <c r="G431" i="1"/>
  <c r="I431" i="1"/>
  <c r="A432" i="1"/>
  <c r="F432" i="1"/>
  <c r="G432" i="1"/>
  <c r="I432" i="1"/>
  <c r="A433" i="1"/>
  <c r="F433" i="1"/>
  <c r="G433" i="1"/>
  <c r="I433" i="1"/>
  <c r="A434" i="1"/>
  <c r="F434" i="1"/>
  <c r="G434" i="1"/>
  <c r="I434" i="1"/>
  <c r="A435" i="1"/>
  <c r="F435" i="1"/>
  <c r="G435" i="1"/>
  <c r="I435" i="1"/>
  <c r="A436" i="1"/>
  <c r="F436" i="1"/>
  <c r="G436" i="1"/>
  <c r="I436" i="1"/>
  <c r="A437" i="1"/>
  <c r="F437" i="1"/>
  <c r="G437" i="1"/>
  <c r="I437" i="1"/>
  <c r="A438" i="1"/>
  <c r="F438" i="1"/>
  <c r="G438" i="1"/>
  <c r="I438" i="1"/>
  <c r="A439" i="1"/>
  <c r="F439" i="1"/>
  <c r="G439" i="1"/>
  <c r="I439" i="1"/>
  <c r="A440" i="1"/>
  <c r="F440" i="1"/>
  <c r="G440" i="1"/>
  <c r="I440" i="1"/>
  <c r="A441" i="1"/>
  <c r="F441" i="1"/>
  <c r="G441" i="1"/>
  <c r="I441" i="1"/>
  <c r="A442" i="1"/>
  <c r="F442" i="1"/>
  <c r="G442" i="1"/>
  <c r="I442" i="1"/>
  <c r="A443" i="1"/>
  <c r="F443" i="1"/>
  <c r="G443" i="1"/>
  <c r="I443" i="1"/>
  <c r="A444" i="1"/>
  <c r="F444" i="1"/>
  <c r="G444" i="1"/>
  <c r="I444" i="1"/>
  <c r="A445" i="1"/>
  <c r="F445" i="1"/>
  <c r="G445" i="1"/>
  <c r="I445" i="1"/>
  <c r="A446" i="1"/>
  <c r="F446" i="1"/>
  <c r="G446" i="1"/>
  <c r="I446" i="1"/>
  <c r="A447" i="1"/>
  <c r="F447" i="1"/>
  <c r="G447" i="1"/>
  <c r="I447" i="1"/>
  <c r="A448" i="1"/>
  <c r="F448" i="1"/>
  <c r="G448" i="1"/>
  <c r="I448" i="1"/>
  <c r="A449" i="1"/>
  <c r="F449" i="1"/>
  <c r="G449" i="1"/>
  <c r="I449" i="1"/>
  <c r="A450" i="1"/>
  <c r="F450" i="1"/>
  <c r="G450" i="1"/>
  <c r="I450" i="1"/>
  <c r="A451" i="1"/>
  <c r="F451" i="1"/>
  <c r="G451" i="1"/>
  <c r="I451" i="1"/>
  <c r="A452" i="1"/>
  <c r="F452" i="1"/>
  <c r="G452" i="1"/>
  <c r="I452" i="1"/>
  <c r="A453" i="1"/>
  <c r="F453" i="1"/>
  <c r="G453" i="1"/>
  <c r="I453" i="1"/>
  <c r="A454" i="1"/>
  <c r="F454" i="1"/>
  <c r="G454" i="1"/>
  <c r="I454" i="1"/>
  <c r="A455" i="1"/>
  <c r="F455" i="1"/>
  <c r="G455" i="1"/>
  <c r="I455" i="1"/>
  <c r="A456" i="1"/>
  <c r="F456" i="1"/>
  <c r="G456" i="1"/>
  <c r="I456" i="1"/>
  <c r="A457" i="1"/>
  <c r="F457" i="1"/>
  <c r="G457" i="1"/>
  <c r="I457" i="1"/>
  <c r="A458" i="1"/>
  <c r="F458" i="1"/>
  <c r="G458" i="1"/>
  <c r="I458" i="1"/>
  <c r="A459" i="1"/>
  <c r="F459" i="1"/>
  <c r="G459" i="1"/>
  <c r="I459" i="1"/>
  <c r="A460" i="1"/>
  <c r="F460" i="1"/>
  <c r="G460" i="1"/>
  <c r="I460" i="1"/>
  <c r="A461" i="1"/>
  <c r="F461" i="1"/>
  <c r="G461" i="1"/>
  <c r="I461" i="1"/>
  <c r="A462" i="1"/>
  <c r="F462" i="1"/>
  <c r="G462" i="1"/>
  <c r="I462" i="1"/>
  <c r="A463" i="1"/>
  <c r="F463" i="1"/>
  <c r="G463" i="1"/>
  <c r="I463" i="1"/>
  <c r="A464" i="1"/>
  <c r="F464" i="1"/>
  <c r="G464" i="1"/>
  <c r="I464" i="1"/>
  <c r="A465" i="1"/>
  <c r="F465" i="1"/>
  <c r="G465" i="1"/>
  <c r="I465" i="1"/>
  <c r="A466" i="1"/>
  <c r="F466" i="1"/>
  <c r="G466" i="1"/>
  <c r="I466" i="1"/>
  <c r="A467" i="1"/>
  <c r="F467" i="1"/>
  <c r="G467" i="1"/>
  <c r="I467" i="1"/>
  <c r="A468" i="1"/>
  <c r="F468" i="1"/>
  <c r="G468" i="1"/>
  <c r="I468" i="1"/>
  <c r="A469" i="1"/>
  <c r="F469" i="1"/>
  <c r="G469" i="1"/>
  <c r="I469" i="1"/>
  <c r="A470" i="1"/>
  <c r="F470" i="1"/>
  <c r="G470" i="1"/>
  <c r="I470" i="1"/>
  <c r="A471" i="1"/>
  <c r="F471" i="1"/>
  <c r="G471" i="1"/>
  <c r="I471" i="1"/>
  <c r="A472" i="1"/>
  <c r="F472" i="1"/>
  <c r="G472" i="1"/>
  <c r="I472" i="1"/>
  <c r="A473" i="1"/>
  <c r="F473" i="1"/>
  <c r="G473" i="1"/>
  <c r="I473" i="1"/>
  <c r="A474" i="1"/>
  <c r="F474" i="1"/>
  <c r="G474" i="1"/>
  <c r="I474" i="1"/>
  <c r="A475" i="1"/>
  <c r="F475" i="1"/>
  <c r="G475" i="1"/>
  <c r="I475" i="1"/>
  <c r="A476" i="1"/>
  <c r="F476" i="1"/>
  <c r="G476" i="1"/>
  <c r="I476" i="1"/>
  <c r="A477" i="1"/>
  <c r="F477" i="1"/>
  <c r="G477" i="1"/>
  <c r="I477" i="1"/>
  <c r="A478" i="1"/>
  <c r="F478" i="1"/>
  <c r="G478" i="1"/>
  <c r="I478" i="1"/>
  <c r="A479" i="1"/>
  <c r="F479" i="1"/>
  <c r="G479" i="1"/>
  <c r="I479" i="1"/>
  <c r="A480" i="1"/>
  <c r="F480" i="1"/>
  <c r="G480" i="1"/>
  <c r="I480" i="1"/>
  <c r="A481" i="1"/>
  <c r="F481" i="1"/>
  <c r="G481" i="1"/>
  <c r="I481" i="1"/>
  <c r="A482" i="1"/>
  <c r="F482" i="1"/>
  <c r="G482" i="1"/>
  <c r="I482" i="1"/>
  <c r="A483" i="1"/>
  <c r="F483" i="1"/>
  <c r="G483" i="1"/>
  <c r="I483" i="1"/>
  <c r="A484" i="1"/>
  <c r="F484" i="1"/>
  <c r="G484" i="1"/>
  <c r="I484" i="1"/>
  <c r="A485" i="1"/>
  <c r="F485" i="1"/>
  <c r="G485" i="1"/>
  <c r="I485" i="1"/>
  <c r="A486" i="1"/>
  <c r="F486" i="1"/>
  <c r="G486" i="1"/>
  <c r="I486" i="1"/>
  <c r="A487" i="1"/>
  <c r="F487" i="1"/>
  <c r="G487" i="1"/>
  <c r="I487" i="1"/>
  <c r="A488" i="1"/>
  <c r="F488" i="1"/>
  <c r="G488" i="1"/>
  <c r="I488" i="1"/>
  <c r="A489" i="1"/>
  <c r="F489" i="1"/>
  <c r="G489" i="1"/>
  <c r="I489" i="1"/>
  <c r="A490" i="1"/>
  <c r="F490" i="1"/>
  <c r="G490" i="1"/>
  <c r="I490" i="1"/>
  <c r="A491" i="1"/>
  <c r="F491" i="1"/>
  <c r="G491" i="1"/>
  <c r="I491" i="1"/>
  <c r="A492" i="1"/>
  <c r="F492" i="1"/>
  <c r="G492" i="1"/>
  <c r="I492" i="1"/>
  <c r="A493" i="1"/>
  <c r="F493" i="1"/>
  <c r="G493" i="1"/>
  <c r="I493" i="1"/>
  <c r="A494" i="1"/>
  <c r="F494" i="1"/>
  <c r="G494" i="1"/>
  <c r="I494" i="1"/>
  <c r="A495" i="1"/>
  <c r="F495" i="1"/>
  <c r="G495" i="1"/>
  <c r="I495" i="1"/>
  <c r="A496" i="1"/>
  <c r="F496" i="1"/>
  <c r="G496" i="1"/>
  <c r="I496" i="1"/>
  <c r="A497" i="1"/>
  <c r="F497" i="1"/>
  <c r="G497" i="1"/>
  <c r="I497" i="1"/>
  <c r="A498" i="1"/>
  <c r="F498" i="1"/>
  <c r="G498" i="1"/>
  <c r="I498" i="1"/>
  <c r="A499" i="1"/>
  <c r="F499" i="1"/>
  <c r="G499" i="1"/>
  <c r="I499" i="1"/>
  <c r="A500" i="1"/>
  <c r="F500" i="1"/>
  <c r="G500" i="1"/>
  <c r="I500" i="1"/>
  <c r="A501" i="1"/>
  <c r="F501" i="1"/>
  <c r="G501" i="1"/>
  <c r="I501" i="1"/>
  <c r="A502" i="1"/>
  <c r="F502" i="1"/>
  <c r="G502" i="1"/>
  <c r="I502" i="1"/>
  <c r="A503" i="1"/>
  <c r="F503" i="1"/>
  <c r="G503" i="1"/>
  <c r="I503" i="1"/>
  <c r="A504" i="1"/>
  <c r="F504" i="1"/>
  <c r="G504" i="1"/>
  <c r="I504" i="1"/>
  <c r="A505" i="1"/>
  <c r="F505" i="1"/>
  <c r="G505" i="1"/>
  <c r="I505" i="1"/>
  <c r="A506" i="1"/>
  <c r="F506" i="1"/>
  <c r="G506" i="1"/>
  <c r="I506" i="1"/>
  <c r="A507" i="1"/>
  <c r="F507" i="1"/>
  <c r="G507" i="1"/>
  <c r="I507" i="1"/>
  <c r="A508" i="1"/>
  <c r="F508" i="1"/>
  <c r="G508" i="1"/>
  <c r="I508" i="1"/>
  <c r="A509" i="1"/>
  <c r="F509" i="1"/>
  <c r="G509" i="1"/>
  <c r="I509" i="1"/>
  <c r="A510" i="1"/>
  <c r="F510" i="1"/>
  <c r="G510" i="1"/>
  <c r="I510" i="1"/>
  <c r="A511" i="1"/>
  <c r="F511" i="1"/>
  <c r="G511" i="1"/>
  <c r="I511" i="1"/>
  <c r="A512" i="1"/>
  <c r="F512" i="1"/>
  <c r="G512" i="1"/>
  <c r="I512" i="1"/>
  <c r="A513" i="1"/>
  <c r="F513" i="1"/>
  <c r="G513" i="1"/>
  <c r="I513" i="1"/>
  <c r="A514" i="1"/>
  <c r="F514" i="1"/>
  <c r="G514" i="1"/>
  <c r="I514" i="1"/>
  <c r="A515" i="1"/>
  <c r="F515" i="1"/>
  <c r="G515" i="1"/>
  <c r="I515" i="1"/>
  <c r="A516" i="1"/>
  <c r="F516" i="1"/>
  <c r="G516" i="1"/>
  <c r="I516" i="1"/>
  <c r="A517" i="1"/>
  <c r="F517" i="1"/>
  <c r="G517" i="1"/>
  <c r="I517" i="1"/>
  <c r="A518" i="1"/>
  <c r="F518" i="1"/>
  <c r="G518" i="1"/>
  <c r="I518" i="1"/>
  <c r="A519" i="1"/>
  <c r="F519" i="1"/>
  <c r="G519" i="1"/>
  <c r="I519" i="1"/>
  <c r="A520" i="1"/>
  <c r="F520" i="1"/>
  <c r="G520" i="1"/>
  <c r="I520" i="1"/>
  <c r="A521" i="1"/>
  <c r="F521" i="1"/>
  <c r="G521" i="1"/>
  <c r="I521" i="1"/>
  <c r="A522" i="1"/>
  <c r="F522" i="1"/>
  <c r="G522" i="1"/>
  <c r="I522" i="1"/>
  <c r="A523" i="1"/>
  <c r="F523" i="1"/>
  <c r="G523" i="1"/>
  <c r="I523" i="1"/>
  <c r="A524" i="1"/>
  <c r="F524" i="1"/>
  <c r="G524" i="1"/>
  <c r="I524" i="1"/>
  <c r="A525" i="1"/>
  <c r="F525" i="1"/>
  <c r="G525" i="1"/>
  <c r="I525" i="1"/>
  <c r="A526" i="1"/>
  <c r="F526" i="1"/>
  <c r="G526" i="1"/>
  <c r="I526" i="1"/>
  <c r="A527" i="1"/>
  <c r="F527" i="1"/>
  <c r="G527" i="1"/>
  <c r="I527" i="1"/>
  <c r="A528" i="1"/>
  <c r="F528" i="1"/>
  <c r="G528" i="1"/>
  <c r="I528" i="1"/>
  <c r="A529" i="1"/>
  <c r="F529" i="1"/>
  <c r="G529" i="1"/>
  <c r="I529" i="1"/>
  <c r="A530" i="1"/>
  <c r="F530" i="1"/>
  <c r="G530" i="1"/>
  <c r="I530" i="1"/>
  <c r="A531" i="1"/>
  <c r="F531" i="1"/>
  <c r="G531" i="1"/>
  <c r="I531" i="1"/>
  <c r="A532" i="1"/>
  <c r="F532" i="1"/>
  <c r="G532" i="1"/>
  <c r="I532" i="1"/>
  <c r="A533" i="1"/>
  <c r="F533" i="1"/>
  <c r="G533" i="1"/>
  <c r="I533" i="1"/>
  <c r="A534" i="1"/>
  <c r="F534" i="1"/>
  <c r="G534" i="1"/>
  <c r="I534" i="1"/>
  <c r="A535" i="1"/>
  <c r="F535" i="1"/>
  <c r="G535" i="1"/>
  <c r="I535" i="1"/>
  <c r="A536" i="1"/>
  <c r="F536" i="1"/>
  <c r="G536" i="1"/>
  <c r="I536" i="1"/>
  <c r="A537" i="1"/>
  <c r="F537" i="1"/>
  <c r="G537" i="1"/>
  <c r="I537" i="1"/>
  <c r="A538" i="1"/>
  <c r="F538" i="1"/>
  <c r="G538" i="1"/>
  <c r="I538" i="1"/>
  <c r="A539" i="1"/>
  <c r="F539" i="1"/>
  <c r="G539" i="1"/>
  <c r="I539" i="1"/>
  <c r="A540" i="1"/>
  <c r="H540" i="1"/>
  <c r="I540" i="1"/>
  <c r="A541" i="1"/>
  <c r="F541" i="1"/>
  <c r="G541" i="1"/>
  <c r="I541" i="1"/>
  <c r="A542" i="1"/>
  <c r="F542" i="1"/>
  <c r="G542" i="1"/>
  <c r="I542" i="1"/>
  <c r="A543" i="1"/>
  <c r="F543" i="1"/>
  <c r="G543" i="1"/>
  <c r="I543" i="1"/>
  <c r="A544" i="1"/>
  <c r="F544" i="1"/>
  <c r="G544" i="1"/>
  <c r="I544" i="1"/>
  <c r="A545" i="1"/>
  <c r="F545" i="1"/>
  <c r="G545" i="1"/>
  <c r="I545" i="1"/>
  <c r="A546" i="1"/>
  <c r="F546" i="1"/>
  <c r="G546" i="1"/>
  <c r="I546" i="1"/>
  <c r="A547" i="1"/>
  <c r="F547" i="1"/>
  <c r="G547" i="1"/>
  <c r="I547" i="1"/>
  <c r="A548" i="1"/>
  <c r="F548" i="1"/>
  <c r="G548" i="1"/>
  <c r="I548" i="1"/>
  <c r="A549" i="1"/>
  <c r="F549" i="1"/>
  <c r="G549" i="1"/>
  <c r="I549" i="1"/>
  <c r="A550" i="1"/>
  <c r="F550" i="1"/>
  <c r="G550" i="1"/>
  <c r="I550" i="1"/>
  <c r="A551" i="1"/>
  <c r="F551" i="1"/>
  <c r="G551" i="1"/>
  <c r="I551" i="1"/>
  <c r="A552" i="1"/>
  <c r="F552" i="1"/>
  <c r="G552" i="1"/>
  <c r="I552" i="1"/>
  <c r="A553" i="1"/>
  <c r="H553" i="1"/>
  <c r="I553" i="1"/>
  <c r="A554" i="1"/>
  <c r="F554" i="1"/>
  <c r="G554" i="1"/>
  <c r="I554" i="1"/>
  <c r="A555" i="1"/>
  <c r="F555" i="1"/>
  <c r="G555" i="1"/>
  <c r="I555" i="1"/>
  <c r="A556" i="1"/>
  <c r="F556" i="1"/>
  <c r="G556" i="1"/>
  <c r="I556" i="1"/>
  <c r="A557" i="1"/>
  <c r="F557" i="1"/>
  <c r="G557" i="1"/>
  <c r="I557" i="1"/>
  <c r="A558" i="1"/>
  <c r="F558" i="1"/>
  <c r="G558" i="1"/>
  <c r="I558" i="1"/>
  <c r="A559" i="1"/>
  <c r="F559" i="1"/>
  <c r="G559" i="1"/>
  <c r="I559" i="1"/>
  <c r="A560" i="1"/>
  <c r="F560" i="1"/>
  <c r="G560" i="1"/>
  <c r="I560" i="1"/>
  <c r="A561" i="1"/>
  <c r="F561" i="1"/>
  <c r="G561" i="1"/>
  <c r="I561" i="1"/>
  <c r="A562" i="1"/>
  <c r="F562" i="1"/>
  <c r="G562" i="1"/>
  <c r="I562" i="1"/>
  <c r="A563" i="1"/>
  <c r="F563" i="1"/>
  <c r="G563" i="1"/>
  <c r="I563" i="1"/>
  <c r="A564" i="1"/>
  <c r="F564" i="1"/>
  <c r="G564" i="1"/>
  <c r="I564" i="1"/>
  <c r="A565" i="1"/>
  <c r="F565" i="1"/>
  <c r="G565" i="1"/>
  <c r="I565" i="1"/>
  <c r="A566" i="1"/>
  <c r="F566" i="1"/>
  <c r="G566" i="1"/>
  <c r="I566" i="1"/>
  <c r="A567" i="1"/>
  <c r="F567" i="1"/>
  <c r="G567" i="1"/>
  <c r="I567" i="1"/>
  <c r="A568" i="1"/>
  <c r="F568" i="1"/>
  <c r="G568" i="1"/>
  <c r="I568" i="1"/>
  <c r="A569" i="1"/>
  <c r="F569" i="1"/>
  <c r="G569" i="1"/>
  <c r="I569" i="1"/>
  <c r="A570" i="1"/>
  <c r="F570" i="1"/>
  <c r="G570" i="1"/>
  <c r="I570" i="1"/>
  <c r="A571" i="1"/>
  <c r="F571" i="1"/>
  <c r="G571" i="1"/>
  <c r="I571" i="1"/>
  <c r="A572" i="1"/>
  <c r="F572" i="1"/>
  <c r="G572" i="1"/>
  <c r="I572" i="1"/>
  <c r="A573" i="1"/>
  <c r="F573" i="1"/>
  <c r="G573" i="1"/>
  <c r="I573" i="1"/>
  <c r="A574" i="1"/>
  <c r="F574" i="1"/>
  <c r="G574" i="1"/>
  <c r="A575" i="1"/>
  <c r="F575" i="1"/>
  <c r="G575" i="1"/>
  <c r="A576" i="1"/>
  <c r="F576" i="1"/>
  <c r="G576" i="1"/>
  <c r="I576" i="1"/>
  <c r="A577" i="1"/>
  <c r="F577" i="1"/>
  <c r="G577" i="1"/>
  <c r="I577" i="1"/>
  <c r="A578" i="1"/>
  <c r="F578" i="1"/>
  <c r="G578" i="1"/>
  <c r="I578" i="1"/>
  <c r="A579" i="1"/>
  <c r="F579" i="1"/>
  <c r="G579" i="1"/>
  <c r="I579" i="1"/>
  <c r="A580" i="1"/>
  <c r="F580" i="1"/>
  <c r="G580" i="1"/>
  <c r="I580" i="1"/>
  <c r="A581" i="1"/>
  <c r="F581" i="1"/>
  <c r="G581" i="1"/>
  <c r="I581" i="1"/>
  <c r="A582" i="1"/>
  <c r="F582" i="1"/>
  <c r="G582" i="1"/>
  <c r="I582" i="1"/>
  <c r="A583" i="1"/>
  <c r="F583" i="1"/>
  <c r="G583" i="1"/>
  <c r="I583" i="1"/>
  <c r="A584" i="1"/>
  <c r="F584" i="1"/>
  <c r="G584" i="1"/>
  <c r="I584" i="1"/>
  <c r="A585" i="1"/>
  <c r="F585" i="1"/>
  <c r="G585" i="1"/>
  <c r="I585" i="1"/>
  <c r="A586" i="1"/>
  <c r="F586" i="1"/>
  <c r="G586" i="1"/>
  <c r="I586" i="1"/>
  <c r="A587" i="1"/>
  <c r="F587" i="1"/>
  <c r="G587" i="1"/>
  <c r="I587" i="1"/>
  <c r="A588" i="1"/>
  <c r="F588" i="1"/>
  <c r="G588" i="1"/>
  <c r="I588" i="1"/>
  <c r="A589" i="1"/>
  <c r="F589" i="1"/>
  <c r="G589" i="1"/>
  <c r="I589" i="1"/>
  <c r="A590" i="1"/>
  <c r="F590" i="1"/>
  <c r="G590" i="1"/>
  <c r="I590" i="1"/>
  <c r="A591" i="1"/>
  <c r="F591" i="1"/>
  <c r="G591" i="1"/>
  <c r="I591" i="1"/>
  <c r="A592" i="1"/>
  <c r="F592" i="1"/>
  <c r="G592" i="1"/>
  <c r="I592" i="1"/>
  <c r="A593" i="1"/>
  <c r="F593" i="1"/>
  <c r="G593" i="1"/>
  <c r="I593" i="1"/>
  <c r="A594" i="1"/>
  <c r="F594" i="1"/>
  <c r="G594" i="1"/>
  <c r="I594" i="1"/>
  <c r="A595" i="1"/>
  <c r="F595" i="1"/>
  <c r="G595" i="1"/>
  <c r="I595" i="1"/>
  <c r="A596" i="1"/>
  <c r="F596" i="1"/>
  <c r="G596" i="1"/>
  <c r="I596" i="1"/>
  <c r="A597" i="1"/>
  <c r="F597" i="1"/>
  <c r="G597" i="1"/>
  <c r="I597" i="1"/>
  <c r="A598" i="1"/>
  <c r="F598" i="1"/>
  <c r="G598" i="1"/>
  <c r="I598" i="1"/>
  <c r="A599" i="1"/>
  <c r="F599" i="1"/>
  <c r="G599" i="1"/>
  <c r="I599" i="1"/>
  <c r="A600" i="1"/>
  <c r="F600" i="1"/>
  <c r="G600" i="1"/>
  <c r="I600" i="1"/>
  <c r="A601" i="1"/>
  <c r="F601" i="1"/>
  <c r="G601" i="1"/>
  <c r="I601" i="1"/>
  <c r="A602" i="1"/>
  <c r="F602" i="1"/>
  <c r="G602" i="1"/>
  <c r="I602" i="1"/>
  <c r="A603" i="1"/>
  <c r="F603" i="1"/>
  <c r="G603" i="1"/>
  <c r="I603" i="1"/>
  <c r="A604" i="1"/>
  <c r="F604" i="1"/>
  <c r="G604" i="1"/>
  <c r="I604" i="1"/>
  <c r="A605" i="1"/>
  <c r="F605" i="1"/>
  <c r="G605" i="1"/>
  <c r="I605" i="1"/>
  <c r="A606" i="1"/>
  <c r="F606" i="1"/>
  <c r="G606" i="1"/>
  <c r="I606" i="1"/>
  <c r="A607" i="1"/>
  <c r="F607" i="1"/>
  <c r="G607" i="1"/>
  <c r="I607" i="1"/>
  <c r="A608" i="1"/>
  <c r="F608" i="1"/>
  <c r="G608" i="1"/>
  <c r="I608" i="1"/>
  <c r="A609" i="1"/>
  <c r="F609" i="1"/>
  <c r="G609" i="1"/>
  <c r="I609" i="1"/>
  <c r="A610" i="1"/>
  <c r="F610" i="1"/>
  <c r="G610" i="1"/>
  <c r="I610" i="1"/>
  <c r="A611" i="1"/>
  <c r="F611" i="1"/>
  <c r="G611" i="1"/>
  <c r="I611" i="1"/>
  <c r="A612" i="1"/>
  <c r="F612" i="1"/>
  <c r="G612" i="1"/>
  <c r="I612" i="1"/>
  <c r="A613" i="1"/>
  <c r="F613" i="1"/>
  <c r="G613" i="1"/>
  <c r="I613" i="1"/>
  <c r="A614" i="1"/>
  <c r="F614" i="1"/>
  <c r="G614" i="1"/>
  <c r="I614" i="1"/>
  <c r="A615" i="1"/>
  <c r="F615" i="1"/>
  <c r="G615" i="1"/>
  <c r="I615" i="1"/>
  <c r="A616" i="1"/>
  <c r="F616" i="1"/>
  <c r="G616" i="1"/>
  <c r="I616" i="1"/>
  <c r="A617" i="1"/>
  <c r="F617" i="1"/>
  <c r="G617" i="1"/>
  <c r="I617" i="1"/>
  <c r="A618" i="1"/>
  <c r="F618" i="1"/>
  <c r="G618" i="1"/>
  <c r="I618" i="1"/>
  <c r="A619" i="1"/>
  <c r="F619" i="1"/>
  <c r="G619" i="1"/>
  <c r="I619" i="1"/>
  <c r="A620" i="1"/>
  <c r="F620" i="1"/>
  <c r="G620" i="1"/>
  <c r="I620" i="1"/>
  <c r="A621" i="1"/>
  <c r="F621" i="1"/>
  <c r="G621" i="1"/>
  <c r="I621" i="1"/>
  <c r="A622" i="1"/>
  <c r="F622" i="1"/>
  <c r="G622" i="1"/>
  <c r="I622" i="1"/>
  <c r="A623" i="1"/>
  <c r="F623" i="1"/>
  <c r="G623" i="1"/>
  <c r="I623" i="1"/>
  <c r="A624" i="1"/>
  <c r="F624" i="1"/>
  <c r="G624" i="1"/>
  <c r="I624" i="1"/>
  <c r="A625" i="1"/>
  <c r="F625" i="1"/>
  <c r="G625" i="1"/>
  <c r="I625" i="1"/>
  <c r="A626" i="1"/>
  <c r="F626" i="1"/>
  <c r="G626" i="1"/>
  <c r="I626" i="1"/>
  <c r="A627" i="1"/>
  <c r="F627" i="1"/>
  <c r="G627" i="1"/>
  <c r="I627" i="1"/>
  <c r="A628" i="1"/>
  <c r="F628" i="1"/>
  <c r="G628" i="1"/>
  <c r="I628" i="1"/>
  <c r="A629" i="1"/>
  <c r="F629" i="1"/>
  <c r="G629" i="1"/>
  <c r="I629" i="1"/>
  <c r="A630" i="1"/>
  <c r="F630" i="1"/>
  <c r="G630" i="1"/>
  <c r="I630" i="1"/>
  <c r="A631" i="1"/>
  <c r="F631" i="1"/>
  <c r="G631" i="1"/>
  <c r="I631" i="1"/>
  <c r="A632" i="1"/>
  <c r="F632" i="1"/>
  <c r="G632" i="1"/>
  <c r="I632" i="1"/>
  <c r="A633" i="1"/>
  <c r="F633" i="1"/>
  <c r="G633" i="1"/>
  <c r="I633" i="1"/>
  <c r="A634" i="1"/>
  <c r="F634" i="1"/>
  <c r="G634" i="1"/>
  <c r="I634" i="1"/>
  <c r="A635" i="1"/>
  <c r="F635" i="1"/>
  <c r="G635" i="1"/>
  <c r="I635" i="1"/>
  <c r="A636" i="1"/>
  <c r="F636" i="1"/>
  <c r="G636" i="1"/>
  <c r="I636" i="1"/>
  <c r="A637" i="1"/>
  <c r="F637" i="1"/>
  <c r="G637" i="1"/>
  <c r="I637" i="1"/>
  <c r="A638" i="1"/>
  <c r="F638" i="1"/>
  <c r="G638" i="1"/>
  <c r="I638" i="1"/>
  <c r="A639" i="1"/>
  <c r="F639" i="1"/>
  <c r="G639" i="1"/>
  <c r="I639" i="1"/>
  <c r="A640" i="1"/>
  <c r="F640" i="1"/>
  <c r="G640" i="1"/>
  <c r="I640" i="1"/>
  <c r="A641" i="1"/>
  <c r="F641" i="1"/>
  <c r="G641" i="1"/>
  <c r="I641" i="1"/>
  <c r="A642" i="1"/>
  <c r="F642" i="1"/>
  <c r="G642" i="1"/>
  <c r="I642" i="1"/>
  <c r="A643" i="1"/>
  <c r="F643" i="1"/>
  <c r="G643" i="1"/>
  <c r="I643" i="1"/>
  <c r="A644" i="1"/>
  <c r="F644" i="1"/>
  <c r="G644" i="1"/>
  <c r="I644" i="1"/>
  <c r="A645" i="1"/>
  <c r="F645" i="1"/>
  <c r="G645" i="1"/>
  <c r="I645" i="1"/>
  <c r="A646" i="1"/>
  <c r="F646" i="1"/>
  <c r="G646" i="1"/>
  <c r="I646" i="1"/>
  <c r="A647" i="1"/>
  <c r="F647" i="1"/>
  <c r="G647" i="1"/>
  <c r="I647" i="1"/>
  <c r="A648" i="1"/>
  <c r="F648" i="1"/>
  <c r="G648" i="1"/>
  <c r="I648" i="1"/>
  <c r="A649" i="1"/>
  <c r="F649" i="1"/>
  <c r="G649" i="1"/>
  <c r="I649" i="1"/>
  <c r="A650" i="1"/>
  <c r="F650" i="1"/>
  <c r="G650" i="1"/>
  <c r="I650" i="1"/>
  <c r="A651" i="1"/>
  <c r="F651" i="1"/>
  <c r="G651" i="1"/>
  <c r="I651" i="1"/>
  <c r="A652" i="1"/>
  <c r="F652" i="1"/>
  <c r="G652" i="1"/>
  <c r="I652" i="1"/>
  <c r="A653" i="1"/>
  <c r="F653" i="1"/>
  <c r="G653" i="1"/>
  <c r="I653" i="1"/>
  <c r="A654" i="1"/>
  <c r="F654" i="1"/>
  <c r="G654" i="1"/>
  <c r="I654" i="1"/>
  <c r="A655" i="1"/>
  <c r="F655" i="1"/>
  <c r="G655" i="1"/>
  <c r="I655" i="1"/>
  <c r="A656" i="1"/>
  <c r="F656" i="1"/>
  <c r="G656" i="1"/>
  <c r="I656" i="1"/>
  <c r="A657" i="1"/>
  <c r="F657" i="1"/>
  <c r="G657" i="1"/>
  <c r="I657" i="1"/>
  <c r="A658" i="1"/>
  <c r="F658" i="1"/>
  <c r="G658" i="1"/>
  <c r="I658" i="1"/>
  <c r="A659" i="1"/>
  <c r="F659" i="1"/>
  <c r="G659" i="1"/>
  <c r="I659" i="1"/>
  <c r="A660" i="1"/>
  <c r="F660" i="1"/>
  <c r="G660" i="1"/>
  <c r="I660" i="1"/>
  <c r="A661" i="1"/>
  <c r="F661" i="1"/>
  <c r="G661" i="1"/>
  <c r="I661" i="1"/>
  <c r="A662" i="1"/>
  <c r="F662" i="1"/>
  <c r="G662" i="1"/>
  <c r="I662" i="1"/>
  <c r="A663" i="1"/>
  <c r="F663" i="1"/>
  <c r="G663" i="1"/>
  <c r="I663" i="1"/>
  <c r="A664" i="1"/>
  <c r="F664" i="1"/>
  <c r="G664" i="1"/>
  <c r="I664" i="1"/>
  <c r="A665" i="1"/>
  <c r="F665" i="1"/>
  <c r="G665" i="1"/>
  <c r="I665" i="1"/>
  <c r="A666" i="1"/>
  <c r="F666" i="1"/>
  <c r="G666" i="1"/>
  <c r="I666" i="1"/>
  <c r="A667" i="1"/>
  <c r="F667" i="1"/>
  <c r="G667" i="1"/>
  <c r="I667" i="1"/>
  <c r="A668" i="1"/>
  <c r="F668" i="1"/>
  <c r="G668" i="1"/>
  <c r="I668" i="1"/>
  <c r="A669" i="1"/>
  <c r="F669" i="1"/>
  <c r="G669" i="1"/>
  <c r="I669" i="1"/>
  <c r="A670" i="1"/>
  <c r="F670" i="1"/>
  <c r="G670" i="1"/>
  <c r="I670" i="1"/>
  <c r="A671" i="1"/>
  <c r="F671" i="1"/>
  <c r="G671" i="1"/>
  <c r="I671" i="1"/>
  <c r="A672" i="1"/>
  <c r="F672" i="1"/>
  <c r="G672" i="1"/>
  <c r="I672" i="1"/>
  <c r="A673" i="1"/>
  <c r="F673" i="1"/>
  <c r="G673" i="1"/>
  <c r="I673" i="1"/>
  <c r="A674" i="1"/>
  <c r="F674" i="1"/>
  <c r="G674" i="1"/>
  <c r="I674" i="1"/>
  <c r="A675" i="1"/>
  <c r="F675" i="1"/>
  <c r="G675" i="1"/>
  <c r="I675" i="1"/>
  <c r="A676" i="1"/>
  <c r="F676" i="1"/>
  <c r="G676" i="1"/>
  <c r="I676" i="1"/>
  <c r="A677" i="1"/>
  <c r="F677" i="1"/>
  <c r="G677" i="1"/>
  <c r="I677" i="1"/>
  <c r="A678" i="1"/>
  <c r="F678" i="1"/>
  <c r="G678" i="1"/>
  <c r="I678" i="1"/>
  <c r="A679" i="1"/>
  <c r="F679" i="1"/>
  <c r="G679" i="1"/>
  <c r="I679" i="1"/>
  <c r="A680" i="1"/>
  <c r="F680" i="1"/>
  <c r="G680" i="1"/>
  <c r="I680" i="1"/>
  <c r="A681" i="1"/>
  <c r="F681" i="1"/>
  <c r="G681" i="1"/>
  <c r="I681" i="1"/>
  <c r="A682" i="1"/>
  <c r="F682" i="1"/>
  <c r="G682" i="1"/>
  <c r="I682" i="1"/>
  <c r="A683" i="1"/>
  <c r="F683" i="1"/>
  <c r="G683" i="1"/>
  <c r="I683" i="1"/>
  <c r="A684" i="1"/>
  <c r="F684" i="1"/>
  <c r="G684" i="1"/>
  <c r="I684" i="1"/>
  <c r="A685" i="1"/>
  <c r="F685" i="1"/>
  <c r="G685" i="1"/>
  <c r="I685" i="1"/>
  <c r="A686" i="1"/>
  <c r="F686" i="1"/>
  <c r="G686" i="1"/>
  <c r="I686" i="1"/>
  <c r="A687" i="1"/>
  <c r="F687" i="1"/>
  <c r="G687" i="1"/>
  <c r="I687" i="1"/>
  <c r="A688" i="1"/>
  <c r="F688" i="1"/>
  <c r="G688" i="1"/>
  <c r="I688" i="1"/>
  <c r="A689" i="1"/>
  <c r="H689" i="1"/>
  <c r="I689" i="1"/>
  <c r="A690" i="1"/>
  <c r="F690" i="1"/>
  <c r="G690" i="1"/>
  <c r="I690" i="1"/>
  <c r="A691" i="1"/>
  <c r="F691" i="1"/>
  <c r="G691" i="1"/>
  <c r="I691" i="1"/>
  <c r="A692" i="1"/>
  <c r="F692" i="1"/>
  <c r="G692" i="1"/>
  <c r="I692" i="1"/>
  <c r="A693" i="1"/>
  <c r="H693" i="1"/>
  <c r="I693" i="1"/>
  <c r="A694" i="1"/>
  <c r="H694" i="1"/>
  <c r="I694" i="1"/>
  <c r="A695" i="1"/>
  <c r="F695" i="1"/>
  <c r="G695" i="1"/>
  <c r="I695" i="1"/>
  <c r="A696" i="1"/>
  <c r="F696" i="1"/>
  <c r="G696" i="1"/>
  <c r="I696" i="1"/>
  <c r="A697" i="1"/>
  <c r="F697" i="1"/>
  <c r="G697" i="1"/>
  <c r="I697" i="1"/>
  <c r="A698" i="1"/>
  <c r="F698" i="1"/>
  <c r="G698" i="1"/>
  <c r="I698" i="1"/>
  <c r="A699" i="1"/>
  <c r="F699" i="1"/>
  <c r="G699" i="1"/>
  <c r="I699" i="1"/>
  <c r="A700" i="1"/>
  <c r="F700" i="1"/>
  <c r="G700" i="1"/>
  <c r="I700" i="1"/>
  <c r="A701" i="1"/>
  <c r="F701" i="1"/>
  <c r="G701" i="1"/>
  <c r="I701" i="1"/>
  <c r="A702" i="1"/>
  <c r="F702" i="1"/>
  <c r="G702" i="1"/>
  <c r="I702" i="1"/>
  <c r="A703" i="1"/>
  <c r="F703" i="1"/>
  <c r="G703" i="1"/>
  <c r="I703" i="1"/>
  <c r="A704" i="1"/>
  <c r="F704" i="1"/>
  <c r="G704" i="1"/>
  <c r="I704" i="1"/>
  <c r="A705" i="1"/>
  <c r="F705" i="1"/>
  <c r="G705" i="1"/>
  <c r="I705" i="1"/>
  <c r="A706" i="1"/>
  <c r="F706" i="1"/>
  <c r="G706" i="1"/>
  <c r="I706" i="1"/>
  <c r="A707" i="1"/>
  <c r="F707" i="1"/>
  <c r="G707" i="1"/>
  <c r="I707" i="1"/>
  <c r="A708" i="1"/>
  <c r="F708" i="1"/>
  <c r="G708" i="1"/>
  <c r="I708" i="1"/>
  <c r="A709" i="1"/>
  <c r="F709" i="1"/>
  <c r="G709" i="1"/>
  <c r="I709" i="1"/>
  <c r="A710" i="1"/>
  <c r="F710" i="1"/>
  <c r="G710" i="1"/>
  <c r="I710" i="1"/>
  <c r="A711" i="1"/>
  <c r="F711" i="1"/>
  <c r="G711" i="1"/>
  <c r="I711" i="1"/>
  <c r="A712" i="1"/>
  <c r="F712" i="1"/>
  <c r="G712" i="1"/>
  <c r="I712" i="1"/>
  <c r="A713" i="1"/>
  <c r="F713" i="1"/>
  <c r="G713" i="1"/>
  <c r="I713" i="1"/>
  <c r="A714" i="1"/>
  <c r="F714" i="1"/>
  <c r="G714" i="1"/>
  <c r="I714" i="1"/>
  <c r="A715" i="1"/>
  <c r="F715" i="1"/>
  <c r="G715" i="1"/>
  <c r="I715" i="1"/>
  <c r="A716" i="1"/>
  <c r="F716" i="1"/>
  <c r="G716" i="1"/>
  <c r="I716" i="1"/>
  <c r="A717" i="1"/>
  <c r="F717" i="1"/>
  <c r="G717" i="1"/>
  <c r="I717" i="1"/>
  <c r="A718" i="1"/>
  <c r="H718" i="1"/>
  <c r="I718" i="1"/>
  <c r="A719" i="1"/>
  <c r="F719" i="1"/>
  <c r="G719" i="1"/>
  <c r="I719" i="1"/>
  <c r="A720" i="1"/>
  <c r="F720" i="1"/>
  <c r="G720" i="1"/>
  <c r="I720" i="1"/>
  <c r="A721" i="1"/>
  <c r="F721" i="1"/>
  <c r="G721" i="1"/>
  <c r="I721" i="1"/>
  <c r="A722" i="1"/>
  <c r="F722" i="1"/>
  <c r="G722" i="1"/>
  <c r="I722" i="1"/>
  <c r="A723" i="1"/>
  <c r="F723" i="1"/>
  <c r="G723" i="1"/>
  <c r="I723" i="1"/>
  <c r="A724" i="1"/>
  <c r="F724" i="1"/>
  <c r="G724" i="1"/>
  <c r="I724" i="1"/>
  <c r="A725" i="1"/>
  <c r="F725" i="1"/>
  <c r="G725" i="1"/>
  <c r="I725" i="1"/>
  <c r="A726" i="1"/>
  <c r="F726" i="1"/>
  <c r="G726" i="1"/>
  <c r="I726" i="1"/>
  <c r="A727" i="1"/>
  <c r="F727" i="1"/>
  <c r="G727" i="1"/>
  <c r="I727" i="1"/>
  <c r="A728" i="1"/>
  <c r="F728" i="1"/>
  <c r="G728" i="1"/>
  <c r="I728" i="1"/>
  <c r="A729" i="1"/>
  <c r="F729" i="1"/>
  <c r="G729" i="1"/>
  <c r="I729" i="1"/>
  <c r="A730" i="1"/>
  <c r="F730" i="1"/>
  <c r="G730" i="1"/>
  <c r="I730" i="1"/>
  <c r="A731" i="1"/>
  <c r="F731" i="1"/>
  <c r="G731" i="1"/>
  <c r="I731" i="1"/>
  <c r="A732" i="1"/>
  <c r="F732" i="1"/>
  <c r="G732" i="1"/>
  <c r="I732" i="1"/>
  <c r="A733" i="1"/>
  <c r="F733" i="1"/>
  <c r="G733" i="1"/>
  <c r="I733" i="1"/>
  <c r="A734" i="1"/>
  <c r="F734" i="1"/>
  <c r="G734" i="1"/>
  <c r="I734" i="1"/>
  <c r="A735" i="1"/>
  <c r="F735" i="1"/>
  <c r="G735" i="1"/>
  <c r="I735" i="1"/>
  <c r="A736" i="1"/>
  <c r="F736" i="1"/>
  <c r="G736" i="1"/>
  <c r="I736" i="1"/>
  <c r="A737" i="1"/>
  <c r="F737" i="1"/>
  <c r="G737" i="1"/>
  <c r="I737" i="1"/>
  <c r="A738" i="1"/>
  <c r="F738" i="1"/>
  <c r="G738" i="1"/>
  <c r="I738" i="1"/>
  <c r="A739" i="1"/>
  <c r="F739" i="1"/>
  <c r="G739" i="1"/>
  <c r="I739" i="1"/>
  <c r="A740" i="1"/>
  <c r="F740" i="1"/>
  <c r="G740" i="1"/>
  <c r="I740" i="1"/>
  <c r="A741" i="1"/>
  <c r="F741" i="1"/>
  <c r="G741" i="1"/>
  <c r="I741" i="1"/>
  <c r="A742" i="1"/>
  <c r="F742" i="1"/>
  <c r="G742" i="1"/>
  <c r="I742" i="1"/>
  <c r="A743" i="1"/>
  <c r="F743" i="1"/>
  <c r="G743" i="1"/>
  <c r="I743" i="1"/>
  <c r="A744" i="1"/>
  <c r="F744" i="1"/>
  <c r="G744" i="1"/>
  <c r="I744" i="1"/>
  <c r="A745" i="1"/>
  <c r="F745" i="1"/>
  <c r="G745" i="1"/>
  <c r="I745" i="1"/>
  <c r="A746" i="1"/>
  <c r="F746" i="1"/>
  <c r="G746" i="1"/>
  <c r="I746" i="1"/>
  <c r="A747" i="1"/>
  <c r="F747" i="1"/>
  <c r="G747" i="1"/>
  <c r="I747" i="1"/>
  <c r="A748" i="1"/>
  <c r="F748" i="1"/>
  <c r="G748" i="1"/>
  <c r="I748" i="1"/>
  <c r="A749" i="1"/>
  <c r="F749" i="1"/>
  <c r="G749" i="1"/>
  <c r="I749" i="1"/>
  <c r="A750" i="1"/>
  <c r="F750" i="1"/>
  <c r="G750" i="1"/>
  <c r="I750" i="1"/>
  <c r="A751" i="1"/>
  <c r="F751" i="1"/>
  <c r="G751" i="1"/>
  <c r="I751" i="1"/>
  <c r="A752" i="1"/>
  <c r="F752" i="1"/>
  <c r="G752" i="1"/>
  <c r="I752" i="1"/>
  <c r="A753" i="1"/>
  <c r="F753" i="1"/>
  <c r="G753" i="1"/>
  <c r="I753" i="1"/>
  <c r="A754" i="1"/>
  <c r="F754" i="1"/>
  <c r="G754" i="1"/>
  <c r="I754" i="1"/>
  <c r="A755" i="1"/>
  <c r="F755" i="1"/>
  <c r="G755" i="1"/>
  <c r="I755" i="1"/>
  <c r="A756" i="1"/>
  <c r="F756" i="1"/>
  <c r="G756" i="1"/>
  <c r="I756" i="1"/>
  <c r="A757" i="1"/>
  <c r="F757" i="1"/>
  <c r="G757" i="1"/>
  <c r="I757" i="1"/>
  <c r="A758" i="1"/>
  <c r="F758" i="1"/>
  <c r="G758" i="1"/>
  <c r="I758" i="1"/>
  <c r="A759" i="1"/>
  <c r="F759" i="1"/>
  <c r="G759" i="1"/>
  <c r="I759" i="1"/>
  <c r="A760" i="1"/>
  <c r="F760" i="1"/>
  <c r="G760" i="1"/>
  <c r="I760" i="1"/>
  <c r="A761" i="1"/>
  <c r="F761" i="1"/>
  <c r="G761" i="1"/>
  <c r="I761" i="1"/>
  <c r="A762" i="1"/>
  <c r="F762" i="1"/>
  <c r="G762" i="1"/>
  <c r="I762" i="1"/>
  <c r="A763" i="1"/>
  <c r="F763" i="1"/>
  <c r="G763" i="1"/>
  <c r="I763" i="1"/>
  <c r="A764" i="1"/>
  <c r="F764" i="1"/>
  <c r="G764" i="1"/>
  <c r="I764" i="1"/>
  <c r="A765" i="1"/>
  <c r="F765" i="1"/>
  <c r="G765" i="1"/>
  <c r="I765" i="1"/>
  <c r="A766" i="1"/>
  <c r="F766" i="1"/>
  <c r="G766" i="1"/>
  <c r="I766" i="1"/>
  <c r="A767" i="1"/>
  <c r="F767" i="1"/>
  <c r="G767" i="1"/>
  <c r="I767" i="1"/>
  <c r="A768" i="1"/>
  <c r="F768" i="1"/>
  <c r="G768" i="1"/>
  <c r="I768" i="1"/>
  <c r="A769" i="1"/>
  <c r="F769" i="1"/>
  <c r="G769" i="1"/>
  <c r="I769" i="1"/>
  <c r="A770" i="1"/>
  <c r="F770" i="1"/>
  <c r="G770" i="1"/>
  <c r="I770" i="1"/>
  <c r="A771" i="1"/>
  <c r="F771" i="1"/>
  <c r="G771" i="1"/>
  <c r="I771" i="1"/>
  <c r="A772" i="1"/>
  <c r="F772" i="1"/>
  <c r="G772" i="1"/>
  <c r="I772" i="1"/>
  <c r="A773" i="1"/>
  <c r="F773" i="1"/>
  <c r="G773" i="1"/>
  <c r="I773" i="1"/>
  <c r="A774" i="1"/>
  <c r="F774" i="1"/>
  <c r="G774" i="1"/>
  <c r="I774" i="1"/>
  <c r="A775" i="1"/>
  <c r="F775" i="1"/>
  <c r="G775" i="1"/>
  <c r="I775" i="1"/>
  <c r="A776" i="1"/>
  <c r="F776" i="1"/>
  <c r="G776" i="1"/>
  <c r="I776" i="1"/>
  <c r="A777" i="1"/>
  <c r="F777" i="1"/>
  <c r="G777" i="1"/>
  <c r="I777" i="1"/>
  <c r="A778" i="1"/>
  <c r="F778" i="1"/>
  <c r="G778" i="1"/>
  <c r="I778" i="1"/>
  <c r="A779" i="1"/>
  <c r="F779" i="1"/>
  <c r="G779" i="1"/>
  <c r="I779" i="1"/>
  <c r="A780" i="1"/>
  <c r="F780" i="1"/>
  <c r="G780" i="1"/>
  <c r="I780" i="1"/>
  <c r="A781" i="1"/>
  <c r="F781" i="1"/>
  <c r="G781" i="1"/>
  <c r="I781" i="1"/>
  <c r="A782" i="1"/>
  <c r="F782" i="1"/>
  <c r="G782" i="1"/>
  <c r="I782" i="1"/>
  <c r="A783" i="1"/>
  <c r="F783" i="1"/>
  <c r="G783" i="1"/>
  <c r="I783" i="1"/>
  <c r="A784" i="1"/>
  <c r="F784" i="1"/>
  <c r="G784" i="1"/>
  <c r="I784" i="1"/>
  <c r="A785" i="1"/>
  <c r="F785" i="1"/>
  <c r="G785" i="1"/>
  <c r="I785" i="1"/>
  <c r="A786" i="1"/>
  <c r="F786" i="1"/>
  <c r="G786" i="1"/>
  <c r="I786" i="1"/>
  <c r="A787" i="1"/>
  <c r="F787" i="1"/>
  <c r="G787" i="1"/>
  <c r="I787" i="1"/>
  <c r="A788" i="1"/>
  <c r="F788" i="1"/>
  <c r="G788" i="1"/>
  <c r="I788" i="1"/>
  <c r="A789" i="1"/>
  <c r="F789" i="1"/>
  <c r="G789" i="1"/>
  <c r="I789" i="1"/>
  <c r="A790" i="1"/>
  <c r="F790" i="1"/>
  <c r="G790" i="1"/>
  <c r="I790" i="1"/>
  <c r="A791" i="1"/>
  <c r="F791" i="1"/>
  <c r="G791" i="1"/>
  <c r="I791" i="1"/>
  <c r="A792" i="1"/>
  <c r="F792" i="1"/>
  <c r="G792" i="1"/>
  <c r="I792" i="1"/>
  <c r="A793" i="1"/>
  <c r="F793" i="1"/>
  <c r="G793" i="1"/>
  <c r="I793" i="1"/>
  <c r="A794" i="1"/>
  <c r="F794" i="1"/>
  <c r="G794" i="1"/>
  <c r="I794" i="1"/>
  <c r="A795" i="1"/>
  <c r="F795" i="1"/>
  <c r="G795" i="1"/>
  <c r="I795" i="1"/>
  <c r="A796" i="1"/>
  <c r="H796" i="1"/>
  <c r="I796" i="1"/>
  <c r="A797" i="1"/>
  <c r="F797" i="1"/>
  <c r="G797" i="1"/>
  <c r="I797" i="1"/>
  <c r="A798" i="1"/>
  <c r="F798" i="1"/>
  <c r="G798" i="1"/>
  <c r="I798" i="1"/>
  <c r="A799" i="1"/>
  <c r="F799" i="1"/>
  <c r="G799" i="1"/>
  <c r="I799" i="1"/>
  <c r="A800" i="1"/>
  <c r="H800" i="1"/>
  <c r="I800" i="1"/>
  <c r="A801" i="1"/>
  <c r="F801" i="1"/>
  <c r="G801" i="1"/>
  <c r="I801" i="1"/>
  <c r="A802" i="1"/>
  <c r="F802" i="1"/>
  <c r="G802" i="1"/>
  <c r="I802" i="1"/>
  <c r="A803" i="1"/>
  <c r="F803" i="1"/>
  <c r="G803" i="1"/>
  <c r="I803" i="1"/>
  <c r="A804" i="1"/>
  <c r="F804" i="1"/>
  <c r="G804" i="1"/>
  <c r="I804" i="1"/>
  <c r="A805" i="1"/>
  <c r="F805" i="1"/>
  <c r="G805" i="1"/>
  <c r="I805" i="1"/>
  <c r="A806" i="1"/>
  <c r="F806" i="1"/>
  <c r="G806" i="1"/>
  <c r="I806" i="1"/>
  <c r="A807" i="1"/>
  <c r="H807" i="1"/>
  <c r="I807" i="1"/>
  <c r="A808" i="1"/>
  <c r="H808" i="1"/>
  <c r="I808" i="1"/>
  <c r="A809" i="1"/>
  <c r="F809" i="1"/>
  <c r="G809" i="1"/>
  <c r="I809" i="1"/>
  <c r="A810" i="1"/>
  <c r="F810" i="1"/>
  <c r="G810" i="1"/>
  <c r="I810" i="1"/>
  <c r="A811" i="1"/>
  <c r="F811" i="1"/>
  <c r="G811" i="1"/>
  <c r="I811" i="1"/>
  <c r="A812" i="1"/>
  <c r="F812" i="1"/>
  <c r="G812" i="1"/>
  <c r="I812" i="1"/>
  <c r="A813" i="1"/>
  <c r="F813" i="1"/>
  <c r="G813" i="1"/>
  <c r="I813" i="1"/>
  <c r="A814" i="1"/>
  <c r="F814" i="1"/>
  <c r="G814" i="1"/>
  <c r="I814" i="1"/>
  <c r="A815" i="1"/>
  <c r="F815" i="1"/>
  <c r="G815" i="1"/>
  <c r="I815" i="1"/>
  <c r="A816" i="1"/>
  <c r="F816" i="1"/>
  <c r="G816" i="1"/>
  <c r="I816" i="1"/>
  <c r="A817" i="1"/>
  <c r="F817" i="1"/>
  <c r="G817" i="1"/>
  <c r="I817" i="1"/>
  <c r="A818" i="1"/>
  <c r="F818" i="1"/>
  <c r="G818" i="1"/>
  <c r="I818" i="1"/>
  <c r="A819" i="1"/>
  <c r="F819" i="1"/>
  <c r="G819" i="1"/>
  <c r="I819" i="1"/>
  <c r="A820" i="1"/>
  <c r="F820" i="1"/>
  <c r="G820" i="1"/>
  <c r="I820" i="1"/>
  <c r="A821" i="1"/>
  <c r="F821" i="1"/>
  <c r="G821" i="1"/>
  <c r="I821" i="1"/>
  <c r="A822" i="1"/>
  <c r="F822" i="1"/>
  <c r="G822" i="1"/>
  <c r="I822" i="1"/>
  <c r="A823" i="1"/>
  <c r="F823" i="1"/>
  <c r="G823" i="1"/>
  <c r="I823" i="1"/>
  <c r="A824" i="1"/>
  <c r="F824" i="1"/>
  <c r="G824" i="1"/>
  <c r="I824" i="1"/>
  <c r="A825" i="1"/>
  <c r="F825" i="1"/>
  <c r="G825" i="1"/>
  <c r="I825" i="1"/>
  <c r="A826" i="1"/>
  <c r="F826" i="1"/>
  <c r="G826" i="1"/>
  <c r="I826" i="1"/>
  <c r="A827" i="1"/>
  <c r="F827" i="1"/>
  <c r="G827" i="1"/>
  <c r="I827" i="1"/>
  <c r="A828" i="1"/>
  <c r="F828" i="1"/>
  <c r="G828" i="1"/>
  <c r="I828" i="1"/>
  <c r="A829" i="1"/>
  <c r="F829" i="1"/>
  <c r="G829" i="1"/>
  <c r="I829" i="1"/>
  <c r="A830" i="1"/>
  <c r="F830" i="1"/>
  <c r="G830" i="1"/>
  <c r="I830" i="1"/>
  <c r="A831" i="1"/>
  <c r="F831" i="1"/>
  <c r="G831" i="1"/>
  <c r="I831" i="1"/>
  <c r="A832" i="1"/>
  <c r="F832" i="1"/>
  <c r="G832" i="1"/>
  <c r="I832" i="1"/>
  <c r="A833" i="1"/>
  <c r="F833" i="1"/>
  <c r="G833" i="1"/>
  <c r="I833" i="1"/>
  <c r="A834" i="1"/>
  <c r="F834" i="1"/>
  <c r="G834" i="1"/>
  <c r="I834" i="1"/>
  <c r="A835" i="1"/>
  <c r="F835" i="1"/>
  <c r="G835" i="1"/>
  <c r="I835" i="1"/>
  <c r="A836" i="1"/>
  <c r="F836" i="1"/>
  <c r="G836" i="1"/>
  <c r="I836" i="1"/>
  <c r="A837" i="1"/>
  <c r="F837" i="1"/>
  <c r="G837" i="1"/>
  <c r="I837" i="1"/>
  <c r="A838" i="1"/>
  <c r="F838" i="1"/>
  <c r="G838" i="1"/>
  <c r="I838" i="1"/>
  <c r="A839" i="1"/>
  <c r="F839" i="1"/>
  <c r="G839" i="1"/>
  <c r="I839" i="1"/>
  <c r="A840" i="1"/>
  <c r="F840" i="1"/>
  <c r="G840" i="1"/>
  <c r="I840" i="1"/>
  <c r="A841" i="1"/>
  <c r="F841" i="1"/>
  <c r="G841" i="1"/>
  <c r="I841" i="1"/>
  <c r="A842" i="1"/>
  <c r="F842" i="1"/>
  <c r="G842" i="1"/>
  <c r="I842" i="1"/>
  <c r="A843" i="1"/>
  <c r="H843" i="1"/>
  <c r="I843" i="1"/>
  <c r="A844" i="1"/>
  <c r="F844" i="1"/>
  <c r="G844" i="1"/>
  <c r="I844" i="1"/>
  <c r="A845" i="1"/>
  <c r="F845" i="1"/>
  <c r="G845" i="1"/>
  <c r="I845" i="1"/>
  <c r="A846" i="1"/>
  <c r="F846" i="1"/>
  <c r="G846" i="1"/>
  <c r="I846" i="1"/>
  <c r="A847" i="1"/>
  <c r="F847" i="1"/>
  <c r="G847" i="1"/>
  <c r="I847" i="1"/>
  <c r="A848" i="1"/>
  <c r="F848" i="1"/>
  <c r="G848" i="1"/>
  <c r="I848" i="1"/>
  <c r="A849" i="1"/>
  <c r="F849" i="1"/>
  <c r="G849" i="1"/>
  <c r="I849" i="1"/>
  <c r="A850" i="1"/>
  <c r="H850" i="1"/>
  <c r="I850" i="1"/>
  <c r="A851" i="1"/>
  <c r="F851" i="1"/>
  <c r="G851" i="1"/>
  <c r="I851" i="1"/>
  <c r="A852" i="1"/>
  <c r="F852" i="1"/>
  <c r="G852" i="1"/>
  <c r="I852" i="1"/>
  <c r="A853" i="1"/>
  <c r="F853" i="1"/>
  <c r="G853" i="1"/>
  <c r="I853" i="1"/>
  <c r="A854" i="1"/>
  <c r="F854" i="1"/>
  <c r="G854" i="1"/>
  <c r="I854" i="1"/>
  <c r="A855" i="1"/>
  <c r="F855" i="1"/>
  <c r="G855" i="1"/>
  <c r="I855" i="1"/>
  <c r="A856" i="1"/>
  <c r="F856" i="1"/>
  <c r="G856" i="1"/>
  <c r="I856" i="1"/>
  <c r="A857" i="1"/>
  <c r="F857" i="1"/>
  <c r="G857" i="1"/>
  <c r="I857" i="1"/>
  <c r="A858" i="1"/>
  <c r="F858" i="1"/>
  <c r="G858" i="1"/>
  <c r="I858" i="1"/>
  <c r="A859" i="1"/>
  <c r="F859" i="1"/>
  <c r="G859" i="1"/>
  <c r="I859" i="1"/>
  <c r="A860" i="1"/>
  <c r="F860" i="1"/>
  <c r="G860" i="1"/>
  <c r="I860" i="1"/>
  <c r="A861" i="1"/>
  <c r="F861" i="1"/>
  <c r="G861" i="1"/>
  <c r="I861" i="1"/>
  <c r="A862" i="1"/>
  <c r="F862" i="1"/>
  <c r="G862" i="1"/>
  <c r="I862" i="1"/>
  <c r="A863" i="1"/>
  <c r="F863" i="1"/>
  <c r="G863" i="1"/>
  <c r="I863" i="1"/>
  <c r="A864" i="1"/>
  <c r="F864" i="1"/>
  <c r="G864" i="1"/>
  <c r="I864" i="1"/>
  <c r="A865" i="1"/>
  <c r="H865" i="1"/>
  <c r="I865" i="1"/>
  <c r="A866" i="1"/>
  <c r="F866" i="1"/>
  <c r="G866" i="1"/>
  <c r="I866" i="1"/>
  <c r="A867" i="1"/>
  <c r="F867" i="1"/>
  <c r="G867" i="1"/>
  <c r="I867" i="1"/>
  <c r="A868" i="1"/>
  <c r="F868" i="1"/>
  <c r="G868" i="1"/>
  <c r="I868" i="1"/>
  <c r="A869" i="1"/>
  <c r="F869" i="1"/>
  <c r="G869" i="1"/>
  <c r="I869" i="1"/>
  <c r="A870" i="1"/>
  <c r="F870" i="1"/>
  <c r="G870" i="1"/>
  <c r="I870" i="1"/>
  <c r="A871" i="1"/>
  <c r="F871" i="1"/>
  <c r="G871" i="1"/>
  <c r="I871" i="1"/>
  <c r="A872" i="1"/>
  <c r="F872" i="1"/>
  <c r="G872" i="1"/>
  <c r="I872" i="1"/>
  <c r="A873" i="1"/>
  <c r="F873" i="1"/>
  <c r="G873" i="1"/>
  <c r="I873" i="1"/>
  <c r="A874" i="1"/>
  <c r="F874" i="1"/>
  <c r="G874" i="1"/>
  <c r="I874" i="1"/>
  <c r="A875" i="1"/>
  <c r="F875" i="1"/>
  <c r="G875" i="1"/>
  <c r="I875" i="1"/>
  <c r="A876" i="1"/>
  <c r="F876" i="1"/>
  <c r="G876" i="1"/>
  <c r="I876" i="1"/>
  <c r="A877" i="1"/>
  <c r="F877" i="1"/>
  <c r="G877" i="1"/>
  <c r="I877" i="1"/>
  <c r="A878" i="1"/>
  <c r="F878" i="1"/>
  <c r="G878" i="1"/>
  <c r="I878" i="1"/>
  <c r="A879" i="1"/>
  <c r="F879" i="1"/>
  <c r="G879" i="1"/>
  <c r="I879" i="1"/>
  <c r="A880" i="1"/>
  <c r="F880" i="1"/>
  <c r="G880" i="1"/>
  <c r="I880" i="1"/>
  <c r="A881" i="1"/>
  <c r="F881" i="1"/>
  <c r="G881" i="1"/>
  <c r="I881" i="1"/>
  <c r="A882" i="1"/>
  <c r="F882" i="1"/>
  <c r="G882" i="1"/>
  <c r="I882" i="1"/>
  <c r="A883" i="1"/>
  <c r="F883" i="1"/>
  <c r="G883" i="1"/>
  <c r="I883" i="1"/>
  <c r="A884" i="1"/>
  <c r="F884" i="1"/>
  <c r="G884" i="1"/>
  <c r="I884" i="1"/>
  <c r="A885" i="1"/>
  <c r="F885" i="1"/>
  <c r="G885" i="1"/>
  <c r="I885" i="1"/>
  <c r="A886" i="1"/>
  <c r="F886" i="1"/>
  <c r="G886" i="1"/>
  <c r="I886" i="1"/>
  <c r="A887" i="1"/>
  <c r="F887" i="1"/>
  <c r="G887" i="1"/>
  <c r="I887" i="1"/>
  <c r="A888" i="1"/>
  <c r="F888" i="1"/>
  <c r="G888" i="1"/>
  <c r="I888" i="1"/>
  <c r="A889" i="1"/>
  <c r="F889" i="1"/>
  <c r="G889" i="1"/>
  <c r="I889" i="1"/>
  <c r="A890" i="1"/>
  <c r="F890" i="1"/>
  <c r="G890" i="1"/>
  <c r="I890" i="1"/>
  <c r="A891" i="1"/>
  <c r="F891" i="1"/>
  <c r="G891" i="1"/>
  <c r="I891" i="1"/>
  <c r="A892" i="1"/>
  <c r="F892" i="1"/>
  <c r="G892" i="1"/>
  <c r="I892" i="1"/>
  <c r="A893" i="1"/>
  <c r="F893" i="1"/>
  <c r="G893" i="1"/>
  <c r="I893" i="1"/>
  <c r="A894" i="1"/>
  <c r="F894" i="1"/>
  <c r="G894" i="1"/>
  <c r="I894" i="1"/>
  <c r="A895" i="1"/>
  <c r="F895" i="1"/>
  <c r="G895" i="1"/>
  <c r="I895" i="1"/>
  <c r="A896" i="1"/>
  <c r="F896" i="1"/>
  <c r="G896" i="1"/>
  <c r="I896" i="1"/>
  <c r="A897" i="1"/>
  <c r="H897" i="1"/>
  <c r="I897" i="1"/>
  <c r="A898" i="1"/>
  <c r="H898" i="1"/>
  <c r="I898" i="1"/>
  <c r="A899" i="1"/>
  <c r="F899" i="1"/>
  <c r="G899" i="1"/>
  <c r="I899" i="1"/>
  <c r="A900" i="1"/>
  <c r="F900" i="1"/>
  <c r="G900" i="1"/>
  <c r="I900" i="1"/>
  <c r="A901" i="1"/>
  <c r="F901" i="1"/>
  <c r="G901" i="1"/>
  <c r="I901" i="1"/>
  <c r="A902" i="1"/>
  <c r="F902" i="1"/>
  <c r="G902" i="1"/>
  <c r="I902" i="1"/>
  <c r="A903" i="1"/>
  <c r="F903" i="1"/>
  <c r="G903" i="1"/>
  <c r="I903" i="1"/>
  <c r="A904" i="1"/>
  <c r="F904" i="1"/>
  <c r="G904" i="1"/>
  <c r="I904" i="1"/>
  <c r="A905" i="1"/>
  <c r="F905" i="1"/>
  <c r="G905" i="1"/>
  <c r="I905" i="1"/>
  <c r="A906" i="1"/>
  <c r="F906" i="1"/>
  <c r="G906" i="1"/>
  <c r="I906" i="1"/>
  <c r="A907" i="1"/>
  <c r="F907" i="1"/>
  <c r="G907" i="1"/>
  <c r="I907" i="1"/>
  <c r="A908" i="1"/>
  <c r="F908" i="1"/>
  <c r="G908" i="1"/>
  <c r="I908" i="1"/>
  <c r="A909" i="1"/>
  <c r="F909" i="1"/>
  <c r="G909" i="1"/>
  <c r="I909" i="1"/>
  <c r="A910" i="1"/>
  <c r="F910" i="1"/>
  <c r="G910" i="1"/>
  <c r="I910" i="1"/>
  <c r="A911" i="1"/>
  <c r="F911" i="1"/>
  <c r="G911" i="1"/>
  <c r="I911" i="1"/>
  <c r="A912" i="1"/>
  <c r="F912" i="1"/>
  <c r="G912" i="1"/>
  <c r="I912" i="1"/>
  <c r="A913" i="1"/>
  <c r="F913" i="1"/>
  <c r="G913" i="1"/>
  <c r="I913" i="1"/>
  <c r="A914" i="1"/>
  <c r="F914" i="1"/>
  <c r="G914" i="1"/>
  <c r="I914" i="1"/>
  <c r="A915" i="1"/>
  <c r="F915" i="1"/>
  <c r="G915" i="1"/>
  <c r="I915" i="1"/>
  <c r="A916" i="1"/>
  <c r="F916" i="1"/>
  <c r="G916" i="1"/>
  <c r="I916" i="1"/>
  <c r="A917" i="1"/>
  <c r="F917" i="1"/>
  <c r="G917" i="1"/>
  <c r="I917" i="1"/>
  <c r="A918" i="1"/>
  <c r="F918" i="1"/>
  <c r="G918" i="1"/>
  <c r="I918" i="1"/>
  <c r="A919" i="1"/>
  <c r="F919" i="1"/>
  <c r="G919" i="1"/>
  <c r="I919" i="1"/>
  <c r="A920" i="1"/>
  <c r="F920" i="1"/>
  <c r="G920" i="1"/>
  <c r="I920" i="1"/>
  <c r="A921" i="1"/>
  <c r="F921" i="1"/>
  <c r="G921" i="1"/>
  <c r="I921" i="1"/>
  <c r="A922" i="1"/>
  <c r="F922" i="1"/>
  <c r="G922" i="1"/>
  <c r="I922" i="1"/>
  <c r="A923" i="1"/>
  <c r="F923" i="1"/>
  <c r="G923" i="1"/>
  <c r="I923" i="1"/>
  <c r="A924" i="1"/>
  <c r="F924" i="1"/>
  <c r="G924" i="1"/>
  <c r="I924" i="1"/>
  <c r="A925" i="1"/>
  <c r="F925" i="1"/>
  <c r="G925" i="1"/>
  <c r="I925" i="1"/>
  <c r="A926" i="1"/>
  <c r="F926" i="1"/>
  <c r="G926" i="1"/>
  <c r="I926" i="1"/>
  <c r="A927" i="1"/>
  <c r="F927" i="1"/>
  <c r="G927" i="1"/>
  <c r="I927" i="1"/>
  <c r="A928" i="1"/>
  <c r="F928" i="1"/>
  <c r="G928" i="1"/>
  <c r="I928" i="1"/>
  <c r="A929" i="1"/>
  <c r="F929" i="1"/>
  <c r="G929" i="1"/>
  <c r="I929" i="1"/>
  <c r="A930" i="1"/>
  <c r="F930" i="1"/>
  <c r="G930" i="1"/>
  <c r="I930" i="1"/>
  <c r="A931" i="1"/>
  <c r="F931" i="1"/>
  <c r="G931" i="1"/>
  <c r="I931" i="1"/>
  <c r="A932" i="1"/>
  <c r="F932" i="1"/>
  <c r="G932" i="1"/>
  <c r="I932" i="1"/>
  <c r="A933" i="1"/>
  <c r="F933" i="1"/>
  <c r="G933" i="1"/>
  <c r="I933" i="1"/>
  <c r="A934" i="1"/>
  <c r="F934" i="1"/>
  <c r="G934" i="1"/>
  <c r="I934" i="1"/>
  <c r="A935" i="1"/>
  <c r="F935" i="1"/>
  <c r="G935" i="1"/>
  <c r="I935" i="1"/>
  <c r="A936" i="1"/>
  <c r="F936" i="1"/>
  <c r="G936" i="1"/>
  <c r="I936" i="1"/>
  <c r="A937" i="1"/>
  <c r="F937" i="1"/>
  <c r="G937" i="1"/>
  <c r="I937" i="1"/>
  <c r="A938" i="1"/>
  <c r="F938" i="1"/>
  <c r="G938" i="1"/>
  <c r="I938" i="1"/>
  <c r="A939" i="1"/>
  <c r="F939" i="1"/>
  <c r="G939" i="1"/>
  <c r="I939" i="1"/>
  <c r="A940" i="1"/>
  <c r="F940" i="1"/>
  <c r="G940" i="1"/>
  <c r="I940" i="1"/>
  <c r="A941" i="1"/>
  <c r="F941" i="1"/>
  <c r="G941" i="1"/>
  <c r="I941" i="1"/>
  <c r="A942" i="1"/>
  <c r="F942" i="1"/>
  <c r="G942" i="1"/>
  <c r="I942" i="1"/>
  <c r="A943" i="1"/>
  <c r="F943" i="1"/>
  <c r="G943" i="1"/>
  <c r="I943" i="1"/>
  <c r="A944" i="1"/>
  <c r="F944" i="1"/>
  <c r="G944" i="1"/>
  <c r="I944" i="1"/>
  <c r="A945" i="1"/>
  <c r="F945" i="1"/>
  <c r="G945" i="1"/>
  <c r="I945" i="1"/>
  <c r="A946" i="1"/>
  <c r="F946" i="1"/>
  <c r="G946" i="1"/>
  <c r="I946" i="1"/>
  <c r="A947" i="1"/>
  <c r="F947" i="1"/>
  <c r="G947" i="1"/>
  <c r="I947" i="1"/>
  <c r="A948" i="1"/>
  <c r="F948" i="1"/>
  <c r="G948" i="1"/>
  <c r="I948" i="1"/>
  <c r="A949" i="1"/>
  <c r="F949" i="1"/>
  <c r="G949" i="1"/>
  <c r="I949" i="1"/>
  <c r="A950" i="1"/>
  <c r="F950" i="1"/>
  <c r="G950" i="1"/>
  <c r="I950" i="1"/>
  <c r="A951" i="1"/>
  <c r="F951" i="1"/>
  <c r="G951" i="1"/>
  <c r="I951" i="1"/>
  <c r="A952" i="1"/>
  <c r="F952" i="1"/>
  <c r="G952" i="1"/>
  <c r="I952" i="1"/>
  <c r="A953" i="1"/>
  <c r="F953" i="1"/>
  <c r="G953" i="1"/>
  <c r="I953" i="1"/>
  <c r="A954" i="1"/>
  <c r="F954" i="1"/>
  <c r="G954" i="1"/>
  <c r="I954" i="1"/>
  <c r="A955" i="1"/>
  <c r="F955" i="1"/>
  <c r="G955" i="1"/>
  <c r="I955" i="1"/>
  <c r="A956" i="1"/>
  <c r="F956" i="1"/>
  <c r="G956" i="1"/>
  <c r="I956" i="1"/>
  <c r="A957" i="1"/>
  <c r="F957" i="1"/>
  <c r="G957" i="1"/>
  <c r="I957" i="1"/>
  <c r="A958" i="1"/>
  <c r="F958" i="1"/>
  <c r="G958" i="1"/>
  <c r="I958" i="1"/>
  <c r="A959" i="1"/>
  <c r="F959" i="1"/>
  <c r="G959" i="1"/>
  <c r="I959" i="1"/>
  <c r="A960" i="1"/>
  <c r="F960" i="1"/>
  <c r="G960" i="1"/>
  <c r="I960" i="1"/>
  <c r="A961" i="1"/>
  <c r="F961" i="1"/>
  <c r="G961" i="1"/>
  <c r="I961" i="1"/>
  <c r="A962" i="1"/>
  <c r="F962" i="1"/>
  <c r="G962" i="1"/>
  <c r="I962" i="1"/>
  <c r="A963" i="1"/>
  <c r="F963" i="1"/>
  <c r="G963" i="1"/>
  <c r="I963" i="1"/>
  <c r="A964" i="1"/>
  <c r="F964" i="1"/>
  <c r="G964" i="1"/>
  <c r="I964" i="1"/>
  <c r="A965" i="1"/>
  <c r="F965" i="1"/>
  <c r="G965" i="1"/>
  <c r="I965" i="1"/>
  <c r="A966" i="1"/>
  <c r="F966" i="1"/>
  <c r="G966" i="1"/>
  <c r="I966" i="1"/>
  <c r="A967" i="1"/>
  <c r="F967" i="1"/>
  <c r="G967" i="1"/>
  <c r="I967" i="1"/>
  <c r="A968" i="1"/>
  <c r="F968" i="1"/>
  <c r="G968" i="1"/>
  <c r="I968" i="1"/>
  <c r="A969" i="1"/>
  <c r="F969" i="1"/>
  <c r="G969" i="1"/>
  <c r="I969" i="1"/>
  <c r="A970" i="1"/>
  <c r="F970" i="1"/>
  <c r="G970" i="1"/>
  <c r="I970" i="1"/>
  <c r="A971" i="1"/>
  <c r="F971" i="1"/>
  <c r="G971" i="1"/>
  <c r="I971" i="1"/>
  <c r="A972" i="1"/>
  <c r="F972" i="1"/>
  <c r="G972" i="1"/>
  <c r="I972" i="1"/>
  <c r="A973" i="1"/>
  <c r="F973" i="1"/>
  <c r="G973" i="1"/>
  <c r="I973" i="1"/>
  <c r="A974" i="1"/>
  <c r="F974" i="1"/>
  <c r="G974" i="1"/>
  <c r="I974" i="1"/>
  <c r="A975" i="1"/>
  <c r="F975" i="1"/>
  <c r="G975" i="1"/>
  <c r="I975" i="1"/>
  <c r="A976" i="1"/>
  <c r="F976" i="1"/>
  <c r="G976" i="1"/>
  <c r="I976" i="1"/>
  <c r="A977" i="1"/>
  <c r="F977" i="1"/>
  <c r="G977" i="1"/>
  <c r="I977" i="1"/>
  <c r="A978" i="1"/>
  <c r="F978" i="1"/>
  <c r="G978" i="1"/>
  <c r="I978" i="1"/>
  <c r="A979" i="1"/>
  <c r="F979" i="1"/>
  <c r="G979" i="1"/>
  <c r="I979" i="1"/>
  <c r="A980" i="1"/>
  <c r="F980" i="1"/>
  <c r="G980" i="1"/>
  <c r="I980" i="1"/>
  <c r="A981" i="1"/>
  <c r="F981" i="1"/>
  <c r="G981" i="1"/>
  <c r="I981" i="1"/>
  <c r="A982" i="1"/>
  <c r="F982" i="1"/>
  <c r="G982" i="1"/>
  <c r="I982" i="1"/>
  <c r="A983" i="1"/>
  <c r="F983" i="1"/>
  <c r="G983" i="1"/>
  <c r="I983" i="1"/>
  <c r="A984" i="1"/>
  <c r="F984" i="1"/>
  <c r="G984" i="1"/>
  <c r="I984" i="1"/>
  <c r="A985" i="1"/>
  <c r="F985" i="1"/>
  <c r="G985" i="1"/>
  <c r="I985" i="1"/>
  <c r="A986" i="1"/>
  <c r="F986" i="1"/>
  <c r="G986" i="1"/>
  <c r="I986" i="1"/>
  <c r="A987" i="1"/>
  <c r="F987" i="1"/>
  <c r="G987" i="1"/>
  <c r="I987" i="1"/>
  <c r="A988" i="1"/>
  <c r="F988" i="1"/>
  <c r="G988" i="1"/>
  <c r="I988" i="1"/>
  <c r="A989" i="1"/>
  <c r="F989" i="1"/>
  <c r="G989" i="1"/>
  <c r="I989" i="1"/>
  <c r="A990" i="1"/>
  <c r="F990" i="1"/>
  <c r="G990" i="1"/>
  <c r="I990" i="1"/>
  <c r="A991" i="1"/>
  <c r="F991" i="1"/>
  <c r="G991" i="1"/>
  <c r="I991" i="1"/>
  <c r="A992" i="1"/>
  <c r="F992" i="1"/>
  <c r="G992" i="1"/>
  <c r="I992" i="1"/>
  <c r="A993" i="1"/>
  <c r="F993" i="1"/>
  <c r="G993" i="1"/>
  <c r="I993" i="1"/>
  <c r="A994" i="1"/>
  <c r="F994" i="1"/>
  <c r="G994" i="1"/>
  <c r="I994" i="1"/>
  <c r="A995" i="1"/>
  <c r="F995" i="1"/>
  <c r="G995" i="1"/>
  <c r="I995" i="1"/>
  <c r="A996" i="1"/>
  <c r="F996" i="1"/>
  <c r="G996" i="1"/>
  <c r="I996" i="1"/>
  <c r="A997" i="1"/>
  <c r="F997" i="1"/>
  <c r="G997" i="1"/>
  <c r="I997" i="1"/>
  <c r="A998" i="1"/>
  <c r="F998" i="1"/>
  <c r="G998" i="1"/>
  <c r="I998" i="1"/>
  <c r="A999" i="1"/>
  <c r="F999" i="1"/>
  <c r="G999" i="1"/>
  <c r="I999" i="1"/>
  <c r="A1000" i="1"/>
  <c r="F1000" i="1"/>
  <c r="G1000" i="1"/>
  <c r="I1000" i="1"/>
  <c r="A1001" i="1"/>
  <c r="F1001" i="1"/>
  <c r="G1001" i="1"/>
  <c r="I1001" i="1"/>
  <c r="A1002" i="1"/>
  <c r="F1002" i="1"/>
  <c r="G1002" i="1"/>
  <c r="I1002" i="1"/>
  <c r="A1003" i="1"/>
  <c r="F1003" i="1"/>
  <c r="G1003" i="1"/>
  <c r="I1003" i="1"/>
  <c r="A1004" i="1"/>
  <c r="F1004" i="1"/>
  <c r="G1004" i="1"/>
  <c r="I1004" i="1"/>
  <c r="A1005" i="1"/>
  <c r="F1005" i="1"/>
  <c r="G1005" i="1"/>
  <c r="I1005" i="1"/>
  <c r="A1006" i="1"/>
  <c r="F1006" i="1"/>
  <c r="G1006" i="1"/>
  <c r="I1006" i="1"/>
  <c r="A1007" i="1"/>
  <c r="F1007" i="1"/>
  <c r="G1007" i="1"/>
  <c r="I1007" i="1"/>
  <c r="A1008" i="1"/>
  <c r="F1008" i="1"/>
  <c r="G1008" i="1"/>
  <c r="I1008" i="1"/>
  <c r="A1009" i="1"/>
  <c r="F1009" i="1"/>
  <c r="G1009" i="1"/>
  <c r="I1009" i="1"/>
  <c r="A1010" i="1"/>
  <c r="F1010" i="1"/>
  <c r="G1010" i="1"/>
  <c r="I1010" i="1"/>
  <c r="A1011" i="1"/>
  <c r="F1011" i="1"/>
  <c r="G1011" i="1"/>
  <c r="I1011" i="1"/>
  <c r="A1012" i="1"/>
  <c r="F1012" i="1"/>
  <c r="G1012" i="1"/>
  <c r="I1012" i="1"/>
  <c r="A1013" i="1"/>
  <c r="F1013" i="1"/>
  <c r="G1013" i="1"/>
  <c r="I1013" i="1"/>
  <c r="A1014" i="1"/>
  <c r="F1014" i="1"/>
  <c r="G1014" i="1"/>
  <c r="I1014" i="1"/>
  <c r="A1015" i="1"/>
  <c r="F1015" i="1"/>
  <c r="G1015" i="1"/>
  <c r="I1015" i="1"/>
  <c r="A1016" i="1"/>
  <c r="F1016" i="1"/>
  <c r="G1016" i="1"/>
  <c r="I1016" i="1"/>
  <c r="A1017" i="1"/>
  <c r="F1017" i="1"/>
  <c r="G1017" i="1"/>
  <c r="I1017" i="1"/>
  <c r="A1018" i="1"/>
  <c r="F1018" i="1"/>
  <c r="G1018" i="1"/>
  <c r="I1018" i="1"/>
  <c r="A1019" i="1"/>
  <c r="F1019" i="1"/>
  <c r="G1019" i="1"/>
  <c r="I1019" i="1"/>
  <c r="A1020" i="1"/>
  <c r="F1020" i="1"/>
  <c r="G1020" i="1"/>
  <c r="I1020" i="1"/>
  <c r="A1021" i="1"/>
  <c r="F1021" i="1"/>
  <c r="G1021" i="1"/>
  <c r="I1021" i="1"/>
  <c r="A1022" i="1"/>
  <c r="F1022" i="1"/>
  <c r="G1022" i="1"/>
  <c r="I1022" i="1"/>
  <c r="A1023" i="1"/>
  <c r="F1023" i="1"/>
  <c r="G1023" i="1"/>
  <c r="I1023" i="1"/>
  <c r="A1024" i="1"/>
  <c r="F1024" i="1"/>
  <c r="G1024" i="1"/>
  <c r="I1024" i="1"/>
  <c r="A1025" i="1"/>
  <c r="F1025" i="1"/>
  <c r="G1025" i="1"/>
  <c r="I1025" i="1"/>
  <c r="A1026" i="1"/>
  <c r="F1026" i="1"/>
  <c r="G1026" i="1"/>
  <c r="I1026" i="1"/>
  <c r="A1027" i="1"/>
  <c r="F1027" i="1"/>
  <c r="G1027" i="1"/>
  <c r="I1027" i="1"/>
  <c r="A1028" i="1"/>
  <c r="F1028" i="1"/>
  <c r="G1028" i="1"/>
  <c r="I1028" i="1"/>
  <c r="A1029" i="1"/>
  <c r="F1029" i="1"/>
  <c r="G1029" i="1"/>
  <c r="I1029" i="1"/>
  <c r="A1030" i="1"/>
  <c r="F1030" i="1"/>
  <c r="G1030" i="1"/>
  <c r="I1030" i="1"/>
  <c r="A1031" i="1"/>
  <c r="F1031" i="1"/>
  <c r="G1031" i="1"/>
  <c r="I1031" i="1"/>
  <c r="A1032" i="1"/>
  <c r="F1032" i="1"/>
  <c r="G1032" i="1"/>
  <c r="I1032" i="1"/>
  <c r="A1033" i="1"/>
  <c r="F1033" i="1"/>
  <c r="G1033" i="1"/>
  <c r="I1033" i="1"/>
  <c r="A1034" i="1"/>
  <c r="F1034" i="1"/>
  <c r="G1034" i="1"/>
  <c r="I1034" i="1"/>
  <c r="A1035" i="1"/>
  <c r="F1035" i="1"/>
  <c r="G1035" i="1"/>
  <c r="I1035" i="1"/>
  <c r="A1036" i="1"/>
  <c r="F1036" i="1"/>
  <c r="G1036" i="1"/>
  <c r="I1036" i="1"/>
  <c r="A1037" i="1"/>
  <c r="F1037" i="1"/>
  <c r="G1037" i="1"/>
  <c r="I1037" i="1"/>
  <c r="A1038" i="1"/>
  <c r="F1038" i="1"/>
  <c r="G1038" i="1"/>
  <c r="I1038" i="1"/>
  <c r="A1039" i="1"/>
  <c r="F1039" i="1"/>
  <c r="G1039" i="1"/>
  <c r="I1039" i="1"/>
  <c r="A1040" i="1"/>
  <c r="F1040" i="1"/>
  <c r="G1040" i="1"/>
  <c r="I1040" i="1"/>
  <c r="A1041" i="1"/>
  <c r="F1041" i="1"/>
  <c r="G1041" i="1"/>
  <c r="I1041" i="1"/>
  <c r="A1042" i="1"/>
  <c r="F1042" i="1"/>
  <c r="G1042" i="1"/>
  <c r="I1042" i="1"/>
  <c r="A1043" i="1"/>
  <c r="F1043" i="1"/>
  <c r="G1043" i="1"/>
  <c r="I1043" i="1"/>
  <c r="A1044" i="1"/>
  <c r="F1044" i="1"/>
  <c r="G1044" i="1"/>
  <c r="I1044" i="1"/>
  <c r="A1045" i="1"/>
  <c r="F1045" i="1"/>
  <c r="G1045" i="1"/>
  <c r="I1045" i="1"/>
  <c r="A1046" i="1"/>
  <c r="F1046" i="1"/>
  <c r="G1046" i="1"/>
  <c r="I1046" i="1"/>
  <c r="A1047" i="1"/>
  <c r="F1047" i="1"/>
  <c r="G1047" i="1"/>
  <c r="I1047" i="1"/>
  <c r="A1048" i="1"/>
  <c r="F1048" i="1"/>
  <c r="G1048" i="1"/>
  <c r="I1048" i="1"/>
  <c r="A1049" i="1"/>
  <c r="F1049" i="1"/>
  <c r="G1049" i="1"/>
  <c r="I1049" i="1"/>
  <c r="A1050" i="1"/>
  <c r="F1050" i="1"/>
  <c r="G1050" i="1"/>
  <c r="I1050" i="1"/>
  <c r="A1051" i="1"/>
  <c r="F1051" i="1"/>
  <c r="G1051" i="1"/>
  <c r="I1051" i="1"/>
  <c r="A1052" i="1"/>
  <c r="F1052" i="1"/>
  <c r="G1052" i="1"/>
  <c r="I1052" i="1"/>
  <c r="A1053" i="1"/>
  <c r="F1053" i="1"/>
  <c r="G1053" i="1"/>
  <c r="I1053" i="1"/>
  <c r="A1054" i="1"/>
  <c r="F1054" i="1"/>
  <c r="G1054" i="1"/>
  <c r="I1054" i="1"/>
  <c r="A1055" i="1"/>
  <c r="F1055" i="1"/>
  <c r="G1055" i="1"/>
  <c r="I1055" i="1"/>
  <c r="A1056" i="1"/>
  <c r="H1056" i="1"/>
  <c r="I1056" i="1"/>
  <c r="A1057" i="1"/>
  <c r="F1057" i="1"/>
  <c r="G1057" i="1"/>
  <c r="I1057" i="1"/>
  <c r="A1058" i="1"/>
  <c r="H1058" i="1"/>
  <c r="I1058" i="1"/>
  <c r="A1059" i="1"/>
  <c r="H1059" i="1"/>
  <c r="I1059" i="1"/>
  <c r="A1060" i="1"/>
  <c r="H1060" i="1"/>
  <c r="I1060" i="1"/>
  <c r="A1061" i="1"/>
  <c r="H1061" i="1"/>
  <c r="I1061" i="1"/>
  <c r="A1062" i="1"/>
  <c r="H1062" i="1"/>
  <c r="I1062" i="1"/>
  <c r="A1063" i="1"/>
  <c r="F1063" i="1"/>
  <c r="G1063" i="1"/>
  <c r="I1063" i="1"/>
  <c r="A1064" i="1"/>
  <c r="F1064" i="1"/>
  <c r="G1064" i="1"/>
  <c r="I1064" i="1"/>
  <c r="A1065" i="1"/>
  <c r="F1065" i="1"/>
  <c r="G1065" i="1"/>
  <c r="I1065" i="1"/>
  <c r="A1066" i="1"/>
  <c r="F1066" i="1"/>
  <c r="G1066" i="1"/>
  <c r="I1066" i="1"/>
  <c r="A1067" i="1"/>
  <c r="F1067" i="1"/>
  <c r="G1067" i="1"/>
  <c r="I1067" i="1"/>
  <c r="A1068" i="1"/>
  <c r="F1068" i="1"/>
  <c r="G1068" i="1"/>
  <c r="I1068" i="1"/>
  <c r="A1069" i="1"/>
  <c r="F1069" i="1"/>
  <c r="G1069" i="1"/>
  <c r="I1069" i="1"/>
  <c r="A1070" i="1"/>
  <c r="F1070" i="1"/>
  <c r="G1070" i="1"/>
  <c r="I1070" i="1"/>
  <c r="A1071" i="1"/>
  <c r="F1071" i="1"/>
  <c r="G1071" i="1"/>
  <c r="I1071" i="1"/>
  <c r="A1072" i="1"/>
  <c r="F1072" i="1"/>
  <c r="G1072" i="1"/>
  <c r="I1072" i="1"/>
  <c r="A1073" i="1"/>
  <c r="H1073" i="1"/>
  <c r="I1073" i="1"/>
  <c r="A1074" i="1"/>
  <c r="F1074" i="1"/>
  <c r="G1074" i="1"/>
  <c r="I1074" i="1"/>
  <c r="A1075" i="1"/>
  <c r="F1075" i="1"/>
  <c r="G1075" i="1"/>
  <c r="I1075" i="1"/>
  <c r="A1076" i="1"/>
  <c r="F1076" i="1"/>
  <c r="G1076" i="1"/>
  <c r="I1076" i="1"/>
  <c r="A1077" i="1"/>
  <c r="F1077" i="1"/>
  <c r="G1077" i="1"/>
  <c r="I1077" i="1"/>
  <c r="A1078" i="1"/>
  <c r="F1078" i="1"/>
  <c r="G1078" i="1"/>
  <c r="I1078" i="1"/>
  <c r="A1079" i="1"/>
  <c r="F1079" i="1"/>
  <c r="G1079" i="1"/>
  <c r="I1079" i="1"/>
  <c r="A1080" i="1"/>
  <c r="F1080" i="1"/>
  <c r="G1080" i="1"/>
  <c r="I1080" i="1"/>
  <c r="A1081" i="1"/>
  <c r="F1081" i="1"/>
  <c r="G1081" i="1"/>
  <c r="I1081" i="1"/>
  <c r="A1082" i="1"/>
  <c r="F1082" i="1"/>
  <c r="G1082" i="1"/>
  <c r="I1082" i="1"/>
  <c r="A1083" i="1"/>
  <c r="F1083" i="1"/>
  <c r="G1083" i="1"/>
  <c r="I1083" i="1"/>
  <c r="A1084" i="1"/>
  <c r="F1084" i="1"/>
  <c r="G1084" i="1"/>
  <c r="I1084" i="1"/>
  <c r="A1085" i="1"/>
  <c r="F1085" i="1"/>
  <c r="G1085" i="1"/>
  <c r="I1085" i="1"/>
  <c r="A1086" i="1"/>
  <c r="F1086" i="1"/>
  <c r="G1086" i="1"/>
  <c r="I1086" i="1"/>
  <c r="A1087" i="1"/>
  <c r="H1087" i="1"/>
  <c r="I1087" i="1"/>
  <c r="A1088" i="1"/>
  <c r="F1088" i="1"/>
  <c r="G1088" i="1"/>
  <c r="I1088" i="1"/>
  <c r="A1089" i="1"/>
  <c r="F1089" i="1"/>
  <c r="G1089" i="1"/>
  <c r="I1089" i="1"/>
  <c r="A1090" i="1"/>
  <c r="F1090" i="1"/>
  <c r="G1090" i="1"/>
  <c r="I1090" i="1"/>
  <c r="A1091" i="1"/>
  <c r="F1091" i="1"/>
  <c r="G1091" i="1"/>
  <c r="I1091" i="1"/>
  <c r="A1092" i="1"/>
  <c r="F1092" i="1"/>
  <c r="G1092" i="1"/>
  <c r="I1092" i="1"/>
  <c r="A1093" i="1"/>
  <c r="H1093" i="1"/>
  <c r="I1093" i="1"/>
  <c r="A1094" i="1"/>
  <c r="F1094" i="1"/>
  <c r="G1094" i="1"/>
  <c r="I1094" i="1"/>
  <c r="A1095" i="1"/>
  <c r="F1095" i="1"/>
  <c r="G1095" i="1"/>
  <c r="I1095" i="1"/>
  <c r="A1096" i="1"/>
  <c r="F1096" i="1"/>
  <c r="G1096" i="1"/>
  <c r="I1096" i="1"/>
  <c r="A1097" i="1"/>
  <c r="F1097" i="1"/>
  <c r="G1097" i="1"/>
  <c r="I1097" i="1"/>
  <c r="A1098" i="1"/>
  <c r="F1098" i="1"/>
  <c r="G1098" i="1"/>
  <c r="I1098" i="1"/>
  <c r="A1099" i="1"/>
  <c r="F1099" i="1"/>
  <c r="G1099" i="1"/>
  <c r="I1099" i="1"/>
  <c r="A1100" i="1"/>
  <c r="F1100" i="1"/>
  <c r="G1100" i="1"/>
  <c r="I1100" i="1"/>
  <c r="A1101" i="1"/>
  <c r="F1101" i="1"/>
  <c r="G1101" i="1"/>
  <c r="I1101" i="1"/>
  <c r="A1102" i="1"/>
  <c r="F1102" i="1"/>
  <c r="G1102" i="1"/>
  <c r="I1102" i="1"/>
  <c r="A1103" i="1"/>
  <c r="F1103" i="1"/>
  <c r="G1103" i="1"/>
  <c r="I1103" i="1"/>
  <c r="A1104" i="1"/>
  <c r="F1104" i="1"/>
  <c r="G1104" i="1"/>
  <c r="I1104" i="1"/>
  <c r="A1105" i="1"/>
  <c r="F1105" i="1"/>
  <c r="G1105" i="1"/>
  <c r="I1105" i="1"/>
  <c r="A1106" i="1"/>
  <c r="F1106" i="1"/>
  <c r="G1106" i="1"/>
  <c r="I1106" i="1"/>
  <c r="A1107" i="1"/>
  <c r="F1107" i="1"/>
  <c r="G1107" i="1"/>
  <c r="I1107" i="1"/>
  <c r="A1108" i="1"/>
  <c r="F1108" i="1"/>
  <c r="G1108" i="1"/>
  <c r="I1108" i="1"/>
  <c r="A1109" i="1"/>
  <c r="F1109" i="1"/>
  <c r="G1109" i="1"/>
  <c r="I1109" i="1"/>
  <c r="A1110" i="1"/>
  <c r="F1110" i="1"/>
  <c r="G1110" i="1"/>
  <c r="I1110" i="1"/>
  <c r="A1111" i="1"/>
  <c r="F1111" i="1"/>
  <c r="G1111" i="1"/>
  <c r="I1111" i="1"/>
  <c r="A1112" i="1"/>
  <c r="F1112" i="1"/>
  <c r="G1112" i="1"/>
  <c r="I1112" i="1"/>
  <c r="A1113" i="1"/>
  <c r="F1113" i="1"/>
  <c r="G1113" i="1"/>
  <c r="I1113" i="1"/>
  <c r="A1114" i="1"/>
  <c r="F1114" i="1"/>
  <c r="G1114" i="1"/>
  <c r="I1114" i="1"/>
  <c r="A1115" i="1"/>
  <c r="F1115" i="1"/>
  <c r="G1115" i="1"/>
  <c r="I1115" i="1"/>
  <c r="A1116" i="1"/>
  <c r="F1116" i="1"/>
  <c r="G1116" i="1"/>
  <c r="I1116" i="1"/>
  <c r="A1117" i="1"/>
  <c r="F1117" i="1"/>
  <c r="G1117" i="1"/>
  <c r="I1117" i="1"/>
  <c r="A1118" i="1"/>
  <c r="F1118" i="1"/>
  <c r="G1118" i="1"/>
  <c r="I1118" i="1"/>
  <c r="A1119" i="1"/>
  <c r="H1119" i="1"/>
  <c r="I1119" i="1"/>
  <c r="A1120" i="1"/>
  <c r="F1120" i="1"/>
  <c r="G1120" i="1"/>
  <c r="I1120" i="1"/>
  <c r="A1121" i="1"/>
  <c r="F1121" i="1"/>
  <c r="G1121" i="1"/>
  <c r="I1121" i="1"/>
  <c r="A1122" i="1"/>
  <c r="F1122" i="1"/>
  <c r="G1122" i="1"/>
  <c r="I1122" i="1"/>
  <c r="A1123" i="1"/>
  <c r="F1123" i="1"/>
  <c r="G1123" i="1"/>
  <c r="I1123" i="1"/>
  <c r="A1124" i="1"/>
  <c r="F1124" i="1"/>
  <c r="G1124" i="1"/>
  <c r="I1124" i="1"/>
  <c r="A1125" i="1"/>
  <c r="F1125" i="1"/>
  <c r="G1125" i="1"/>
  <c r="I1125" i="1"/>
  <c r="A1126" i="1"/>
  <c r="F1126" i="1"/>
  <c r="G1126" i="1"/>
  <c r="I1126" i="1"/>
  <c r="A1127" i="1"/>
  <c r="F1127" i="1"/>
  <c r="G1127" i="1"/>
  <c r="I1127" i="1"/>
  <c r="A1128" i="1"/>
  <c r="F1128" i="1"/>
  <c r="G1128" i="1"/>
  <c r="I1128" i="1"/>
  <c r="A1129" i="1"/>
  <c r="F1129" i="1"/>
  <c r="G1129" i="1"/>
  <c r="I1129" i="1"/>
  <c r="A1130" i="1"/>
  <c r="F1130" i="1"/>
  <c r="G1130" i="1"/>
  <c r="I1130" i="1"/>
  <c r="A1131" i="1"/>
  <c r="F1131" i="1"/>
  <c r="G1131" i="1"/>
  <c r="I1131" i="1"/>
  <c r="A1132" i="1"/>
  <c r="F1132" i="1"/>
  <c r="G1132" i="1"/>
  <c r="I1132" i="1"/>
  <c r="A1133" i="1"/>
  <c r="F1133" i="1"/>
  <c r="G1133" i="1"/>
  <c r="I1133" i="1"/>
  <c r="A1134" i="1"/>
  <c r="F1134" i="1"/>
  <c r="G1134" i="1"/>
  <c r="I1134" i="1"/>
  <c r="A1135" i="1"/>
  <c r="F1135" i="1"/>
  <c r="G1135" i="1"/>
  <c r="I1135" i="1"/>
  <c r="A1136" i="1"/>
  <c r="F1136" i="1"/>
  <c r="G1136" i="1"/>
  <c r="I1136" i="1"/>
  <c r="A1137" i="1"/>
  <c r="F1137" i="1"/>
  <c r="G1137" i="1"/>
  <c r="I1137" i="1"/>
  <c r="A1138" i="1"/>
  <c r="F1138" i="1"/>
  <c r="G1138" i="1"/>
  <c r="I1138" i="1"/>
  <c r="A1139" i="1"/>
  <c r="F1139" i="1"/>
  <c r="G1139" i="1"/>
  <c r="I1139" i="1"/>
  <c r="A1140" i="1"/>
  <c r="F1140" i="1"/>
  <c r="G1140" i="1"/>
  <c r="I1140" i="1"/>
  <c r="A1141" i="1"/>
  <c r="F1141" i="1"/>
  <c r="G1141" i="1"/>
  <c r="I1141" i="1"/>
  <c r="A1142" i="1"/>
  <c r="F1142" i="1"/>
  <c r="G1142" i="1"/>
  <c r="I1142" i="1"/>
  <c r="A1143" i="1"/>
  <c r="F1143" i="1"/>
  <c r="G1143" i="1"/>
  <c r="I1143" i="1"/>
  <c r="A1144" i="1"/>
  <c r="F1144" i="1"/>
  <c r="G1144" i="1"/>
  <c r="I1144" i="1"/>
  <c r="A1145" i="1"/>
  <c r="F1145" i="1"/>
  <c r="G1145" i="1"/>
  <c r="I1145" i="1"/>
  <c r="A1146" i="1"/>
  <c r="F1146" i="1"/>
  <c r="G1146" i="1"/>
  <c r="I1146" i="1"/>
  <c r="A1147" i="1"/>
  <c r="F1147" i="1"/>
  <c r="G1147" i="1"/>
  <c r="I1147" i="1"/>
  <c r="A1148" i="1"/>
  <c r="F1148" i="1"/>
  <c r="G1148" i="1"/>
  <c r="I1148" i="1"/>
  <c r="A1149" i="1"/>
  <c r="F1149" i="1"/>
  <c r="G1149" i="1"/>
  <c r="I1149" i="1"/>
  <c r="A1150" i="1"/>
  <c r="F1150" i="1"/>
  <c r="G1150" i="1"/>
  <c r="I1150" i="1"/>
  <c r="A1151" i="1"/>
  <c r="F1151" i="1"/>
  <c r="G1151" i="1"/>
  <c r="I1151" i="1"/>
  <c r="A1152" i="1"/>
  <c r="F1152" i="1"/>
  <c r="G1152" i="1"/>
  <c r="I1152" i="1"/>
  <c r="A1153" i="1"/>
  <c r="F1153" i="1"/>
  <c r="G1153" i="1"/>
  <c r="I1153" i="1"/>
  <c r="A1154" i="1"/>
  <c r="F1154" i="1"/>
  <c r="G1154" i="1"/>
  <c r="I1154" i="1"/>
  <c r="A1155" i="1"/>
  <c r="F1155" i="1"/>
  <c r="G1155" i="1"/>
  <c r="I1155" i="1"/>
  <c r="A1156" i="1"/>
  <c r="F1156" i="1"/>
  <c r="G1156" i="1"/>
  <c r="I1156" i="1"/>
  <c r="A1157" i="1"/>
  <c r="F1157" i="1"/>
  <c r="G1157" i="1"/>
  <c r="I1157" i="1"/>
  <c r="A1158" i="1"/>
  <c r="F1158" i="1"/>
  <c r="G1158" i="1"/>
  <c r="I1158" i="1"/>
  <c r="A1159" i="1"/>
  <c r="F1159" i="1"/>
  <c r="G1159" i="1"/>
  <c r="I1159" i="1"/>
  <c r="A1160" i="1"/>
  <c r="F1160" i="1"/>
  <c r="G1160" i="1"/>
  <c r="I1160" i="1"/>
  <c r="A1161" i="1"/>
  <c r="F1161" i="1"/>
  <c r="G1161" i="1"/>
  <c r="I1161" i="1"/>
  <c r="A1162" i="1"/>
  <c r="F1162" i="1"/>
  <c r="G1162" i="1"/>
  <c r="I1162" i="1"/>
  <c r="A1163" i="1"/>
  <c r="F1163" i="1"/>
  <c r="G1163" i="1"/>
  <c r="I1163" i="1"/>
  <c r="A1164" i="1"/>
  <c r="F1164" i="1"/>
  <c r="G1164" i="1"/>
  <c r="I1164" i="1"/>
  <c r="A1165" i="1"/>
  <c r="F1165" i="1"/>
  <c r="G1165" i="1"/>
  <c r="I1165" i="1"/>
  <c r="A1166" i="1"/>
  <c r="F1166" i="1"/>
  <c r="G1166" i="1"/>
  <c r="I1166" i="1"/>
  <c r="A1167" i="1"/>
  <c r="F1167" i="1"/>
  <c r="G1167" i="1"/>
  <c r="I1167" i="1"/>
  <c r="A1168" i="1"/>
  <c r="F1168" i="1"/>
  <c r="G1168" i="1"/>
  <c r="I1168" i="1"/>
  <c r="A1169" i="1"/>
  <c r="F1169" i="1"/>
  <c r="G1169" i="1"/>
  <c r="I1169" i="1"/>
  <c r="A1170" i="1"/>
  <c r="F1170" i="1"/>
  <c r="G1170" i="1"/>
  <c r="I1170" i="1"/>
  <c r="A1171" i="1"/>
  <c r="F1171" i="1"/>
  <c r="G1171" i="1"/>
  <c r="I1171" i="1"/>
  <c r="A1172" i="1"/>
  <c r="F1172" i="1"/>
  <c r="G1172" i="1"/>
  <c r="I1172" i="1"/>
  <c r="A1173" i="1"/>
  <c r="F1173" i="1"/>
  <c r="G1173" i="1"/>
  <c r="I1173" i="1"/>
  <c r="A1174" i="1"/>
  <c r="F1174" i="1"/>
  <c r="G1174" i="1"/>
  <c r="I1174" i="1"/>
  <c r="A1175" i="1"/>
  <c r="F1175" i="1"/>
  <c r="G1175" i="1"/>
  <c r="I1175" i="1"/>
  <c r="A1176" i="1"/>
  <c r="F1176" i="1"/>
  <c r="G1176" i="1"/>
  <c r="I1176" i="1"/>
  <c r="A1177" i="1"/>
  <c r="F1177" i="1"/>
  <c r="G1177" i="1"/>
  <c r="I1177" i="1"/>
  <c r="A1178" i="1"/>
  <c r="F1178" i="1"/>
  <c r="G1178" i="1"/>
  <c r="I1178" i="1"/>
  <c r="A1179" i="1"/>
  <c r="F1179" i="1"/>
  <c r="G1179" i="1"/>
  <c r="I1179" i="1"/>
  <c r="A1180" i="1"/>
  <c r="F1180" i="1"/>
  <c r="G1180" i="1"/>
  <c r="I1180" i="1"/>
  <c r="A1181" i="1"/>
  <c r="F1181" i="1"/>
  <c r="G1181" i="1"/>
  <c r="I1181" i="1"/>
  <c r="A1182" i="1"/>
  <c r="F1182" i="1"/>
  <c r="G1182" i="1"/>
  <c r="I1182" i="1"/>
  <c r="A1183" i="1"/>
  <c r="F1183" i="1"/>
  <c r="G1183" i="1"/>
  <c r="I1183" i="1"/>
  <c r="A1184" i="1"/>
  <c r="F1184" i="1"/>
  <c r="G1184" i="1"/>
  <c r="I1184" i="1"/>
  <c r="A1185" i="1"/>
  <c r="F1185" i="1"/>
  <c r="G1185" i="1"/>
  <c r="I1185" i="1"/>
  <c r="A1186" i="1"/>
  <c r="F1186" i="1"/>
  <c r="G1186" i="1"/>
  <c r="I1186" i="1"/>
  <c r="A1187" i="1"/>
  <c r="F1187" i="1"/>
  <c r="G1187" i="1"/>
  <c r="I1187" i="1"/>
  <c r="A1188" i="1"/>
  <c r="F1188" i="1"/>
  <c r="G1188" i="1"/>
  <c r="I1188" i="1"/>
  <c r="A1189" i="1"/>
  <c r="F1189" i="1"/>
  <c r="G1189" i="1"/>
  <c r="I1189" i="1"/>
  <c r="A1190" i="1"/>
  <c r="F1190" i="1"/>
  <c r="G1190" i="1"/>
  <c r="I1190" i="1"/>
  <c r="A1191" i="1"/>
  <c r="F1191" i="1"/>
  <c r="G1191" i="1"/>
  <c r="I1191" i="1"/>
  <c r="A1192" i="1"/>
  <c r="F1192" i="1"/>
  <c r="G1192" i="1"/>
  <c r="I1192" i="1"/>
  <c r="A1193" i="1"/>
  <c r="F1193" i="1"/>
  <c r="G1193" i="1"/>
  <c r="I1193" i="1"/>
  <c r="A1194" i="1"/>
  <c r="F1194" i="1"/>
  <c r="G1194" i="1"/>
  <c r="I1194" i="1"/>
  <c r="A1195" i="1"/>
  <c r="F1195" i="1"/>
  <c r="G1195" i="1"/>
  <c r="I1195" i="1"/>
  <c r="A1196" i="1"/>
  <c r="F1196" i="1"/>
  <c r="G1196" i="1"/>
  <c r="I1196" i="1"/>
  <c r="A1197" i="1"/>
  <c r="F1197" i="1"/>
  <c r="G1197" i="1"/>
  <c r="I1197" i="1"/>
  <c r="A1198" i="1"/>
  <c r="F1198" i="1"/>
  <c r="G1198" i="1"/>
  <c r="I1198" i="1"/>
  <c r="A1199" i="1"/>
  <c r="F1199" i="1"/>
  <c r="G1199" i="1"/>
  <c r="I1199" i="1"/>
  <c r="A1200" i="1"/>
  <c r="F1200" i="1"/>
  <c r="G1200" i="1"/>
  <c r="I1200" i="1"/>
  <c r="A1201" i="1"/>
  <c r="F1201" i="1"/>
  <c r="G1201" i="1"/>
  <c r="I1201" i="1"/>
  <c r="A1202" i="1"/>
  <c r="F1202" i="1"/>
  <c r="G1202" i="1"/>
  <c r="I1202" i="1"/>
  <c r="A1203" i="1"/>
  <c r="F1203" i="1"/>
  <c r="G1203" i="1"/>
  <c r="I1203" i="1"/>
  <c r="A1204" i="1"/>
  <c r="F1204" i="1"/>
  <c r="G1204" i="1"/>
  <c r="I1204" i="1"/>
  <c r="A1205" i="1"/>
  <c r="F1205" i="1"/>
  <c r="G1205" i="1"/>
  <c r="I1205" i="1"/>
  <c r="A1206" i="1"/>
  <c r="F1206" i="1"/>
  <c r="G1206" i="1"/>
  <c r="I1206" i="1"/>
  <c r="A1207" i="1"/>
  <c r="F1207" i="1"/>
  <c r="G1207" i="1"/>
  <c r="I1207" i="1"/>
  <c r="A1208" i="1"/>
  <c r="F1208" i="1"/>
  <c r="G1208" i="1"/>
  <c r="I1208" i="1"/>
  <c r="A1209" i="1"/>
  <c r="F1209" i="1"/>
  <c r="G1209" i="1"/>
  <c r="I1209" i="1"/>
  <c r="A1210" i="1"/>
  <c r="F1210" i="1"/>
  <c r="G1210" i="1"/>
  <c r="I1210" i="1"/>
  <c r="A1211" i="1"/>
  <c r="F1211" i="1"/>
  <c r="G1211" i="1"/>
  <c r="I1211" i="1"/>
  <c r="A1212" i="1"/>
  <c r="F1212" i="1"/>
  <c r="G1212" i="1"/>
  <c r="I1212" i="1"/>
  <c r="A1213" i="1"/>
  <c r="F1213" i="1"/>
  <c r="G1213" i="1"/>
  <c r="I1213" i="1"/>
  <c r="A1214" i="1"/>
  <c r="F1214" i="1"/>
  <c r="G1214" i="1"/>
  <c r="I1214" i="1"/>
  <c r="A1215" i="1"/>
  <c r="F1215" i="1"/>
  <c r="G1215" i="1"/>
  <c r="I1215" i="1"/>
  <c r="A1216" i="1"/>
  <c r="F1216" i="1"/>
  <c r="G1216" i="1"/>
  <c r="I1216" i="1"/>
  <c r="A1217" i="1"/>
  <c r="F1217" i="1"/>
  <c r="G1217" i="1"/>
  <c r="I1217" i="1"/>
  <c r="A1218" i="1"/>
  <c r="F1218" i="1"/>
  <c r="G1218" i="1"/>
  <c r="I1218" i="1"/>
  <c r="A1219" i="1"/>
  <c r="F1219" i="1"/>
  <c r="G1219" i="1"/>
  <c r="I1219" i="1"/>
  <c r="A1220" i="1"/>
  <c r="F1220" i="1"/>
  <c r="G1220" i="1"/>
  <c r="I1220" i="1"/>
  <c r="A1221" i="1"/>
  <c r="F1221" i="1"/>
  <c r="G1221" i="1"/>
  <c r="I1221" i="1"/>
  <c r="A1222" i="1"/>
  <c r="F1222" i="1"/>
  <c r="G1222" i="1"/>
  <c r="I1222" i="1"/>
  <c r="A1223" i="1"/>
  <c r="F1223" i="1"/>
  <c r="G1223" i="1"/>
  <c r="I1223" i="1"/>
  <c r="A1224" i="1"/>
  <c r="F1224" i="1"/>
  <c r="G1224" i="1"/>
  <c r="I1224" i="1"/>
  <c r="A1225" i="1"/>
  <c r="F1225" i="1"/>
  <c r="G1225" i="1"/>
  <c r="I1225" i="1"/>
  <c r="A1226" i="1"/>
  <c r="F1226" i="1"/>
  <c r="G1226" i="1"/>
  <c r="I1226" i="1"/>
  <c r="A1227" i="1"/>
  <c r="F1227" i="1"/>
  <c r="G1227" i="1"/>
  <c r="I1227" i="1"/>
  <c r="A1228" i="1"/>
  <c r="F1228" i="1"/>
  <c r="G1228" i="1"/>
  <c r="I1228" i="1"/>
  <c r="A1229" i="1"/>
  <c r="F1229" i="1"/>
  <c r="G1229" i="1"/>
  <c r="I1229" i="1"/>
  <c r="A1230" i="1"/>
  <c r="F1230" i="1"/>
  <c r="G1230" i="1"/>
  <c r="I1230" i="1"/>
  <c r="A1231" i="1"/>
  <c r="F1231" i="1"/>
  <c r="G1231" i="1"/>
  <c r="I1231" i="1"/>
  <c r="A1232" i="1"/>
  <c r="F1232" i="1"/>
  <c r="G1232" i="1"/>
  <c r="I1232" i="1"/>
  <c r="A1233" i="1"/>
  <c r="F1233" i="1"/>
  <c r="G1233" i="1"/>
  <c r="I1233" i="1"/>
  <c r="A1234" i="1"/>
  <c r="F1234" i="1"/>
  <c r="G1234" i="1"/>
  <c r="I1234" i="1"/>
  <c r="A1235" i="1"/>
  <c r="F1235" i="1"/>
  <c r="G1235" i="1"/>
  <c r="I1235" i="1"/>
  <c r="A1236" i="1"/>
  <c r="F1236" i="1"/>
  <c r="G1236" i="1"/>
  <c r="I1236" i="1"/>
  <c r="A1237" i="1"/>
  <c r="F1237" i="1"/>
  <c r="G1237" i="1"/>
  <c r="I1237" i="1"/>
  <c r="A1238" i="1"/>
  <c r="F1238" i="1"/>
  <c r="G1238" i="1"/>
  <c r="I1238" i="1"/>
  <c r="A1239" i="1"/>
  <c r="F1239" i="1"/>
  <c r="G1239" i="1"/>
  <c r="I1239" i="1"/>
  <c r="A1240" i="1"/>
  <c r="F1240" i="1"/>
  <c r="G1240" i="1"/>
  <c r="I1240" i="1"/>
  <c r="A1241" i="1"/>
  <c r="F1241" i="1"/>
  <c r="G1241" i="1"/>
  <c r="I1241" i="1"/>
  <c r="A1242" i="1"/>
  <c r="F1242" i="1"/>
  <c r="G1242" i="1"/>
  <c r="I1242" i="1"/>
  <c r="A1243" i="1"/>
  <c r="F1243" i="1"/>
  <c r="G1243" i="1"/>
  <c r="I1243" i="1"/>
  <c r="A1244" i="1"/>
  <c r="F1244" i="1"/>
  <c r="G1244" i="1"/>
  <c r="I1244" i="1"/>
  <c r="A1245" i="1"/>
  <c r="F1245" i="1"/>
  <c r="G1245" i="1"/>
  <c r="I1245" i="1"/>
  <c r="A1246" i="1"/>
  <c r="F1246" i="1"/>
  <c r="G1246" i="1"/>
  <c r="I1246" i="1"/>
  <c r="A1247" i="1"/>
  <c r="F1247" i="1"/>
  <c r="G1247" i="1"/>
  <c r="I1247" i="1"/>
  <c r="A1248" i="1"/>
  <c r="F1248" i="1"/>
  <c r="G1248" i="1"/>
  <c r="I1248" i="1"/>
  <c r="A1249" i="1"/>
  <c r="F1249" i="1"/>
  <c r="G1249" i="1"/>
  <c r="I1249" i="1"/>
  <c r="A1250" i="1"/>
  <c r="F1250" i="1"/>
  <c r="G1250" i="1"/>
  <c r="I1250" i="1"/>
  <c r="A1251" i="1"/>
  <c r="F1251" i="1"/>
  <c r="G1251" i="1"/>
  <c r="I1251" i="1"/>
  <c r="A1252" i="1"/>
  <c r="F1252" i="1"/>
  <c r="G1252" i="1"/>
  <c r="I1252" i="1"/>
  <c r="A1253" i="1"/>
  <c r="F1253" i="1"/>
  <c r="G1253" i="1"/>
  <c r="I1253" i="1"/>
  <c r="A1254" i="1"/>
  <c r="F1254" i="1"/>
  <c r="G1254" i="1"/>
  <c r="I1254" i="1"/>
  <c r="A1255" i="1"/>
  <c r="F1255" i="1"/>
  <c r="G1255" i="1"/>
  <c r="I1255" i="1"/>
  <c r="A1256" i="1"/>
  <c r="F1256" i="1"/>
  <c r="G1256" i="1"/>
  <c r="I1256" i="1"/>
  <c r="A1257" i="1"/>
  <c r="F1257" i="1"/>
  <c r="G1257" i="1"/>
  <c r="I1257" i="1"/>
  <c r="A1258" i="1"/>
  <c r="F1258" i="1"/>
  <c r="G1258" i="1"/>
  <c r="I1258" i="1"/>
  <c r="A1259" i="1"/>
  <c r="F1259" i="1"/>
  <c r="G1259" i="1"/>
  <c r="I1259" i="1"/>
  <c r="A1260" i="1"/>
  <c r="F1260" i="1"/>
  <c r="G1260" i="1"/>
  <c r="I1260" i="1"/>
  <c r="A1261" i="1"/>
  <c r="F1261" i="1"/>
  <c r="G1261" i="1"/>
  <c r="I1261" i="1"/>
  <c r="A1262" i="1"/>
  <c r="F1262" i="1"/>
  <c r="G1262" i="1"/>
  <c r="I1262" i="1"/>
  <c r="A1263" i="1"/>
  <c r="F1263" i="1"/>
  <c r="G1263" i="1"/>
  <c r="I1263" i="1"/>
  <c r="A1264" i="1"/>
  <c r="F1264" i="1"/>
  <c r="G1264" i="1"/>
  <c r="I1264" i="1"/>
  <c r="A1265" i="1"/>
  <c r="F1265" i="1"/>
  <c r="G1265" i="1"/>
  <c r="I1265" i="1"/>
  <c r="A1266" i="1"/>
  <c r="F1266" i="1"/>
  <c r="G1266" i="1"/>
  <c r="I1266" i="1"/>
  <c r="A1267" i="1"/>
  <c r="F1267" i="1"/>
  <c r="G1267" i="1"/>
  <c r="I1267" i="1"/>
  <c r="A1268" i="1"/>
  <c r="F1268" i="1"/>
  <c r="G1268" i="1"/>
  <c r="I1268" i="1"/>
  <c r="A1269" i="1"/>
  <c r="F1269" i="1"/>
  <c r="G1269" i="1"/>
  <c r="I1269" i="1"/>
  <c r="A1270" i="1"/>
  <c r="F1270" i="1"/>
  <c r="G1270" i="1"/>
  <c r="I1270" i="1"/>
  <c r="A1271" i="1"/>
  <c r="F1271" i="1"/>
  <c r="G1271" i="1"/>
  <c r="I1271" i="1"/>
  <c r="A1272" i="1"/>
  <c r="F1272" i="1"/>
  <c r="G1272" i="1"/>
  <c r="I1272" i="1"/>
  <c r="A1273" i="1"/>
  <c r="F1273" i="1"/>
  <c r="G1273" i="1"/>
  <c r="I1273" i="1"/>
  <c r="A1274" i="1"/>
  <c r="F1274" i="1"/>
  <c r="G1274" i="1"/>
  <c r="I1274" i="1"/>
  <c r="A1275" i="1"/>
  <c r="F1275" i="1"/>
  <c r="G1275" i="1"/>
  <c r="I1275" i="1"/>
  <c r="A1276" i="1"/>
  <c r="F1276" i="1"/>
  <c r="G1276" i="1"/>
  <c r="I1276" i="1"/>
  <c r="A1277" i="1"/>
  <c r="F1277" i="1"/>
  <c r="G1277" i="1"/>
  <c r="I1277" i="1"/>
  <c r="A1278" i="1"/>
  <c r="F1278" i="1"/>
  <c r="G1278" i="1"/>
  <c r="I1278" i="1"/>
  <c r="A1279" i="1"/>
  <c r="F1279" i="1"/>
  <c r="G1279" i="1"/>
  <c r="I1279" i="1"/>
  <c r="A1280" i="1"/>
  <c r="F1280" i="1"/>
  <c r="G1280" i="1"/>
  <c r="I1280" i="1"/>
  <c r="A1281" i="1"/>
  <c r="F1281" i="1"/>
  <c r="G1281" i="1"/>
  <c r="I1281" i="1"/>
  <c r="A1282" i="1"/>
  <c r="F1282" i="1"/>
  <c r="G1282" i="1"/>
  <c r="I1282" i="1"/>
  <c r="A1283" i="1"/>
  <c r="F1283" i="1"/>
  <c r="G1283" i="1"/>
  <c r="I1283" i="1"/>
  <c r="A1284" i="1"/>
  <c r="F1284" i="1"/>
  <c r="G1284" i="1"/>
  <c r="I1284" i="1"/>
  <c r="A1285" i="1"/>
  <c r="F1285" i="1"/>
  <c r="G1285" i="1"/>
  <c r="I1285" i="1"/>
  <c r="A1286" i="1"/>
  <c r="F1286" i="1"/>
  <c r="G1286" i="1"/>
  <c r="I1286" i="1"/>
  <c r="A1287" i="1"/>
  <c r="F1287" i="1"/>
  <c r="G1287" i="1"/>
  <c r="I1287" i="1"/>
  <c r="A1288" i="1"/>
  <c r="F1288" i="1"/>
  <c r="G1288" i="1"/>
  <c r="I1288" i="1"/>
  <c r="A1289" i="1"/>
  <c r="F1289" i="1"/>
  <c r="G1289" i="1"/>
  <c r="I1289" i="1"/>
  <c r="A1290" i="1"/>
  <c r="F1290" i="1"/>
  <c r="G1290" i="1"/>
  <c r="I1290" i="1"/>
  <c r="A1291" i="1"/>
  <c r="F1291" i="1"/>
  <c r="G1291" i="1"/>
  <c r="I1291" i="1"/>
  <c r="A1292" i="1"/>
  <c r="F1292" i="1"/>
  <c r="G1292" i="1"/>
  <c r="I1292" i="1"/>
  <c r="A1293" i="1"/>
  <c r="F1293" i="1"/>
  <c r="G1293" i="1"/>
  <c r="I1293" i="1"/>
  <c r="A1294" i="1"/>
  <c r="F1294" i="1"/>
  <c r="G1294" i="1"/>
  <c r="I1294" i="1"/>
  <c r="A1295" i="1"/>
  <c r="F1295" i="1"/>
  <c r="G1295" i="1"/>
  <c r="I1295" i="1"/>
  <c r="A1296" i="1"/>
  <c r="F1296" i="1"/>
  <c r="G1296" i="1"/>
  <c r="I1296" i="1"/>
  <c r="A1297" i="1"/>
  <c r="F1297" i="1"/>
  <c r="G1297" i="1"/>
  <c r="I1297" i="1"/>
  <c r="A1298" i="1"/>
  <c r="F1298" i="1"/>
  <c r="G1298" i="1"/>
  <c r="I1298" i="1"/>
  <c r="A1299" i="1"/>
  <c r="F1299" i="1"/>
  <c r="G1299" i="1"/>
  <c r="I1299" i="1"/>
  <c r="A1300" i="1"/>
  <c r="F1300" i="1"/>
  <c r="G1300" i="1"/>
  <c r="I1300" i="1"/>
  <c r="A1301" i="1"/>
  <c r="F1301" i="1"/>
  <c r="G1301" i="1"/>
  <c r="I1301" i="1"/>
  <c r="A1302" i="1"/>
  <c r="F1302" i="1"/>
  <c r="G1302" i="1"/>
  <c r="I1302" i="1"/>
  <c r="A1303" i="1"/>
  <c r="F1303" i="1"/>
  <c r="G1303" i="1"/>
  <c r="I1303" i="1"/>
  <c r="A1304" i="1"/>
  <c r="F1304" i="1"/>
  <c r="G1304" i="1"/>
  <c r="I1304" i="1"/>
  <c r="A1305" i="1"/>
  <c r="F1305" i="1"/>
  <c r="G1305" i="1"/>
  <c r="I1305" i="1"/>
  <c r="A1306" i="1"/>
  <c r="F1306" i="1"/>
  <c r="G1306" i="1"/>
  <c r="I1306" i="1"/>
  <c r="A1307" i="1"/>
  <c r="F1307" i="1"/>
  <c r="G1307" i="1"/>
  <c r="I1307" i="1"/>
  <c r="A1308" i="1"/>
  <c r="F1308" i="1"/>
  <c r="G1308" i="1"/>
  <c r="I1308" i="1"/>
  <c r="A1309" i="1"/>
  <c r="F1309" i="1"/>
  <c r="G1309" i="1"/>
  <c r="I1309" i="1"/>
  <c r="A1310" i="1"/>
  <c r="F1310" i="1"/>
  <c r="G1310" i="1"/>
  <c r="I1310" i="1"/>
  <c r="A1311" i="1"/>
  <c r="F1311" i="1"/>
  <c r="G1311" i="1"/>
  <c r="I1311" i="1"/>
  <c r="A1312" i="1"/>
  <c r="F1312" i="1"/>
  <c r="G1312" i="1"/>
  <c r="I1312" i="1"/>
  <c r="A1313" i="1"/>
  <c r="F1313" i="1"/>
  <c r="G1313" i="1"/>
  <c r="I1313" i="1"/>
  <c r="A1314" i="1"/>
  <c r="F1314" i="1"/>
  <c r="G1314" i="1"/>
  <c r="I1314" i="1"/>
  <c r="A1315" i="1"/>
  <c r="F1315" i="1"/>
  <c r="G1315" i="1"/>
  <c r="I1315" i="1"/>
  <c r="A1316" i="1"/>
  <c r="F1316" i="1"/>
  <c r="G1316" i="1"/>
  <c r="I1316" i="1"/>
  <c r="A1317" i="1"/>
  <c r="F1317" i="1"/>
  <c r="G1317" i="1"/>
  <c r="I1317" i="1"/>
  <c r="A1318" i="1"/>
  <c r="F1318" i="1"/>
  <c r="G1318" i="1"/>
  <c r="I1318" i="1"/>
  <c r="A1319" i="1"/>
  <c r="F1319" i="1"/>
  <c r="G1319" i="1"/>
  <c r="I1319" i="1"/>
  <c r="A1320" i="1"/>
  <c r="F1320" i="1"/>
  <c r="G1320" i="1"/>
  <c r="I1320" i="1"/>
  <c r="A1321" i="1"/>
  <c r="F1321" i="1"/>
  <c r="G1321" i="1"/>
  <c r="I1321" i="1"/>
  <c r="A1322" i="1"/>
  <c r="F1322" i="1"/>
  <c r="G1322" i="1"/>
  <c r="I1322" i="1"/>
  <c r="A1323" i="1"/>
  <c r="F1323" i="1"/>
  <c r="G1323" i="1"/>
  <c r="I1323" i="1"/>
  <c r="A1324" i="1"/>
  <c r="F1324" i="1"/>
  <c r="G1324" i="1"/>
  <c r="I1324" i="1"/>
  <c r="A1325" i="1"/>
  <c r="F1325" i="1"/>
  <c r="G1325" i="1"/>
  <c r="I1325" i="1"/>
  <c r="A1326" i="1"/>
  <c r="F1326" i="1"/>
  <c r="G1326" i="1"/>
  <c r="I1326" i="1"/>
  <c r="A1327" i="1"/>
  <c r="F1327" i="1"/>
  <c r="G1327" i="1"/>
  <c r="I1327" i="1"/>
  <c r="A1328" i="1"/>
  <c r="F1328" i="1"/>
  <c r="G1328" i="1"/>
  <c r="I1328" i="1"/>
  <c r="A1329" i="1"/>
  <c r="F1329" i="1"/>
  <c r="G1329" i="1"/>
  <c r="I1329" i="1"/>
  <c r="A1330" i="1"/>
  <c r="F1330" i="1"/>
  <c r="G1330" i="1"/>
  <c r="I1330" i="1"/>
  <c r="A1331" i="1"/>
  <c r="F1331" i="1"/>
  <c r="G1331" i="1"/>
  <c r="I1331" i="1"/>
  <c r="A1332" i="1"/>
  <c r="F1332" i="1"/>
  <c r="G1332" i="1"/>
  <c r="I1332" i="1"/>
  <c r="A1333" i="1"/>
  <c r="F1333" i="1"/>
  <c r="G1333" i="1"/>
  <c r="I1333" i="1"/>
  <c r="A1334" i="1"/>
  <c r="F1334" i="1"/>
  <c r="G1334" i="1"/>
  <c r="I1334" i="1"/>
  <c r="A1335" i="1"/>
  <c r="F1335" i="1"/>
  <c r="G1335" i="1"/>
  <c r="I1335" i="1"/>
  <c r="A1336" i="1"/>
  <c r="F1336" i="1"/>
  <c r="G1336" i="1"/>
  <c r="I1336" i="1"/>
  <c r="A1337" i="1"/>
  <c r="F1337" i="1"/>
  <c r="G1337" i="1"/>
  <c r="I1337" i="1"/>
  <c r="A1338" i="1"/>
  <c r="F1338" i="1"/>
  <c r="G1338" i="1"/>
  <c r="I1338" i="1"/>
  <c r="A1339" i="1"/>
  <c r="F1339" i="1"/>
  <c r="G1339" i="1"/>
  <c r="I1339" i="1"/>
  <c r="A1340" i="1"/>
  <c r="F1340" i="1"/>
  <c r="G1340" i="1"/>
  <c r="I1340" i="1"/>
  <c r="A1341" i="1"/>
  <c r="F1341" i="1"/>
  <c r="G1341" i="1"/>
  <c r="I1341" i="1"/>
  <c r="A1342" i="1"/>
  <c r="F1342" i="1"/>
  <c r="G1342" i="1"/>
  <c r="I1342" i="1"/>
  <c r="A1343" i="1"/>
  <c r="F1343" i="1"/>
  <c r="G1343" i="1"/>
  <c r="I1343" i="1"/>
  <c r="A1344" i="1"/>
  <c r="F1344" i="1"/>
  <c r="G1344" i="1"/>
  <c r="I1344" i="1"/>
  <c r="A1345" i="1"/>
  <c r="F1345" i="1"/>
  <c r="G1345" i="1"/>
  <c r="I1345" i="1"/>
  <c r="A1346" i="1"/>
  <c r="F1346" i="1"/>
  <c r="G1346" i="1"/>
  <c r="I1346" i="1"/>
  <c r="A1347" i="1"/>
  <c r="F1347" i="1"/>
  <c r="G1347" i="1"/>
  <c r="I1347" i="1"/>
  <c r="A1348" i="1"/>
  <c r="F1348" i="1"/>
  <c r="G1348" i="1"/>
  <c r="I1348" i="1"/>
  <c r="A1349" i="1"/>
  <c r="F1349" i="1"/>
  <c r="G1349" i="1"/>
  <c r="I1349" i="1"/>
  <c r="A1350" i="1"/>
  <c r="F1350" i="1"/>
  <c r="G1350" i="1"/>
  <c r="I1350" i="1"/>
  <c r="A1351" i="1"/>
  <c r="F1351" i="1"/>
  <c r="G1351" i="1"/>
  <c r="I1351" i="1"/>
  <c r="A1352" i="1"/>
  <c r="F1352" i="1"/>
  <c r="G1352" i="1"/>
  <c r="I1352" i="1"/>
  <c r="A1353" i="1"/>
  <c r="F1353" i="1"/>
  <c r="G1353" i="1"/>
  <c r="I1353" i="1"/>
  <c r="A1354" i="1"/>
  <c r="F1354" i="1"/>
  <c r="G1354" i="1"/>
  <c r="I1354" i="1"/>
  <c r="A1355" i="1"/>
  <c r="F1355" i="1"/>
  <c r="G1355" i="1"/>
  <c r="I1355" i="1"/>
  <c r="A1356" i="1"/>
  <c r="F1356" i="1"/>
  <c r="G1356" i="1"/>
  <c r="I1356" i="1"/>
  <c r="A1357" i="1"/>
  <c r="F1357" i="1"/>
  <c r="G1357" i="1"/>
  <c r="I1357" i="1"/>
  <c r="A1358" i="1"/>
  <c r="F1358" i="1"/>
  <c r="G1358" i="1"/>
  <c r="I1358" i="1"/>
  <c r="A1359" i="1"/>
  <c r="F1359" i="1"/>
  <c r="G1359" i="1"/>
  <c r="I1359" i="1"/>
  <c r="A1360" i="1"/>
  <c r="F1360" i="1"/>
  <c r="G1360" i="1"/>
  <c r="I1360" i="1"/>
  <c r="A1361" i="1"/>
  <c r="F1361" i="1"/>
  <c r="G1361" i="1"/>
  <c r="I1361" i="1"/>
  <c r="A1362" i="1"/>
  <c r="F1362" i="1"/>
  <c r="G1362" i="1"/>
  <c r="I1362" i="1"/>
  <c r="A1363" i="1"/>
  <c r="F1363" i="1"/>
  <c r="G1363" i="1"/>
  <c r="I1363" i="1"/>
  <c r="A1364" i="1"/>
  <c r="F1364" i="1"/>
  <c r="G1364" i="1"/>
  <c r="I1364" i="1"/>
  <c r="A1365" i="1"/>
  <c r="F1365" i="1"/>
  <c r="G1365" i="1"/>
  <c r="I1365" i="1"/>
  <c r="A1366" i="1"/>
  <c r="F1366" i="1"/>
  <c r="G1366" i="1"/>
  <c r="I1366" i="1"/>
  <c r="A1367" i="1"/>
  <c r="F1367" i="1"/>
  <c r="G1367" i="1"/>
  <c r="I1367" i="1"/>
  <c r="A1368" i="1"/>
  <c r="F1368" i="1"/>
  <c r="G1368" i="1"/>
  <c r="I1368" i="1"/>
  <c r="A1369" i="1"/>
  <c r="F1369" i="1"/>
  <c r="G1369" i="1"/>
  <c r="I1369" i="1"/>
  <c r="A1370" i="1"/>
  <c r="F1370" i="1"/>
  <c r="G1370" i="1"/>
  <c r="I1370" i="1"/>
  <c r="A1371" i="1"/>
  <c r="F1371" i="1"/>
  <c r="G1371" i="1"/>
  <c r="I1371" i="1"/>
  <c r="A1372" i="1"/>
  <c r="F1372" i="1"/>
  <c r="G1372" i="1"/>
  <c r="I1372" i="1"/>
  <c r="A1373" i="1"/>
  <c r="F1373" i="1"/>
  <c r="G1373" i="1"/>
  <c r="I1373" i="1"/>
  <c r="A1374" i="1"/>
  <c r="F1374" i="1"/>
  <c r="G1374" i="1"/>
  <c r="I1374" i="1"/>
  <c r="A1375" i="1"/>
  <c r="F1375" i="1"/>
  <c r="G1375" i="1"/>
  <c r="I1375" i="1"/>
  <c r="A1376" i="1"/>
  <c r="F1376" i="1"/>
  <c r="G1376" i="1"/>
  <c r="I1376" i="1"/>
  <c r="A1377" i="1"/>
  <c r="H1377" i="1"/>
  <c r="I1377" i="1"/>
  <c r="A1378" i="1"/>
  <c r="F1378" i="1"/>
  <c r="G1378" i="1"/>
  <c r="I1378" i="1"/>
  <c r="A1379" i="1"/>
  <c r="F1379" i="1"/>
  <c r="G1379" i="1"/>
  <c r="I1379" i="1"/>
  <c r="A1380" i="1"/>
  <c r="F1380" i="1"/>
  <c r="G1380" i="1"/>
  <c r="I1380" i="1"/>
  <c r="A1381" i="1"/>
  <c r="F1381" i="1"/>
  <c r="G1381" i="1"/>
  <c r="I1381" i="1"/>
  <c r="A1382" i="1"/>
  <c r="F1382" i="1"/>
  <c r="G1382" i="1"/>
  <c r="I1382" i="1"/>
  <c r="A1383" i="1"/>
  <c r="F1383" i="1"/>
  <c r="G1383" i="1"/>
  <c r="I1383" i="1"/>
  <c r="A1384" i="1"/>
  <c r="F1384" i="1"/>
  <c r="G1384" i="1"/>
  <c r="I1384" i="1"/>
  <c r="A1385" i="1"/>
  <c r="F1385" i="1"/>
  <c r="G1385" i="1"/>
  <c r="I1385" i="1"/>
  <c r="A1386" i="1"/>
  <c r="F1386" i="1"/>
  <c r="G1386" i="1"/>
  <c r="I1386" i="1"/>
  <c r="A1387" i="1"/>
  <c r="F1387" i="1"/>
  <c r="G1387" i="1"/>
  <c r="I1387" i="1"/>
  <c r="A1388" i="1"/>
  <c r="F1388" i="1"/>
  <c r="G1388" i="1"/>
  <c r="I1388" i="1"/>
  <c r="A1389" i="1"/>
  <c r="F1389" i="1"/>
  <c r="G1389" i="1"/>
  <c r="I1389" i="1"/>
  <c r="A1390" i="1"/>
  <c r="F1390" i="1"/>
  <c r="G1390" i="1"/>
  <c r="I1390" i="1"/>
  <c r="A1391" i="1"/>
  <c r="F1391" i="1"/>
  <c r="G1391" i="1"/>
  <c r="I1391" i="1"/>
  <c r="A1392" i="1"/>
  <c r="F1392" i="1"/>
  <c r="G1392" i="1"/>
  <c r="I1392" i="1"/>
  <c r="A1393" i="1"/>
  <c r="F1393" i="1"/>
  <c r="G1393" i="1"/>
  <c r="I1393" i="1"/>
  <c r="A1394" i="1"/>
  <c r="F1394" i="1"/>
  <c r="G1394" i="1"/>
  <c r="I1394" i="1"/>
  <c r="A1395" i="1"/>
  <c r="F1395" i="1"/>
  <c r="G1395" i="1"/>
  <c r="I1395" i="1"/>
  <c r="A1396" i="1"/>
  <c r="F1396" i="1"/>
  <c r="G1396" i="1"/>
  <c r="I1396" i="1"/>
  <c r="A1397" i="1"/>
  <c r="F1397" i="1"/>
  <c r="G1397" i="1"/>
  <c r="I1397" i="1"/>
  <c r="A1398" i="1"/>
  <c r="F1398" i="1"/>
  <c r="G1398" i="1"/>
  <c r="I1398" i="1"/>
  <c r="A1399" i="1"/>
  <c r="F1399" i="1"/>
  <c r="G1399" i="1"/>
  <c r="I1399" i="1"/>
  <c r="A1400" i="1"/>
  <c r="F1400" i="1"/>
  <c r="G1400" i="1"/>
  <c r="I1400" i="1"/>
  <c r="A1401" i="1"/>
  <c r="F1401" i="1"/>
  <c r="G1401" i="1"/>
  <c r="I1401" i="1"/>
  <c r="A1402" i="1"/>
  <c r="F1402" i="1"/>
  <c r="G1402" i="1"/>
  <c r="I1402" i="1"/>
  <c r="A1403" i="1"/>
  <c r="F1403" i="1"/>
  <c r="G1403" i="1"/>
  <c r="I1403" i="1"/>
  <c r="A1404" i="1"/>
  <c r="F1404" i="1"/>
  <c r="G1404" i="1"/>
  <c r="I1404" i="1"/>
  <c r="A1405" i="1"/>
  <c r="F1405" i="1"/>
  <c r="G1405" i="1"/>
  <c r="I1405" i="1"/>
  <c r="A1406" i="1"/>
  <c r="F1406" i="1"/>
  <c r="G1406" i="1"/>
  <c r="I1406" i="1"/>
  <c r="A1407" i="1"/>
  <c r="F1407" i="1"/>
  <c r="G1407" i="1"/>
  <c r="I1407" i="1"/>
  <c r="A1408" i="1"/>
  <c r="F1408" i="1"/>
  <c r="G1408" i="1"/>
  <c r="I1408" i="1"/>
  <c r="A1409" i="1"/>
  <c r="F1409" i="1"/>
  <c r="G1409" i="1"/>
  <c r="I1409" i="1"/>
  <c r="A1410" i="1"/>
  <c r="F1410" i="1"/>
  <c r="G1410" i="1"/>
  <c r="I1410" i="1"/>
  <c r="A1411" i="1"/>
  <c r="F1411" i="1"/>
  <c r="G1411" i="1"/>
  <c r="I1411" i="1"/>
  <c r="A1412" i="1"/>
  <c r="F1412" i="1"/>
  <c r="G1412" i="1"/>
  <c r="I1412" i="1"/>
  <c r="A1413" i="1"/>
  <c r="F1413" i="1"/>
  <c r="G1413" i="1"/>
  <c r="I1413" i="1"/>
  <c r="A1414" i="1"/>
  <c r="F1414" i="1"/>
  <c r="G1414" i="1"/>
  <c r="I1414" i="1"/>
  <c r="A1415" i="1"/>
  <c r="F1415" i="1"/>
  <c r="G1415" i="1"/>
  <c r="I1415" i="1"/>
  <c r="A1416" i="1"/>
  <c r="F1416" i="1"/>
  <c r="G1416" i="1"/>
  <c r="I1416" i="1"/>
  <c r="A1417" i="1"/>
  <c r="F1417" i="1"/>
  <c r="G1417" i="1"/>
  <c r="I1417" i="1"/>
  <c r="A1418" i="1"/>
  <c r="F1418" i="1"/>
  <c r="G1418" i="1"/>
  <c r="I1418" i="1"/>
  <c r="A1419" i="1"/>
  <c r="F1419" i="1"/>
  <c r="G1419" i="1"/>
  <c r="I1419" i="1"/>
  <c r="A1420" i="1"/>
  <c r="F1420" i="1"/>
  <c r="G1420" i="1"/>
  <c r="I1420" i="1"/>
  <c r="A1421" i="1"/>
  <c r="F1421" i="1"/>
  <c r="G1421" i="1"/>
  <c r="I1421" i="1"/>
  <c r="A1422" i="1"/>
  <c r="F1422" i="1"/>
  <c r="G1422" i="1"/>
  <c r="I1422" i="1"/>
  <c r="A1423" i="1"/>
  <c r="F1423" i="1"/>
  <c r="G1423" i="1"/>
  <c r="I1423" i="1"/>
  <c r="A1424" i="1"/>
  <c r="F1424" i="1"/>
  <c r="G1424" i="1"/>
  <c r="I1424" i="1"/>
  <c r="A1425" i="1"/>
  <c r="F1425" i="1"/>
  <c r="G1425" i="1"/>
  <c r="I1425" i="1"/>
  <c r="A1426" i="1"/>
  <c r="F1426" i="1"/>
  <c r="G1426" i="1"/>
  <c r="I1426" i="1"/>
  <c r="A1427" i="1"/>
  <c r="F1427" i="1"/>
  <c r="G1427" i="1"/>
  <c r="I1427" i="1"/>
  <c r="A1428" i="1"/>
  <c r="F1428" i="1"/>
  <c r="G1428" i="1"/>
  <c r="I1428" i="1"/>
  <c r="A1429" i="1"/>
  <c r="F1429" i="1"/>
  <c r="G1429" i="1"/>
  <c r="I1429" i="1"/>
  <c r="A1430" i="1"/>
  <c r="F1430" i="1"/>
  <c r="G1430" i="1"/>
  <c r="I1430" i="1"/>
  <c r="A1431" i="1"/>
  <c r="F1431" i="1"/>
  <c r="G1431" i="1"/>
  <c r="I1431" i="1"/>
  <c r="A1432" i="1"/>
  <c r="F1432" i="1"/>
  <c r="G1432" i="1"/>
  <c r="I1432" i="1"/>
  <c r="A1433" i="1"/>
  <c r="F1433" i="1"/>
  <c r="G1433" i="1"/>
  <c r="I1433" i="1"/>
  <c r="A1434" i="1"/>
  <c r="F1434" i="1"/>
  <c r="G1434" i="1"/>
  <c r="I1434" i="1"/>
  <c r="A1435" i="1"/>
  <c r="F1435" i="1"/>
  <c r="G1435" i="1"/>
  <c r="I1435" i="1"/>
  <c r="A1436" i="1"/>
  <c r="F1436" i="1"/>
  <c r="G1436" i="1"/>
  <c r="I1436" i="1"/>
  <c r="A1437" i="1"/>
  <c r="F1437" i="1"/>
  <c r="G1437" i="1"/>
  <c r="I1437" i="1"/>
  <c r="A1438" i="1"/>
  <c r="F1438" i="1"/>
  <c r="G1438" i="1"/>
  <c r="I1438" i="1"/>
  <c r="A1439" i="1"/>
  <c r="F1439" i="1"/>
  <c r="G1439" i="1"/>
  <c r="I1439" i="1"/>
  <c r="A1440" i="1"/>
  <c r="F1440" i="1"/>
  <c r="G1440" i="1"/>
  <c r="I1440" i="1"/>
  <c r="A1441" i="1"/>
  <c r="F1441" i="1"/>
  <c r="G1441" i="1"/>
  <c r="I1441" i="1"/>
  <c r="A1442" i="1"/>
  <c r="F1442" i="1"/>
  <c r="G1442" i="1"/>
  <c r="I1442" i="1"/>
  <c r="A1443" i="1"/>
  <c r="F1443" i="1"/>
  <c r="G1443" i="1"/>
  <c r="I1443" i="1"/>
  <c r="A1444" i="1"/>
  <c r="F1444" i="1"/>
  <c r="G1444" i="1"/>
  <c r="I1444" i="1"/>
  <c r="A1445" i="1"/>
  <c r="F1445" i="1"/>
  <c r="G1445" i="1"/>
  <c r="I1445" i="1"/>
  <c r="A1446" i="1"/>
  <c r="F1446" i="1"/>
  <c r="G1446" i="1"/>
  <c r="I1446" i="1"/>
  <c r="A1447" i="1"/>
  <c r="F1447" i="1"/>
  <c r="G1447" i="1"/>
  <c r="I1447" i="1"/>
  <c r="A1448" i="1"/>
  <c r="F1448" i="1"/>
  <c r="G1448" i="1"/>
  <c r="I1448" i="1"/>
  <c r="A1449" i="1"/>
  <c r="F1449" i="1"/>
  <c r="G1449" i="1"/>
  <c r="I1449" i="1"/>
  <c r="A1450" i="1"/>
  <c r="F1450" i="1"/>
  <c r="G1450" i="1"/>
  <c r="I1450" i="1"/>
  <c r="A1451" i="1"/>
  <c r="F1451" i="1"/>
  <c r="G1451" i="1"/>
  <c r="I1451" i="1"/>
  <c r="A1452" i="1"/>
  <c r="F1452" i="1"/>
  <c r="G1452" i="1"/>
  <c r="I1452" i="1"/>
  <c r="A1453" i="1"/>
  <c r="F1453" i="1"/>
  <c r="G1453" i="1"/>
  <c r="I1453" i="1"/>
  <c r="A1454" i="1"/>
  <c r="F1454" i="1"/>
  <c r="G1454" i="1"/>
  <c r="I1454" i="1"/>
  <c r="A1455" i="1"/>
  <c r="F1455" i="1"/>
  <c r="G1455" i="1"/>
  <c r="I1455" i="1"/>
  <c r="A1456" i="1"/>
  <c r="F1456" i="1"/>
  <c r="G1456" i="1"/>
  <c r="I1456" i="1"/>
  <c r="A1457" i="1"/>
  <c r="F1457" i="1"/>
  <c r="G1457" i="1"/>
  <c r="I1457" i="1"/>
  <c r="A1458" i="1"/>
  <c r="F1458" i="1"/>
  <c r="G1458" i="1"/>
  <c r="I1458" i="1"/>
  <c r="A1459" i="1"/>
  <c r="F1459" i="1"/>
  <c r="G1459" i="1"/>
  <c r="I1459" i="1"/>
  <c r="A1460" i="1"/>
  <c r="F1460" i="1"/>
  <c r="G1460" i="1"/>
  <c r="I1460" i="1"/>
  <c r="A1461" i="1"/>
  <c r="F1461" i="1"/>
  <c r="G1461" i="1"/>
  <c r="I1461" i="1"/>
  <c r="A1462" i="1"/>
  <c r="F1462" i="1"/>
  <c r="G1462" i="1"/>
  <c r="I1462" i="1"/>
  <c r="A1463" i="1"/>
  <c r="F1463" i="1"/>
  <c r="G1463" i="1"/>
  <c r="I1463" i="1"/>
  <c r="A1464" i="1"/>
  <c r="F1464" i="1"/>
  <c r="G1464" i="1"/>
  <c r="I1464" i="1"/>
  <c r="A1465" i="1"/>
  <c r="F1465" i="1"/>
  <c r="G1465" i="1"/>
  <c r="I1465" i="1"/>
  <c r="A1466" i="1"/>
  <c r="F1466" i="1"/>
  <c r="G1466" i="1"/>
  <c r="I1466" i="1"/>
  <c r="A1467" i="1"/>
  <c r="F1467" i="1"/>
  <c r="G1467" i="1"/>
  <c r="I1467" i="1"/>
  <c r="A1468" i="1"/>
  <c r="F1468" i="1"/>
  <c r="G1468" i="1"/>
  <c r="I1468" i="1"/>
  <c r="A1469" i="1"/>
  <c r="F1469" i="1"/>
  <c r="G1469" i="1"/>
  <c r="I1469" i="1"/>
  <c r="A1470" i="1"/>
  <c r="F1470" i="1"/>
  <c r="G1470" i="1"/>
  <c r="I1470" i="1"/>
  <c r="A1471" i="1"/>
  <c r="F1471" i="1"/>
  <c r="G1471" i="1"/>
  <c r="I1471" i="1"/>
  <c r="A1472" i="1"/>
  <c r="F1472" i="1"/>
  <c r="G1472" i="1"/>
  <c r="I1472" i="1"/>
  <c r="A1473" i="1"/>
  <c r="F1473" i="1"/>
  <c r="G1473" i="1"/>
  <c r="A1474" i="1"/>
  <c r="F1474" i="1"/>
  <c r="G1474" i="1"/>
  <c r="A1475" i="1"/>
  <c r="F1475" i="1"/>
  <c r="G1475" i="1"/>
  <c r="I1475" i="1"/>
  <c r="A1476" i="1"/>
  <c r="F1476" i="1"/>
  <c r="G1476" i="1"/>
  <c r="I1476" i="1"/>
  <c r="A1477" i="1"/>
  <c r="F1477" i="1"/>
  <c r="G1477" i="1"/>
  <c r="I1477" i="1"/>
  <c r="A1478" i="1"/>
  <c r="F1478" i="1"/>
  <c r="G1478" i="1"/>
  <c r="I1478" i="1"/>
  <c r="A1479" i="1"/>
  <c r="F1479" i="1"/>
  <c r="G1479" i="1"/>
  <c r="I1479" i="1"/>
  <c r="A1480" i="1"/>
  <c r="F1480" i="1"/>
  <c r="G1480" i="1"/>
  <c r="I1480" i="1"/>
  <c r="A1481" i="1"/>
  <c r="F1481" i="1"/>
  <c r="G1481" i="1"/>
  <c r="I1481" i="1"/>
  <c r="A1482" i="1"/>
  <c r="F1482" i="1"/>
  <c r="G1482" i="1"/>
  <c r="I1482" i="1"/>
  <c r="A1483" i="1"/>
  <c r="F1483" i="1"/>
  <c r="G1483" i="1"/>
  <c r="I1483" i="1"/>
  <c r="A1484" i="1"/>
  <c r="F1484" i="1"/>
  <c r="G1484" i="1"/>
  <c r="I1484" i="1"/>
  <c r="A1485" i="1"/>
  <c r="F1485" i="1"/>
  <c r="G1485" i="1"/>
  <c r="I1485" i="1"/>
  <c r="A1486" i="1"/>
  <c r="F1486" i="1"/>
  <c r="G1486" i="1"/>
  <c r="I1486" i="1"/>
  <c r="A1487" i="1"/>
  <c r="F1487" i="1"/>
  <c r="G1487" i="1"/>
  <c r="I1487" i="1"/>
  <c r="A1488" i="1"/>
  <c r="F1488" i="1"/>
  <c r="G1488" i="1"/>
  <c r="I1488" i="1"/>
  <c r="A1489" i="1"/>
  <c r="F1489" i="1"/>
  <c r="G1489" i="1"/>
  <c r="I1489" i="1"/>
  <c r="A1490" i="1"/>
  <c r="F1490" i="1"/>
  <c r="G1490" i="1"/>
  <c r="I1490" i="1"/>
  <c r="A1491" i="1"/>
  <c r="F1491" i="1"/>
  <c r="G1491" i="1"/>
  <c r="I1491" i="1"/>
  <c r="A1492" i="1"/>
  <c r="F1492" i="1"/>
  <c r="G1492" i="1"/>
  <c r="I1492" i="1"/>
  <c r="A1493" i="1"/>
  <c r="F1493" i="1"/>
  <c r="G1493" i="1"/>
  <c r="I1493" i="1"/>
  <c r="A1494" i="1"/>
  <c r="F1494" i="1"/>
  <c r="G1494" i="1"/>
  <c r="I1494" i="1"/>
  <c r="A1495" i="1"/>
  <c r="F1495" i="1"/>
  <c r="G1495" i="1"/>
  <c r="I1495" i="1"/>
  <c r="A1496" i="1"/>
  <c r="F1496" i="1"/>
  <c r="G1496" i="1"/>
  <c r="I1496" i="1"/>
  <c r="A1497" i="1"/>
  <c r="F1497" i="1"/>
  <c r="G1497" i="1"/>
  <c r="I1497" i="1"/>
  <c r="A1498" i="1"/>
  <c r="F1498" i="1"/>
  <c r="G1498" i="1"/>
  <c r="I1498" i="1"/>
  <c r="A1499" i="1"/>
  <c r="F1499" i="1"/>
  <c r="G1499" i="1"/>
  <c r="I1499" i="1"/>
  <c r="A1500" i="1"/>
  <c r="F1500" i="1"/>
  <c r="G1500" i="1"/>
  <c r="I1500" i="1"/>
  <c r="A1501" i="1"/>
  <c r="F1501" i="1"/>
  <c r="G1501" i="1"/>
  <c r="I1501" i="1"/>
  <c r="A1502" i="1"/>
  <c r="F1502" i="1"/>
  <c r="G1502" i="1"/>
  <c r="I1502" i="1"/>
  <c r="A1503" i="1"/>
  <c r="F1503" i="1"/>
  <c r="G1503" i="1"/>
  <c r="I1503" i="1"/>
  <c r="A1504" i="1"/>
  <c r="F1504" i="1"/>
  <c r="G1504" i="1"/>
  <c r="I1504" i="1"/>
  <c r="A1505" i="1"/>
  <c r="F1505" i="1"/>
  <c r="G1505" i="1"/>
  <c r="I1505" i="1"/>
  <c r="A1506" i="1"/>
  <c r="F1506" i="1"/>
  <c r="G1506" i="1"/>
  <c r="I1506" i="1"/>
  <c r="A1507" i="1"/>
  <c r="F1507" i="1"/>
  <c r="G1507" i="1"/>
  <c r="I1507" i="1"/>
  <c r="A1508" i="1"/>
  <c r="F1508" i="1"/>
  <c r="G1508" i="1"/>
  <c r="I1508" i="1"/>
  <c r="A1509" i="1"/>
  <c r="F1509" i="1"/>
  <c r="G1509" i="1"/>
  <c r="I1509" i="1"/>
  <c r="A1510" i="1"/>
  <c r="F1510" i="1"/>
  <c r="G1510" i="1"/>
  <c r="I1510" i="1"/>
  <c r="A1511" i="1"/>
  <c r="F1511" i="1"/>
  <c r="G1511" i="1"/>
  <c r="I1511" i="1"/>
  <c r="A1512" i="1"/>
  <c r="F1512" i="1"/>
  <c r="G1512" i="1"/>
  <c r="I1512" i="1"/>
  <c r="A1513" i="1"/>
  <c r="F1513" i="1"/>
  <c r="G1513" i="1"/>
  <c r="I1513" i="1"/>
  <c r="A1514" i="1"/>
  <c r="F1514" i="1"/>
  <c r="G1514" i="1"/>
  <c r="I1514" i="1"/>
  <c r="A1515" i="1"/>
  <c r="F1515" i="1"/>
  <c r="G1515" i="1"/>
  <c r="I1515" i="1"/>
  <c r="A1516" i="1"/>
  <c r="F1516" i="1"/>
  <c r="G1516" i="1"/>
  <c r="I1516" i="1"/>
  <c r="A1517" i="1"/>
  <c r="F1517" i="1"/>
  <c r="G1517" i="1"/>
  <c r="I1517" i="1"/>
  <c r="A1518" i="1"/>
  <c r="F1518" i="1"/>
  <c r="G1518" i="1"/>
  <c r="I1518" i="1"/>
  <c r="A1519" i="1"/>
  <c r="F1519" i="1"/>
  <c r="G1519" i="1"/>
  <c r="I1519" i="1"/>
  <c r="A1520" i="1"/>
  <c r="F1520" i="1"/>
  <c r="G1520" i="1"/>
  <c r="I1520" i="1"/>
  <c r="A1521" i="1"/>
  <c r="F1521" i="1"/>
  <c r="G1521" i="1"/>
  <c r="I1521" i="1"/>
  <c r="A1522" i="1"/>
  <c r="F1522" i="1"/>
  <c r="G1522" i="1"/>
  <c r="I1522" i="1"/>
  <c r="A1523" i="1"/>
  <c r="F1523" i="1"/>
  <c r="G1523" i="1"/>
  <c r="I1523" i="1"/>
  <c r="A1524" i="1"/>
  <c r="F1524" i="1"/>
  <c r="G1524" i="1"/>
  <c r="I1524" i="1"/>
  <c r="A1525" i="1"/>
  <c r="F1525" i="1"/>
  <c r="G1525" i="1"/>
  <c r="I1525" i="1"/>
  <c r="A1526" i="1"/>
  <c r="F1526" i="1"/>
  <c r="G1526" i="1"/>
  <c r="I1526" i="1"/>
  <c r="A1527" i="1"/>
  <c r="F1527" i="1"/>
  <c r="G1527" i="1"/>
  <c r="I1527" i="1"/>
  <c r="A1528" i="1"/>
  <c r="F1528" i="1"/>
  <c r="G1528" i="1"/>
  <c r="I1528" i="1"/>
  <c r="A1529" i="1"/>
  <c r="F1529" i="1"/>
  <c r="G1529" i="1"/>
  <c r="I1529" i="1"/>
  <c r="A1530" i="1"/>
  <c r="F1530" i="1"/>
  <c r="G1530" i="1"/>
  <c r="I1530" i="1"/>
  <c r="A1531" i="1"/>
  <c r="F1531" i="1"/>
  <c r="G1531" i="1"/>
  <c r="I1531" i="1"/>
  <c r="A1532" i="1"/>
  <c r="F1532" i="1"/>
  <c r="G1532" i="1"/>
  <c r="I1532" i="1"/>
  <c r="A1533" i="1"/>
  <c r="F1533" i="1"/>
  <c r="G1533" i="1"/>
  <c r="I1533" i="1"/>
  <c r="A1534" i="1"/>
  <c r="F1534" i="1"/>
  <c r="G1534" i="1"/>
  <c r="I1534" i="1"/>
  <c r="A1535" i="1"/>
  <c r="F1535" i="1"/>
  <c r="G1535" i="1"/>
  <c r="I1535" i="1"/>
  <c r="A1536" i="1"/>
  <c r="F1536" i="1"/>
  <c r="G1536" i="1"/>
  <c r="I1536" i="1"/>
  <c r="A1537" i="1"/>
  <c r="F1537" i="1"/>
  <c r="G1537" i="1"/>
  <c r="I1537" i="1"/>
  <c r="A1538" i="1"/>
  <c r="F1538" i="1"/>
  <c r="G1538" i="1"/>
  <c r="I1538" i="1"/>
  <c r="A1539" i="1"/>
  <c r="F1539" i="1"/>
  <c r="G1539" i="1"/>
  <c r="I1539" i="1"/>
  <c r="A1540" i="1"/>
  <c r="F1540" i="1"/>
  <c r="G1540" i="1"/>
  <c r="I1540" i="1"/>
  <c r="A1541" i="1"/>
  <c r="F1541" i="1"/>
  <c r="G1541" i="1"/>
  <c r="I1541" i="1"/>
  <c r="A1542" i="1"/>
  <c r="F1542" i="1"/>
  <c r="G1542" i="1"/>
  <c r="I1542" i="1"/>
  <c r="A1543" i="1"/>
  <c r="F1543" i="1"/>
  <c r="G1543" i="1"/>
  <c r="I1543" i="1"/>
  <c r="A1544" i="1"/>
  <c r="F1544" i="1"/>
  <c r="G1544" i="1"/>
  <c r="I1544" i="1"/>
  <c r="A1545" i="1"/>
  <c r="F1545" i="1"/>
  <c r="G1545" i="1"/>
  <c r="I1545" i="1"/>
  <c r="A1546" i="1"/>
  <c r="F1546" i="1"/>
  <c r="G1546" i="1"/>
  <c r="I1546" i="1"/>
  <c r="A1547" i="1"/>
  <c r="F1547" i="1"/>
  <c r="G1547" i="1"/>
  <c r="I1547" i="1"/>
  <c r="A1548" i="1"/>
  <c r="F1548" i="1"/>
  <c r="G1548" i="1"/>
  <c r="I1548" i="1"/>
  <c r="A1549" i="1"/>
  <c r="F1549" i="1"/>
  <c r="G1549" i="1"/>
  <c r="I1549" i="1"/>
  <c r="A1550" i="1"/>
  <c r="F1550" i="1"/>
  <c r="G1550" i="1"/>
  <c r="I1550" i="1"/>
  <c r="A1551" i="1"/>
  <c r="F1551" i="1"/>
  <c r="G1551" i="1"/>
  <c r="I1551" i="1"/>
  <c r="A1552" i="1"/>
  <c r="F1552" i="1"/>
  <c r="G1552" i="1"/>
  <c r="I1552" i="1"/>
  <c r="A1553" i="1"/>
  <c r="F1553" i="1"/>
  <c r="G1553" i="1"/>
  <c r="I1553" i="1"/>
  <c r="A1554" i="1"/>
  <c r="F1554" i="1"/>
  <c r="G1554" i="1"/>
  <c r="I1554" i="1"/>
  <c r="A1555" i="1"/>
  <c r="F1555" i="1"/>
  <c r="G1555" i="1"/>
  <c r="I1555" i="1"/>
  <c r="A1556" i="1"/>
  <c r="F1556" i="1"/>
  <c r="G1556" i="1"/>
  <c r="I1556" i="1"/>
  <c r="A1557" i="1"/>
  <c r="F1557" i="1"/>
  <c r="G1557" i="1"/>
  <c r="I1557" i="1"/>
  <c r="A1558" i="1"/>
  <c r="F1558" i="1"/>
  <c r="G1558" i="1"/>
  <c r="I1558" i="1"/>
  <c r="A1559" i="1"/>
  <c r="F1559" i="1"/>
  <c r="G1559" i="1"/>
  <c r="I1559" i="1"/>
  <c r="A1560" i="1"/>
  <c r="F1560" i="1"/>
  <c r="G1560" i="1"/>
  <c r="I1560" i="1"/>
  <c r="A1561" i="1"/>
  <c r="F1561" i="1"/>
  <c r="G1561" i="1"/>
  <c r="I1561" i="1"/>
  <c r="A1562" i="1"/>
  <c r="F1562" i="1"/>
  <c r="G1562" i="1"/>
  <c r="I1562" i="1"/>
  <c r="A1563" i="1"/>
  <c r="F1563" i="1"/>
  <c r="G1563" i="1"/>
  <c r="I1563" i="1"/>
  <c r="A1564" i="1"/>
  <c r="F1564" i="1"/>
  <c r="G1564" i="1"/>
  <c r="I1564" i="1"/>
  <c r="A1565" i="1"/>
  <c r="F1565" i="1"/>
  <c r="G1565" i="1"/>
  <c r="I1565" i="1"/>
  <c r="A1566" i="1"/>
  <c r="F1566" i="1"/>
  <c r="G1566" i="1"/>
  <c r="I1566" i="1"/>
  <c r="A1567" i="1"/>
  <c r="F1567" i="1"/>
  <c r="G1567" i="1"/>
  <c r="I1567" i="1"/>
  <c r="A1568" i="1"/>
  <c r="F1568" i="1"/>
  <c r="G1568" i="1"/>
  <c r="I1568" i="1"/>
  <c r="A1569" i="1"/>
  <c r="F1569" i="1"/>
  <c r="G1569" i="1"/>
  <c r="I1569" i="1"/>
  <c r="A1570" i="1"/>
  <c r="F1570" i="1"/>
  <c r="G1570" i="1"/>
  <c r="I1570" i="1"/>
  <c r="A1571" i="1"/>
  <c r="F1571" i="1"/>
  <c r="G1571" i="1"/>
  <c r="I1571" i="1"/>
  <c r="A1572" i="1"/>
  <c r="F1572" i="1"/>
  <c r="G1572" i="1"/>
  <c r="I1572" i="1"/>
  <c r="A1573" i="1"/>
  <c r="F1573" i="1"/>
  <c r="G1573" i="1"/>
  <c r="I1573" i="1"/>
  <c r="A1574" i="1"/>
  <c r="F1574" i="1"/>
  <c r="G1574" i="1"/>
  <c r="I1574" i="1"/>
  <c r="A1575" i="1"/>
  <c r="F1575" i="1"/>
  <c r="G1575" i="1"/>
  <c r="I1575" i="1"/>
  <c r="A1576" i="1"/>
  <c r="F1576" i="1"/>
  <c r="G1576" i="1"/>
  <c r="I1576" i="1"/>
  <c r="A1577" i="1"/>
  <c r="F1577" i="1"/>
  <c r="G1577" i="1"/>
  <c r="I1577" i="1"/>
  <c r="A1578" i="1"/>
  <c r="F1578" i="1"/>
  <c r="G1578" i="1"/>
  <c r="I1578" i="1"/>
  <c r="A1579" i="1"/>
  <c r="F1579" i="1"/>
  <c r="G1579" i="1"/>
  <c r="I1579" i="1"/>
  <c r="A1580" i="1"/>
  <c r="F1580" i="1"/>
  <c r="G1580" i="1"/>
  <c r="I1580" i="1"/>
  <c r="A1581" i="1"/>
  <c r="F1581" i="1"/>
  <c r="G1581" i="1"/>
  <c r="I1581" i="1"/>
  <c r="A1582" i="1"/>
  <c r="F1582" i="1"/>
  <c r="G1582" i="1"/>
  <c r="I1582" i="1"/>
  <c r="A1583" i="1"/>
  <c r="F1583" i="1"/>
  <c r="G1583" i="1"/>
  <c r="I1583" i="1"/>
  <c r="A1584" i="1"/>
  <c r="F1584" i="1"/>
  <c r="G1584" i="1"/>
  <c r="I1584" i="1"/>
  <c r="A1585" i="1"/>
  <c r="H1585" i="1"/>
  <c r="I1585" i="1"/>
  <c r="A1586" i="1"/>
  <c r="H1586" i="1"/>
  <c r="I1586" i="1"/>
  <c r="A1587" i="1"/>
  <c r="F1587" i="1"/>
  <c r="G1587" i="1"/>
  <c r="I1587" i="1"/>
  <c r="A1588" i="1"/>
  <c r="F1588" i="1"/>
  <c r="G1588" i="1"/>
  <c r="I1588" i="1"/>
  <c r="A1589" i="1"/>
  <c r="F1589" i="1"/>
  <c r="G1589" i="1"/>
  <c r="I1589" i="1"/>
  <c r="A1590" i="1"/>
  <c r="F1590" i="1"/>
  <c r="G1590" i="1"/>
  <c r="I1590" i="1"/>
  <c r="A1591" i="1"/>
  <c r="F1591" i="1"/>
  <c r="G1591" i="1"/>
  <c r="I1591" i="1"/>
  <c r="A1592" i="1"/>
  <c r="F1592" i="1"/>
  <c r="G1592" i="1"/>
  <c r="I1592" i="1"/>
  <c r="A1593" i="1"/>
  <c r="F1593" i="1"/>
  <c r="G1593" i="1"/>
  <c r="I1593" i="1"/>
  <c r="A1594" i="1"/>
  <c r="F1594" i="1"/>
  <c r="G1594" i="1"/>
  <c r="I1594" i="1"/>
  <c r="A1595" i="1"/>
  <c r="F1595" i="1"/>
  <c r="G1595" i="1"/>
  <c r="I1595" i="1"/>
  <c r="A1596" i="1"/>
  <c r="F1596" i="1"/>
  <c r="G1596" i="1"/>
  <c r="I1596" i="1"/>
  <c r="A1597" i="1"/>
  <c r="F1597" i="1"/>
  <c r="G1597" i="1"/>
  <c r="I1597" i="1"/>
  <c r="A1598" i="1"/>
  <c r="F1598" i="1"/>
  <c r="G1598" i="1"/>
  <c r="I1598" i="1"/>
  <c r="A1599" i="1"/>
  <c r="F1599" i="1"/>
  <c r="G1599" i="1"/>
  <c r="I1599" i="1"/>
  <c r="A1600" i="1"/>
  <c r="F1600" i="1"/>
  <c r="G1600" i="1"/>
  <c r="I1600" i="1"/>
  <c r="A1601" i="1"/>
  <c r="F1601" i="1"/>
  <c r="G1601" i="1"/>
  <c r="I1601" i="1"/>
  <c r="A1602" i="1"/>
  <c r="F1602" i="1"/>
  <c r="G1602" i="1"/>
  <c r="I1602" i="1"/>
  <c r="A1603" i="1"/>
  <c r="F1603" i="1"/>
  <c r="G1603" i="1"/>
  <c r="I1603" i="1"/>
  <c r="A1604" i="1"/>
  <c r="F1604" i="1"/>
  <c r="G1604" i="1"/>
  <c r="I1604" i="1"/>
  <c r="A1605" i="1"/>
  <c r="F1605" i="1"/>
  <c r="G1605" i="1"/>
  <c r="I1605" i="1"/>
  <c r="A1606" i="1"/>
  <c r="F1606" i="1"/>
  <c r="G1606" i="1"/>
  <c r="I1606" i="1"/>
  <c r="A1607" i="1"/>
  <c r="F1607" i="1"/>
  <c r="G1607" i="1"/>
  <c r="I1607" i="1"/>
  <c r="A1608" i="1"/>
  <c r="F1608" i="1"/>
  <c r="G1608" i="1"/>
  <c r="I1608" i="1"/>
  <c r="A1609" i="1"/>
  <c r="F1609" i="1"/>
  <c r="G1609" i="1"/>
  <c r="I1609" i="1"/>
  <c r="A1610" i="1"/>
  <c r="F1610" i="1"/>
  <c r="G1610" i="1"/>
  <c r="I1610" i="1"/>
  <c r="A1611" i="1"/>
  <c r="F1611" i="1"/>
  <c r="G1611" i="1"/>
  <c r="I1611" i="1"/>
  <c r="A1612" i="1"/>
  <c r="F1612" i="1"/>
  <c r="G1612" i="1"/>
  <c r="I1612" i="1"/>
  <c r="A1613" i="1"/>
  <c r="F1613" i="1"/>
  <c r="G1613" i="1"/>
  <c r="I1613" i="1"/>
  <c r="A1614" i="1"/>
  <c r="F1614" i="1"/>
  <c r="G1614" i="1"/>
  <c r="I1614" i="1"/>
  <c r="A1615" i="1"/>
  <c r="F1615" i="1"/>
  <c r="G1615" i="1"/>
  <c r="I1615" i="1"/>
  <c r="A1616" i="1"/>
  <c r="F1616" i="1"/>
  <c r="G1616" i="1"/>
  <c r="I1616" i="1"/>
  <c r="A1617" i="1"/>
  <c r="F1617" i="1"/>
  <c r="G1617" i="1"/>
  <c r="I1617" i="1"/>
  <c r="A1618" i="1"/>
  <c r="F1618" i="1"/>
  <c r="G1618" i="1"/>
  <c r="I1618" i="1"/>
  <c r="A1619" i="1"/>
  <c r="F1619" i="1"/>
  <c r="G1619" i="1"/>
  <c r="I1619" i="1"/>
  <c r="A1620" i="1"/>
  <c r="F1620" i="1"/>
  <c r="G1620" i="1"/>
  <c r="I1620" i="1"/>
  <c r="A1621" i="1"/>
  <c r="F1621" i="1"/>
  <c r="G1621" i="1"/>
  <c r="I1621" i="1"/>
  <c r="A1622" i="1"/>
  <c r="F1622" i="1"/>
  <c r="G1622" i="1"/>
  <c r="I1622" i="1"/>
  <c r="A1623" i="1"/>
  <c r="F1623" i="1"/>
  <c r="G1623" i="1"/>
  <c r="I1623" i="1"/>
  <c r="A1624" i="1"/>
  <c r="F1624" i="1"/>
  <c r="G1624" i="1"/>
  <c r="A1625" i="1"/>
  <c r="F1625" i="1"/>
  <c r="G1625" i="1"/>
  <c r="A1626" i="1"/>
  <c r="F1626" i="1"/>
  <c r="G1626" i="1"/>
  <c r="I1626" i="1"/>
  <c r="A1627" i="1"/>
  <c r="F1627" i="1"/>
  <c r="G1627" i="1"/>
  <c r="I1627" i="1"/>
  <c r="A1628" i="1"/>
  <c r="F1628" i="1"/>
  <c r="G1628" i="1"/>
  <c r="I1628" i="1"/>
  <c r="A1629" i="1"/>
  <c r="F1629" i="1"/>
  <c r="G1629" i="1"/>
  <c r="I1629" i="1"/>
  <c r="A1630" i="1"/>
  <c r="F1630" i="1"/>
  <c r="G1630" i="1"/>
  <c r="I1630" i="1"/>
  <c r="A1631" i="1"/>
  <c r="F1631" i="1"/>
  <c r="G1631" i="1"/>
  <c r="I1631" i="1"/>
  <c r="A1632" i="1"/>
  <c r="F1632" i="1"/>
  <c r="G1632" i="1"/>
  <c r="I1632" i="1"/>
  <c r="A1633" i="1"/>
  <c r="F1633" i="1"/>
  <c r="G1633" i="1"/>
  <c r="I1633" i="1"/>
  <c r="A1634" i="1"/>
  <c r="F1634" i="1"/>
  <c r="G1634" i="1"/>
  <c r="I1634" i="1"/>
  <c r="A1635" i="1"/>
  <c r="F1635" i="1"/>
  <c r="G1635" i="1"/>
  <c r="I1635" i="1"/>
  <c r="A1636" i="1"/>
  <c r="F1636" i="1"/>
  <c r="G1636" i="1"/>
  <c r="I1636" i="1"/>
  <c r="A1637" i="1"/>
  <c r="F1637" i="1"/>
  <c r="G1637" i="1"/>
  <c r="I1637" i="1"/>
  <c r="A1638" i="1"/>
  <c r="F1638" i="1"/>
  <c r="G1638" i="1"/>
  <c r="I1638" i="1"/>
  <c r="A1639" i="1"/>
  <c r="F1639" i="1"/>
  <c r="G1639" i="1"/>
  <c r="I1639" i="1"/>
  <c r="A1640" i="1"/>
  <c r="F1640" i="1"/>
  <c r="G1640" i="1"/>
  <c r="I1640" i="1"/>
  <c r="A1641" i="1"/>
  <c r="F1641" i="1"/>
  <c r="G1641" i="1"/>
  <c r="I1641" i="1"/>
  <c r="A1642" i="1"/>
  <c r="F1642" i="1"/>
  <c r="G1642" i="1"/>
  <c r="I1642" i="1"/>
  <c r="A1643" i="1"/>
  <c r="F1643" i="1"/>
  <c r="G1643" i="1"/>
  <c r="I1643" i="1"/>
  <c r="A1644" i="1"/>
  <c r="F1644" i="1"/>
  <c r="G1644" i="1"/>
  <c r="I1644" i="1"/>
  <c r="A1645" i="1"/>
  <c r="F1645" i="1"/>
  <c r="G1645" i="1"/>
  <c r="I1645" i="1"/>
  <c r="A1646" i="1"/>
  <c r="F1646" i="1"/>
  <c r="G1646" i="1"/>
  <c r="I1646" i="1"/>
  <c r="A1647" i="1"/>
  <c r="F1647" i="1"/>
  <c r="G1647" i="1"/>
  <c r="I1647" i="1"/>
  <c r="A1648" i="1"/>
  <c r="F1648" i="1"/>
  <c r="G1648" i="1"/>
  <c r="I1648" i="1"/>
  <c r="A1649" i="1"/>
  <c r="F1649" i="1"/>
  <c r="G1649" i="1"/>
  <c r="I1649" i="1"/>
  <c r="A1650" i="1"/>
  <c r="F1650" i="1"/>
  <c r="G1650" i="1"/>
  <c r="I1650" i="1"/>
  <c r="A1651" i="1"/>
  <c r="F1651" i="1"/>
  <c r="G1651" i="1"/>
  <c r="I1651" i="1"/>
  <c r="A1652" i="1"/>
  <c r="F1652" i="1"/>
  <c r="G1652" i="1"/>
  <c r="I1652" i="1"/>
  <c r="A1653" i="1"/>
  <c r="F1653" i="1"/>
  <c r="G1653" i="1"/>
  <c r="I1653" i="1"/>
  <c r="A1654" i="1"/>
  <c r="F1654" i="1"/>
  <c r="G1654" i="1"/>
  <c r="I1654" i="1"/>
  <c r="A1655" i="1"/>
  <c r="F1655" i="1"/>
  <c r="G1655" i="1"/>
  <c r="I1655" i="1"/>
  <c r="A1656" i="1"/>
  <c r="F1656" i="1"/>
  <c r="G1656" i="1"/>
  <c r="I1656" i="1"/>
  <c r="A1657" i="1"/>
  <c r="F1657" i="1"/>
  <c r="G1657" i="1"/>
  <c r="I1657" i="1"/>
  <c r="A1658" i="1"/>
  <c r="F1658" i="1"/>
  <c r="G1658" i="1"/>
  <c r="I1658" i="1"/>
  <c r="A1659" i="1"/>
  <c r="F1659" i="1"/>
  <c r="G1659" i="1"/>
  <c r="I1659" i="1"/>
  <c r="A1660" i="1"/>
  <c r="F1660" i="1"/>
  <c r="G1660" i="1"/>
  <c r="I1660" i="1"/>
  <c r="A1661" i="1"/>
  <c r="F1661" i="1"/>
  <c r="G1661" i="1"/>
  <c r="I1661" i="1"/>
  <c r="A1662" i="1"/>
  <c r="F1662" i="1"/>
  <c r="G1662" i="1"/>
  <c r="I1662" i="1"/>
  <c r="A1663" i="1"/>
  <c r="F1663" i="1"/>
  <c r="G1663" i="1"/>
  <c r="I1663" i="1"/>
  <c r="A1664" i="1"/>
  <c r="F1664" i="1"/>
  <c r="G1664" i="1"/>
  <c r="I1664" i="1"/>
  <c r="A1665" i="1"/>
  <c r="F1665" i="1"/>
  <c r="G1665" i="1"/>
  <c r="I1665" i="1"/>
  <c r="A1666" i="1"/>
  <c r="F1666" i="1"/>
  <c r="G1666" i="1"/>
  <c r="I1666" i="1"/>
  <c r="A1667" i="1"/>
  <c r="F1667" i="1"/>
  <c r="G1667" i="1"/>
  <c r="I1667" i="1"/>
  <c r="A1668" i="1"/>
  <c r="F1668" i="1"/>
  <c r="G1668" i="1"/>
  <c r="I1668" i="1"/>
  <c r="A1669" i="1"/>
  <c r="F1669" i="1"/>
  <c r="G1669" i="1"/>
  <c r="I1669" i="1"/>
  <c r="A1670" i="1"/>
  <c r="F1670" i="1"/>
  <c r="G1670" i="1"/>
  <c r="A1671" i="1"/>
  <c r="F1671" i="1"/>
  <c r="G1671" i="1"/>
  <c r="A1672" i="1"/>
  <c r="H1672" i="1"/>
  <c r="I1672" i="1"/>
  <c r="A1673" i="1"/>
  <c r="F1673" i="1"/>
  <c r="G1673" i="1"/>
  <c r="I1673" i="1"/>
  <c r="A1674" i="1"/>
  <c r="F1674" i="1"/>
  <c r="G1674" i="1"/>
  <c r="I1674" i="1"/>
  <c r="A1675" i="1"/>
  <c r="F1675" i="1"/>
  <c r="G1675" i="1"/>
  <c r="I1675" i="1"/>
  <c r="A1676" i="1"/>
  <c r="F1676" i="1"/>
  <c r="G1676" i="1"/>
  <c r="I1676" i="1"/>
  <c r="A1677" i="1"/>
  <c r="F1677" i="1"/>
  <c r="G1677" i="1"/>
  <c r="I1677" i="1"/>
  <c r="A1678" i="1"/>
  <c r="F1678" i="1"/>
  <c r="G1678" i="1"/>
  <c r="I1678" i="1"/>
  <c r="A1679" i="1"/>
  <c r="F1679" i="1"/>
  <c r="G1679" i="1"/>
  <c r="I1679" i="1"/>
  <c r="A1680" i="1"/>
  <c r="F1680" i="1"/>
  <c r="G1680" i="1"/>
  <c r="I1680" i="1"/>
  <c r="A1681" i="1"/>
  <c r="F1681" i="1"/>
  <c r="G1681" i="1"/>
  <c r="I1681" i="1"/>
  <c r="A1682" i="1"/>
  <c r="F1682" i="1"/>
  <c r="G1682" i="1"/>
  <c r="I1682" i="1"/>
  <c r="A1683" i="1"/>
  <c r="F1683" i="1"/>
  <c r="G1683" i="1"/>
  <c r="I1683" i="1"/>
  <c r="A1684" i="1"/>
  <c r="F1684" i="1"/>
  <c r="G1684" i="1"/>
  <c r="I1684" i="1"/>
  <c r="A1685" i="1"/>
  <c r="F1685" i="1"/>
  <c r="G1685" i="1"/>
  <c r="I1685" i="1"/>
  <c r="A1686" i="1"/>
  <c r="F1686" i="1"/>
  <c r="G1686" i="1"/>
  <c r="I1686" i="1"/>
  <c r="A1687" i="1"/>
  <c r="F1687" i="1"/>
  <c r="G1687" i="1"/>
  <c r="I1687" i="1"/>
  <c r="A1688" i="1"/>
  <c r="F1688" i="1"/>
  <c r="G1688" i="1"/>
  <c r="I1688" i="1"/>
  <c r="A1689" i="1"/>
  <c r="F1689" i="1"/>
  <c r="G1689" i="1"/>
  <c r="I1689" i="1"/>
  <c r="A1690" i="1"/>
  <c r="F1690" i="1"/>
  <c r="G1690" i="1"/>
  <c r="I1690" i="1"/>
  <c r="A1691" i="1"/>
  <c r="F1691" i="1"/>
  <c r="G1691" i="1"/>
  <c r="I1691" i="1"/>
  <c r="A1692" i="1"/>
  <c r="F1692" i="1"/>
  <c r="G1692" i="1"/>
  <c r="I1692" i="1"/>
  <c r="A1693" i="1"/>
  <c r="F1693" i="1"/>
  <c r="G1693" i="1"/>
  <c r="I1693" i="1"/>
  <c r="A1694" i="1"/>
  <c r="F1694" i="1"/>
  <c r="G1694" i="1"/>
  <c r="I1694" i="1"/>
  <c r="A1695" i="1"/>
  <c r="F1695" i="1"/>
  <c r="G1695" i="1"/>
  <c r="I1695" i="1"/>
  <c r="A1696" i="1"/>
  <c r="F1696" i="1"/>
  <c r="G1696" i="1"/>
  <c r="I1696" i="1"/>
  <c r="A1697" i="1"/>
  <c r="F1697" i="1"/>
  <c r="G1697" i="1"/>
  <c r="I1697" i="1"/>
  <c r="A1698" i="1"/>
  <c r="F1698" i="1"/>
  <c r="G1698" i="1"/>
  <c r="I1698" i="1"/>
  <c r="A1699" i="1"/>
  <c r="F1699" i="1"/>
  <c r="G1699" i="1"/>
  <c r="I1699" i="1"/>
  <c r="A1700" i="1"/>
  <c r="F1700" i="1"/>
  <c r="G1700" i="1"/>
  <c r="I1700" i="1"/>
  <c r="A1701" i="1"/>
  <c r="F1701" i="1"/>
  <c r="G1701" i="1"/>
  <c r="I1701" i="1"/>
  <c r="A1702" i="1"/>
  <c r="F1702" i="1"/>
  <c r="G1702" i="1"/>
  <c r="I1702" i="1"/>
  <c r="A1703" i="1"/>
  <c r="F1703" i="1"/>
  <c r="G1703" i="1"/>
  <c r="I1703" i="1"/>
  <c r="A1704" i="1"/>
  <c r="F1704" i="1"/>
  <c r="G1704" i="1"/>
  <c r="I1704" i="1"/>
  <c r="A1705" i="1"/>
  <c r="F1705" i="1"/>
  <c r="G1705" i="1"/>
  <c r="I1705" i="1"/>
  <c r="A1706" i="1"/>
  <c r="F1706" i="1"/>
  <c r="G1706" i="1"/>
  <c r="I1706" i="1"/>
  <c r="A1707" i="1"/>
  <c r="F1707" i="1"/>
  <c r="G1707" i="1"/>
  <c r="I1707" i="1"/>
  <c r="A1708" i="1"/>
  <c r="F1708" i="1"/>
  <c r="G1708" i="1"/>
  <c r="I1708" i="1"/>
  <c r="A1709" i="1"/>
  <c r="F1709" i="1"/>
  <c r="G1709" i="1"/>
  <c r="I1709" i="1"/>
  <c r="A1710" i="1"/>
  <c r="F1710" i="1"/>
  <c r="G1710" i="1"/>
  <c r="I1710" i="1"/>
  <c r="A1711" i="1"/>
  <c r="F1711" i="1"/>
  <c r="G1711" i="1"/>
  <c r="I1711" i="1"/>
  <c r="A1712" i="1"/>
  <c r="F1712" i="1"/>
  <c r="G1712" i="1"/>
  <c r="I1712" i="1"/>
  <c r="A1713" i="1"/>
  <c r="F1713" i="1"/>
  <c r="G1713" i="1"/>
  <c r="I1713" i="1"/>
  <c r="A1714" i="1"/>
  <c r="F1714" i="1"/>
  <c r="G1714" i="1"/>
  <c r="I1714" i="1"/>
  <c r="A1715" i="1"/>
  <c r="F1715" i="1"/>
  <c r="G1715" i="1"/>
  <c r="I1715" i="1"/>
  <c r="A1716" i="1"/>
  <c r="F1716" i="1"/>
  <c r="G1716" i="1"/>
  <c r="I1716" i="1"/>
  <c r="A1717" i="1"/>
  <c r="F1717" i="1"/>
  <c r="G1717" i="1"/>
  <c r="I1717" i="1"/>
  <c r="A1718" i="1"/>
  <c r="F1718" i="1"/>
  <c r="G1718" i="1"/>
  <c r="I1718" i="1"/>
  <c r="A1719" i="1"/>
  <c r="F1719" i="1"/>
  <c r="G1719" i="1"/>
  <c r="I1719" i="1"/>
  <c r="A1720" i="1"/>
  <c r="F1720" i="1"/>
  <c r="G1720" i="1"/>
  <c r="I1720" i="1"/>
  <c r="A1721" i="1"/>
  <c r="F1721" i="1"/>
  <c r="G1721" i="1"/>
  <c r="I1721" i="1"/>
  <c r="A1722" i="1"/>
  <c r="F1722" i="1"/>
  <c r="G1722" i="1"/>
  <c r="I1722" i="1"/>
  <c r="A1723" i="1"/>
  <c r="F1723" i="1"/>
  <c r="G1723" i="1"/>
  <c r="I1723" i="1"/>
  <c r="A1724" i="1"/>
  <c r="F1724" i="1"/>
  <c r="G1724" i="1"/>
  <c r="I1724" i="1"/>
  <c r="A1725" i="1"/>
  <c r="F1725" i="1"/>
  <c r="G1725" i="1"/>
  <c r="I1725" i="1"/>
  <c r="A1726" i="1"/>
  <c r="F1726" i="1"/>
  <c r="G1726" i="1"/>
  <c r="I1726" i="1"/>
  <c r="A1727" i="1"/>
  <c r="F1727" i="1"/>
  <c r="G1727" i="1"/>
  <c r="I1727" i="1"/>
  <c r="A1728" i="1"/>
  <c r="F1728" i="1"/>
  <c r="G1728" i="1"/>
  <c r="I1728" i="1"/>
  <c r="A1729" i="1"/>
  <c r="F1729" i="1"/>
  <c r="G1729" i="1"/>
  <c r="I1729" i="1"/>
  <c r="A1730" i="1"/>
  <c r="F1730" i="1"/>
  <c r="G1730" i="1"/>
  <c r="I1730" i="1"/>
  <c r="A1731" i="1"/>
  <c r="F1731" i="1"/>
  <c r="G1731" i="1"/>
  <c r="I1731" i="1"/>
  <c r="A1732" i="1"/>
  <c r="F1732" i="1"/>
  <c r="G1732" i="1"/>
  <c r="I1732" i="1"/>
  <c r="A1733" i="1"/>
  <c r="F1733" i="1"/>
  <c r="G1733" i="1"/>
  <c r="I1733" i="1"/>
  <c r="A1734" i="1"/>
  <c r="F1734" i="1"/>
  <c r="G1734" i="1"/>
  <c r="I1734" i="1"/>
  <c r="A1735" i="1"/>
  <c r="F1735" i="1"/>
  <c r="G1735" i="1"/>
  <c r="I1735" i="1"/>
  <c r="A1736" i="1"/>
  <c r="F1736" i="1"/>
  <c r="G1736" i="1"/>
  <c r="I1736" i="1"/>
  <c r="A1737" i="1"/>
  <c r="F1737" i="1"/>
  <c r="G1737" i="1"/>
  <c r="I1737" i="1"/>
  <c r="A1738" i="1"/>
  <c r="F1738" i="1"/>
  <c r="G1738" i="1"/>
  <c r="I1738" i="1"/>
  <c r="A1739" i="1"/>
  <c r="F1739" i="1"/>
  <c r="G1739" i="1"/>
  <c r="I1739" i="1"/>
  <c r="A1740" i="1"/>
  <c r="F1740" i="1"/>
  <c r="G1740" i="1"/>
  <c r="I1740" i="1"/>
  <c r="A1741" i="1"/>
  <c r="F1741" i="1"/>
  <c r="G1741" i="1"/>
  <c r="I1741" i="1"/>
  <c r="A1742" i="1"/>
  <c r="F1742" i="1"/>
  <c r="G1742" i="1"/>
  <c r="I1742" i="1"/>
  <c r="A1743" i="1"/>
  <c r="F1743" i="1"/>
  <c r="G1743" i="1"/>
  <c r="I1743" i="1"/>
  <c r="A1744" i="1"/>
  <c r="F1744" i="1"/>
  <c r="G1744" i="1"/>
  <c r="I1744" i="1"/>
  <c r="A1745" i="1"/>
  <c r="F1745" i="1"/>
  <c r="G1745" i="1"/>
  <c r="I1745" i="1"/>
  <c r="A1746" i="1"/>
  <c r="F1746" i="1"/>
  <c r="G1746" i="1"/>
  <c r="I1746" i="1"/>
  <c r="A1747" i="1"/>
  <c r="F1747" i="1"/>
  <c r="G1747" i="1"/>
  <c r="I1747" i="1"/>
  <c r="A1748" i="1"/>
  <c r="F1748" i="1"/>
  <c r="G1748" i="1"/>
  <c r="I1748" i="1"/>
  <c r="A1749" i="1"/>
  <c r="F1749" i="1"/>
  <c r="G1749" i="1"/>
  <c r="I1749" i="1"/>
  <c r="A1750" i="1"/>
  <c r="F1750" i="1"/>
  <c r="G1750" i="1"/>
  <c r="I1750" i="1"/>
  <c r="A1751" i="1"/>
  <c r="F1751" i="1"/>
  <c r="G1751" i="1"/>
  <c r="I1751" i="1"/>
  <c r="A1752" i="1"/>
  <c r="F1752" i="1"/>
  <c r="G1752" i="1"/>
  <c r="I1752" i="1"/>
  <c r="A1753" i="1"/>
  <c r="F1753" i="1"/>
  <c r="G1753" i="1"/>
  <c r="I1753" i="1"/>
  <c r="A1754" i="1"/>
  <c r="F1754" i="1"/>
  <c r="G1754" i="1"/>
  <c r="I1754" i="1"/>
  <c r="A1755" i="1"/>
  <c r="F1755" i="1"/>
  <c r="G1755" i="1"/>
  <c r="I1755" i="1"/>
  <c r="A1756" i="1"/>
  <c r="F1756" i="1"/>
  <c r="G1756" i="1"/>
  <c r="I1756" i="1"/>
  <c r="A1757" i="1"/>
  <c r="F1757" i="1"/>
  <c r="G1757" i="1"/>
  <c r="I1757" i="1"/>
  <c r="A1758" i="1"/>
  <c r="F1758" i="1"/>
  <c r="G1758" i="1"/>
  <c r="I1758" i="1"/>
  <c r="A1759" i="1"/>
  <c r="F1759" i="1"/>
  <c r="G1759" i="1"/>
  <c r="I1759" i="1"/>
  <c r="A1760" i="1"/>
  <c r="F1760" i="1"/>
  <c r="G1760" i="1"/>
  <c r="I1760" i="1"/>
  <c r="A1761" i="1"/>
  <c r="F1761" i="1"/>
  <c r="G1761" i="1"/>
  <c r="I1761" i="1"/>
  <c r="A1762" i="1"/>
  <c r="F1762" i="1"/>
  <c r="G1762" i="1"/>
  <c r="I1762" i="1"/>
  <c r="A1763" i="1"/>
  <c r="F1763" i="1"/>
  <c r="G1763" i="1"/>
  <c r="I1763" i="1"/>
  <c r="A1764" i="1"/>
  <c r="F1764" i="1"/>
  <c r="G1764" i="1"/>
  <c r="I1764" i="1"/>
  <c r="A1765" i="1"/>
  <c r="F1765" i="1"/>
  <c r="G1765" i="1"/>
  <c r="I1765" i="1"/>
  <c r="A1766" i="1"/>
  <c r="F1766" i="1"/>
  <c r="G1766" i="1"/>
  <c r="I1766" i="1"/>
  <c r="A1767" i="1"/>
  <c r="F1767" i="1"/>
  <c r="G1767" i="1"/>
  <c r="I1767" i="1"/>
  <c r="A1768" i="1"/>
  <c r="F1768" i="1"/>
  <c r="G1768" i="1"/>
  <c r="I1768" i="1"/>
  <c r="A1769" i="1"/>
  <c r="F1769" i="1"/>
  <c r="G1769" i="1"/>
  <c r="I1769" i="1"/>
  <c r="A1770" i="1"/>
  <c r="F1770" i="1"/>
  <c r="G1770" i="1"/>
  <c r="I1770" i="1"/>
  <c r="A1771" i="1"/>
  <c r="F1771" i="1"/>
  <c r="G1771" i="1"/>
  <c r="I1771" i="1"/>
  <c r="A1772" i="1"/>
  <c r="F1772" i="1"/>
  <c r="G1772" i="1"/>
  <c r="I1772" i="1"/>
  <c r="A1773" i="1"/>
  <c r="F1773" i="1"/>
  <c r="G1773" i="1"/>
  <c r="I1773" i="1"/>
  <c r="A1774" i="1"/>
  <c r="F1774" i="1"/>
  <c r="G1774" i="1"/>
  <c r="I1774" i="1"/>
  <c r="A1775" i="1"/>
  <c r="F1775" i="1"/>
  <c r="G1775" i="1"/>
  <c r="I1775" i="1"/>
  <c r="A1776" i="1"/>
  <c r="F1776" i="1"/>
  <c r="G1776" i="1"/>
  <c r="I1776" i="1"/>
  <c r="A1777" i="1"/>
  <c r="F1777" i="1"/>
  <c r="G1777" i="1"/>
  <c r="I1777" i="1"/>
  <c r="A1778" i="1"/>
  <c r="F1778" i="1"/>
  <c r="G1778" i="1"/>
  <c r="I1778" i="1"/>
  <c r="A1779" i="1"/>
  <c r="F1779" i="1"/>
  <c r="G1779" i="1"/>
  <c r="I1779" i="1"/>
  <c r="A1780" i="1"/>
  <c r="F1780" i="1"/>
  <c r="G1780" i="1"/>
  <c r="I1780" i="1"/>
  <c r="A1781" i="1"/>
  <c r="F1781" i="1"/>
  <c r="G1781" i="1"/>
  <c r="I1781" i="1"/>
  <c r="A1782" i="1"/>
  <c r="F1782" i="1"/>
  <c r="G1782" i="1"/>
  <c r="I1782" i="1"/>
  <c r="A1783" i="1"/>
  <c r="F1783" i="1"/>
  <c r="G1783" i="1"/>
  <c r="I1783" i="1"/>
  <c r="A1784" i="1"/>
  <c r="F1784" i="1"/>
  <c r="G1784" i="1"/>
  <c r="I1784" i="1"/>
  <c r="A1785" i="1"/>
  <c r="F1785" i="1"/>
  <c r="G1785" i="1"/>
  <c r="I1785" i="1"/>
  <c r="A1786" i="1"/>
  <c r="F1786" i="1"/>
  <c r="G1786" i="1"/>
  <c r="I1786" i="1"/>
  <c r="A1787" i="1"/>
  <c r="F1787" i="1"/>
  <c r="G1787" i="1"/>
  <c r="I1787" i="1"/>
  <c r="A1788" i="1"/>
  <c r="F1788" i="1"/>
  <c r="G1788" i="1"/>
  <c r="I1788" i="1"/>
  <c r="A1789" i="1"/>
  <c r="F1789" i="1"/>
  <c r="G1789" i="1"/>
  <c r="I1789" i="1"/>
  <c r="A1790" i="1"/>
  <c r="F1790" i="1"/>
  <c r="G1790" i="1"/>
  <c r="I1790" i="1"/>
  <c r="A1791" i="1"/>
  <c r="F1791" i="1"/>
  <c r="G1791" i="1"/>
  <c r="I1791" i="1"/>
  <c r="A1792" i="1"/>
  <c r="F1792" i="1"/>
  <c r="G1792" i="1"/>
  <c r="I1792" i="1"/>
  <c r="A1793" i="1"/>
  <c r="F1793" i="1"/>
  <c r="G1793" i="1"/>
  <c r="I1793" i="1"/>
  <c r="A1794" i="1"/>
  <c r="F1794" i="1"/>
  <c r="G1794" i="1"/>
  <c r="I1794" i="1"/>
  <c r="A1795" i="1"/>
  <c r="F1795" i="1"/>
  <c r="G1795" i="1"/>
  <c r="I1795" i="1"/>
  <c r="A1796" i="1"/>
  <c r="F1796" i="1"/>
  <c r="G1796" i="1"/>
  <c r="I1796" i="1"/>
  <c r="A1797" i="1"/>
  <c r="F1797" i="1"/>
  <c r="G1797" i="1"/>
  <c r="I1797" i="1"/>
  <c r="A1798" i="1"/>
  <c r="F1798" i="1"/>
  <c r="G1798" i="1"/>
  <c r="I1798" i="1"/>
  <c r="A1799" i="1"/>
  <c r="F1799" i="1"/>
  <c r="G1799" i="1"/>
  <c r="I1799" i="1"/>
  <c r="A1800" i="1"/>
  <c r="F1800" i="1"/>
  <c r="G1800" i="1"/>
  <c r="I1800" i="1"/>
  <c r="A1801" i="1"/>
  <c r="F1801" i="1"/>
  <c r="G1801" i="1"/>
  <c r="I1801" i="1"/>
  <c r="A1802" i="1"/>
  <c r="F1802" i="1"/>
  <c r="G1802" i="1"/>
  <c r="I1802" i="1"/>
  <c r="A1803" i="1"/>
  <c r="F1803" i="1"/>
  <c r="G1803" i="1"/>
  <c r="I1803" i="1"/>
  <c r="A1804" i="1"/>
  <c r="F1804" i="1"/>
  <c r="G1804" i="1"/>
  <c r="I1804" i="1"/>
  <c r="A1805" i="1"/>
  <c r="F1805" i="1"/>
  <c r="G1805" i="1"/>
  <c r="I1805" i="1"/>
  <c r="A1806" i="1"/>
  <c r="F1806" i="1"/>
  <c r="G1806" i="1"/>
  <c r="I1806" i="1"/>
  <c r="A1807" i="1"/>
  <c r="F1807" i="1"/>
  <c r="G1807" i="1"/>
  <c r="I1807" i="1"/>
  <c r="A1808" i="1"/>
  <c r="F1808" i="1"/>
  <c r="G1808" i="1"/>
  <c r="I1808" i="1"/>
  <c r="A1809" i="1"/>
  <c r="F1809" i="1"/>
  <c r="G1809" i="1"/>
  <c r="I1809" i="1"/>
  <c r="A1810" i="1"/>
  <c r="F1810" i="1"/>
  <c r="G1810" i="1"/>
  <c r="I1810" i="1"/>
  <c r="A1811" i="1"/>
  <c r="F1811" i="1"/>
  <c r="G1811" i="1"/>
  <c r="I1811" i="1"/>
  <c r="A1812" i="1"/>
  <c r="F1812" i="1"/>
  <c r="G1812" i="1"/>
  <c r="I1812" i="1"/>
  <c r="A1813" i="1"/>
  <c r="F1813" i="1"/>
  <c r="G1813" i="1"/>
  <c r="I1813" i="1"/>
  <c r="A1814" i="1"/>
  <c r="F1814" i="1"/>
  <c r="G1814" i="1"/>
  <c r="I1814" i="1"/>
  <c r="A1815" i="1"/>
  <c r="F1815" i="1"/>
  <c r="G1815" i="1"/>
  <c r="I1815" i="1"/>
  <c r="A1816" i="1"/>
  <c r="F1816" i="1"/>
  <c r="G1816" i="1"/>
  <c r="I1816" i="1"/>
  <c r="A1817" i="1"/>
  <c r="F1817" i="1"/>
  <c r="G1817" i="1"/>
  <c r="I1817" i="1"/>
  <c r="A1818" i="1"/>
  <c r="F1818" i="1"/>
  <c r="G1818" i="1"/>
  <c r="I1818" i="1"/>
  <c r="A1819" i="1"/>
  <c r="F1819" i="1"/>
  <c r="G1819" i="1"/>
  <c r="I1819" i="1"/>
  <c r="A1820" i="1"/>
  <c r="F1820" i="1"/>
  <c r="G1820" i="1"/>
  <c r="I1820" i="1"/>
  <c r="A1821" i="1"/>
  <c r="F1821" i="1"/>
  <c r="G1821" i="1"/>
  <c r="I1821" i="1"/>
  <c r="A1822" i="1"/>
  <c r="F1822" i="1"/>
  <c r="G1822" i="1"/>
  <c r="I1822" i="1"/>
  <c r="A1823" i="1"/>
  <c r="F1823" i="1"/>
  <c r="G1823" i="1"/>
  <c r="I1823" i="1"/>
  <c r="A1824" i="1"/>
  <c r="F1824" i="1"/>
  <c r="G1824" i="1"/>
  <c r="I1824" i="1"/>
  <c r="A1825" i="1"/>
  <c r="F1825" i="1"/>
  <c r="G1825" i="1"/>
  <c r="I1825" i="1"/>
  <c r="A1826" i="1"/>
  <c r="F1826" i="1"/>
  <c r="G1826" i="1"/>
  <c r="I1826" i="1"/>
  <c r="A1827" i="1"/>
  <c r="F1827" i="1"/>
  <c r="G1827" i="1"/>
  <c r="I1827" i="1"/>
  <c r="A1828" i="1"/>
  <c r="F1828" i="1"/>
  <c r="G1828" i="1"/>
  <c r="I1828" i="1"/>
  <c r="A1829" i="1"/>
  <c r="F1829" i="1"/>
  <c r="G1829" i="1"/>
  <c r="I1829" i="1"/>
  <c r="A1830" i="1"/>
  <c r="F1830" i="1"/>
  <c r="G1830" i="1"/>
  <c r="I1830" i="1"/>
  <c r="A1831" i="1"/>
  <c r="F1831" i="1"/>
  <c r="G1831" i="1"/>
  <c r="I1831" i="1"/>
  <c r="A1832" i="1"/>
  <c r="F1832" i="1"/>
  <c r="G1832" i="1"/>
  <c r="I1832" i="1"/>
  <c r="A1833" i="1"/>
  <c r="F1833" i="1"/>
  <c r="G1833" i="1"/>
  <c r="I1833" i="1"/>
  <c r="A1834" i="1"/>
  <c r="F1834" i="1"/>
  <c r="G1834" i="1"/>
  <c r="I1834" i="1"/>
  <c r="A1835" i="1"/>
  <c r="F1835" i="1"/>
  <c r="G1835" i="1"/>
  <c r="I1835" i="1"/>
  <c r="A1836" i="1"/>
  <c r="F1836" i="1"/>
  <c r="G1836" i="1"/>
  <c r="I1836" i="1"/>
  <c r="A1837" i="1"/>
  <c r="F1837" i="1"/>
  <c r="G1837" i="1"/>
  <c r="I1837" i="1"/>
  <c r="A1838" i="1"/>
  <c r="F1838" i="1"/>
  <c r="G1838" i="1"/>
  <c r="I1838" i="1"/>
  <c r="A1839" i="1"/>
  <c r="F1839" i="1"/>
  <c r="G1839" i="1"/>
  <c r="I1839" i="1"/>
  <c r="A1840" i="1"/>
  <c r="F1840" i="1"/>
  <c r="G1840" i="1"/>
  <c r="I1840" i="1"/>
  <c r="A1841" i="1"/>
  <c r="F1841" i="1"/>
  <c r="G1841" i="1"/>
  <c r="I1841" i="1"/>
  <c r="A1842" i="1"/>
  <c r="F1842" i="1"/>
  <c r="G1842" i="1"/>
  <c r="I1842" i="1"/>
  <c r="A1843" i="1"/>
  <c r="F1843" i="1"/>
  <c r="G1843" i="1"/>
  <c r="I1843" i="1"/>
  <c r="A1844" i="1"/>
  <c r="F1844" i="1"/>
  <c r="G1844" i="1"/>
  <c r="I1844" i="1"/>
  <c r="A1845" i="1"/>
  <c r="F1845" i="1"/>
  <c r="G1845" i="1"/>
  <c r="I1845" i="1"/>
  <c r="A1846" i="1"/>
  <c r="F1846" i="1"/>
  <c r="G1846" i="1"/>
  <c r="I1846" i="1"/>
  <c r="A1847" i="1"/>
  <c r="F1847" i="1"/>
  <c r="G1847" i="1"/>
  <c r="I1847" i="1"/>
  <c r="A1848" i="1"/>
  <c r="F1848" i="1"/>
  <c r="G1848" i="1"/>
  <c r="I1848" i="1"/>
  <c r="A1849" i="1"/>
  <c r="F1849" i="1"/>
  <c r="G1849" i="1"/>
  <c r="I1849" i="1"/>
  <c r="A1850" i="1"/>
  <c r="F1850" i="1"/>
  <c r="G1850" i="1"/>
  <c r="I1850" i="1"/>
  <c r="A1851" i="1"/>
  <c r="F1851" i="1"/>
  <c r="G1851" i="1"/>
  <c r="I1851" i="1"/>
  <c r="A1852" i="1"/>
  <c r="F1852" i="1"/>
  <c r="G1852" i="1"/>
  <c r="I1852" i="1"/>
  <c r="A1853" i="1"/>
  <c r="F1853" i="1"/>
  <c r="G1853" i="1"/>
  <c r="I1853" i="1"/>
  <c r="A1854" i="1"/>
  <c r="F1854" i="1"/>
  <c r="G1854" i="1"/>
  <c r="I1854" i="1"/>
  <c r="A1855" i="1"/>
  <c r="F1855" i="1"/>
  <c r="G1855" i="1"/>
  <c r="I1855" i="1"/>
  <c r="A1856" i="1"/>
  <c r="F1856" i="1"/>
  <c r="G1856" i="1"/>
  <c r="I1856" i="1"/>
  <c r="A1857" i="1"/>
  <c r="F1857" i="1"/>
  <c r="G1857" i="1"/>
  <c r="I1857" i="1"/>
  <c r="A1858" i="1"/>
  <c r="F1858" i="1"/>
  <c r="G1858" i="1"/>
  <c r="I1858" i="1"/>
  <c r="A1859" i="1"/>
  <c r="F1859" i="1"/>
  <c r="G1859" i="1"/>
  <c r="I1859" i="1"/>
  <c r="A1860" i="1"/>
  <c r="F1860" i="1"/>
  <c r="G1860" i="1"/>
  <c r="I1860" i="1"/>
  <c r="A1861" i="1"/>
  <c r="F1861" i="1"/>
  <c r="G1861" i="1"/>
  <c r="I1861" i="1"/>
  <c r="A1862" i="1"/>
  <c r="F1862" i="1"/>
  <c r="G1862" i="1"/>
  <c r="I1862" i="1"/>
  <c r="A1863" i="1"/>
  <c r="F1863" i="1"/>
  <c r="G1863" i="1"/>
  <c r="I1863" i="1"/>
  <c r="A1864" i="1"/>
  <c r="F1864" i="1"/>
  <c r="G1864" i="1"/>
  <c r="I1864" i="1"/>
  <c r="A1865" i="1"/>
  <c r="F1865" i="1"/>
  <c r="G1865" i="1"/>
  <c r="I1865" i="1"/>
  <c r="A1866" i="1"/>
  <c r="F1866" i="1"/>
  <c r="G1866" i="1"/>
  <c r="I1866" i="1"/>
  <c r="A1867" i="1"/>
  <c r="F1867" i="1"/>
  <c r="G1867" i="1"/>
  <c r="I1867" i="1"/>
  <c r="A1868" i="1"/>
  <c r="F1868" i="1"/>
  <c r="G1868" i="1"/>
  <c r="I1868" i="1"/>
  <c r="A1869" i="1"/>
  <c r="F1869" i="1"/>
  <c r="G1869" i="1"/>
  <c r="I1869" i="1"/>
  <c r="A1870" i="1"/>
  <c r="F1870" i="1"/>
  <c r="G1870" i="1"/>
  <c r="I1870" i="1"/>
  <c r="A1871" i="1"/>
  <c r="F1871" i="1"/>
  <c r="G1871" i="1"/>
  <c r="I1871" i="1"/>
  <c r="A1872" i="1"/>
  <c r="F1872" i="1"/>
  <c r="G1872" i="1"/>
  <c r="I1872" i="1"/>
  <c r="A1873" i="1"/>
  <c r="F1873" i="1"/>
  <c r="G1873" i="1"/>
  <c r="I1873" i="1"/>
  <c r="A1874" i="1"/>
  <c r="F1874" i="1"/>
  <c r="G1874" i="1"/>
  <c r="I1874" i="1"/>
  <c r="A1875" i="1"/>
  <c r="F1875" i="1"/>
  <c r="G1875" i="1"/>
  <c r="I1875" i="1"/>
  <c r="A1876" i="1"/>
  <c r="F1876" i="1"/>
  <c r="G1876" i="1"/>
  <c r="I1876" i="1"/>
  <c r="A1877" i="1"/>
  <c r="F1877" i="1"/>
  <c r="G1877" i="1"/>
  <c r="I1877" i="1"/>
  <c r="A1878" i="1"/>
  <c r="F1878" i="1"/>
  <c r="G1878" i="1"/>
  <c r="I1878" i="1"/>
  <c r="A1879" i="1"/>
  <c r="F1879" i="1"/>
  <c r="G1879" i="1"/>
  <c r="I1879" i="1"/>
  <c r="A1880" i="1"/>
  <c r="F1880" i="1"/>
  <c r="G1880" i="1"/>
  <c r="I1880" i="1"/>
  <c r="A1881" i="1"/>
  <c r="F1881" i="1"/>
  <c r="G1881" i="1"/>
  <c r="I1881" i="1"/>
  <c r="A1882" i="1"/>
  <c r="F1882" i="1"/>
  <c r="G1882" i="1"/>
  <c r="I1882" i="1"/>
  <c r="A1883" i="1"/>
  <c r="F1883" i="1"/>
  <c r="G1883" i="1"/>
  <c r="I1883" i="1"/>
  <c r="A1884" i="1"/>
  <c r="F1884" i="1"/>
  <c r="G1884" i="1"/>
  <c r="I1884" i="1"/>
  <c r="A1885" i="1"/>
  <c r="F1885" i="1"/>
  <c r="G1885" i="1"/>
  <c r="I1885" i="1"/>
  <c r="A1886" i="1"/>
  <c r="F1886" i="1"/>
  <c r="G1886" i="1"/>
  <c r="I1886" i="1"/>
  <c r="A1887" i="1"/>
  <c r="F1887" i="1"/>
  <c r="G1887" i="1"/>
  <c r="I1887" i="1"/>
  <c r="A1888" i="1"/>
  <c r="F1888" i="1"/>
  <c r="G1888" i="1"/>
  <c r="I1888" i="1"/>
  <c r="A1889" i="1"/>
  <c r="F1889" i="1"/>
  <c r="G1889" i="1"/>
  <c r="I1889" i="1"/>
  <c r="A1890" i="1"/>
  <c r="F1890" i="1"/>
  <c r="G1890" i="1"/>
  <c r="I1890" i="1"/>
  <c r="A1891" i="1"/>
  <c r="F1891" i="1"/>
  <c r="G1891" i="1"/>
  <c r="I1891" i="1"/>
  <c r="A1892" i="1"/>
  <c r="F1892" i="1"/>
  <c r="G1892" i="1"/>
  <c r="I1892" i="1"/>
  <c r="A1893" i="1"/>
  <c r="F1893" i="1"/>
  <c r="G1893" i="1"/>
  <c r="I1893" i="1"/>
  <c r="A1894" i="1"/>
  <c r="F1894" i="1"/>
  <c r="G1894" i="1"/>
  <c r="I1894" i="1"/>
  <c r="A1895" i="1"/>
  <c r="F1895" i="1"/>
  <c r="G1895" i="1"/>
  <c r="I1895" i="1"/>
  <c r="A1896" i="1"/>
  <c r="F1896" i="1"/>
  <c r="G1896" i="1"/>
  <c r="I1896" i="1"/>
  <c r="A1897" i="1"/>
  <c r="F1897" i="1"/>
  <c r="G1897" i="1"/>
  <c r="I1897" i="1"/>
  <c r="A1898" i="1"/>
  <c r="F1898" i="1"/>
  <c r="G1898" i="1"/>
  <c r="I1898" i="1"/>
  <c r="A1899" i="1"/>
  <c r="F1899" i="1"/>
  <c r="G1899" i="1"/>
  <c r="I1899" i="1"/>
  <c r="A1900" i="1"/>
  <c r="F1900" i="1"/>
  <c r="G1900" i="1"/>
  <c r="I1900" i="1"/>
  <c r="A1901" i="1"/>
  <c r="F1901" i="1"/>
  <c r="G1901" i="1"/>
  <c r="I1901" i="1"/>
  <c r="A1902" i="1"/>
  <c r="F1902" i="1"/>
  <c r="G1902" i="1"/>
  <c r="I1902" i="1"/>
  <c r="A1903" i="1"/>
  <c r="F1903" i="1"/>
  <c r="G1903" i="1"/>
  <c r="I1903" i="1"/>
  <c r="A1904" i="1"/>
  <c r="F1904" i="1"/>
  <c r="G1904" i="1"/>
  <c r="I1904" i="1"/>
  <c r="A1905" i="1"/>
  <c r="F1905" i="1"/>
  <c r="G1905" i="1"/>
  <c r="I1905" i="1"/>
  <c r="A1906" i="1"/>
  <c r="F1906" i="1"/>
  <c r="G1906" i="1"/>
  <c r="I1906" i="1"/>
  <c r="A1907" i="1"/>
  <c r="F1907" i="1"/>
  <c r="G1907" i="1"/>
  <c r="I1907" i="1"/>
  <c r="A1908" i="1"/>
  <c r="F1908" i="1"/>
  <c r="G1908" i="1"/>
  <c r="I1908" i="1"/>
  <c r="A1909" i="1"/>
  <c r="F1909" i="1"/>
  <c r="G1909" i="1"/>
  <c r="I1909" i="1"/>
  <c r="A1910" i="1"/>
  <c r="F1910" i="1"/>
  <c r="G1910" i="1"/>
  <c r="I1910" i="1"/>
  <c r="A1911" i="1"/>
  <c r="F1911" i="1"/>
  <c r="G1911" i="1"/>
  <c r="I1911" i="1"/>
  <c r="A1912" i="1"/>
  <c r="F1912" i="1"/>
  <c r="G1912" i="1"/>
  <c r="I1912" i="1"/>
  <c r="A1913" i="1"/>
  <c r="F1913" i="1"/>
  <c r="G1913" i="1"/>
  <c r="I1913" i="1"/>
  <c r="A1914" i="1"/>
  <c r="F1914" i="1"/>
  <c r="G1914" i="1"/>
  <c r="I1914" i="1"/>
  <c r="A1915" i="1"/>
  <c r="F1915" i="1"/>
  <c r="G1915" i="1"/>
  <c r="I1915" i="1"/>
  <c r="A1916" i="1"/>
  <c r="F1916" i="1"/>
  <c r="G1916" i="1"/>
  <c r="I1916" i="1"/>
  <c r="A1917" i="1"/>
  <c r="F1917" i="1"/>
  <c r="G1917" i="1"/>
  <c r="I1917" i="1"/>
  <c r="A1918" i="1"/>
  <c r="F1918" i="1"/>
  <c r="G1918" i="1"/>
  <c r="I1918" i="1"/>
  <c r="A1919" i="1"/>
  <c r="F1919" i="1"/>
  <c r="G1919" i="1"/>
  <c r="I1919" i="1"/>
  <c r="A1920" i="1"/>
  <c r="F1920" i="1"/>
  <c r="G1920" i="1"/>
  <c r="I1920" i="1"/>
  <c r="A1921" i="1"/>
  <c r="F1921" i="1"/>
  <c r="G1921" i="1"/>
  <c r="I1921" i="1"/>
  <c r="A1922" i="1"/>
  <c r="F1922" i="1"/>
  <c r="G1922" i="1"/>
  <c r="I1922" i="1"/>
  <c r="A1923" i="1"/>
  <c r="F1923" i="1"/>
  <c r="G1923" i="1"/>
  <c r="I1923" i="1"/>
  <c r="A1924" i="1"/>
  <c r="F1924" i="1"/>
  <c r="G1924" i="1"/>
  <c r="I1924" i="1"/>
  <c r="A1925" i="1"/>
  <c r="F1925" i="1"/>
  <c r="G1925" i="1"/>
  <c r="I1925" i="1"/>
  <c r="A1926" i="1"/>
  <c r="F1926" i="1"/>
  <c r="G1926" i="1"/>
  <c r="I1926" i="1"/>
  <c r="A1927" i="1"/>
  <c r="F1927" i="1"/>
  <c r="G1927" i="1"/>
  <c r="I1927" i="1"/>
  <c r="A1928" i="1"/>
  <c r="F1928" i="1"/>
  <c r="G1928" i="1"/>
  <c r="I1928" i="1"/>
  <c r="A1929" i="1"/>
  <c r="F1929" i="1"/>
  <c r="G1929" i="1"/>
  <c r="I1929" i="1"/>
  <c r="A1930" i="1"/>
  <c r="F1930" i="1"/>
  <c r="G1930" i="1"/>
  <c r="I1930" i="1"/>
  <c r="A1931" i="1"/>
  <c r="F1931" i="1"/>
  <c r="G1931" i="1"/>
  <c r="I1931" i="1"/>
  <c r="A1932" i="1"/>
  <c r="F1932" i="1"/>
  <c r="G1932" i="1"/>
  <c r="I1932" i="1"/>
  <c r="A1933" i="1"/>
  <c r="F1933" i="1"/>
  <c r="G1933" i="1"/>
  <c r="I1933" i="1"/>
  <c r="A1934" i="1"/>
  <c r="F1934" i="1"/>
  <c r="G1934" i="1"/>
  <c r="I1934" i="1"/>
  <c r="A1935" i="1"/>
  <c r="F1935" i="1"/>
  <c r="G1935" i="1"/>
  <c r="I1935" i="1"/>
  <c r="A1936" i="1"/>
  <c r="F1936" i="1"/>
  <c r="G1936" i="1"/>
  <c r="I1936" i="1"/>
  <c r="A1937" i="1"/>
  <c r="F1937" i="1"/>
  <c r="G1937" i="1"/>
  <c r="I1937" i="1"/>
  <c r="A1938" i="1"/>
  <c r="F1938" i="1"/>
  <c r="G1938" i="1"/>
  <c r="I1938" i="1"/>
  <c r="A1939" i="1"/>
  <c r="F1939" i="1"/>
  <c r="G1939" i="1"/>
  <c r="I1939" i="1"/>
  <c r="A1940" i="1"/>
  <c r="F1940" i="1"/>
  <c r="G1940" i="1"/>
  <c r="I1940" i="1"/>
  <c r="A1941" i="1"/>
  <c r="F1941" i="1"/>
  <c r="G1941" i="1"/>
  <c r="I1941" i="1"/>
  <c r="A1942" i="1"/>
  <c r="F1942" i="1"/>
  <c r="G1942" i="1"/>
  <c r="I1942" i="1"/>
  <c r="A1943" i="1"/>
  <c r="F1943" i="1"/>
  <c r="G1943" i="1"/>
  <c r="I1943" i="1"/>
  <c r="A1944" i="1"/>
  <c r="F1944" i="1"/>
  <c r="G1944" i="1"/>
  <c r="I1944" i="1"/>
  <c r="A1945" i="1"/>
  <c r="F1945" i="1"/>
  <c r="G1945" i="1"/>
  <c r="I1945" i="1"/>
  <c r="A1946" i="1"/>
  <c r="F1946" i="1"/>
  <c r="G1946" i="1"/>
  <c r="I1946" i="1"/>
  <c r="A1947" i="1"/>
  <c r="F1947" i="1"/>
  <c r="G1947" i="1"/>
  <c r="I1947" i="1"/>
  <c r="A1948" i="1"/>
  <c r="F1948" i="1"/>
  <c r="G1948" i="1"/>
  <c r="I1948" i="1"/>
  <c r="A1949" i="1"/>
  <c r="F1949" i="1"/>
  <c r="G1949" i="1"/>
  <c r="I1949" i="1"/>
  <c r="A1950" i="1"/>
  <c r="F1950" i="1"/>
  <c r="G1950" i="1"/>
  <c r="I1950" i="1"/>
  <c r="A1951" i="1"/>
  <c r="F1951" i="1"/>
  <c r="G1951" i="1"/>
  <c r="I1951" i="1"/>
  <c r="A1952" i="1"/>
  <c r="F1952" i="1"/>
  <c r="G1952" i="1"/>
  <c r="I1952" i="1"/>
  <c r="A1953" i="1"/>
  <c r="F1953" i="1"/>
  <c r="G1953" i="1"/>
  <c r="I1953" i="1"/>
  <c r="A1954" i="1"/>
  <c r="F1954" i="1"/>
  <c r="G1954" i="1"/>
  <c r="I1954" i="1"/>
  <c r="A1955" i="1"/>
  <c r="F1955" i="1"/>
  <c r="G1955" i="1"/>
  <c r="I1955" i="1"/>
  <c r="A1956" i="1"/>
  <c r="F1956" i="1"/>
  <c r="G1956" i="1"/>
  <c r="I1956" i="1"/>
  <c r="A1957" i="1"/>
  <c r="F1957" i="1"/>
  <c r="G1957" i="1"/>
  <c r="I1957" i="1"/>
  <c r="A1958" i="1"/>
  <c r="F1958" i="1"/>
  <c r="G1958" i="1"/>
  <c r="I1958" i="1"/>
  <c r="A1959" i="1"/>
  <c r="F1959" i="1"/>
  <c r="G1959" i="1"/>
  <c r="I1959" i="1"/>
  <c r="A1960" i="1"/>
  <c r="F1960" i="1"/>
  <c r="G1960" i="1"/>
  <c r="I1960" i="1"/>
  <c r="A1961" i="1"/>
  <c r="F1961" i="1"/>
  <c r="G1961" i="1"/>
  <c r="I1961" i="1"/>
  <c r="A1962" i="1"/>
  <c r="F1962" i="1"/>
  <c r="G1962" i="1"/>
  <c r="I1962" i="1"/>
  <c r="A1963" i="1"/>
  <c r="F1963" i="1"/>
  <c r="G1963" i="1"/>
  <c r="I1963" i="1"/>
  <c r="A1964" i="1"/>
  <c r="F1964" i="1"/>
  <c r="G1964" i="1"/>
  <c r="I1964" i="1"/>
  <c r="A1965" i="1"/>
  <c r="F1965" i="1"/>
  <c r="G1965" i="1"/>
  <c r="I1965" i="1"/>
  <c r="A1966" i="1"/>
  <c r="F1966" i="1"/>
  <c r="G1966" i="1"/>
  <c r="I1966" i="1"/>
  <c r="A1967" i="1"/>
  <c r="F1967" i="1"/>
  <c r="G1967" i="1"/>
  <c r="I1967" i="1"/>
  <c r="A1968" i="1"/>
  <c r="F1968" i="1"/>
  <c r="G1968" i="1"/>
  <c r="I1968" i="1"/>
  <c r="A1969" i="1"/>
  <c r="F1969" i="1"/>
  <c r="G1969" i="1"/>
  <c r="I1969" i="1"/>
  <c r="A1970" i="1"/>
  <c r="F1970" i="1"/>
  <c r="G1970" i="1"/>
  <c r="I1970" i="1"/>
  <c r="A1971" i="1"/>
  <c r="F1971" i="1"/>
  <c r="G1971" i="1"/>
  <c r="I1971" i="1"/>
  <c r="A1972" i="1"/>
  <c r="F1972" i="1"/>
  <c r="G1972" i="1"/>
  <c r="I1972" i="1"/>
  <c r="A1973" i="1"/>
  <c r="F1973" i="1"/>
  <c r="G1973" i="1"/>
  <c r="I1973" i="1"/>
  <c r="A1974" i="1"/>
  <c r="F1974" i="1"/>
  <c r="G1974" i="1"/>
  <c r="I1974" i="1"/>
  <c r="A1975" i="1"/>
  <c r="F1975" i="1"/>
  <c r="G1975" i="1"/>
  <c r="I1975" i="1"/>
  <c r="A1976" i="1"/>
  <c r="F1976" i="1"/>
  <c r="G1976" i="1"/>
  <c r="I1976" i="1"/>
  <c r="A1977" i="1"/>
  <c r="F1977" i="1"/>
  <c r="G1977" i="1"/>
  <c r="I1977" i="1"/>
  <c r="A1978" i="1"/>
  <c r="F1978" i="1"/>
  <c r="G1978" i="1"/>
  <c r="I1978" i="1"/>
  <c r="A1979" i="1"/>
  <c r="F1979" i="1"/>
  <c r="G1979" i="1"/>
  <c r="I1979" i="1"/>
  <c r="A1980" i="1"/>
  <c r="F1980" i="1"/>
  <c r="G1980" i="1"/>
  <c r="I1980" i="1"/>
  <c r="A1981" i="1"/>
  <c r="F1981" i="1"/>
  <c r="G1981" i="1"/>
  <c r="I1981" i="1"/>
  <c r="A1982" i="1"/>
  <c r="F1982" i="1"/>
  <c r="G1982" i="1"/>
  <c r="I1982" i="1"/>
  <c r="A1983" i="1"/>
  <c r="F1983" i="1"/>
  <c r="G1983" i="1"/>
  <c r="I1983" i="1"/>
  <c r="A1984" i="1"/>
  <c r="F1984" i="1"/>
  <c r="G1984" i="1"/>
  <c r="I1984" i="1"/>
  <c r="A1985" i="1"/>
  <c r="F1985" i="1"/>
  <c r="G1985" i="1"/>
  <c r="I1985" i="1"/>
  <c r="A1986" i="1"/>
  <c r="F1986" i="1"/>
  <c r="G1986" i="1"/>
  <c r="I1986" i="1"/>
  <c r="A1987" i="1"/>
  <c r="F1987" i="1"/>
  <c r="G1987" i="1"/>
  <c r="I1987" i="1"/>
  <c r="A1988" i="1"/>
  <c r="F1988" i="1"/>
  <c r="G1988" i="1"/>
  <c r="I1988" i="1"/>
  <c r="A1989" i="1"/>
  <c r="F1989" i="1"/>
  <c r="G1989" i="1"/>
  <c r="I1989" i="1"/>
  <c r="A1990" i="1"/>
  <c r="F1990" i="1"/>
  <c r="G1990" i="1"/>
  <c r="I1990" i="1"/>
  <c r="A1991" i="1"/>
  <c r="F1991" i="1"/>
  <c r="G1991" i="1"/>
  <c r="I1991" i="1"/>
  <c r="A1992" i="1"/>
  <c r="F1992" i="1"/>
  <c r="G1992" i="1"/>
  <c r="I1992" i="1"/>
  <c r="A1993" i="1"/>
  <c r="F1993" i="1"/>
  <c r="G1993" i="1"/>
  <c r="I1993" i="1"/>
  <c r="A1994" i="1"/>
  <c r="F1994" i="1"/>
  <c r="G1994" i="1"/>
  <c r="I1994" i="1"/>
  <c r="A1995" i="1"/>
  <c r="F1995" i="1"/>
  <c r="G1995" i="1"/>
  <c r="I1995" i="1"/>
  <c r="A1996" i="1"/>
  <c r="F1996" i="1"/>
  <c r="G1996" i="1"/>
  <c r="I1996" i="1"/>
  <c r="A1997" i="1"/>
  <c r="F1997" i="1"/>
  <c r="G1997" i="1"/>
  <c r="I1997" i="1"/>
  <c r="A1998" i="1"/>
  <c r="F1998" i="1"/>
  <c r="G1998" i="1"/>
  <c r="I1998" i="1"/>
  <c r="A1999" i="1"/>
  <c r="F1999" i="1"/>
  <c r="G1999" i="1"/>
  <c r="I1999" i="1"/>
  <c r="A2000" i="1"/>
  <c r="F2000" i="1"/>
  <c r="G2000" i="1"/>
  <c r="I2000" i="1"/>
  <c r="A2001" i="1"/>
  <c r="F2001" i="1"/>
  <c r="G2001" i="1"/>
  <c r="I2001" i="1"/>
  <c r="A2002" i="1"/>
  <c r="F2002" i="1"/>
  <c r="G2002" i="1"/>
  <c r="I2002" i="1"/>
  <c r="A2003" i="1"/>
  <c r="F2003" i="1"/>
  <c r="G2003" i="1"/>
  <c r="I2003" i="1"/>
  <c r="A2004" i="1"/>
  <c r="F2004" i="1"/>
  <c r="G2004" i="1"/>
  <c r="I2004" i="1"/>
  <c r="A2005" i="1"/>
  <c r="F2005" i="1"/>
  <c r="G2005" i="1"/>
  <c r="I2005" i="1"/>
  <c r="A2006" i="1"/>
  <c r="F2006" i="1"/>
  <c r="G2006" i="1"/>
  <c r="I2006" i="1"/>
  <c r="A2007" i="1"/>
  <c r="F2007" i="1"/>
  <c r="G2007" i="1"/>
  <c r="I2007" i="1"/>
  <c r="A2008" i="1"/>
  <c r="F2008" i="1"/>
  <c r="G2008" i="1"/>
  <c r="I2008" i="1"/>
  <c r="A2009" i="1"/>
  <c r="F2009" i="1"/>
  <c r="G2009" i="1"/>
  <c r="I2009" i="1"/>
  <c r="A2010" i="1"/>
  <c r="F2010" i="1"/>
  <c r="G2010" i="1"/>
  <c r="I2010" i="1"/>
  <c r="A2011" i="1"/>
  <c r="F2011" i="1"/>
  <c r="G2011" i="1"/>
  <c r="I2011" i="1"/>
  <c r="A2012" i="1"/>
  <c r="F2012" i="1"/>
  <c r="G2012" i="1"/>
  <c r="I2012" i="1"/>
  <c r="A2013" i="1"/>
  <c r="F2013" i="1"/>
  <c r="G2013" i="1"/>
  <c r="I2013" i="1"/>
  <c r="A2014" i="1"/>
  <c r="F2014" i="1"/>
  <c r="G2014" i="1"/>
  <c r="I2014" i="1"/>
  <c r="A2015" i="1"/>
  <c r="F2015" i="1"/>
  <c r="G2015" i="1"/>
  <c r="I2015" i="1"/>
  <c r="A2016" i="1"/>
  <c r="F2016" i="1"/>
  <c r="G2016" i="1"/>
  <c r="I2016" i="1"/>
  <c r="A2017" i="1"/>
  <c r="F2017" i="1"/>
  <c r="G2017" i="1"/>
  <c r="I2017" i="1"/>
  <c r="A2018" i="1"/>
  <c r="F2018" i="1"/>
  <c r="G2018" i="1"/>
  <c r="I2018" i="1"/>
  <c r="A2019" i="1"/>
  <c r="F2019" i="1"/>
  <c r="G2019" i="1"/>
  <c r="I2019" i="1"/>
  <c r="A2020" i="1"/>
  <c r="F2020" i="1"/>
  <c r="G2020" i="1"/>
  <c r="I2020" i="1"/>
  <c r="A2021" i="1"/>
  <c r="F2021" i="1"/>
  <c r="G2021" i="1"/>
  <c r="I2021" i="1"/>
  <c r="A2022" i="1"/>
  <c r="F2022" i="1"/>
  <c r="G2022" i="1"/>
  <c r="I2022" i="1"/>
  <c r="A2023" i="1"/>
  <c r="F2023" i="1"/>
  <c r="G2023" i="1"/>
  <c r="I2023" i="1"/>
  <c r="A2024" i="1"/>
  <c r="F2024" i="1"/>
  <c r="G2024" i="1"/>
  <c r="I2024" i="1"/>
  <c r="A2025" i="1"/>
  <c r="F2025" i="1"/>
  <c r="G2025" i="1"/>
  <c r="I2025" i="1"/>
  <c r="A2026" i="1"/>
  <c r="F2026" i="1"/>
  <c r="G2026" i="1"/>
  <c r="I2026" i="1"/>
  <c r="A2027" i="1"/>
  <c r="F2027" i="1"/>
  <c r="G2027" i="1"/>
  <c r="I2027" i="1"/>
  <c r="A2028" i="1"/>
  <c r="F2028" i="1"/>
  <c r="G2028" i="1"/>
  <c r="I2028" i="1"/>
  <c r="A2029" i="1"/>
  <c r="F2029" i="1"/>
  <c r="G2029" i="1"/>
  <c r="I2029" i="1"/>
  <c r="A2030" i="1"/>
  <c r="F2030" i="1"/>
  <c r="G2030" i="1"/>
  <c r="I2030" i="1"/>
  <c r="A2031" i="1"/>
  <c r="F2031" i="1"/>
  <c r="G2031" i="1"/>
  <c r="I2031" i="1"/>
  <c r="A2032" i="1"/>
  <c r="F2032" i="1"/>
  <c r="G2032" i="1"/>
  <c r="I2032" i="1"/>
  <c r="A2033" i="1"/>
  <c r="F2033" i="1"/>
  <c r="G2033" i="1"/>
  <c r="I2033" i="1"/>
  <c r="A2034" i="1"/>
  <c r="F2034" i="1"/>
  <c r="G2034" i="1"/>
  <c r="I2034" i="1"/>
  <c r="A2035" i="1"/>
  <c r="F2035" i="1"/>
  <c r="G2035" i="1"/>
  <c r="I2035" i="1"/>
  <c r="A2036" i="1"/>
  <c r="F2036" i="1"/>
  <c r="G2036" i="1"/>
  <c r="I2036" i="1"/>
  <c r="A2037" i="1"/>
  <c r="F2037" i="1"/>
  <c r="G2037" i="1"/>
  <c r="I2037" i="1"/>
  <c r="A2038" i="1"/>
  <c r="F2038" i="1"/>
  <c r="G2038" i="1"/>
  <c r="I2038" i="1"/>
  <c r="A2039" i="1"/>
  <c r="F2039" i="1"/>
  <c r="G2039" i="1"/>
  <c r="I2039" i="1"/>
  <c r="A2040" i="1"/>
  <c r="F2040" i="1"/>
  <c r="G2040" i="1"/>
  <c r="I2040" i="1"/>
  <c r="A2041" i="1"/>
  <c r="F2041" i="1"/>
  <c r="G2041" i="1"/>
  <c r="I2041" i="1"/>
  <c r="A2042" i="1"/>
  <c r="F2042" i="1"/>
  <c r="G2042" i="1"/>
  <c r="I2042" i="1"/>
  <c r="A2043" i="1"/>
  <c r="F2043" i="1"/>
  <c r="G2043" i="1"/>
  <c r="I2043" i="1"/>
  <c r="A2044" i="1"/>
  <c r="F2044" i="1"/>
  <c r="G2044" i="1"/>
  <c r="I2044" i="1"/>
  <c r="A2045" i="1"/>
  <c r="F2045" i="1"/>
  <c r="G2045" i="1"/>
  <c r="I2045" i="1"/>
  <c r="A2046" i="1"/>
  <c r="F2046" i="1"/>
  <c r="G2046" i="1"/>
  <c r="I2046" i="1"/>
  <c r="A2047" i="1"/>
  <c r="F2047" i="1"/>
  <c r="G2047" i="1"/>
  <c r="I2047" i="1"/>
  <c r="A2048" i="1"/>
  <c r="F2048" i="1"/>
  <c r="G2048" i="1"/>
  <c r="I2048" i="1"/>
  <c r="A2049" i="1"/>
  <c r="F2049" i="1"/>
  <c r="G2049" i="1"/>
  <c r="I2049" i="1"/>
  <c r="A2050" i="1"/>
  <c r="F2050" i="1"/>
  <c r="G2050" i="1"/>
  <c r="I2050" i="1"/>
  <c r="A2051" i="1"/>
  <c r="F2051" i="1"/>
  <c r="G2051" i="1"/>
  <c r="I2051" i="1"/>
  <c r="A2052" i="1"/>
  <c r="F2052" i="1"/>
  <c r="G2052" i="1"/>
  <c r="I2052" i="1"/>
  <c r="A2053" i="1"/>
  <c r="F2053" i="1"/>
  <c r="G2053" i="1"/>
  <c r="I2053" i="1"/>
  <c r="A2054" i="1"/>
  <c r="F2054" i="1"/>
  <c r="G2054" i="1"/>
  <c r="I2054" i="1"/>
  <c r="A2055" i="1"/>
  <c r="F2055" i="1"/>
  <c r="G2055" i="1"/>
  <c r="I2055" i="1"/>
  <c r="A2056" i="1"/>
  <c r="F2056" i="1"/>
  <c r="G2056" i="1"/>
  <c r="I2056" i="1"/>
  <c r="A2057" i="1"/>
  <c r="F2057" i="1"/>
  <c r="G2057" i="1"/>
  <c r="I2057" i="1"/>
  <c r="A2058" i="1"/>
  <c r="F2058" i="1"/>
  <c r="G2058" i="1"/>
  <c r="I2058" i="1"/>
  <c r="A2059" i="1"/>
  <c r="F2059" i="1"/>
  <c r="G2059" i="1"/>
  <c r="I2059" i="1"/>
  <c r="A2060" i="1"/>
  <c r="F2060" i="1"/>
  <c r="G2060" i="1"/>
  <c r="I2060" i="1"/>
  <c r="A2061" i="1"/>
  <c r="F2061" i="1"/>
  <c r="G2061" i="1"/>
  <c r="I2061" i="1"/>
  <c r="A2062" i="1"/>
  <c r="F2062" i="1"/>
  <c r="G2062" i="1"/>
  <c r="I2062" i="1"/>
  <c r="A2063" i="1"/>
  <c r="F2063" i="1"/>
  <c r="G2063" i="1"/>
  <c r="I2063" i="1"/>
  <c r="A2064" i="1"/>
  <c r="F2064" i="1"/>
  <c r="G2064" i="1"/>
  <c r="I2064" i="1"/>
  <c r="A2065" i="1"/>
  <c r="F2065" i="1"/>
  <c r="G2065" i="1"/>
  <c r="I2065" i="1"/>
  <c r="A2066" i="1"/>
  <c r="F2066" i="1"/>
  <c r="G2066" i="1"/>
  <c r="I2066" i="1"/>
  <c r="A2067" i="1"/>
  <c r="F2067" i="1"/>
  <c r="G2067" i="1"/>
  <c r="I2067" i="1"/>
  <c r="A2068" i="1"/>
  <c r="F2068" i="1"/>
  <c r="G2068" i="1"/>
  <c r="I2068" i="1"/>
  <c r="A2069" i="1"/>
  <c r="F2069" i="1"/>
  <c r="G2069" i="1"/>
  <c r="I2069" i="1"/>
  <c r="A2070" i="1"/>
  <c r="F2070" i="1"/>
  <c r="G2070" i="1"/>
  <c r="I2070" i="1"/>
  <c r="A2071" i="1"/>
  <c r="F2071" i="1"/>
  <c r="G2071" i="1"/>
  <c r="I2071" i="1"/>
  <c r="A2072" i="1"/>
  <c r="F2072" i="1"/>
  <c r="G2072" i="1"/>
  <c r="I2072" i="1"/>
  <c r="A2073" i="1"/>
  <c r="F2073" i="1"/>
  <c r="G2073" i="1"/>
  <c r="I2073" i="1"/>
  <c r="A2074" i="1"/>
  <c r="F2074" i="1"/>
  <c r="G2074" i="1"/>
  <c r="I2074" i="1"/>
  <c r="A2075" i="1"/>
  <c r="F2075" i="1"/>
  <c r="G2075" i="1"/>
  <c r="I2075" i="1"/>
  <c r="A2076" i="1"/>
  <c r="F2076" i="1"/>
  <c r="G2076" i="1"/>
  <c r="I2076" i="1"/>
  <c r="A2077" i="1"/>
  <c r="F2077" i="1"/>
  <c r="G2077" i="1"/>
  <c r="I2077" i="1"/>
  <c r="A2078" i="1"/>
  <c r="F2078" i="1"/>
  <c r="G2078" i="1"/>
  <c r="I2078" i="1"/>
  <c r="A2079" i="1"/>
  <c r="F2079" i="1"/>
  <c r="G2079" i="1"/>
  <c r="I2079" i="1"/>
  <c r="A2080" i="1"/>
  <c r="F2080" i="1"/>
  <c r="G2080" i="1"/>
  <c r="I2080" i="1"/>
  <c r="A2081" i="1"/>
  <c r="F2081" i="1"/>
  <c r="G2081" i="1"/>
  <c r="I2081" i="1"/>
  <c r="A2082" i="1"/>
  <c r="F2082" i="1"/>
  <c r="G2082" i="1"/>
  <c r="I2082" i="1"/>
  <c r="A2083" i="1"/>
  <c r="F2083" i="1"/>
  <c r="G2083" i="1"/>
  <c r="I2083" i="1"/>
  <c r="A2084" i="1"/>
  <c r="F2084" i="1"/>
  <c r="G2084" i="1"/>
  <c r="I2084" i="1"/>
  <c r="A2085" i="1"/>
  <c r="F2085" i="1"/>
  <c r="G2085" i="1"/>
  <c r="I2085" i="1"/>
  <c r="A2086" i="1"/>
  <c r="F2086" i="1"/>
  <c r="G2086" i="1"/>
  <c r="I2086" i="1"/>
  <c r="A2087" i="1"/>
  <c r="F2087" i="1"/>
  <c r="G2087" i="1"/>
  <c r="I2087" i="1"/>
  <c r="A2088" i="1"/>
  <c r="F2088" i="1"/>
  <c r="G2088" i="1"/>
  <c r="I2088" i="1"/>
  <c r="A2089" i="1"/>
  <c r="F2089" i="1"/>
  <c r="G2089" i="1"/>
  <c r="I2089" i="1"/>
  <c r="A2090" i="1"/>
  <c r="F2090" i="1"/>
  <c r="G2090" i="1"/>
  <c r="I2090" i="1"/>
  <c r="A2091" i="1"/>
  <c r="F2091" i="1"/>
  <c r="G2091" i="1"/>
  <c r="I2091" i="1"/>
  <c r="A2092" i="1"/>
  <c r="F2092" i="1"/>
  <c r="G2092" i="1"/>
  <c r="I2092" i="1"/>
  <c r="A2093" i="1"/>
  <c r="F2093" i="1"/>
  <c r="G2093" i="1"/>
  <c r="I2093" i="1"/>
  <c r="A2094" i="1"/>
  <c r="F2094" i="1"/>
  <c r="G2094" i="1"/>
  <c r="I2094" i="1"/>
  <c r="A2095" i="1"/>
  <c r="F2095" i="1"/>
  <c r="G2095" i="1"/>
  <c r="I2095" i="1"/>
  <c r="A2096" i="1"/>
  <c r="F2096" i="1"/>
  <c r="G2096" i="1"/>
  <c r="I2096" i="1"/>
  <c r="A2097" i="1"/>
  <c r="F2097" i="1"/>
  <c r="G2097" i="1"/>
  <c r="I2097" i="1"/>
  <c r="A2098" i="1"/>
  <c r="F2098" i="1"/>
  <c r="G2098" i="1"/>
  <c r="I2098" i="1"/>
  <c r="A2099" i="1"/>
  <c r="F2099" i="1"/>
  <c r="G2099" i="1"/>
  <c r="I2099" i="1"/>
  <c r="A2100" i="1"/>
  <c r="F2100" i="1"/>
  <c r="G2100" i="1"/>
  <c r="I2100" i="1"/>
  <c r="A2101" i="1"/>
  <c r="F2101" i="1"/>
  <c r="G2101" i="1"/>
  <c r="I2101" i="1"/>
  <c r="A2102" i="1"/>
  <c r="F2102" i="1"/>
  <c r="G2102" i="1"/>
  <c r="I2102" i="1"/>
  <c r="A2103" i="1"/>
  <c r="F2103" i="1"/>
  <c r="G2103" i="1"/>
  <c r="I2103" i="1"/>
  <c r="A2104" i="1"/>
  <c r="F2104" i="1"/>
  <c r="G2104" i="1"/>
  <c r="I2104" i="1"/>
  <c r="A2105" i="1"/>
  <c r="F2105" i="1"/>
  <c r="G2105" i="1"/>
  <c r="I2105" i="1"/>
  <c r="A2106" i="1"/>
  <c r="F2106" i="1"/>
  <c r="G2106" i="1"/>
  <c r="I2106" i="1"/>
  <c r="A2107" i="1"/>
  <c r="F2107" i="1"/>
  <c r="G2107" i="1"/>
  <c r="I2107" i="1"/>
  <c r="A2108" i="1"/>
  <c r="F2108" i="1"/>
  <c r="G2108" i="1"/>
  <c r="I2108" i="1"/>
  <c r="A2109" i="1"/>
  <c r="F2109" i="1"/>
  <c r="G2109" i="1"/>
  <c r="I2109" i="1"/>
  <c r="A2110" i="1"/>
  <c r="F2110" i="1"/>
  <c r="G2110" i="1"/>
  <c r="I2110" i="1"/>
  <c r="A2111" i="1"/>
  <c r="F2111" i="1"/>
  <c r="G2111" i="1"/>
  <c r="I2111" i="1"/>
  <c r="A2112" i="1"/>
  <c r="F2112" i="1"/>
  <c r="G2112" i="1"/>
  <c r="I2112" i="1"/>
  <c r="A2113" i="1"/>
  <c r="F2113" i="1"/>
  <c r="G2113" i="1"/>
  <c r="I2113" i="1"/>
  <c r="A2114" i="1"/>
  <c r="F2114" i="1"/>
  <c r="G2114" i="1"/>
  <c r="I2114" i="1"/>
  <c r="A2115" i="1"/>
  <c r="F2115" i="1"/>
  <c r="G2115" i="1"/>
  <c r="I2115" i="1"/>
  <c r="A2116" i="1"/>
  <c r="F2116" i="1"/>
  <c r="G2116" i="1"/>
  <c r="I2116" i="1"/>
  <c r="A2117" i="1"/>
  <c r="F2117" i="1"/>
  <c r="G2117" i="1"/>
  <c r="I2117" i="1"/>
  <c r="A2118" i="1"/>
  <c r="F2118" i="1"/>
  <c r="G2118" i="1"/>
  <c r="I2118" i="1"/>
  <c r="A2119" i="1"/>
  <c r="F2119" i="1"/>
  <c r="G2119" i="1"/>
  <c r="I2119" i="1"/>
  <c r="A2120" i="1"/>
  <c r="F2120" i="1"/>
  <c r="G2120" i="1"/>
  <c r="I2120" i="1"/>
  <c r="A2121" i="1"/>
  <c r="F2121" i="1"/>
  <c r="G2121" i="1"/>
  <c r="I2121" i="1"/>
  <c r="A2122" i="1"/>
  <c r="F2122" i="1"/>
  <c r="G2122" i="1"/>
  <c r="I2122" i="1"/>
  <c r="A2123" i="1"/>
  <c r="F2123" i="1"/>
  <c r="G2123" i="1"/>
  <c r="I2123" i="1"/>
  <c r="A2124" i="1"/>
  <c r="F2124" i="1"/>
  <c r="G2124" i="1"/>
  <c r="I2124" i="1"/>
  <c r="A2125" i="1"/>
  <c r="F2125" i="1"/>
  <c r="G2125" i="1"/>
  <c r="I2125" i="1"/>
  <c r="A2126" i="1"/>
  <c r="F2126" i="1"/>
  <c r="G2126" i="1"/>
  <c r="I2126" i="1"/>
  <c r="A2127" i="1"/>
  <c r="F2127" i="1"/>
  <c r="G2127" i="1"/>
  <c r="I2127" i="1"/>
  <c r="A2128" i="1"/>
  <c r="F2128" i="1"/>
  <c r="G2128" i="1"/>
  <c r="I2128" i="1"/>
  <c r="A2129" i="1"/>
  <c r="F2129" i="1"/>
  <c r="G2129" i="1"/>
  <c r="I2129" i="1"/>
  <c r="A2130" i="1"/>
  <c r="F2130" i="1"/>
  <c r="G2130" i="1"/>
  <c r="I2130" i="1"/>
  <c r="A2131" i="1"/>
  <c r="F2131" i="1"/>
  <c r="G2131" i="1"/>
  <c r="I2131" i="1"/>
  <c r="A2132" i="1"/>
  <c r="F2132" i="1"/>
  <c r="G2132" i="1"/>
  <c r="I2132" i="1"/>
  <c r="A2133" i="1"/>
  <c r="F2133" i="1"/>
  <c r="G2133" i="1"/>
  <c r="I2133" i="1"/>
  <c r="A2134" i="1"/>
  <c r="F2134" i="1"/>
  <c r="G2134" i="1"/>
  <c r="I2134" i="1"/>
  <c r="A2135" i="1"/>
  <c r="F2135" i="1"/>
  <c r="G2135" i="1"/>
  <c r="I2135" i="1"/>
  <c r="A2136" i="1"/>
  <c r="F2136" i="1"/>
  <c r="G2136" i="1"/>
  <c r="I2136" i="1"/>
  <c r="A2137" i="1"/>
  <c r="F2137" i="1"/>
  <c r="G2137" i="1"/>
  <c r="I2137" i="1"/>
  <c r="A2138" i="1"/>
  <c r="F2138" i="1"/>
  <c r="G2138" i="1"/>
  <c r="I2138" i="1"/>
  <c r="A2139" i="1"/>
  <c r="F2139" i="1"/>
  <c r="G2139" i="1"/>
  <c r="I2139" i="1"/>
  <c r="A2140" i="1"/>
  <c r="F2140" i="1"/>
  <c r="G2140" i="1"/>
  <c r="I2140" i="1"/>
  <c r="A2141" i="1"/>
  <c r="F2141" i="1"/>
  <c r="G2141" i="1"/>
  <c r="I2141" i="1"/>
  <c r="A2142" i="1"/>
  <c r="F2142" i="1"/>
  <c r="G2142" i="1"/>
  <c r="I2142" i="1"/>
  <c r="A2143" i="1"/>
  <c r="F2143" i="1"/>
  <c r="G2143" i="1"/>
  <c r="I2143" i="1"/>
  <c r="A2144" i="1"/>
  <c r="F2144" i="1"/>
  <c r="G2144" i="1"/>
  <c r="I2144" i="1"/>
  <c r="A2145" i="1"/>
  <c r="F2145" i="1"/>
  <c r="G2145" i="1"/>
  <c r="I2145" i="1"/>
  <c r="A2146" i="1"/>
  <c r="F2146" i="1"/>
  <c r="G2146" i="1"/>
  <c r="I2146" i="1"/>
  <c r="A2147" i="1"/>
  <c r="F2147" i="1"/>
  <c r="G2147" i="1"/>
  <c r="I2147" i="1"/>
  <c r="A2148" i="1"/>
  <c r="F2148" i="1"/>
  <c r="G2148" i="1"/>
  <c r="I2148" i="1"/>
  <c r="A2149" i="1"/>
  <c r="F2149" i="1"/>
  <c r="G2149" i="1"/>
  <c r="I2149" i="1"/>
  <c r="A2150" i="1"/>
  <c r="F2150" i="1"/>
  <c r="G2150" i="1"/>
  <c r="I2150" i="1"/>
  <c r="A2151" i="1"/>
  <c r="F2151" i="1"/>
  <c r="G2151" i="1"/>
  <c r="I2151" i="1"/>
  <c r="A2152" i="1"/>
  <c r="F2152" i="1"/>
  <c r="G2152" i="1"/>
  <c r="I2152" i="1"/>
  <c r="A2153" i="1"/>
  <c r="F2153" i="1"/>
  <c r="G2153" i="1"/>
  <c r="I2153" i="1"/>
  <c r="A2154" i="1"/>
  <c r="F2154" i="1"/>
  <c r="G2154" i="1"/>
  <c r="I2154" i="1"/>
  <c r="A2155" i="1"/>
  <c r="F2155" i="1"/>
  <c r="G2155" i="1"/>
  <c r="I2155" i="1"/>
  <c r="A2156" i="1"/>
  <c r="F2156" i="1"/>
  <c r="G2156" i="1"/>
  <c r="I2156" i="1"/>
  <c r="A2157" i="1"/>
  <c r="F2157" i="1"/>
  <c r="G2157" i="1"/>
  <c r="I2157" i="1"/>
  <c r="A2158" i="1"/>
  <c r="F2158" i="1"/>
  <c r="G2158" i="1"/>
  <c r="I2158" i="1"/>
  <c r="A2159" i="1"/>
  <c r="F2159" i="1"/>
  <c r="G2159" i="1"/>
  <c r="I2159" i="1"/>
  <c r="A2160" i="1"/>
  <c r="F2160" i="1"/>
  <c r="G2160" i="1"/>
  <c r="I2160" i="1"/>
  <c r="A2161" i="1"/>
  <c r="F2161" i="1"/>
  <c r="G2161" i="1"/>
  <c r="I2161" i="1"/>
  <c r="A2162" i="1"/>
  <c r="F2162" i="1"/>
  <c r="G2162" i="1"/>
  <c r="I2162" i="1"/>
  <c r="A2163" i="1"/>
  <c r="F2163" i="1"/>
  <c r="G2163" i="1"/>
  <c r="I2163" i="1"/>
  <c r="A2164" i="1"/>
  <c r="F2164" i="1"/>
  <c r="G2164" i="1"/>
  <c r="I2164" i="1"/>
  <c r="A2165" i="1"/>
  <c r="F2165" i="1"/>
  <c r="G2165" i="1"/>
  <c r="I2165" i="1"/>
  <c r="A2166" i="1"/>
  <c r="F2166" i="1"/>
  <c r="G2166" i="1"/>
  <c r="I2166" i="1"/>
  <c r="A2167" i="1"/>
  <c r="F2167" i="1"/>
  <c r="G2167" i="1"/>
  <c r="I2167" i="1"/>
  <c r="A2168" i="1"/>
  <c r="F2168" i="1"/>
  <c r="G2168" i="1"/>
  <c r="I2168" i="1"/>
  <c r="A2169" i="1"/>
  <c r="F2169" i="1"/>
  <c r="G2169" i="1"/>
  <c r="I2169" i="1"/>
  <c r="A2170" i="1"/>
  <c r="F2170" i="1"/>
  <c r="G2170" i="1"/>
  <c r="I2170" i="1"/>
  <c r="A2171" i="1"/>
  <c r="F2171" i="1"/>
  <c r="G2171" i="1"/>
  <c r="I2171" i="1"/>
  <c r="A2172" i="1"/>
  <c r="F2172" i="1"/>
  <c r="G2172" i="1"/>
  <c r="I2172" i="1"/>
  <c r="A2173" i="1"/>
  <c r="F2173" i="1"/>
  <c r="G2173" i="1"/>
  <c r="I2173" i="1"/>
  <c r="A2174" i="1"/>
  <c r="F2174" i="1"/>
  <c r="G2174" i="1"/>
  <c r="I2174" i="1"/>
  <c r="A2175" i="1"/>
  <c r="F2175" i="1"/>
  <c r="G2175" i="1"/>
  <c r="I2175" i="1"/>
  <c r="A2176" i="1"/>
  <c r="F2176" i="1"/>
  <c r="G2176" i="1"/>
  <c r="I2176" i="1"/>
  <c r="A2177" i="1"/>
  <c r="F2177" i="1"/>
  <c r="G2177" i="1"/>
  <c r="I2177" i="1"/>
  <c r="A2178" i="1"/>
  <c r="F2178" i="1"/>
  <c r="G2178" i="1"/>
  <c r="I2178" i="1"/>
  <c r="A2179" i="1"/>
  <c r="F2179" i="1"/>
  <c r="G2179" i="1"/>
  <c r="I2179" i="1"/>
  <c r="A2180" i="1"/>
  <c r="F2180" i="1"/>
  <c r="G2180" i="1"/>
  <c r="I2180" i="1"/>
  <c r="A2181" i="1"/>
  <c r="F2181" i="1"/>
  <c r="G2181" i="1"/>
  <c r="I2181" i="1"/>
  <c r="A2182" i="1"/>
  <c r="F2182" i="1"/>
  <c r="G2182" i="1"/>
  <c r="I2182" i="1"/>
  <c r="A2183" i="1"/>
  <c r="F2183" i="1"/>
  <c r="G2183" i="1"/>
  <c r="I2183" i="1"/>
  <c r="A2184" i="1"/>
  <c r="F2184" i="1"/>
  <c r="G2184" i="1"/>
  <c r="I2184" i="1"/>
  <c r="A2185" i="1"/>
  <c r="F2185" i="1"/>
  <c r="G2185" i="1"/>
  <c r="I2185" i="1"/>
  <c r="A2186" i="1"/>
  <c r="F2186" i="1"/>
  <c r="G2186" i="1"/>
  <c r="I2186" i="1"/>
  <c r="A2187" i="1"/>
  <c r="F2187" i="1"/>
  <c r="G2187" i="1"/>
  <c r="I2187" i="1"/>
  <c r="A2188" i="1"/>
  <c r="F2188" i="1"/>
  <c r="G2188" i="1"/>
  <c r="I2188" i="1"/>
  <c r="A2189" i="1"/>
  <c r="F2189" i="1"/>
  <c r="G2189" i="1"/>
  <c r="I2189" i="1"/>
  <c r="A2190" i="1"/>
  <c r="F2190" i="1"/>
  <c r="G2190" i="1"/>
  <c r="I2190" i="1"/>
  <c r="A2191" i="1"/>
  <c r="F2191" i="1"/>
  <c r="G2191" i="1"/>
  <c r="I2191" i="1"/>
  <c r="A2192" i="1"/>
  <c r="F2192" i="1"/>
  <c r="G2192" i="1"/>
  <c r="I2192" i="1"/>
  <c r="A2193" i="1"/>
  <c r="F2193" i="1"/>
  <c r="G2193" i="1"/>
  <c r="I2193" i="1"/>
  <c r="A2194" i="1"/>
  <c r="F2194" i="1"/>
  <c r="G2194" i="1"/>
  <c r="I2194" i="1"/>
  <c r="A2195" i="1"/>
  <c r="F2195" i="1"/>
  <c r="G2195" i="1"/>
  <c r="I2195" i="1"/>
  <c r="A2196" i="1"/>
  <c r="F2196" i="1"/>
  <c r="G2196" i="1"/>
  <c r="I2196" i="1"/>
  <c r="A2197" i="1"/>
  <c r="F2197" i="1"/>
  <c r="G2197" i="1"/>
  <c r="I2197" i="1"/>
  <c r="A2198" i="1"/>
  <c r="F2198" i="1"/>
  <c r="G2198" i="1"/>
  <c r="I2198" i="1"/>
  <c r="A2199" i="1"/>
  <c r="F2199" i="1"/>
  <c r="G2199" i="1"/>
  <c r="I2199" i="1"/>
  <c r="A2200" i="1"/>
  <c r="F2200" i="1"/>
  <c r="G2200" i="1"/>
  <c r="I2200" i="1"/>
  <c r="A2201" i="1"/>
  <c r="F2201" i="1"/>
  <c r="G2201" i="1"/>
  <c r="I2201" i="1"/>
  <c r="A2202" i="1"/>
  <c r="F2202" i="1"/>
  <c r="G2202" i="1"/>
  <c r="I2202" i="1"/>
  <c r="A2203" i="1"/>
  <c r="F2203" i="1"/>
  <c r="G2203" i="1"/>
  <c r="I2203" i="1"/>
  <c r="A2204" i="1"/>
  <c r="F2204" i="1"/>
  <c r="G2204" i="1"/>
  <c r="I2204" i="1"/>
  <c r="A2205" i="1"/>
  <c r="F2205" i="1"/>
  <c r="G2205" i="1"/>
  <c r="I2205" i="1"/>
  <c r="A2206" i="1"/>
  <c r="F2206" i="1"/>
  <c r="G2206" i="1"/>
  <c r="I2206" i="1"/>
  <c r="A2207" i="1"/>
  <c r="F2207" i="1"/>
  <c r="G2207" i="1"/>
  <c r="I2207" i="1"/>
  <c r="A2208" i="1"/>
  <c r="F2208" i="1"/>
  <c r="G2208" i="1"/>
  <c r="I2208" i="1"/>
  <c r="A2209" i="1"/>
  <c r="F2209" i="1"/>
  <c r="G2209" i="1"/>
  <c r="I2209" i="1"/>
  <c r="A2210" i="1"/>
  <c r="F2210" i="1"/>
  <c r="G2210" i="1"/>
  <c r="I2210" i="1"/>
  <c r="A2211" i="1"/>
  <c r="F2211" i="1"/>
  <c r="G2211" i="1"/>
  <c r="I2211" i="1"/>
  <c r="A2212" i="1"/>
  <c r="F2212" i="1"/>
  <c r="G2212" i="1"/>
  <c r="I2212" i="1"/>
  <c r="A2213" i="1"/>
  <c r="F2213" i="1"/>
  <c r="G2213" i="1"/>
  <c r="I2213" i="1"/>
  <c r="A2214" i="1"/>
  <c r="F2214" i="1"/>
  <c r="G2214" i="1"/>
  <c r="I2214" i="1"/>
  <c r="A2215" i="1"/>
  <c r="F2215" i="1"/>
  <c r="G2215" i="1"/>
  <c r="I2215" i="1"/>
  <c r="A2216" i="1"/>
  <c r="F2216" i="1"/>
  <c r="G2216" i="1"/>
  <c r="I2216" i="1"/>
  <c r="A2217" i="1"/>
  <c r="F2217" i="1"/>
  <c r="G2217" i="1"/>
  <c r="I2217" i="1"/>
  <c r="A2218" i="1"/>
  <c r="F2218" i="1"/>
  <c r="G2218" i="1"/>
  <c r="I2218" i="1"/>
  <c r="A2219" i="1"/>
  <c r="F2219" i="1"/>
  <c r="G2219" i="1"/>
  <c r="I2219" i="1"/>
  <c r="A2220" i="1"/>
  <c r="F2220" i="1"/>
  <c r="G2220" i="1"/>
  <c r="I2220" i="1"/>
  <c r="A2221" i="1"/>
  <c r="F2221" i="1"/>
  <c r="G2221" i="1"/>
  <c r="I2221" i="1"/>
  <c r="A2222" i="1"/>
  <c r="F2222" i="1"/>
  <c r="G2222" i="1"/>
  <c r="I2222" i="1"/>
  <c r="A2223" i="1"/>
  <c r="F2223" i="1"/>
  <c r="G2223" i="1"/>
  <c r="I2223" i="1"/>
  <c r="A2224" i="1"/>
  <c r="F2224" i="1"/>
  <c r="G2224" i="1"/>
  <c r="I2224" i="1"/>
  <c r="A2225" i="1"/>
  <c r="F2225" i="1"/>
  <c r="G2225" i="1"/>
  <c r="I2225" i="1"/>
  <c r="A2226" i="1"/>
  <c r="F2226" i="1"/>
  <c r="G2226" i="1"/>
  <c r="I2226" i="1"/>
  <c r="A2227" i="1"/>
  <c r="F2227" i="1"/>
  <c r="G2227" i="1"/>
  <c r="I2227" i="1"/>
  <c r="A2228" i="1"/>
  <c r="F2228" i="1"/>
  <c r="G2228" i="1"/>
  <c r="I2228" i="1"/>
  <c r="A2229" i="1"/>
  <c r="F2229" i="1"/>
  <c r="G2229" i="1"/>
  <c r="I2229" i="1"/>
  <c r="A2230" i="1"/>
  <c r="F2230" i="1"/>
  <c r="G2230" i="1"/>
  <c r="I2230" i="1"/>
  <c r="A2231" i="1"/>
  <c r="F2231" i="1"/>
  <c r="G2231" i="1"/>
  <c r="I2231" i="1"/>
  <c r="A2232" i="1"/>
  <c r="F2232" i="1"/>
  <c r="G2232" i="1"/>
  <c r="I2232" i="1"/>
  <c r="A2233" i="1"/>
  <c r="F2233" i="1"/>
  <c r="G2233" i="1"/>
  <c r="I2233" i="1"/>
  <c r="A2234" i="1"/>
  <c r="F2234" i="1"/>
  <c r="G2234" i="1"/>
  <c r="I2234" i="1"/>
  <c r="A2235" i="1"/>
  <c r="F2235" i="1"/>
  <c r="G2235" i="1"/>
  <c r="I2235" i="1"/>
  <c r="A2236" i="1"/>
  <c r="F2236" i="1"/>
  <c r="G2236" i="1"/>
  <c r="I2236" i="1"/>
  <c r="A2237" i="1"/>
  <c r="F2237" i="1"/>
  <c r="G2237" i="1"/>
  <c r="I2237" i="1"/>
  <c r="A2238" i="1"/>
  <c r="F2238" i="1"/>
  <c r="G2238" i="1"/>
  <c r="I2238" i="1"/>
  <c r="A2239" i="1"/>
  <c r="F2239" i="1"/>
  <c r="G2239" i="1"/>
  <c r="I2239" i="1"/>
  <c r="A2240" i="1"/>
  <c r="F2240" i="1"/>
  <c r="G2240" i="1"/>
  <c r="I2240" i="1"/>
  <c r="A2241" i="1"/>
  <c r="F2241" i="1"/>
  <c r="G2241" i="1"/>
  <c r="I2241" i="1"/>
  <c r="A2242" i="1"/>
  <c r="F2242" i="1"/>
  <c r="G2242" i="1"/>
  <c r="I2242" i="1"/>
  <c r="A2243" i="1"/>
  <c r="F2243" i="1"/>
  <c r="G2243" i="1"/>
  <c r="I2243" i="1"/>
  <c r="A2244" i="1"/>
  <c r="F2244" i="1"/>
  <c r="G2244" i="1"/>
  <c r="I2244" i="1"/>
  <c r="A2245" i="1"/>
  <c r="F2245" i="1"/>
  <c r="G2245" i="1"/>
  <c r="I2245" i="1"/>
  <c r="A2246" i="1"/>
  <c r="F2246" i="1"/>
  <c r="G2246" i="1"/>
  <c r="I2246" i="1"/>
  <c r="A2247" i="1"/>
  <c r="F2247" i="1"/>
  <c r="G2247" i="1"/>
  <c r="I2247" i="1"/>
  <c r="A2248" i="1"/>
  <c r="F2248" i="1"/>
  <c r="G2248" i="1"/>
  <c r="I2248" i="1"/>
  <c r="A2249" i="1"/>
  <c r="F2249" i="1"/>
  <c r="G2249" i="1"/>
  <c r="I2249" i="1"/>
  <c r="A2250" i="1"/>
  <c r="F2250" i="1"/>
  <c r="G2250" i="1"/>
  <c r="I2250" i="1"/>
  <c r="A2251" i="1"/>
  <c r="F2251" i="1"/>
  <c r="G2251" i="1"/>
  <c r="I2251" i="1"/>
  <c r="A2252" i="1"/>
  <c r="F2252" i="1"/>
  <c r="G2252" i="1"/>
  <c r="I2252" i="1"/>
  <c r="A2253" i="1"/>
  <c r="F2253" i="1"/>
  <c r="G2253" i="1"/>
  <c r="I2253" i="1"/>
  <c r="A2254" i="1"/>
  <c r="F2254" i="1"/>
  <c r="G2254" i="1"/>
  <c r="I2254" i="1"/>
  <c r="A2255" i="1"/>
  <c r="F2255" i="1"/>
  <c r="G2255" i="1"/>
  <c r="I2255" i="1"/>
  <c r="A2256" i="1"/>
  <c r="F2256" i="1"/>
  <c r="G2256" i="1"/>
  <c r="I2256" i="1"/>
  <c r="A2257" i="1"/>
  <c r="F2257" i="1"/>
  <c r="G2257" i="1"/>
  <c r="I2257" i="1"/>
  <c r="A2258" i="1"/>
  <c r="F2258" i="1"/>
  <c r="G2258" i="1"/>
  <c r="I2258" i="1"/>
  <c r="A2259" i="1"/>
  <c r="F2259" i="1"/>
  <c r="G2259" i="1"/>
  <c r="I2259" i="1"/>
  <c r="A2260" i="1"/>
  <c r="F2260" i="1"/>
  <c r="G2260" i="1"/>
  <c r="I2260" i="1"/>
  <c r="A2261" i="1"/>
  <c r="F2261" i="1"/>
  <c r="G2261" i="1"/>
  <c r="I2261" i="1"/>
  <c r="A2262" i="1"/>
  <c r="F2262" i="1"/>
  <c r="G2262" i="1"/>
  <c r="I2262" i="1"/>
  <c r="A2263" i="1"/>
  <c r="F2263" i="1"/>
  <c r="G2263" i="1"/>
  <c r="I2263" i="1"/>
  <c r="A2264" i="1"/>
  <c r="F2264" i="1"/>
  <c r="G2264" i="1"/>
  <c r="I2264" i="1"/>
  <c r="A2265" i="1"/>
  <c r="F2265" i="1"/>
  <c r="G2265" i="1"/>
  <c r="I2265" i="1"/>
  <c r="A2266" i="1"/>
  <c r="F2266" i="1"/>
  <c r="G2266" i="1"/>
  <c r="I2266" i="1"/>
  <c r="A2267" i="1"/>
  <c r="F2267" i="1"/>
  <c r="G2267" i="1"/>
  <c r="I2267" i="1"/>
  <c r="A2268" i="1"/>
  <c r="F2268" i="1"/>
  <c r="G2268" i="1"/>
  <c r="I2268" i="1"/>
  <c r="A2269" i="1"/>
  <c r="F2269" i="1"/>
  <c r="G2269" i="1"/>
  <c r="I2269" i="1"/>
  <c r="A2270" i="1"/>
  <c r="F2270" i="1"/>
  <c r="G2270" i="1"/>
  <c r="I2270" i="1"/>
  <c r="A2271" i="1"/>
  <c r="F2271" i="1"/>
  <c r="G2271" i="1"/>
  <c r="I2271" i="1"/>
  <c r="A2272" i="1"/>
  <c r="F2272" i="1"/>
  <c r="G2272" i="1"/>
  <c r="I2272" i="1"/>
  <c r="A2273" i="1"/>
  <c r="F2273" i="1"/>
  <c r="G2273" i="1"/>
  <c r="I2273" i="1"/>
  <c r="A2274" i="1"/>
  <c r="F2274" i="1"/>
  <c r="G2274" i="1"/>
  <c r="I2274" i="1"/>
  <c r="A2275" i="1"/>
  <c r="F2275" i="1"/>
  <c r="G2275" i="1"/>
  <c r="I2275" i="1"/>
  <c r="A2276" i="1"/>
  <c r="F2276" i="1"/>
  <c r="G2276" i="1"/>
  <c r="I2276" i="1"/>
  <c r="A2277" i="1"/>
  <c r="F2277" i="1"/>
  <c r="G2277" i="1"/>
  <c r="I2277" i="1"/>
  <c r="A2278" i="1"/>
  <c r="F2278" i="1"/>
  <c r="G2278" i="1"/>
  <c r="I2278" i="1"/>
  <c r="A2279" i="1"/>
  <c r="F2279" i="1"/>
  <c r="G2279" i="1"/>
  <c r="I2279" i="1"/>
  <c r="A2280" i="1"/>
  <c r="F2280" i="1"/>
  <c r="G2280" i="1"/>
  <c r="I2280" i="1"/>
  <c r="A2281" i="1"/>
  <c r="F2281" i="1"/>
  <c r="G2281" i="1"/>
  <c r="I2281" i="1"/>
  <c r="A2282" i="1"/>
  <c r="F2282" i="1"/>
  <c r="G2282" i="1"/>
  <c r="I2282" i="1"/>
  <c r="A2283" i="1"/>
  <c r="F2283" i="1"/>
  <c r="G2283" i="1"/>
  <c r="I2283" i="1"/>
  <c r="A2284" i="1"/>
  <c r="F2284" i="1"/>
  <c r="G2284" i="1"/>
  <c r="I2284" i="1"/>
  <c r="A2285" i="1"/>
  <c r="F2285" i="1"/>
  <c r="G2285" i="1"/>
  <c r="I2285" i="1"/>
  <c r="A2286" i="1"/>
  <c r="F2286" i="1"/>
  <c r="G2286" i="1"/>
  <c r="I2286" i="1"/>
  <c r="A2287" i="1"/>
  <c r="F2287" i="1"/>
  <c r="G2287" i="1"/>
  <c r="I2287" i="1"/>
  <c r="A2288" i="1"/>
  <c r="F2288" i="1"/>
  <c r="G2288" i="1"/>
  <c r="I2288" i="1"/>
  <c r="A2289" i="1"/>
  <c r="F2289" i="1"/>
  <c r="G2289" i="1"/>
  <c r="I2289" i="1"/>
  <c r="A2290" i="1"/>
  <c r="F2290" i="1"/>
  <c r="G2290" i="1"/>
  <c r="I2290" i="1"/>
  <c r="A2291" i="1"/>
  <c r="F2291" i="1"/>
  <c r="G2291" i="1"/>
  <c r="I2291" i="1"/>
  <c r="A2292" i="1"/>
  <c r="F2292" i="1"/>
  <c r="G2292" i="1"/>
  <c r="I2292" i="1"/>
  <c r="A2293" i="1"/>
  <c r="F2293" i="1"/>
  <c r="G2293" i="1"/>
  <c r="I2293" i="1"/>
  <c r="A2294" i="1"/>
  <c r="F2294" i="1"/>
  <c r="G2294" i="1"/>
  <c r="I2294" i="1"/>
  <c r="A2295" i="1"/>
  <c r="F2295" i="1"/>
  <c r="G2295" i="1"/>
  <c r="I2295" i="1"/>
  <c r="A2296" i="1"/>
  <c r="F2296" i="1"/>
  <c r="G2296" i="1"/>
  <c r="I2296" i="1"/>
  <c r="A2297" i="1"/>
  <c r="F2297" i="1"/>
  <c r="G2297" i="1"/>
  <c r="I2297" i="1"/>
  <c r="A2298" i="1"/>
  <c r="F2298" i="1"/>
  <c r="G2298" i="1"/>
  <c r="I2298" i="1"/>
  <c r="A2299" i="1"/>
  <c r="F2299" i="1"/>
  <c r="G2299" i="1"/>
  <c r="I2299" i="1"/>
  <c r="A2300" i="1"/>
  <c r="F2300" i="1"/>
  <c r="G2300" i="1"/>
  <c r="I2300" i="1"/>
  <c r="A2301" i="1"/>
  <c r="F2301" i="1"/>
  <c r="G2301" i="1"/>
  <c r="I2301" i="1"/>
  <c r="A2302" i="1"/>
  <c r="F2302" i="1"/>
  <c r="G2302" i="1"/>
  <c r="I2302" i="1"/>
  <c r="A2303" i="1"/>
  <c r="F2303" i="1"/>
  <c r="G2303" i="1"/>
  <c r="I2303" i="1"/>
  <c r="A2304" i="1"/>
  <c r="F2304" i="1"/>
  <c r="G2304" i="1"/>
  <c r="I2304" i="1"/>
  <c r="A2305" i="1"/>
  <c r="F2305" i="1"/>
  <c r="G2305" i="1"/>
  <c r="I2305" i="1"/>
  <c r="A2306" i="1"/>
  <c r="F2306" i="1"/>
  <c r="G2306" i="1"/>
  <c r="I2306" i="1"/>
  <c r="A2307" i="1"/>
  <c r="F2307" i="1"/>
  <c r="G2307" i="1"/>
  <c r="I2307" i="1"/>
  <c r="A2308" i="1"/>
  <c r="F2308" i="1"/>
  <c r="G2308" i="1"/>
  <c r="I2308" i="1"/>
  <c r="A2309" i="1"/>
  <c r="F2309" i="1"/>
  <c r="G2309" i="1"/>
  <c r="I2309" i="1"/>
  <c r="A2310" i="1"/>
  <c r="F2310" i="1"/>
  <c r="G2310" i="1"/>
  <c r="I2310" i="1"/>
  <c r="A2311" i="1"/>
  <c r="F2311" i="1"/>
  <c r="G2311" i="1"/>
  <c r="I2311" i="1"/>
  <c r="A2312" i="1"/>
  <c r="F2312" i="1"/>
  <c r="G2312" i="1"/>
  <c r="I2312" i="1"/>
  <c r="A2313" i="1"/>
  <c r="F2313" i="1"/>
  <c r="G2313" i="1"/>
  <c r="I2313" i="1"/>
  <c r="A2314" i="1"/>
  <c r="F2314" i="1"/>
  <c r="G2314" i="1"/>
  <c r="I2314" i="1"/>
  <c r="A2315" i="1"/>
  <c r="F2315" i="1"/>
  <c r="G2315" i="1"/>
  <c r="I2315" i="1"/>
  <c r="A2316" i="1"/>
  <c r="F2316" i="1"/>
  <c r="G2316" i="1"/>
  <c r="I2316" i="1"/>
  <c r="A2317" i="1"/>
  <c r="F2317" i="1"/>
  <c r="G2317" i="1"/>
  <c r="I2317" i="1"/>
  <c r="A2318" i="1"/>
  <c r="F2318" i="1"/>
  <c r="G2318" i="1"/>
  <c r="I2318" i="1"/>
  <c r="A2319" i="1"/>
  <c r="F2319" i="1"/>
  <c r="G2319" i="1"/>
  <c r="I2319" i="1"/>
  <c r="A2320" i="1"/>
  <c r="F2320" i="1"/>
  <c r="G2320" i="1"/>
  <c r="I2320" i="1"/>
  <c r="A2321" i="1"/>
  <c r="F2321" i="1"/>
  <c r="G2321" i="1"/>
  <c r="I2321" i="1"/>
  <c r="A2322" i="1"/>
  <c r="F2322" i="1"/>
  <c r="G2322" i="1"/>
  <c r="I2322" i="1"/>
  <c r="A2323" i="1"/>
  <c r="F2323" i="1"/>
  <c r="G2323" i="1"/>
  <c r="I2323" i="1"/>
  <c r="A2324" i="1"/>
  <c r="F2324" i="1"/>
  <c r="G2324" i="1"/>
  <c r="I2324" i="1"/>
  <c r="A2325" i="1"/>
  <c r="F2325" i="1"/>
  <c r="G2325" i="1"/>
  <c r="I2325" i="1"/>
  <c r="A2326" i="1"/>
  <c r="F2326" i="1"/>
  <c r="G2326" i="1"/>
  <c r="I2326" i="1"/>
  <c r="A2327" i="1"/>
  <c r="F2327" i="1"/>
  <c r="G2327" i="1"/>
  <c r="I2327" i="1"/>
  <c r="A2328" i="1"/>
  <c r="F2328" i="1"/>
  <c r="G2328" i="1"/>
  <c r="I2328" i="1"/>
  <c r="A2329" i="1"/>
  <c r="F2329" i="1"/>
  <c r="G2329" i="1"/>
  <c r="I2329" i="1"/>
  <c r="A2330" i="1"/>
  <c r="F2330" i="1"/>
  <c r="G2330" i="1"/>
  <c r="I2330" i="1"/>
  <c r="A2331" i="1"/>
  <c r="F2331" i="1"/>
  <c r="G2331" i="1"/>
  <c r="I2331" i="1"/>
  <c r="A2332" i="1"/>
  <c r="F2332" i="1"/>
  <c r="G2332" i="1"/>
  <c r="I2332" i="1"/>
  <c r="A2333" i="1"/>
  <c r="F2333" i="1"/>
  <c r="G2333" i="1"/>
  <c r="I2333" i="1"/>
  <c r="A2334" i="1"/>
  <c r="F2334" i="1"/>
  <c r="G2334" i="1"/>
  <c r="I2334" i="1"/>
  <c r="A2335" i="1"/>
  <c r="F2335" i="1"/>
  <c r="G2335" i="1"/>
  <c r="I2335" i="1"/>
  <c r="A2336" i="1"/>
  <c r="F2336" i="1"/>
  <c r="G2336" i="1"/>
  <c r="I2336" i="1"/>
  <c r="A2337" i="1"/>
  <c r="F2337" i="1"/>
  <c r="G2337" i="1"/>
  <c r="I2337" i="1"/>
  <c r="A2338" i="1"/>
  <c r="F2338" i="1"/>
  <c r="G2338" i="1"/>
  <c r="I2338" i="1"/>
  <c r="A2339" i="1"/>
  <c r="F2339" i="1"/>
  <c r="G2339" i="1"/>
  <c r="I2339" i="1"/>
  <c r="A2340" i="1"/>
  <c r="F2340" i="1"/>
  <c r="G2340" i="1"/>
  <c r="I2340" i="1"/>
  <c r="A2341" i="1"/>
  <c r="F2341" i="1"/>
  <c r="G2341" i="1"/>
  <c r="I2341" i="1"/>
  <c r="A2342" i="1"/>
  <c r="F2342" i="1"/>
  <c r="G2342" i="1"/>
  <c r="I2342" i="1"/>
  <c r="A2343" i="1"/>
  <c r="F2343" i="1"/>
  <c r="G2343" i="1"/>
  <c r="I2343" i="1"/>
  <c r="A2344" i="1"/>
  <c r="F2344" i="1"/>
  <c r="G2344" i="1"/>
  <c r="I2344" i="1"/>
  <c r="A2345" i="1"/>
  <c r="F2345" i="1"/>
  <c r="G2345" i="1"/>
  <c r="I2345" i="1"/>
  <c r="A2346" i="1"/>
  <c r="F2346" i="1"/>
  <c r="G2346" i="1"/>
  <c r="I2346" i="1"/>
  <c r="A2347" i="1"/>
  <c r="F2347" i="1"/>
  <c r="G2347" i="1"/>
  <c r="I2347" i="1"/>
  <c r="A2348" i="1"/>
  <c r="F2348" i="1"/>
  <c r="G2348" i="1"/>
  <c r="I2348" i="1"/>
  <c r="A2349" i="1"/>
  <c r="F2349" i="1"/>
  <c r="G2349" i="1"/>
  <c r="I2349" i="1"/>
  <c r="A2350" i="1"/>
  <c r="F2350" i="1"/>
  <c r="G2350" i="1"/>
  <c r="I2350" i="1"/>
  <c r="A2351" i="1"/>
  <c r="F2351" i="1"/>
  <c r="G2351" i="1"/>
  <c r="I2351" i="1"/>
  <c r="A2352" i="1"/>
  <c r="F2352" i="1"/>
  <c r="G2352" i="1"/>
  <c r="I2352" i="1"/>
  <c r="A2353" i="1"/>
  <c r="F2353" i="1"/>
  <c r="G2353" i="1"/>
  <c r="I2353" i="1"/>
  <c r="A2354" i="1"/>
  <c r="F2354" i="1"/>
  <c r="G2354" i="1"/>
  <c r="I2354" i="1"/>
  <c r="A2355" i="1"/>
  <c r="F2355" i="1"/>
  <c r="G2355" i="1"/>
  <c r="I2355" i="1"/>
  <c r="A2356" i="1"/>
  <c r="F2356" i="1"/>
  <c r="G2356" i="1"/>
  <c r="I2356" i="1"/>
  <c r="A2357" i="1"/>
  <c r="F2357" i="1"/>
  <c r="G2357" i="1"/>
  <c r="I2357" i="1"/>
  <c r="A2358" i="1"/>
  <c r="F2358" i="1"/>
  <c r="G2358" i="1"/>
  <c r="I2358" i="1"/>
  <c r="A2359" i="1"/>
  <c r="F2359" i="1"/>
  <c r="G2359" i="1"/>
  <c r="I2359" i="1"/>
  <c r="A2360" i="1"/>
  <c r="F2360" i="1"/>
  <c r="G2360" i="1"/>
  <c r="I2360" i="1"/>
  <c r="A2361" i="1"/>
  <c r="F2361" i="1"/>
  <c r="G2361" i="1"/>
  <c r="I2361" i="1"/>
  <c r="A2362" i="1"/>
  <c r="F2362" i="1"/>
  <c r="G2362" i="1"/>
  <c r="I2362" i="1"/>
  <c r="A2363" i="1"/>
  <c r="F2363" i="1"/>
  <c r="G2363" i="1"/>
  <c r="I2363" i="1"/>
  <c r="A2364" i="1"/>
  <c r="F2364" i="1"/>
  <c r="G2364" i="1"/>
  <c r="I2364" i="1"/>
  <c r="A2365" i="1"/>
  <c r="F2365" i="1"/>
  <c r="G2365" i="1"/>
  <c r="I2365" i="1"/>
  <c r="A2366" i="1"/>
  <c r="F2366" i="1"/>
  <c r="G2366" i="1"/>
  <c r="I2366" i="1"/>
  <c r="A2367" i="1"/>
  <c r="F2367" i="1"/>
  <c r="G2367" i="1"/>
  <c r="I2367" i="1"/>
  <c r="A2368" i="1"/>
  <c r="F2368" i="1"/>
  <c r="G2368" i="1"/>
  <c r="I2368" i="1"/>
  <c r="A2369" i="1"/>
  <c r="F2369" i="1"/>
  <c r="G2369" i="1"/>
  <c r="I2369" i="1"/>
  <c r="A2370" i="1"/>
  <c r="F2370" i="1"/>
  <c r="G2370" i="1"/>
  <c r="I2370" i="1"/>
  <c r="A2371" i="1"/>
  <c r="F2371" i="1"/>
  <c r="G2371" i="1"/>
  <c r="I2371" i="1"/>
  <c r="A2372" i="1"/>
  <c r="F2372" i="1"/>
  <c r="G2372" i="1"/>
  <c r="I2372" i="1"/>
  <c r="A2373" i="1"/>
  <c r="F2373" i="1"/>
  <c r="G2373" i="1"/>
  <c r="I2373" i="1"/>
  <c r="A2374" i="1"/>
  <c r="F2374" i="1"/>
  <c r="G2374" i="1"/>
  <c r="I2374" i="1"/>
  <c r="A2375" i="1"/>
  <c r="F2375" i="1"/>
  <c r="G2375" i="1"/>
  <c r="I2375" i="1"/>
  <c r="A2376" i="1"/>
  <c r="F2376" i="1"/>
  <c r="G2376" i="1"/>
  <c r="I2376" i="1"/>
  <c r="A2377" i="1"/>
  <c r="F2377" i="1"/>
  <c r="G2377" i="1"/>
  <c r="I2377" i="1"/>
  <c r="A2378" i="1"/>
  <c r="F2378" i="1"/>
  <c r="G2378" i="1"/>
  <c r="I2378" i="1"/>
  <c r="A2379" i="1"/>
  <c r="F2379" i="1"/>
  <c r="G2379" i="1"/>
  <c r="I2379" i="1"/>
  <c r="A2380" i="1"/>
  <c r="F2380" i="1"/>
  <c r="G2380" i="1"/>
  <c r="I2380" i="1"/>
  <c r="A2381" i="1"/>
  <c r="F2381" i="1"/>
  <c r="G2381" i="1"/>
  <c r="I2381" i="1"/>
  <c r="A2382" i="1"/>
  <c r="F2382" i="1"/>
  <c r="G2382" i="1"/>
  <c r="I2382" i="1"/>
  <c r="A2383" i="1"/>
  <c r="F2383" i="1"/>
  <c r="G2383" i="1"/>
  <c r="I2383" i="1"/>
  <c r="A2384" i="1"/>
  <c r="F2384" i="1"/>
  <c r="G2384" i="1"/>
  <c r="I2384" i="1"/>
  <c r="A2385" i="1"/>
  <c r="F2385" i="1"/>
  <c r="G2385" i="1"/>
  <c r="I2385" i="1"/>
  <c r="A2386" i="1"/>
  <c r="F2386" i="1"/>
  <c r="G2386" i="1"/>
  <c r="I2386" i="1"/>
  <c r="A2387" i="1"/>
  <c r="F2387" i="1"/>
  <c r="G2387" i="1"/>
  <c r="I2387" i="1"/>
  <c r="A2388" i="1"/>
  <c r="F2388" i="1"/>
  <c r="G2388" i="1"/>
  <c r="I2388" i="1"/>
  <c r="A2389" i="1"/>
  <c r="F2389" i="1"/>
  <c r="G2389" i="1"/>
  <c r="I2389" i="1"/>
  <c r="A2390" i="1"/>
  <c r="F2390" i="1"/>
  <c r="G2390" i="1"/>
  <c r="I2390" i="1"/>
  <c r="A2391" i="1"/>
  <c r="F2391" i="1"/>
  <c r="G2391" i="1"/>
  <c r="I2391" i="1"/>
  <c r="A2392" i="1"/>
  <c r="F2392" i="1"/>
  <c r="G2392" i="1"/>
  <c r="I2392" i="1"/>
  <c r="A2393" i="1"/>
  <c r="F2393" i="1"/>
  <c r="G2393" i="1"/>
  <c r="I2393" i="1"/>
  <c r="A2394" i="1"/>
  <c r="F2394" i="1"/>
  <c r="G2394" i="1"/>
  <c r="I2394" i="1"/>
  <c r="A2395" i="1"/>
  <c r="F2395" i="1"/>
  <c r="G2395" i="1"/>
  <c r="I2395" i="1"/>
  <c r="A2396" i="1"/>
  <c r="F2396" i="1"/>
  <c r="G2396" i="1"/>
  <c r="I2396" i="1"/>
  <c r="A2397" i="1"/>
  <c r="F2397" i="1"/>
  <c r="G2397" i="1"/>
  <c r="I2397" i="1"/>
  <c r="A2398" i="1"/>
  <c r="F2398" i="1"/>
  <c r="G2398" i="1"/>
  <c r="I2398" i="1"/>
  <c r="A2399" i="1"/>
  <c r="F2399" i="1"/>
  <c r="G2399" i="1"/>
  <c r="I2399" i="1"/>
  <c r="A2400" i="1"/>
  <c r="F2400" i="1"/>
  <c r="G2400" i="1"/>
  <c r="I2400" i="1"/>
  <c r="A2401" i="1"/>
  <c r="F2401" i="1"/>
  <c r="G2401" i="1"/>
  <c r="I2401" i="1"/>
  <c r="A2402" i="1"/>
  <c r="F2402" i="1"/>
  <c r="G2402" i="1"/>
  <c r="I2402" i="1"/>
  <c r="A2403" i="1"/>
  <c r="F2403" i="1"/>
  <c r="G2403" i="1"/>
  <c r="I2403" i="1"/>
  <c r="A2404" i="1"/>
  <c r="F2404" i="1"/>
  <c r="G2404" i="1"/>
  <c r="I2404" i="1"/>
  <c r="A2405" i="1"/>
  <c r="F2405" i="1"/>
  <c r="G2405" i="1"/>
  <c r="I2405" i="1"/>
  <c r="A2406" i="1"/>
  <c r="F2406" i="1"/>
  <c r="G2406" i="1"/>
  <c r="I2406" i="1"/>
  <c r="A2407" i="1"/>
  <c r="F2407" i="1"/>
  <c r="G2407" i="1"/>
  <c r="I2407" i="1"/>
  <c r="A2408" i="1"/>
  <c r="F2408" i="1"/>
  <c r="G2408" i="1"/>
  <c r="I2408" i="1"/>
  <c r="A2409" i="1"/>
  <c r="F2409" i="1"/>
  <c r="G2409" i="1"/>
  <c r="I2409" i="1"/>
  <c r="A2410" i="1"/>
  <c r="F2410" i="1"/>
  <c r="G2410" i="1"/>
  <c r="I2410" i="1"/>
  <c r="A2411" i="1"/>
  <c r="F2411" i="1"/>
  <c r="G2411" i="1"/>
  <c r="I2411" i="1"/>
  <c r="A2412" i="1"/>
  <c r="F2412" i="1"/>
  <c r="G2412" i="1"/>
  <c r="I2412" i="1"/>
  <c r="A2413" i="1"/>
  <c r="F2413" i="1"/>
  <c r="G2413" i="1"/>
  <c r="I2413" i="1"/>
  <c r="A2414" i="1"/>
  <c r="F2414" i="1"/>
  <c r="G2414" i="1"/>
  <c r="I2414" i="1"/>
  <c r="A2415" i="1"/>
  <c r="F2415" i="1"/>
  <c r="G2415" i="1"/>
  <c r="I2415" i="1"/>
  <c r="A2416" i="1"/>
  <c r="F2416" i="1"/>
  <c r="G2416" i="1"/>
  <c r="I2416" i="1"/>
  <c r="A2417" i="1"/>
  <c r="F2417" i="1"/>
  <c r="G2417" i="1"/>
  <c r="I2417" i="1"/>
  <c r="A2418" i="1"/>
  <c r="F2418" i="1"/>
  <c r="G2418" i="1"/>
  <c r="I2418" i="1"/>
  <c r="A2419" i="1"/>
  <c r="F2419" i="1"/>
  <c r="G2419" i="1"/>
  <c r="I2419" i="1"/>
  <c r="A2420" i="1"/>
  <c r="F2420" i="1"/>
  <c r="G2420" i="1"/>
  <c r="I2420" i="1"/>
  <c r="A2421" i="1"/>
  <c r="F2421" i="1"/>
  <c r="G2421" i="1"/>
  <c r="I2421" i="1"/>
  <c r="A2422" i="1"/>
  <c r="F2422" i="1"/>
  <c r="G2422" i="1"/>
  <c r="I2422" i="1"/>
  <c r="A2423" i="1"/>
  <c r="F2423" i="1"/>
  <c r="G2423" i="1"/>
  <c r="I2423" i="1"/>
  <c r="A2424" i="1"/>
  <c r="F2424" i="1"/>
  <c r="G2424" i="1"/>
  <c r="I2424" i="1"/>
  <c r="A2425" i="1"/>
  <c r="F2425" i="1"/>
  <c r="G2425" i="1"/>
  <c r="I2425" i="1"/>
  <c r="A2426" i="1"/>
  <c r="F2426" i="1"/>
  <c r="G2426" i="1"/>
  <c r="I2426" i="1"/>
  <c r="A2427" i="1"/>
  <c r="F2427" i="1"/>
  <c r="G2427" i="1"/>
  <c r="I2427" i="1"/>
  <c r="A2428" i="1"/>
  <c r="F2428" i="1"/>
  <c r="G2428" i="1"/>
  <c r="I2428" i="1"/>
  <c r="A2429" i="1"/>
  <c r="F2429" i="1"/>
  <c r="G2429" i="1"/>
  <c r="I2429" i="1"/>
  <c r="A2430" i="1"/>
  <c r="F2430" i="1"/>
  <c r="G2430" i="1"/>
  <c r="I2430" i="1"/>
  <c r="A2431" i="1"/>
  <c r="F2431" i="1"/>
  <c r="G2431" i="1"/>
  <c r="I2431" i="1"/>
  <c r="A2432" i="1"/>
  <c r="F2432" i="1"/>
  <c r="G2432" i="1"/>
  <c r="I2432" i="1"/>
  <c r="A2433" i="1"/>
  <c r="F2433" i="1"/>
  <c r="G2433" i="1"/>
  <c r="I2433" i="1"/>
  <c r="A2434" i="1"/>
  <c r="F2434" i="1"/>
  <c r="G2434" i="1"/>
  <c r="I2434" i="1"/>
  <c r="A2435" i="1"/>
  <c r="F2435" i="1"/>
  <c r="G2435" i="1"/>
  <c r="I2435" i="1"/>
  <c r="A2436" i="1"/>
  <c r="F2436" i="1"/>
  <c r="G2436" i="1"/>
  <c r="I2436" i="1"/>
  <c r="A2437" i="1"/>
  <c r="F2437" i="1"/>
  <c r="G2437" i="1"/>
  <c r="I2437" i="1"/>
  <c r="A2438" i="1"/>
  <c r="F2438" i="1"/>
  <c r="G2438" i="1"/>
  <c r="I2438" i="1"/>
  <c r="A2439" i="1"/>
  <c r="F2439" i="1"/>
  <c r="G2439" i="1"/>
  <c r="I2439" i="1"/>
  <c r="A2440" i="1"/>
  <c r="F2440" i="1"/>
  <c r="G2440" i="1"/>
  <c r="I2440" i="1"/>
  <c r="A2441" i="1"/>
  <c r="F2441" i="1"/>
  <c r="G2441" i="1"/>
  <c r="I2441" i="1"/>
  <c r="A2442" i="1"/>
  <c r="F2442" i="1"/>
  <c r="G2442" i="1"/>
  <c r="I2442" i="1"/>
  <c r="A2443" i="1"/>
  <c r="F2443" i="1"/>
  <c r="G2443" i="1"/>
  <c r="I2443" i="1"/>
  <c r="A2444" i="1"/>
  <c r="F2444" i="1"/>
  <c r="G2444" i="1"/>
  <c r="I2444" i="1"/>
  <c r="A2445" i="1"/>
  <c r="F2445" i="1"/>
  <c r="G2445" i="1"/>
  <c r="I2445" i="1"/>
  <c r="A2446" i="1"/>
  <c r="F2446" i="1"/>
  <c r="G2446" i="1"/>
  <c r="I2446" i="1"/>
  <c r="A2447" i="1"/>
  <c r="F2447" i="1"/>
  <c r="G2447" i="1"/>
  <c r="I2447" i="1"/>
  <c r="A2448" i="1"/>
  <c r="F2448" i="1"/>
  <c r="G2448" i="1"/>
  <c r="I2448" i="1"/>
  <c r="A2449" i="1"/>
  <c r="F2449" i="1"/>
  <c r="G2449" i="1"/>
  <c r="I2449" i="1"/>
  <c r="A2450" i="1"/>
  <c r="F2450" i="1"/>
  <c r="G2450" i="1"/>
  <c r="I2450" i="1"/>
  <c r="A2451" i="1"/>
  <c r="F2451" i="1"/>
  <c r="G2451" i="1"/>
  <c r="I2451" i="1"/>
  <c r="A2452" i="1"/>
  <c r="F2452" i="1"/>
  <c r="G2452" i="1"/>
  <c r="I2452" i="1"/>
  <c r="A2453" i="1"/>
  <c r="F2453" i="1"/>
  <c r="G2453" i="1"/>
  <c r="I2453" i="1"/>
  <c r="A2454" i="1"/>
  <c r="F2454" i="1"/>
  <c r="G2454" i="1"/>
  <c r="I2454" i="1"/>
  <c r="A2455" i="1"/>
  <c r="F2455" i="1"/>
  <c r="G2455" i="1"/>
  <c r="I2455" i="1"/>
  <c r="A2456" i="1"/>
  <c r="F2456" i="1"/>
  <c r="G2456" i="1"/>
  <c r="I2456" i="1"/>
  <c r="A2457" i="1"/>
  <c r="F2457" i="1"/>
  <c r="G2457" i="1"/>
  <c r="I2457" i="1"/>
  <c r="A2458" i="1"/>
  <c r="F2458" i="1"/>
  <c r="G2458" i="1"/>
  <c r="I2458" i="1"/>
  <c r="A2459" i="1"/>
  <c r="F2459" i="1"/>
  <c r="G2459" i="1"/>
  <c r="I2459" i="1"/>
  <c r="A2460" i="1"/>
  <c r="F2460" i="1"/>
  <c r="G2460" i="1"/>
  <c r="I2460" i="1"/>
  <c r="A2461" i="1"/>
  <c r="F2461" i="1"/>
  <c r="G2461" i="1"/>
  <c r="I2461" i="1"/>
  <c r="A2462" i="1"/>
  <c r="F2462" i="1"/>
  <c r="G2462" i="1"/>
  <c r="I2462" i="1"/>
  <c r="A2463" i="1"/>
  <c r="F2463" i="1"/>
  <c r="G2463" i="1"/>
  <c r="I2463" i="1"/>
  <c r="A2464" i="1"/>
  <c r="F2464" i="1"/>
  <c r="G2464" i="1"/>
  <c r="I2464" i="1"/>
  <c r="A2465" i="1"/>
  <c r="F2465" i="1"/>
  <c r="G2465" i="1"/>
  <c r="I2465" i="1"/>
  <c r="A2466" i="1"/>
  <c r="F2466" i="1"/>
  <c r="G2466" i="1"/>
  <c r="I2466" i="1"/>
  <c r="A2467" i="1"/>
  <c r="F2467" i="1"/>
  <c r="G2467" i="1"/>
  <c r="I2467" i="1"/>
  <c r="A2468" i="1"/>
  <c r="F2468" i="1"/>
  <c r="G2468" i="1"/>
  <c r="I2468" i="1"/>
  <c r="A2469" i="1"/>
  <c r="F2469" i="1"/>
  <c r="G2469" i="1"/>
  <c r="I2469" i="1"/>
  <c r="A2470" i="1"/>
  <c r="F2470" i="1"/>
  <c r="G2470" i="1"/>
  <c r="I2470" i="1"/>
  <c r="A2471" i="1"/>
  <c r="F2471" i="1"/>
  <c r="G2471" i="1"/>
  <c r="I2471" i="1"/>
  <c r="A2472" i="1"/>
  <c r="F2472" i="1"/>
  <c r="G2472" i="1"/>
  <c r="I2472" i="1"/>
  <c r="A2473" i="1"/>
  <c r="F2473" i="1"/>
  <c r="G2473" i="1"/>
  <c r="I2473" i="1"/>
  <c r="A2474" i="1"/>
  <c r="F2474" i="1"/>
  <c r="G2474" i="1"/>
  <c r="I2474" i="1"/>
  <c r="A2475" i="1"/>
  <c r="F2475" i="1"/>
  <c r="G2475" i="1"/>
  <c r="I2475" i="1"/>
  <c r="A2476" i="1"/>
  <c r="F2476" i="1"/>
  <c r="G2476" i="1"/>
  <c r="I2476" i="1"/>
  <c r="A2477" i="1"/>
  <c r="F2477" i="1"/>
  <c r="G2477" i="1"/>
  <c r="I2477" i="1"/>
  <c r="A2478" i="1"/>
  <c r="F2478" i="1"/>
  <c r="G2478" i="1"/>
  <c r="I2478" i="1"/>
  <c r="A2479" i="1"/>
  <c r="F2479" i="1"/>
  <c r="G2479" i="1"/>
  <c r="I2479" i="1"/>
  <c r="A2480" i="1"/>
  <c r="F2480" i="1"/>
  <c r="G2480" i="1"/>
  <c r="I2480" i="1"/>
  <c r="A2481" i="1"/>
  <c r="F2481" i="1"/>
  <c r="G2481" i="1"/>
  <c r="I2481" i="1"/>
  <c r="A2482" i="1"/>
  <c r="F2482" i="1"/>
  <c r="G2482" i="1"/>
  <c r="I2482" i="1"/>
  <c r="A2483" i="1"/>
  <c r="F2483" i="1"/>
  <c r="G2483" i="1"/>
  <c r="I2483" i="1"/>
  <c r="A2484" i="1"/>
  <c r="F2484" i="1"/>
  <c r="G2484" i="1"/>
  <c r="I2484" i="1"/>
  <c r="A2485" i="1"/>
  <c r="F2485" i="1"/>
  <c r="G2485" i="1"/>
  <c r="I2485" i="1"/>
  <c r="A2486" i="1"/>
  <c r="F2486" i="1"/>
  <c r="G2486" i="1"/>
  <c r="I2486" i="1"/>
  <c r="A2487" i="1"/>
  <c r="F2487" i="1"/>
  <c r="G2487" i="1"/>
  <c r="I2487" i="1"/>
  <c r="A2488" i="1"/>
  <c r="F2488" i="1"/>
  <c r="G2488" i="1"/>
  <c r="I2488" i="1"/>
  <c r="A2489" i="1"/>
  <c r="F2489" i="1"/>
  <c r="G2489" i="1"/>
  <c r="I2489" i="1"/>
  <c r="A2490" i="1"/>
  <c r="F2490" i="1"/>
  <c r="G2490" i="1"/>
  <c r="I2490" i="1"/>
  <c r="A2491" i="1"/>
  <c r="F2491" i="1"/>
  <c r="G2491" i="1"/>
  <c r="I2491" i="1"/>
  <c r="A2492" i="1"/>
  <c r="F2492" i="1"/>
  <c r="G2492" i="1"/>
  <c r="I2492" i="1"/>
  <c r="A2493" i="1"/>
  <c r="F2493" i="1"/>
  <c r="G2493" i="1"/>
  <c r="I2493" i="1"/>
  <c r="A2494" i="1"/>
  <c r="F2494" i="1"/>
  <c r="G2494" i="1"/>
  <c r="I2494" i="1"/>
  <c r="A2495" i="1"/>
  <c r="F2495" i="1"/>
  <c r="G2495" i="1"/>
  <c r="I2495" i="1"/>
  <c r="A2496" i="1"/>
  <c r="F2496" i="1"/>
  <c r="G2496" i="1"/>
  <c r="I2496" i="1"/>
  <c r="A2497" i="1"/>
  <c r="F2497" i="1"/>
  <c r="G2497" i="1"/>
  <c r="I2497" i="1"/>
  <c r="A2498" i="1"/>
  <c r="F2498" i="1"/>
  <c r="G2498" i="1"/>
  <c r="I2498" i="1"/>
  <c r="A2499" i="1"/>
  <c r="F2499" i="1"/>
  <c r="G2499" i="1"/>
  <c r="I2499" i="1"/>
  <c r="A2500" i="1"/>
  <c r="F2500" i="1"/>
  <c r="G2500" i="1"/>
  <c r="I2500" i="1"/>
  <c r="A2501" i="1"/>
  <c r="F2501" i="1"/>
  <c r="G2501" i="1"/>
  <c r="I2501" i="1"/>
  <c r="A2502" i="1"/>
  <c r="F2502" i="1"/>
  <c r="G2502" i="1"/>
  <c r="I2502" i="1"/>
  <c r="A2503" i="1"/>
  <c r="F2503" i="1"/>
  <c r="G2503" i="1"/>
  <c r="I2503" i="1"/>
  <c r="A2504" i="1"/>
  <c r="F2504" i="1"/>
  <c r="G2504" i="1"/>
  <c r="I2504" i="1"/>
  <c r="A2505" i="1"/>
  <c r="F2505" i="1"/>
  <c r="G2505" i="1"/>
  <c r="I2505" i="1"/>
  <c r="A2506" i="1"/>
  <c r="F2506" i="1"/>
  <c r="G2506" i="1"/>
  <c r="I2506" i="1"/>
  <c r="A2507" i="1"/>
  <c r="F2507" i="1"/>
  <c r="G2507" i="1"/>
  <c r="I2507" i="1"/>
  <c r="A2508" i="1"/>
  <c r="F2508" i="1"/>
  <c r="G2508" i="1"/>
  <c r="I2508" i="1"/>
  <c r="A2509" i="1"/>
  <c r="F2509" i="1"/>
  <c r="G2509" i="1"/>
  <c r="I2509" i="1"/>
  <c r="A2510" i="1"/>
  <c r="F2510" i="1"/>
  <c r="G2510" i="1"/>
  <c r="I2510" i="1"/>
  <c r="A2511" i="1"/>
  <c r="F2511" i="1"/>
  <c r="G2511" i="1"/>
  <c r="I2511" i="1"/>
  <c r="A2512" i="1"/>
  <c r="F2512" i="1"/>
  <c r="G2512" i="1"/>
  <c r="I2512" i="1"/>
  <c r="A2513" i="1"/>
  <c r="F2513" i="1"/>
  <c r="G2513" i="1"/>
  <c r="I2513" i="1"/>
  <c r="A2514" i="1"/>
  <c r="F2514" i="1"/>
  <c r="G2514" i="1"/>
  <c r="I2514" i="1"/>
  <c r="A2515" i="1"/>
  <c r="F2515" i="1"/>
  <c r="G2515" i="1"/>
  <c r="I2515" i="1"/>
  <c r="A2516" i="1"/>
  <c r="F2516" i="1"/>
  <c r="G2516" i="1"/>
  <c r="I2516" i="1"/>
  <c r="A2517" i="1"/>
  <c r="F2517" i="1"/>
  <c r="G2517" i="1"/>
  <c r="I2517" i="1"/>
  <c r="A2518" i="1"/>
  <c r="F2518" i="1"/>
  <c r="G2518" i="1"/>
  <c r="I2518" i="1"/>
  <c r="A2519" i="1"/>
  <c r="F2519" i="1"/>
  <c r="G2519" i="1"/>
  <c r="I2519" i="1"/>
  <c r="A2520" i="1"/>
  <c r="F2520" i="1"/>
  <c r="G2520" i="1"/>
  <c r="I2520" i="1"/>
  <c r="A2521" i="1"/>
  <c r="F2521" i="1"/>
  <c r="G2521" i="1"/>
  <c r="I2521" i="1"/>
  <c r="A2522" i="1"/>
  <c r="F2522" i="1"/>
  <c r="G2522" i="1"/>
  <c r="I2522" i="1"/>
  <c r="A2523" i="1"/>
  <c r="F2523" i="1"/>
  <c r="G2523" i="1"/>
  <c r="I2523" i="1"/>
  <c r="A2524" i="1"/>
  <c r="F2524" i="1"/>
  <c r="G2524" i="1"/>
  <c r="I2524" i="1"/>
  <c r="A2525" i="1"/>
  <c r="F2525" i="1"/>
  <c r="G2525" i="1"/>
  <c r="I2525" i="1"/>
  <c r="A2526" i="1"/>
  <c r="F2526" i="1"/>
  <c r="G2526" i="1"/>
  <c r="I2526" i="1"/>
  <c r="A2527" i="1"/>
  <c r="F2527" i="1"/>
  <c r="G2527" i="1"/>
  <c r="I2527" i="1"/>
  <c r="A2528" i="1"/>
  <c r="F2528" i="1"/>
  <c r="G2528" i="1"/>
  <c r="I2528" i="1"/>
  <c r="A2529" i="1"/>
  <c r="F2529" i="1"/>
  <c r="G2529" i="1"/>
  <c r="I2529" i="1"/>
  <c r="A2530" i="1"/>
  <c r="F2530" i="1"/>
  <c r="G2530" i="1"/>
  <c r="I2530" i="1"/>
  <c r="A2531" i="1"/>
  <c r="F2531" i="1"/>
  <c r="G2531" i="1"/>
  <c r="I2531" i="1"/>
  <c r="A2532" i="1"/>
  <c r="F2532" i="1"/>
  <c r="G2532" i="1"/>
  <c r="I2532" i="1"/>
  <c r="A2533" i="1"/>
  <c r="F2533" i="1"/>
  <c r="G2533" i="1"/>
  <c r="I2533" i="1"/>
  <c r="A2534" i="1"/>
  <c r="F2534" i="1"/>
  <c r="G2534" i="1"/>
  <c r="I2534" i="1"/>
  <c r="A2535" i="1"/>
  <c r="F2535" i="1"/>
  <c r="G2535" i="1"/>
  <c r="I2535" i="1"/>
  <c r="A2536" i="1"/>
  <c r="F2536" i="1"/>
  <c r="G2536" i="1"/>
  <c r="I2536" i="1"/>
  <c r="A2537" i="1"/>
  <c r="F2537" i="1"/>
  <c r="G2537" i="1"/>
  <c r="I2537" i="1"/>
  <c r="A2538" i="1"/>
  <c r="F2538" i="1"/>
  <c r="G2538" i="1"/>
  <c r="I2538" i="1"/>
  <c r="A2539" i="1"/>
  <c r="F2539" i="1"/>
  <c r="G2539" i="1"/>
  <c r="I2539" i="1"/>
  <c r="A2540" i="1"/>
  <c r="F2540" i="1"/>
  <c r="G2540" i="1"/>
  <c r="I2540" i="1"/>
  <c r="A2541" i="1"/>
  <c r="F2541" i="1"/>
  <c r="G2541" i="1"/>
  <c r="I2541" i="1"/>
  <c r="A2542" i="1"/>
  <c r="F2542" i="1"/>
  <c r="G2542" i="1"/>
  <c r="I2542" i="1"/>
  <c r="A2543" i="1"/>
  <c r="F2543" i="1"/>
  <c r="G2543" i="1"/>
  <c r="I2543" i="1"/>
  <c r="A2544" i="1"/>
  <c r="F2544" i="1"/>
  <c r="G2544" i="1"/>
  <c r="I2544" i="1"/>
  <c r="A2545" i="1"/>
  <c r="F2545" i="1"/>
  <c r="G2545" i="1"/>
  <c r="I2545" i="1"/>
  <c r="A2546" i="1"/>
  <c r="F2546" i="1"/>
  <c r="G2546" i="1"/>
  <c r="I2546" i="1"/>
  <c r="A2547" i="1"/>
  <c r="F2547" i="1"/>
  <c r="G2547" i="1"/>
  <c r="I2547" i="1"/>
  <c r="A2548" i="1"/>
  <c r="F2548" i="1"/>
  <c r="G2548" i="1"/>
  <c r="I2548" i="1"/>
  <c r="A2549" i="1"/>
  <c r="F2549" i="1"/>
  <c r="G2549" i="1"/>
  <c r="I2549" i="1"/>
  <c r="A2550" i="1"/>
  <c r="F2550" i="1"/>
  <c r="G2550" i="1"/>
  <c r="I2550" i="1"/>
  <c r="A2551" i="1"/>
  <c r="F2551" i="1"/>
  <c r="G2551" i="1"/>
  <c r="I2551" i="1"/>
  <c r="A2552" i="1"/>
  <c r="F2552" i="1"/>
  <c r="G2552" i="1"/>
  <c r="I2552" i="1"/>
  <c r="A2553" i="1"/>
  <c r="F2553" i="1"/>
  <c r="G2553" i="1"/>
  <c r="I2553" i="1"/>
  <c r="A2554" i="1"/>
  <c r="F2554" i="1"/>
  <c r="G2554" i="1"/>
  <c r="I2554" i="1"/>
  <c r="A2555" i="1"/>
  <c r="F2555" i="1"/>
  <c r="G2555" i="1"/>
  <c r="I2555" i="1"/>
  <c r="A2556" i="1"/>
  <c r="F2556" i="1"/>
  <c r="G2556" i="1"/>
  <c r="I2556" i="1"/>
  <c r="A2557" i="1"/>
  <c r="F2557" i="1"/>
  <c r="G2557" i="1"/>
  <c r="I2557" i="1"/>
  <c r="A2558" i="1"/>
  <c r="F2558" i="1"/>
  <c r="G2558" i="1"/>
  <c r="I2558" i="1"/>
  <c r="A2559" i="1"/>
  <c r="F2559" i="1"/>
  <c r="G2559" i="1"/>
  <c r="I2559" i="1"/>
  <c r="A2560" i="1"/>
  <c r="F2560" i="1"/>
  <c r="G2560" i="1"/>
  <c r="I2560" i="1"/>
  <c r="A2561" i="1"/>
  <c r="F2561" i="1"/>
  <c r="G2561" i="1"/>
  <c r="I2561" i="1"/>
  <c r="A2562" i="1"/>
  <c r="F2562" i="1"/>
  <c r="G2562" i="1"/>
  <c r="I2562" i="1"/>
  <c r="A2563" i="1"/>
  <c r="F2563" i="1"/>
  <c r="G2563" i="1"/>
  <c r="I2563" i="1"/>
  <c r="A2564" i="1"/>
  <c r="F2564" i="1"/>
  <c r="G2564" i="1"/>
  <c r="I2564" i="1"/>
  <c r="A2565" i="1"/>
  <c r="F2565" i="1"/>
  <c r="G2565" i="1"/>
  <c r="I2565" i="1"/>
  <c r="A2566" i="1"/>
  <c r="F2566" i="1"/>
  <c r="G2566" i="1"/>
  <c r="I2566" i="1"/>
  <c r="A2567" i="1"/>
  <c r="F2567" i="1"/>
  <c r="G2567" i="1"/>
  <c r="I2567" i="1"/>
  <c r="A2568" i="1"/>
  <c r="F2568" i="1"/>
  <c r="G2568" i="1"/>
  <c r="I2568" i="1"/>
  <c r="A2569" i="1"/>
  <c r="F2569" i="1"/>
  <c r="G2569" i="1"/>
  <c r="I2569" i="1"/>
  <c r="A2570" i="1"/>
  <c r="F2570" i="1"/>
  <c r="G2570" i="1"/>
  <c r="I2570" i="1"/>
  <c r="A2571" i="1"/>
  <c r="F2571" i="1"/>
  <c r="G2571" i="1"/>
  <c r="I2571" i="1"/>
  <c r="A2572" i="1"/>
  <c r="F2572" i="1"/>
  <c r="G2572" i="1"/>
  <c r="I2572" i="1"/>
  <c r="A2573" i="1"/>
  <c r="F2573" i="1"/>
  <c r="G2573" i="1"/>
  <c r="I2573" i="1"/>
  <c r="A2574" i="1"/>
  <c r="F2574" i="1"/>
  <c r="G2574" i="1"/>
  <c r="I2574" i="1"/>
  <c r="A2575" i="1"/>
  <c r="F2575" i="1"/>
  <c r="G2575" i="1"/>
  <c r="I2575" i="1"/>
  <c r="A2576" i="1"/>
  <c r="F2576" i="1"/>
  <c r="G2576" i="1"/>
  <c r="I2576" i="1"/>
  <c r="A2577" i="1"/>
  <c r="F2577" i="1"/>
  <c r="G2577" i="1"/>
  <c r="I2577" i="1"/>
  <c r="A2578" i="1"/>
  <c r="F2578" i="1"/>
  <c r="G2578" i="1"/>
  <c r="I2578" i="1"/>
  <c r="A2579" i="1"/>
  <c r="F2579" i="1"/>
  <c r="G2579" i="1"/>
  <c r="I2579" i="1"/>
  <c r="A2580" i="1"/>
  <c r="F2580" i="1"/>
  <c r="G2580" i="1"/>
  <c r="I2580" i="1"/>
  <c r="A2581" i="1"/>
  <c r="F2581" i="1"/>
  <c r="G2581" i="1"/>
  <c r="I2581" i="1"/>
  <c r="A2582" i="1"/>
  <c r="F2582" i="1"/>
  <c r="G2582" i="1"/>
  <c r="I2582" i="1"/>
  <c r="A2583" i="1"/>
  <c r="F2583" i="1"/>
  <c r="G2583" i="1"/>
  <c r="I2583" i="1"/>
  <c r="A2584" i="1"/>
  <c r="F2584" i="1"/>
  <c r="G2584" i="1"/>
  <c r="I2584" i="1"/>
  <c r="A2585" i="1"/>
  <c r="F2585" i="1"/>
  <c r="G2585" i="1"/>
  <c r="I2585" i="1"/>
  <c r="A2586" i="1"/>
  <c r="F2586" i="1"/>
  <c r="G2586" i="1"/>
  <c r="I2586" i="1"/>
  <c r="A2587" i="1"/>
  <c r="F2587" i="1"/>
  <c r="G2587" i="1"/>
  <c r="I2587" i="1"/>
  <c r="A2588" i="1"/>
  <c r="F2588" i="1"/>
  <c r="G2588" i="1"/>
  <c r="I2588" i="1"/>
  <c r="A2589" i="1"/>
  <c r="F2589" i="1"/>
  <c r="G2589" i="1"/>
  <c r="I2589" i="1"/>
  <c r="A2590" i="1"/>
  <c r="F2590" i="1"/>
  <c r="G2590" i="1"/>
  <c r="I2590" i="1"/>
  <c r="A2591" i="1"/>
  <c r="F2591" i="1"/>
  <c r="G2591" i="1"/>
  <c r="I2591" i="1"/>
  <c r="A2592" i="1"/>
  <c r="F2592" i="1"/>
  <c r="G2592" i="1"/>
  <c r="I2592" i="1"/>
  <c r="A2593" i="1"/>
  <c r="F2593" i="1"/>
  <c r="G2593" i="1"/>
  <c r="I2593" i="1"/>
  <c r="A2594" i="1"/>
  <c r="F2594" i="1"/>
  <c r="G2594" i="1"/>
  <c r="I2594" i="1"/>
  <c r="A2595" i="1"/>
  <c r="F2595" i="1"/>
  <c r="G2595" i="1"/>
  <c r="I2595" i="1"/>
  <c r="A2596" i="1"/>
  <c r="F2596" i="1"/>
  <c r="G2596" i="1"/>
  <c r="I2596" i="1"/>
  <c r="A2597" i="1"/>
  <c r="F2597" i="1"/>
  <c r="G2597" i="1"/>
  <c r="I2597" i="1"/>
  <c r="A2598" i="1"/>
  <c r="F2598" i="1"/>
  <c r="G2598" i="1"/>
  <c r="I2598" i="1"/>
  <c r="A2599" i="1"/>
  <c r="F2599" i="1"/>
  <c r="G2599" i="1"/>
  <c r="I2599" i="1"/>
  <c r="A2600" i="1"/>
  <c r="F2600" i="1"/>
  <c r="G2600" i="1"/>
  <c r="I2600" i="1"/>
  <c r="A2601" i="1"/>
  <c r="F2601" i="1"/>
  <c r="G2601" i="1"/>
  <c r="I2601" i="1"/>
  <c r="A2602" i="1"/>
  <c r="F2602" i="1"/>
  <c r="G2602" i="1"/>
  <c r="I2602" i="1"/>
  <c r="A2603" i="1"/>
  <c r="F2603" i="1"/>
  <c r="G2603" i="1"/>
  <c r="I2603" i="1"/>
  <c r="A2604" i="1"/>
  <c r="F2604" i="1"/>
  <c r="G2604" i="1"/>
  <c r="I2604" i="1"/>
  <c r="A2605" i="1"/>
  <c r="F2605" i="1"/>
  <c r="G2605" i="1"/>
  <c r="I2605" i="1"/>
  <c r="A2606" i="1"/>
  <c r="F2606" i="1"/>
  <c r="G2606" i="1"/>
  <c r="I2606" i="1"/>
  <c r="A2607" i="1"/>
  <c r="F2607" i="1"/>
  <c r="G2607" i="1"/>
  <c r="I2607" i="1"/>
  <c r="A2608" i="1"/>
  <c r="F2608" i="1"/>
  <c r="G2608" i="1"/>
  <c r="I2608" i="1"/>
  <c r="A2609" i="1"/>
  <c r="F2609" i="1"/>
  <c r="G2609" i="1"/>
  <c r="I2609" i="1"/>
  <c r="A2610" i="1"/>
  <c r="F2610" i="1"/>
  <c r="G2610" i="1"/>
  <c r="I2610" i="1"/>
  <c r="A2611" i="1"/>
  <c r="F2611" i="1"/>
  <c r="G2611" i="1"/>
  <c r="I2611" i="1"/>
  <c r="A2612" i="1"/>
  <c r="F2612" i="1"/>
  <c r="G2612" i="1"/>
  <c r="I2612" i="1"/>
  <c r="A2613" i="1"/>
  <c r="F2613" i="1"/>
  <c r="G2613" i="1"/>
  <c r="I2613" i="1"/>
  <c r="A2614" i="1"/>
  <c r="F2614" i="1"/>
  <c r="G2614" i="1"/>
  <c r="I2614" i="1"/>
  <c r="A2615" i="1"/>
  <c r="F2615" i="1"/>
  <c r="G2615" i="1"/>
  <c r="I2615" i="1"/>
  <c r="A2616" i="1"/>
  <c r="F2616" i="1"/>
  <c r="G2616" i="1"/>
  <c r="I2616" i="1"/>
  <c r="A2617" i="1"/>
  <c r="F2617" i="1"/>
  <c r="G2617" i="1"/>
  <c r="I2617" i="1"/>
  <c r="A2618" i="1"/>
  <c r="F2618" i="1"/>
  <c r="G2618" i="1"/>
  <c r="I2618" i="1"/>
  <c r="A2619" i="1"/>
  <c r="F2619" i="1"/>
  <c r="G2619" i="1"/>
  <c r="I2619" i="1"/>
  <c r="A2620" i="1"/>
  <c r="F2620" i="1"/>
  <c r="G2620" i="1"/>
  <c r="I2620" i="1"/>
  <c r="A2621" i="1"/>
  <c r="F2621" i="1"/>
  <c r="G2621" i="1"/>
  <c r="I2621" i="1"/>
  <c r="A2622" i="1"/>
  <c r="F2622" i="1"/>
  <c r="G2622" i="1"/>
  <c r="I2622" i="1"/>
  <c r="A2623" i="1"/>
  <c r="F2623" i="1"/>
  <c r="G2623" i="1"/>
  <c r="I2623" i="1"/>
  <c r="A2624" i="1"/>
  <c r="F2624" i="1"/>
  <c r="G2624" i="1"/>
  <c r="I2624" i="1"/>
  <c r="A2625" i="1"/>
  <c r="F2625" i="1"/>
  <c r="G2625" i="1"/>
  <c r="I2625" i="1"/>
  <c r="A2626" i="1"/>
  <c r="F2626" i="1"/>
  <c r="G2626" i="1"/>
  <c r="I2626" i="1"/>
  <c r="A2627" i="1"/>
  <c r="F2627" i="1"/>
  <c r="G2627" i="1"/>
  <c r="I2627" i="1"/>
  <c r="A2628" i="1"/>
  <c r="F2628" i="1"/>
  <c r="G2628" i="1"/>
  <c r="I2628" i="1"/>
  <c r="A2629" i="1"/>
  <c r="F2629" i="1"/>
  <c r="G2629" i="1"/>
  <c r="I2629" i="1"/>
  <c r="A2630" i="1"/>
  <c r="F2630" i="1"/>
  <c r="G2630" i="1"/>
  <c r="I2630" i="1"/>
  <c r="A2631" i="1"/>
  <c r="F2631" i="1"/>
  <c r="G2631" i="1"/>
  <c r="I2631" i="1"/>
  <c r="A2632" i="1"/>
  <c r="F2632" i="1"/>
  <c r="G2632" i="1"/>
  <c r="I2632" i="1"/>
  <c r="A2633" i="1"/>
  <c r="F2633" i="1"/>
  <c r="G2633" i="1"/>
  <c r="I2633" i="1"/>
  <c r="A2634" i="1"/>
  <c r="F2634" i="1"/>
  <c r="G2634" i="1"/>
  <c r="I2634" i="1"/>
  <c r="A2635" i="1"/>
  <c r="F2635" i="1"/>
  <c r="G2635" i="1"/>
  <c r="I2635" i="1"/>
  <c r="A2636" i="1"/>
  <c r="F2636" i="1"/>
  <c r="G2636" i="1"/>
  <c r="I2636" i="1"/>
  <c r="A2637" i="1"/>
  <c r="F2637" i="1"/>
  <c r="G2637" i="1"/>
  <c r="I2637" i="1"/>
  <c r="A2638" i="1"/>
  <c r="F2638" i="1"/>
  <c r="G2638" i="1"/>
  <c r="I2638" i="1"/>
  <c r="A2639" i="1"/>
  <c r="F2639" i="1"/>
  <c r="G2639" i="1"/>
  <c r="I2639" i="1"/>
  <c r="A2640" i="1"/>
  <c r="F2640" i="1"/>
  <c r="G2640" i="1"/>
  <c r="I2640" i="1"/>
  <c r="A2641" i="1"/>
  <c r="F2641" i="1"/>
  <c r="G2641" i="1"/>
  <c r="I2641" i="1"/>
  <c r="A2642" i="1"/>
  <c r="F2642" i="1"/>
  <c r="G2642" i="1"/>
  <c r="I2642" i="1"/>
  <c r="A2643" i="1"/>
  <c r="F2643" i="1"/>
  <c r="G2643" i="1"/>
  <c r="I2643" i="1"/>
  <c r="A2644" i="1"/>
  <c r="F2644" i="1"/>
  <c r="G2644" i="1"/>
  <c r="I2644" i="1"/>
  <c r="A2645" i="1"/>
  <c r="F2645" i="1"/>
  <c r="G2645" i="1"/>
  <c r="I2645" i="1"/>
  <c r="A2646" i="1"/>
  <c r="F2646" i="1"/>
  <c r="G2646" i="1"/>
  <c r="I2646" i="1"/>
  <c r="A2647" i="1"/>
  <c r="F2647" i="1"/>
  <c r="G2647" i="1"/>
  <c r="I2647" i="1"/>
  <c r="A2648" i="1"/>
  <c r="F2648" i="1"/>
  <c r="G2648" i="1"/>
  <c r="I2648" i="1"/>
  <c r="A2649" i="1"/>
  <c r="F2649" i="1"/>
  <c r="G2649" i="1"/>
  <c r="I2649" i="1"/>
  <c r="A2650" i="1"/>
  <c r="F2650" i="1"/>
  <c r="G2650" i="1"/>
  <c r="I2650" i="1"/>
  <c r="A2651" i="1"/>
  <c r="F2651" i="1"/>
  <c r="G2651" i="1"/>
  <c r="I2651" i="1"/>
  <c r="A2652" i="1"/>
  <c r="F2652" i="1"/>
  <c r="G2652" i="1"/>
  <c r="I2652" i="1"/>
  <c r="A2653" i="1"/>
  <c r="F2653" i="1"/>
  <c r="G2653" i="1"/>
  <c r="I2653" i="1"/>
  <c r="A2654" i="1"/>
  <c r="F2654" i="1"/>
  <c r="G2654" i="1"/>
  <c r="I2654" i="1"/>
  <c r="A2655" i="1"/>
  <c r="F2655" i="1"/>
  <c r="G2655" i="1"/>
  <c r="I2655" i="1"/>
  <c r="A2656" i="1"/>
  <c r="F2656" i="1"/>
  <c r="G2656" i="1"/>
  <c r="I2656" i="1"/>
  <c r="A2657" i="1"/>
  <c r="F2657" i="1"/>
  <c r="G2657" i="1"/>
  <c r="I2657" i="1"/>
  <c r="A2658" i="1"/>
  <c r="F2658" i="1"/>
  <c r="G2658" i="1"/>
  <c r="I2658" i="1"/>
  <c r="A2659" i="1"/>
  <c r="F2659" i="1"/>
  <c r="G2659" i="1"/>
  <c r="I2659" i="1"/>
  <c r="A2660" i="1"/>
  <c r="F2660" i="1"/>
  <c r="G2660" i="1"/>
  <c r="I2660" i="1"/>
  <c r="A2661" i="1"/>
  <c r="F2661" i="1"/>
  <c r="G2661" i="1"/>
  <c r="I2661" i="1"/>
  <c r="A2662" i="1"/>
  <c r="F2662" i="1"/>
  <c r="G2662" i="1"/>
  <c r="I2662" i="1"/>
  <c r="A2663" i="1"/>
  <c r="F2663" i="1"/>
  <c r="G2663" i="1"/>
  <c r="I2663" i="1"/>
  <c r="A2664" i="1"/>
  <c r="F2664" i="1"/>
  <c r="G2664" i="1"/>
  <c r="I2664" i="1"/>
  <c r="A2665" i="1"/>
  <c r="F2665" i="1"/>
  <c r="G2665" i="1"/>
  <c r="I2665" i="1"/>
  <c r="A2666" i="1"/>
  <c r="F2666" i="1"/>
  <c r="G2666" i="1"/>
  <c r="I2666" i="1"/>
  <c r="A2667" i="1"/>
  <c r="F2667" i="1"/>
  <c r="G2667" i="1"/>
  <c r="I2667" i="1"/>
  <c r="A2668" i="1"/>
  <c r="F2668" i="1"/>
  <c r="G2668" i="1"/>
  <c r="I2668" i="1"/>
  <c r="A2669" i="1"/>
  <c r="F2669" i="1"/>
  <c r="G2669" i="1"/>
  <c r="I2669" i="1"/>
  <c r="A2670" i="1"/>
  <c r="F2670" i="1"/>
  <c r="G2670" i="1"/>
  <c r="I2670" i="1"/>
  <c r="A2671" i="1"/>
  <c r="F2671" i="1"/>
  <c r="G2671" i="1"/>
  <c r="I2671" i="1"/>
  <c r="A2672" i="1"/>
  <c r="F2672" i="1"/>
  <c r="G2672" i="1"/>
  <c r="I2672" i="1"/>
  <c r="A2673" i="1"/>
  <c r="F2673" i="1"/>
  <c r="G2673" i="1"/>
  <c r="I2673" i="1"/>
  <c r="A2674" i="1"/>
  <c r="F2674" i="1"/>
  <c r="G2674" i="1"/>
  <c r="I2674" i="1"/>
  <c r="A2675" i="1"/>
  <c r="F2675" i="1"/>
  <c r="G2675" i="1"/>
  <c r="I2675" i="1"/>
  <c r="A2676" i="1"/>
  <c r="F2676" i="1"/>
  <c r="G2676" i="1"/>
  <c r="I2676" i="1"/>
  <c r="A2677" i="1"/>
  <c r="F2677" i="1"/>
  <c r="G2677" i="1"/>
  <c r="I2677" i="1"/>
  <c r="A2678" i="1"/>
  <c r="F2678" i="1"/>
  <c r="G2678" i="1"/>
  <c r="I2678" i="1"/>
  <c r="A2679" i="1"/>
  <c r="F2679" i="1"/>
  <c r="G2679" i="1"/>
  <c r="I2679" i="1"/>
  <c r="A2680" i="1"/>
  <c r="F2680" i="1"/>
  <c r="G2680" i="1"/>
  <c r="I2680" i="1"/>
  <c r="A2681" i="1"/>
  <c r="F2681" i="1"/>
  <c r="G2681" i="1"/>
  <c r="I2681" i="1"/>
  <c r="A2682" i="1"/>
  <c r="F2682" i="1"/>
  <c r="G2682" i="1"/>
  <c r="I2682" i="1"/>
  <c r="A2683" i="1"/>
  <c r="F2683" i="1"/>
  <c r="G2683" i="1"/>
  <c r="I2683" i="1"/>
  <c r="A2684" i="1"/>
  <c r="F2684" i="1"/>
  <c r="G2684" i="1"/>
  <c r="I2684" i="1"/>
  <c r="A2685" i="1"/>
  <c r="F2685" i="1"/>
  <c r="G2685" i="1"/>
  <c r="I2685" i="1"/>
  <c r="A2686" i="1"/>
  <c r="F2686" i="1"/>
  <c r="G2686" i="1"/>
  <c r="I2686" i="1"/>
  <c r="A2687" i="1"/>
  <c r="F2687" i="1"/>
  <c r="G2687" i="1"/>
  <c r="I2687" i="1"/>
  <c r="A2688" i="1"/>
  <c r="F2688" i="1"/>
  <c r="G2688" i="1"/>
  <c r="I2688" i="1"/>
  <c r="A2689" i="1"/>
  <c r="F2689" i="1"/>
  <c r="G2689" i="1"/>
  <c r="I2689" i="1"/>
  <c r="A2690" i="1"/>
  <c r="F2690" i="1"/>
  <c r="G2690" i="1"/>
  <c r="I2690" i="1"/>
  <c r="A2691" i="1"/>
  <c r="F2691" i="1"/>
  <c r="G2691" i="1"/>
  <c r="I2691" i="1"/>
  <c r="A2692" i="1"/>
  <c r="F2692" i="1"/>
  <c r="G2692" i="1"/>
  <c r="I2692" i="1"/>
  <c r="A2693" i="1"/>
  <c r="F2693" i="1"/>
  <c r="G2693" i="1"/>
  <c r="I2693" i="1"/>
  <c r="A2694" i="1"/>
  <c r="F2694" i="1"/>
  <c r="G2694" i="1"/>
  <c r="I2694" i="1"/>
  <c r="A2695" i="1"/>
  <c r="F2695" i="1"/>
  <c r="G2695" i="1"/>
  <c r="I2695" i="1"/>
  <c r="A2696" i="1"/>
  <c r="F2696" i="1"/>
  <c r="G2696" i="1"/>
  <c r="I2696" i="1"/>
  <c r="A2697" i="1"/>
  <c r="F2697" i="1"/>
  <c r="G2697" i="1"/>
  <c r="I2697" i="1"/>
  <c r="A2698" i="1"/>
  <c r="F2698" i="1"/>
  <c r="G2698" i="1"/>
  <c r="I2698" i="1"/>
  <c r="A2699" i="1"/>
  <c r="F2699" i="1"/>
  <c r="G2699" i="1"/>
  <c r="I2699" i="1"/>
  <c r="A2700" i="1"/>
  <c r="F2700" i="1"/>
  <c r="G2700" i="1"/>
  <c r="I2700" i="1"/>
  <c r="A2701" i="1"/>
  <c r="F2701" i="1"/>
  <c r="G2701" i="1"/>
  <c r="I2701" i="1"/>
  <c r="A2702" i="1"/>
  <c r="F2702" i="1"/>
  <c r="G2702" i="1"/>
  <c r="I2702" i="1"/>
  <c r="A2703" i="1"/>
  <c r="F2703" i="1"/>
  <c r="G2703" i="1"/>
  <c r="I2703" i="1"/>
  <c r="A2704" i="1"/>
  <c r="F2704" i="1"/>
  <c r="G2704" i="1"/>
  <c r="I2704" i="1"/>
  <c r="A2705" i="1"/>
  <c r="F2705" i="1"/>
  <c r="G2705" i="1"/>
  <c r="I2705" i="1"/>
  <c r="A2706" i="1"/>
  <c r="F2706" i="1"/>
  <c r="G2706" i="1"/>
  <c r="I2706" i="1"/>
  <c r="A2707" i="1"/>
  <c r="F2707" i="1"/>
  <c r="G2707" i="1"/>
  <c r="I2707" i="1"/>
  <c r="A2708" i="1"/>
  <c r="F2708" i="1"/>
  <c r="G2708" i="1"/>
  <c r="I2708" i="1"/>
  <c r="A2709" i="1"/>
  <c r="F2709" i="1"/>
  <c r="G2709" i="1"/>
  <c r="I2709" i="1"/>
  <c r="A2710" i="1"/>
  <c r="F2710" i="1"/>
  <c r="G2710" i="1"/>
  <c r="I2710" i="1"/>
  <c r="A2711" i="1"/>
  <c r="F2711" i="1"/>
  <c r="G2711" i="1"/>
  <c r="I2711" i="1"/>
  <c r="A2712" i="1"/>
  <c r="F2712" i="1"/>
  <c r="G2712" i="1"/>
  <c r="I2712" i="1"/>
  <c r="A2713" i="1"/>
  <c r="F2713" i="1"/>
  <c r="G2713" i="1"/>
  <c r="I2713" i="1"/>
  <c r="A2714" i="1"/>
  <c r="F2714" i="1"/>
  <c r="G2714" i="1"/>
  <c r="I2714" i="1"/>
  <c r="A2715" i="1"/>
  <c r="F2715" i="1"/>
  <c r="G2715" i="1"/>
  <c r="I2715" i="1"/>
  <c r="A2716" i="1"/>
  <c r="F2716" i="1"/>
  <c r="G2716" i="1"/>
  <c r="I2716" i="1"/>
  <c r="A2717" i="1"/>
  <c r="F2717" i="1"/>
  <c r="G2717" i="1"/>
  <c r="I2717" i="1"/>
  <c r="A2718" i="1"/>
  <c r="F2718" i="1"/>
  <c r="G2718" i="1"/>
  <c r="I2718" i="1"/>
  <c r="A2719" i="1"/>
  <c r="F2719" i="1"/>
  <c r="G2719" i="1"/>
  <c r="I2719" i="1"/>
  <c r="A2720" i="1"/>
  <c r="F2720" i="1"/>
  <c r="G2720" i="1"/>
  <c r="I2720" i="1"/>
  <c r="A2721" i="1"/>
  <c r="F2721" i="1"/>
  <c r="G2721" i="1"/>
  <c r="I2721" i="1"/>
  <c r="A2722" i="1"/>
  <c r="F2722" i="1"/>
  <c r="G2722" i="1"/>
  <c r="I2722" i="1"/>
  <c r="A2723" i="1"/>
  <c r="F2723" i="1"/>
  <c r="G2723" i="1"/>
  <c r="I2723" i="1"/>
  <c r="A2724" i="1"/>
  <c r="F2724" i="1"/>
  <c r="G2724" i="1"/>
  <c r="I2724" i="1"/>
  <c r="A2725" i="1"/>
  <c r="F2725" i="1"/>
  <c r="G2725" i="1"/>
  <c r="I2725" i="1"/>
  <c r="A2726" i="1"/>
  <c r="F2726" i="1"/>
  <c r="G2726" i="1"/>
  <c r="I2726" i="1"/>
  <c r="A2727" i="1"/>
  <c r="F2727" i="1"/>
  <c r="G2727" i="1"/>
  <c r="I2727" i="1"/>
  <c r="A2728" i="1"/>
  <c r="F2728" i="1"/>
  <c r="G2728" i="1"/>
  <c r="I2728" i="1"/>
  <c r="A2729" i="1"/>
  <c r="F2729" i="1"/>
  <c r="G2729" i="1"/>
  <c r="I2729" i="1"/>
  <c r="A2730" i="1"/>
  <c r="F2730" i="1"/>
  <c r="G2730" i="1"/>
  <c r="I2730" i="1"/>
  <c r="A2731" i="1"/>
  <c r="F2731" i="1"/>
  <c r="G2731" i="1"/>
  <c r="I2731" i="1"/>
  <c r="A2732" i="1"/>
  <c r="F2732" i="1"/>
  <c r="G2732" i="1"/>
  <c r="I2732" i="1"/>
  <c r="A2733" i="1"/>
  <c r="F2733" i="1"/>
  <c r="G2733" i="1"/>
  <c r="I2733" i="1"/>
  <c r="A2734" i="1"/>
  <c r="F2734" i="1"/>
  <c r="G2734" i="1"/>
  <c r="I2734" i="1"/>
  <c r="A2735" i="1"/>
  <c r="F2735" i="1"/>
  <c r="G2735" i="1"/>
  <c r="I2735" i="1"/>
  <c r="A2736" i="1"/>
  <c r="F2736" i="1"/>
  <c r="G2736" i="1"/>
  <c r="I2736" i="1"/>
  <c r="A2737" i="1"/>
  <c r="F2737" i="1"/>
  <c r="G2737" i="1"/>
  <c r="I2737" i="1"/>
  <c r="A2738" i="1"/>
  <c r="F2738" i="1"/>
  <c r="G2738" i="1"/>
  <c r="I2738" i="1"/>
  <c r="A2739" i="1"/>
  <c r="F2739" i="1"/>
  <c r="G2739" i="1"/>
  <c r="I2739" i="1"/>
  <c r="A2740" i="1"/>
  <c r="F2740" i="1"/>
  <c r="G2740" i="1"/>
  <c r="I2740" i="1"/>
  <c r="A2741" i="1"/>
  <c r="F2741" i="1"/>
  <c r="G2741" i="1"/>
  <c r="I2741" i="1"/>
  <c r="A2742" i="1"/>
  <c r="F2742" i="1"/>
  <c r="G2742" i="1"/>
  <c r="I2742" i="1"/>
  <c r="A2743" i="1"/>
  <c r="F2743" i="1"/>
  <c r="G2743" i="1"/>
  <c r="I2743" i="1"/>
  <c r="A2744" i="1"/>
  <c r="F2744" i="1"/>
  <c r="G2744" i="1"/>
  <c r="I2744" i="1"/>
  <c r="A2745" i="1"/>
  <c r="F2745" i="1"/>
  <c r="G2745" i="1"/>
  <c r="I2745" i="1"/>
  <c r="A2746" i="1"/>
  <c r="F2746" i="1"/>
  <c r="G2746" i="1"/>
  <c r="I2746" i="1"/>
  <c r="A2747" i="1"/>
  <c r="F2747" i="1"/>
  <c r="G2747" i="1"/>
  <c r="I2747" i="1"/>
  <c r="A2748" i="1"/>
  <c r="F2748" i="1"/>
  <c r="G2748" i="1"/>
  <c r="I2748" i="1"/>
  <c r="A2749" i="1"/>
  <c r="F2749" i="1"/>
  <c r="G2749" i="1"/>
  <c r="I2749" i="1"/>
  <c r="A2750" i="1"/>
  <c r="F2750" i="1"/>
  <c r="G2750" i="1"/>
  <c r="I2750" i="1"/>
  <c r="A2751" i="1"/>
  <c r="F2751" i="1"/>
  <c r="G2751" i="1"/>
  <c r="I2751" i="1"/>
  <c r="A2752" i="1"/>
  <c r="F2752" i="1"/>
  <c r="G2752" i="1"/>
  <c r="I2752" i="1"/>
  <c r="A2753" i="1"/>
  <c r="F2753" i="1"/>
  <c r="G2753" i="1"/>
  <c r="I2753" i="1"/>
  <c r="A2754" i="1"/>
  <c r="F2754" i="1"/>
  <c r="G2754" i="1"/>
  <c r="I2754" i="1"/>
  <c r="A2755" i="1"/>
  <c r="F2755" i="1"/>
  <c r="G2755" i="1"/>
  <c r="I2755" i="1"/>
  <c r="A2756" i="1"/>
  <c r="F2756" i="1"/>
  <c r="G2756" i="1"/>
  <c r="I2756" i="1"/>
  <c r="A2757" i="1"/>
  <c r="F2757" i="1"/>
  <c r="G2757" i="1"/>
  <c r="I2757" i="1"/>
  <c r="A2758" i="1"/>
  <c r="F2758" i="1"/>
  <c r="G2758" i="1"/>
  <c r="I2758" i="1"/>
  <c r="A2759" i="1"/>
  <c r="F2759" i="1"/>
  <c r="G2759" i="1"/>
  <c r="I2759" i="1"/>
  <c r="A2760" i="1"/>
  <c r="F2760" i="1"/>
  <c r="G2760" i="1"/>
  <c r="I2760" i="1"/>
  <c r="A2761" i="1"/>
  <c r="F2761" i="1"/>
  <c r="G2761" i="1"/>
  <c r="I2761" i="1"/>
  <c r="A2762" i="1"/>
  <c r="F2762" i="1"/>
  <c r="G2762" i="1"/>
  <c r="I2762" i="1"/>
  <c r="A2763" i="1"/>
  <c r="F2763" i="1"/>
  <c r="G2763" i="1"/>
  <c r="I2763" i="1"/>
  <c r="A2764" i="1"/>
  <c r="F2764" i="1"/>
  <c r="G2764" i="1"/>
  <c r="I2764" i="1"/>
  <c r="A2765" i="1"/>
  <c r="F2765" i="1"/>
  <c r="G2765" i="1"/>
  <c r="I2765" i="1"/>
  <c r="A2766" i="1"/>
  <c r="F2766" i="1"/>
  <c r="G2766" i="1"/>
  <c r="I2766" i="1"/>
  <c r="A2767" i="1"/>
  <c r="F2767" i="1"/>
  <c r="G2767" i="1"/>
  <c r="I2767" i="1"/>
  <c r="A2768" i="1"/>
  <c r="F2768" i="1"/>
  <c r="G2768" i="1"/>
  <c r="I2768" i="1"/>
  <c r="A2769" i="1"/>
  <c r="F2769" i="1"/>
  <c r="G2769" i="1"/>
  <c r="I2769" i="1"/>
  <c r="A2770" i="1"/>
  <c r="F2770" i="1"/>
  <c r="G2770" i="1"/>
  <c r="I2770" i="1"/>
  <c r="A2771" i="1"/>
  <c r="F2771" i="1"/>
  <c r="G2771" i="1"/>
  <c r="I2771" i="1"/>
  <c r="A2772" i="1"/>
  <c r="F2772" i="1"/>
  <c r="G2772" i="1"/>
  <c r="I2772" i="1"/>
  <c r="A2773" i="1"/>
  <c r="F2773" i="1"/>
  <c r="G2773" i="1"/>
  <c r="I2773" i="1"/>
  <c r="A2774" i="1"/>
  <c r="F2774" i="1"/>
  <c r="G2774" i="1"/>
  <c r="I2774" i="1"/>
  <c r="A2775" i="1"/>
  <c r="F2775" i="1"/>
  <c r="G2775" i="1"/>
  <c r="I2775" i="1"/>
  <c r="A2776" i="1"/>
  <c r="F2776" i="1"/>
  <c r="G2776" i="1"/>
  <c r="I2776" i="1"/>
  <c r="A2777" i="1"/>
  <c r="F2777" i="1"/>
  <c r="G2777" i="1"/>
  <c r="I2777" i="1"/>
  <c r="A2778" i="1"/>
  <c r="F2778" i="1"/>
  <c r="G2778" i="1"/>
  <c r="I2778" i="1"/>
  <c r="A2779" i="1"/>
  <c r="F2779" i="1"/>
  <c r="G2779" i="1"/>
  <c r="I2779" i="1"/>
  <c r="A2780" i="1"/>
  <c r="F2780" i="1"/>
  <c r="G2780" i="1"/>
  <c r="I2780" i="1"/>
  <c r="A2781" i="1"/>
  <c r="F2781" i="1"/>
  <c r="G2781" i="1"/>
  <c r="I2781" i="1"/>
  <c r="A2782" i="1"/>
  <c r="F2782" i="1"/>
  <c r="G2782" i="1"/>
  <c r="I2782" i="1"/>
  <c r="A2783" i="1"/>
  <c r="F2783" i="1"/>
  <c r="G2783" i="1"/>
  <c r="I2783" i="1"/>
  <c r="A2784" i="1"/>
  <c r="F2784" i="1"/>
  <c r="G2784" i="1"/>
  <c r="I2784" i="1"/>
  <c r="A2785" i="1"/>
  <c r="F2785" i="1"/>
  <c r="G2785" i="1"/>
  <c r="I2785" i="1"/>
  <c r="A2786" i="1"/>
  <c r="F2786" i="1"/>
  <c r="G2786" i="1"/>
  <c r="I2786" i="1"/>
  <c r="A2787" i="1"/>
  <c r="F2787" i="1"/>
  <c r="G2787" i="1"/>
  <c r="I2787" i="1"/>
  <c r="A2788" i="1"/>
  <c r="F2788" i="1"/>
  <c r="G2788" i="1"/>
  <c r="I2788" i="1"/>
  <c r="A2789" i="1"/>
  <c r="F2789" i="1"/>
  <c r="G2789" i="1"/>
  <c r="I2789" i="1"/>
  <c r="A2790" i="1"/>
  <c r="F2790" i="1"/>
  <c r="G2790" i="1"/>
  <c r="I2790" i="1"/>
  <c r="A2791" i="1"/>
  <c r="F2791" i="1"/>
  <c r="G2791" i="1"/>
  <c r="I2791" i="1"/>
  <c r="A2792" i="1"/>
  <c r="F2792" i="1"/>
  <c r="G2792" i="1"/>
  <c r="I2792" i="1"/>
  <c r="A2793" i="1"/>
  <c r="F2793" i="1"/>
  <c r="G2793" i="1"/>
  <c r="I2793" i="1"/>
  <c r="A2794" i="1"/>
  <c r="F2794" i="1"/>
  <c r="G2794" i="1"/>
  <c r="I2794" i="1"/>
  <c r="A2795" i="1"/>
  <c r="F2795" i="1"/>
  <c r="G2795" i="1"/>
  <c r="I2795" i="1"/>
  <c r="A2796" i="1"/>
  <c r="F2796" i="1"/>
  <c r="G2796" i="1"/>
  <c r="I2796" i="1"/>
  <c r="A2797" i="1"/>
  <c r="F2797" i="1"/>
  <c r="G2797" i="1"/>
  <c r="I2797" i="1"/>
  <c r="A2798" i="1"/>
  <c r="F2798" i="1"/>
  <c r="G2798" i="1"/>
  <c r="I2798" i="1"/>
  <c r="A2799" i="1"/>
  <c r="F2799" i="1"/>
  <c r="G2799" i="1"/>
  <c r="I2799" i="1"/>
  <c r="A2800" i="1"/>
  <c r="F2800" i="1"/>
  <c r="G2800" i="1"/>
  <c r="I2800" i="1"/>
  <c r="A2801" i="1"/>
  <c r="F2801" i="1"/>
  <c r="G2801" i="1"/>
  <c r="I2801" i="1"/>
  <c r="A2802" i="1"/>
  <c r="F2802" i="1"/>
  <c r="G2802" i="1"/>
  <c r="I2802" i="1"/>
  <c r="A2803" i="1"/>
  <c r="F2803" i="1"/>
  <c r="G2803" i="1"/>
  <c r="I2803" i="1"/>
  <c r="A2804" i="1"/>
  <c r="F2804" i="1"/>
  <c r="G2804" i="1"/>
  <c r="I2804" i="1"/>
  <c r="A2805" i="1"/>
  <c r="F2805" i="1"/>
  <c r="G2805" i="1"/>
  <c r="I2805" i="1"/>
  <c r="A2806" i="1"/>
  <c r="F2806" i="1"/>
  <c r="G2806" i="1"/>
  <c r="I2806" i="1"/>
  <c r="A2807" i="1"/>
  <c r="F2807" i="1"/>
  <c r="G2807" i="1"/>
  <c r="I2807" i="1"/>
  <c r="A2808" i="1"/>
  <c r="F2808" i="1"/>
  <c r="G2808" i="1"/>
  <c r="I2808" i="1"/>
  <c r="A2809" i="1"/>
  <c r="F2809" i="1"/>
  <c r="G2809" i="1"/>
  <c r="I2809" i="1"/>
  <c r="A2810" i="1"/>
  <c r="F2810" i="1"/>
  <c r="G2810" i="1"/>
  <c r="I2810" i="1"/>
  <c r="A2811" i="1"/>
  <c r="F2811" i="1"/>
  <c r="G2811" i="1"/>
  <c r="I2811" i="1"/>
  <c r="A2812" i="1"/>
  <c r="F2812" i="1"/>
  <c r="G2812" i="1"/>
  <c r="I2812" i="1"/>
  <c r="A2813" i="1"/>
  <c r="F2813" i="1"/>
  <c r="G2813" i="1"/>
  <c r="I2813" i="1"/>
  <c r="A2814" i="1"/>
  <c r="F2814" i="1"/>
  <c r="G2814" i="1"/>
  <c r="I2814" i="1"/>
  <c r="A2815" i="1"/>
  <c r="F2815" i="1"/>
  <c r="G2815" i="1"/>
  <c r="I2815" i="1"/>
  <c r="A2816" i="1"/>
  <c r="F2816" i="1"/>
  <c r="G2816" i="1"/>
  <c r="I2816" i="1"/>
  <c r="A2817" i="1"/>
  <c r="F2817" i="1"/>
  <c r="G2817" i="1"/>
  <c r="I2817" i="1"/>
  <c r="A2818" i="1"/>
  <c r="F2818" i="1"/>
  <c r="G2818" i="1"/>
  <c r="I2818" i="1"/>
  <c r="A2819" i="1"/>
  <c r="F2819" i="1"/>
  <c r="G2819" i="1"/>
  <c r="I2819" i="1"/>
  <c r="A2820" i="1"/>
  <c r="F2820" i="1"/>
  <c r="G2820" i="1"/>
  <c r="I2820" i="1"/>
  <c r="A2821" i="1"/>
  <c r="F2821" i="1"/>
  <c r="G2821" i="1"/>
  <c r="I2821" i="1"/>
  <c r="A2822" i="1"/>
  <c r="F2822" i="1"/>
  <c r="G2822" i="1"/>
  <c r="I2822" i="1"/>
  <c r="A2823" i="1"/>
  <c r="F2823" i="1"/>
  <c r="G2823" i="1"/>
  <c r="I2823" i="1"/>
  <c r="A2824" i="1"/>
  <c r="F2824" i="1"/>
  <c r="G2824" i="1"/>
  <c r="I2824" i="1"/>
  <c r="A2825" i="1"/>
  <c r="F2825" i="1"/>
  <c r="G2825" i="1"/>
  <c r="I2825" i="1"/>
  <c r="A2826" i="1"/>
  <c r="F2826" i="1"/>
  <c r="G2826" i="1"/>
  <c r="I2826" i="1"/>
  <c r="A2827" i="1"/>
  <c r="F2827" i="1"/>
  <c r="G2827" i="1"/>
  <c r="I2827" i="1"/>
  <c r="A2828" i="1"/>
  <c r="F2828" i="1"/>
  <c r="G2828" i="1"/>
  <c r="I2828" i="1"/>
  <c r="A2829" i="1"/>
  <c r="F2829" i="1"/>
  <c r="G2829" i="1"/>
  <c r="I2829" i="1"/>
  <c r="A2830" i="1"/>
  <c r="F2830" i="1"/>
  <c r="G2830" i="1"/>
  <c r="I2830" i="1"/>
  <c r="A2831" i="1"/>
  <c r="F2831" i="1"/>
  <c r="G2831" i="1"/>
  <c r="I2831" i="1"/>
  <c r="A2832" i="1"/>
  <c r="F2832" i="1"/>
  <c r="G2832" i="1"/>
  <c r="I2832" i="1"/>
  <c r="A2833" i="1"/>
  <c r="F2833" i="1"/>
  <c r="G2833" i="1"/>
  <c r="I2833" i="1"/>
  <c r="A2834" i="1"/>
  <c r="F2834" i="1"/>
  <c r="G2834" i="1"/>
  <c r="I2834" i="1"/>
  <c r="A2835" i="1"/>
  <c r="F2835" i="1"/>
  <c r="G2835" i="1"/>
  <c r="I2835" i="1"/>
  <c r="A2836" i="1"/>
  <c r="F2836" i="1"/>
  <c r="G2836" i="1"/>
  <c r="I2836" i="1"/>
  <c r="A2837" i="1"/>
  <c r="F2837" i="1"/>
  <c r="G2837" i="1"/>
  <c r="I2837" i="1"/>
  <c r="A2838" i="1"/>
  <c r="F2838" i="1"/>
  <c r="G2838" i="1"/>
  <c r="I2838" i="1"/>
  <c r="A2839" i="1"/>
  <c r="F2839" i="1"/>
  <c r="G2839" i="1"/>
  <c r="I2839" i="1"/>
  <c r="A2840" i="1"/>
  <c r="F2840" i="1"/>
  <c r="G2840" i="1"/>
  <c r="I2840" i="1"/>
  <c r="A2841" i="1"/>
  <c r="F2841" i="1"/>
  <c r="G2841" i="1"/>
  <c r="I2841" i="1"/>
  <c r="A2842" i="1"/>
  <c r="F2842" i="1"/>
  <c r="G2842" i="1"/>
  <c r="I2842" i="1"/>
  <c r="A2843" i="1"/>
  <c r="F2843" i="1"/>
  <c r="G2843" i="1"/>
  <c r="I2843" i="1"/>
  <c r="A2844" i="1"/>
  <c r="F2844" i="1"/>
  <c r="G2844" i="1"/>
  <c r="I2844" i="1"/>
  <c r="A2845" i="1"/>
  <c r="F2845" i="1"/>
  <c r="G2845" i="1"/>
  <c r="I2845" i="1"/>
  <c r="A2846" i="1"/>
  <c r="F2846" i="1"/>
  <c r="G2846" i="1"/>
  <c r="I2846" i="1"/>
  <c r="A2847" i="1"/>
  <c r="F2847" i="1"/>
  <c r="G2847" i="1"/>
  <c r="I2847" i="1"/>
  <c r="A2848" i="1"/>
  <c r="F2848" i="1"/>
  <c r="G2848" i="1"/>
  <c r="I2848" i="1"/>
  <c r="A2849" i="1"/>
  <c r="F2849" i="1"/>
  <c r="G2849" i="1"/>
  <c r="I2849" i="1"/>
  <c r="A2850" i="1"/>
  <c r="F2850" i="1"/>
  <c r="G2850" i="1"/>
  <c r="I2850" i="1"/>
  <c r="A2851" i="1"/>
  <c r="F2851" i="1"/>
  <c r="G2851" i="1"/>
  <c r="I2851" i="1"/>
  <c r="A2852" i="1"/>
  <c r="F2852" i="1"/>
  <c r="G2852" i="1"/>
  <c r="I2852" i="1"/>
  <c r="A2853" i="1"/>
  <c r="F2853" i="1"/>
  <c r="G2853" i="1"/>
  <c r="I2853" i="1"/>
  <c r="A2854" i="1"/>
  <c r="F2854" i="1"/>
  <c r="G2854" i="1"/>
  <c r="I2854" i="1"/>
  <c r="A2855" i="1"/>
  <c r="F2855" i="1"/>
  <c r="G2855" i="1"/>
  <c r="I2855" i="1"/>
  <c r="A2856" i="1"/>
  <c r="F2856" i="1"/>
  <c r="G2856" i="1"/>
  <c r="I2856" i="1"/>
  <c r="A2857" i="1"/>
  <c r="F2857" i="1"/>
  <c r="G2857" i="1"/>
  <c r="I2857" i="1"/>
  <c r="A2858" i="1"/>
  <c r="F2858" i="1"/>
  <c r="G2858" i="1"/>
  <c r="I2858" i="1"/>
  <c r="A2859" i="1"/>
  <c r="F2859" i="1"/>
  <c r="G2859" i="1"/>
  <c r="I2859" i="1"/>
  <c r="A2860" i="1"/>
  <c r="F2860" i="1"/>
  <c r="G2860" i="1"/>
  <c r="I2860" i="1"/>
  <c r="A2861" i="1"/>
  <c r="F2861" i="1"/>
  <c r="G2861" i="1"/>
  <c r="I2861" i="1"/>
  <c r="A2862" i="1"/>
  <c r="F2862" i="1"/>
  <c r="G2862" i="1"/>
  <c r="I2862" i="1"/>
  <c r="A2863" i="1"/>
  <c r="F2863" i="1"/>
  <c r="G2863" i="1"/>
  <c r="I2863" i="1"/>
  <c r="A2864" i="1"/>
  <c r="F2864" i="1"/>
  <c r="G2864" i="1"/>
  <c r="I2864" i="1"/>
  <c r="A2865" i="1"/>
  <c r="F2865" i="1"/>
  <c r="G2865" i="1"/>
  <c r="I2865" i="1"/>
  <c r="A2866" i="1"/>
  <c r="F2866" i="1"/>
  <c r="G2866" i="1"/>
  <c r="I2866" i="1"/>
  <c r="A2867" i="1"/>
  <c r="F2867" i="1"/>
  <c r="G2867" i="1"/>
  <c r="I2867" i="1"/>
  <c r="A2868" i="1"/>
  <c r="F2868" i="1"/>
  <c r="G2868" i="1"/>
  <c r="I2868" i="1"/>
  <c r="A2869" i="1"/>
  <c r="F2869" i="1"/>
  <c r="G2869" i="1"/>
  <c r="I2869" i="1"/>
  <c r="A2870" i="1"/>
  <c r="F2870" i="1"/>
  <c r="G2870" i="1"/>
  <c r="I2870" i="1"/>
  <c r="A2871" i="1"/>
  <c r="F2871" i="1"/>
  <c r="G2871" i="1"/>
  <c r="I2871" i="1"/>
  <c r="A2872" i="1"/>
  <c r="F2872" i="1"/>
  <c r="G2872" i="1"/>
  <c r="I2872" i="1"/>
  <c r="A2873" i="1"/>
  <c r="F2873" i="1"/>
  <c r="G2873" i="1"/>
  <c r="I2873" i="1"/>
  <c r="A2874" i="1"/>
  <c r="F2874" i="1"/>
  <c r="G2874" i="1"/>
  <c r="I2874" i="1"/>
  <c r="A2875" i="1"/>
  <c r="F2875" i="1"/>
  <c r="G2875" i="1"/>
  <c r="I2875" i="1"/>
  <c r="A2876" i="1"/>
  <c r="F2876" i="1"/>
  <c r="G2876" i="1"/>
  <c r="I2876" i="1"/>
  <c r="A2877" i="1"/>
  <c r="F2877" i="1"/>
  <c r="G2877" i="1"/>
  <c r="I2877" i="1"/>
  <c r="A2878" i="1"/>
  <c r="F2878" i="1"/>
  <c r="G2878" i="1"/>
  <c r="I2878" i="1"/>
  <c r="A2879" i="1"/>
  <c r="F2879" i="1"/>
  <c r="G2879" i="1"/>
  <c r="I2879" i="1"/>
  <c r="A2880" i="1"/>
  <c r="F2880" i="1"/>
  <c r="G2880" i="1"/>
  <c r="I2880" i="1"/>
  <c r="A2881" i="1"/>
  <c r="F2881" i="1"/>
  <c r="G2881" i="1"/>
  <c r="I2881" i="1"/>
  <c r="A2882" i="1"/>
  <c r="F2882" i="1"/>
  <c r="G2882" i="1"/>
  <c r="I2882" i="1"/>
  <c r="A2883" i="1"/>
  <c r="F2883" i="1"/>
  <c r="G2883" i="1"/>
  <c r="I2883" i="1"/>
  <c r="A2884" i="1"/>
  <c r="F2884" i="1"/>
  <c r="G2884" i="1"/>
  <c r="I2884" i="1"/>
  <c r="A2885" i="1"/>
  <c r="F2885" i="1"/>
  <c r="G2885" i="1"/>
  <c r="I2885" i="1"/>
  <c r="A2886" i="1"/>
  <c r="F2886" i="1"/>
  <c r="G2886" i="1"/>
  <c r="I2886" i="1"/>
  <c r="A2887" i="1"/>
  <c r="F2887" i="1"/>
  <c r="G2887" i="1"/>
  <c r="I2887" i="1"/>
  <c r="A2888" i="1"/>
  <c r="F2888" i="1"/>
  <c r="G2888" i="1"/>
  <c r="I2888" i="1"/>
  <c r="A2889" i="1"/>
  <c r="F2889" i="1"/>
  <c r="G2889" i="1"/>
  <c r="I2889" i="1"/>
  <c r="A2890" i="1"/>
  <c r="F2890" i="1"/>
  <c r="G2890" i="1"/>
  <c r="I2890" i="1"/>
  <c r="A2891" i="1"/>
  <c r="F2891" i="1"/>
  <c r="G2891" i="1"/>
  <c r="I2891" i="1"/>
  <c r="A2892" i="1"/>
  <c r="F2892" i="1"/>
  <c r="G2892" i="1"/>
  <c r="I2892" i="1"/>
  <c r="A2893" i="1"/>
  <c r="F2893" i="1"/>
  <c r="G2893" i="1"/>
  <c r="I2893" i="1"/>
  <c r="A2894" i="1"/>
  <c r="F2894" i="1"/>
  <c r="G2894" i="1"/>
  <c r="I2894" i="1"/>
  <c r="A2895" i="1"/>
  <c r="F2895" i="1"/>
  <c r="G2895" i="1"/>
  <c r="I2895" i="1"/>
  <c r="A2896" i="1"/>
  <c r="F2896" i="1"/>
  <c r="G2896" i="1"/>
  <c r="I2896" i="1"/>
  <c r="A2897" i="1"/>
  <c r="F2897" i="1"/>
  <c r="G2897" i="1"/>
  <c r="I2897" i="1"/>
  <c r="A2898" i="1"/>
  <c r="F2898" i="1"/>
  <c r="G2898" i="1"/>
  <c r="I2898" i="1"/>
  <c r="A2899" i="1"/>
  <c r="F2899" i="1"/>
  <c r="G2899" i="1"/>
  <c r="I2899" i="1"/>
  <c r="A2900" i="1"/>
  <c r="F2900" i="1"/>
  <c r="G2900" i="1"/>
  <c r="I2900" i="1"/>
  <c r="A2901" i="1"/>
  <c r="F2901" i="1"/>
  <c r="G2901" i="1"/>
  <c r="I2901" i="1"/>
  <c r="A2902" i="1"/>
  <c r="F2902" i="1"/>
  <c r="G2902" i="1"/>
  <c r="I2902" i="1"/>
  <c r="A2903" i="1"/>
  <c r="F2903" i="1"/>
  <c r="G2903" i="1"/>
  <c r="I2903" i="1"/>
  <c r="A2904" i="1"/>
  <c r="F2904" i="1"/>
  <c r="G2904" i="1"/>
  <c r="I2904" i="1"/>
  <c r="A2905" i="1"/>
  <c r="F2905" i="1"/>
  <c r="G2905" i="1"/>
  <c r="I2905" i="1"/>
  <c r="A2906" i="1"/>
  <c r="F2906" i="1"/>
  <c r="G2906" i="1"/>
  <c r="I2906" i="1"/>
  <c r="A2907" i="1"/>
  <c r="F2907" i="1"/>
  <c r="G2907" i="1"/>
  <c r="I2907" i="1"/>
  <c r="A2908" i="1"/>
  <c r="F2908" i="1"/>
  <c r="G2908" i="1"/>
  <c r="I2908" i="1"/>
  <c r="A2909" i="1"/>
  <c r="F2909" i="1"/>
  <c r="G2909" i="1"/>
  <c r="I2909" i="1"/>
  <c r="A2910" i="1"/>
  <c r="F2910" i="1"/>
  <c r="G2910" i="1"/>
  <c r="I2910" i="1"/>
  <c r="A2911" i="1"/>
  <c r="F2911" i="1"/>
  <c r="G2911" i="1"/>
  <c r="I2911" i="1"/>
  <c r="A2912" i="1"/>
  <c r="F2912" i="1"/>
  <c r="G2912" i="1"/>
  <c r="I2912" i="1"/>
  <c r="A2913" i="1"/>
  <c r="F2913" i="1"/>
  <c r="G2913" i="1"/>
  <c r="I2913" i="1"/>
  <c r="A2914" i="1"/>
  <c r="F2914" i="1"/>
  <c r="G2914" i="1"/>
  <c r="I2914" i="1"/>
  <c r="A2915" i="1"/>
  <c r="F2915" i="1"/>
  <c r="G2915" i="1"/>
  <c r="I2915" i="1"/>
  <c r="A2916" i="1"/>
  <c r="F2916" i="1"/>
  <c r="G2916" i="1"/>
  <c r="I2916" i="1"/>
  <c r="A2917" i="1"/>
  <c r="F2917" i="1"/>
  <c r="G2917" i="1"/>
  <c r="I2917" i="1"/>
  <c r="A2918" i="1"/>
  <c r="F2918" i="1"/>
  <c r="G2918" i="1"/>
  <c r="I2918" i="1"/>
  <c r="A2919" i="1"/>
  <c r="F2919" i="1"/>
  <c r="G2919" i="1"/>
  <c r="I2919" i="1"/>
  <c r="A2920" i="1"/>
  <c r="F2920" i="1"/>
  <c r="G2920" i="1"/>
  <c r="I2920" i="1"/>
  <c r="A2921" i="1"/>
  <c r="F2921" i="1"/>
  <c r="G2921" i="1"/>
  <c r="I2921" i="1"/>
  <c r="A2922" i="1"/>
  <c r="F2922" i="1"/>
  <c r="G2922" i="1"/>
  <c r="I2922" i="1"/>
  <c r="A2923" i="1"/>
  <c r="F2923" i="1"/>
  <c r="G2923" i="1"/>
  <c r="I2923" i="1"/>
  <c r="A2924" i="1"/>
  <c r="F2924" i="1"/>
  <c r="G2924" i="1"/>
  <c r="I2924" i="1"/>
  <c r="A2925" i="1"/>
  <c r="F2925" i="1"/>
  <c r="G2925" i="1"/>
  <c r="I2925" i="1"/>
  <c r="A2926" i="1"/>
  <c r="F2926" i="1"/>
  <c r="G2926" i="1"/>
  <c r="I2926" i="1"/>
  <c r="A2927" i="1"/>
  <c r="F2927" i="1"/>
  <c r="G2927" i="1"/>
  <c r="I2927" i="1"/>
  <c r="A2928" i="1"/>
  <c r="F2928" i="1"/>
  <c r="G2928" i="1"/>
  <c r="I2928" i="1"/>
  <c r="A2929" i="1"/>
  <c r="F2929" i="1"/>
  <c r="G2929" i="1"/>
  <c r="I2929" i="1"/>
  <c r="A2930" i="1"/>
  <c r="F2930" i="1"/>
  <c r="G2930" i="1"/>
  <c r="I2930" i="1"/>
  <c r="A2931" i="1"/>
  <c r="F2931" i="1"/>
  <c r="G2931" i="1"/>
  <c r="I2931" i="1"/>
  <c r="A2932" i="1"/>
  <c r="F2932" i="1"/>
  <c r="G2932" i="1"/>
  <c r="I2932" i="1"/>
  <c r="A2933" i="1"/>
  <c r="F2933" i="1"/>
  <c r="G2933" i="1"/>
  <c r="I2933" i="1"/>
  <c r="A2934" i="1"/>
  <c r="F2934" i="1"/>
  <c r="G2934" i="1"/>
  <c r="I2934" i="1"/>
  <c r="A2935" i="1"/>
  <c r="F2935" i="1"/>
  <c r="G2935" i="1"/>
  <c r="I2935" i="1"/>
  <c r="A2936" i="1"/>
  <c r="F2936" i="1"/>
  <c r="G2936" i="1"/>
  <c r="I2936" i="1"/>
  <c r="A2937" i="1"/>
  <c r="F2937" i="1"/>
  <c r="G2937" i="1"/>
  <c r="I2937" i="1"/>
  <c r="A2938" i="1"/>
  <c r="F2938" i="1"/>
  <c r="G2938" i="1"/>
  <c r="I2938" i="1"/>
  <c r="A2939" i="1"/>
  <c r="F2939" i="1"/>
  <c r="G2939" i="1"/>
  <c r="I2939" i="1"/>
  <c r="A2940" i="1"/>
  <c r="F2940" i="1"/>
  <c r="G2940" i="1"/>
  <c r="I2940" i="1"/>
  <c r="A2941" i="1"/>
  <c r="F2941" i="1"/>
  <c r="G2941" i="1"/>
  <c r="I2941" i="1"/>
  <c r="A2942" i="1"/>
  <c r="F2942" i="1"/>
  <c r="G2942" i="1"/>
  <c r="I2942" i="1"/>
  <c r="A2943" i="1"/>
  <c r="F2943" i="1"/>
  <c r="G2943" i="1"/>
  <c r="I2943" i="1"/>
  <c r="A2944" i="1"/>
  <c r="F2944" i="1"/>
  <c r="G2944" i="1"/>
  <c r="I2944" i="1"/>
  <c r="A2945" i="1"/>
  <c r="F2945" i="1"/>
  <c r="G2945" i="1"/>
  <c r="I2945" i="1"/>
  <c r="A2946" i="1"/>
  <c r="F2946" i="1"/>
  <c r="G2946" i="1"/>
  <c r="I2946" i="1"/>
  <c r="A2947" i="1"/>
  <c r="F2947" i="1"/>
  <c r="G2947" i="1"/>
  <c r="I2947" i="1"/>
  <c r="A2948" i="1"/>
  <c r="F2948" i="1"/>
  <c r="G2948" i="1"/>
  <c r="I2948" i="1"/>
  <c r="A2949" i="1"/>
  <c r="F2949" i="1"/>
  <c r="G2949" i="1"/>
  <c r="I2949" i="1"/>
  <c r="A2950" i="1"/>
  <c r="F2950" i="1"/>
  <c r="G2950" i="1"/>
  <c r="I2950" i="1"/>
  <c r="A2951" i="1"/>
  <c r="F2951" i="1"/>
  <c r="G2951" i="1"/>
  <c r="I2951" i="1"/>
  <c r="A2952" i="1"/>
  <c r="F2952" i="1"/>
  <c r="G2952" i="1"/>
  <c r="I2952" i="1"/>
  <c r="A2953" i="1"/>
  <c r="F2953" i="1"/>
  <c r="G2953" i="1"/>
  <c r="I2953" i="1"/>
  <c r="A2954" i="1"/>
  <c r="F2954" i="1"/>
  <c r="G2954" i="1"/>
  <c r="I2954" i="1"/>
  <c r="A2955" i="1"/>
  <c r="F2955" i="1"/>
  <c r="G2955" i="1"/>
  <c r="I2955" i="1"/>
  <c r="A2956" i="1"/>
  <c r="F2956" i="1"/>
  <c r="G2956" i="1"/>
  <c r="I2956" i="1"/>
  <c r="A2957" i="1"/>
  <c r="F2957" i="1"/>
  <c r="G2957" i="1"/>
  <c r="I2957" i="1"/>
  <c r="A2958" i="1"/>
  <c r="F2958" i="1"/>
  <c r="G2958" i="1"/>
  <c r="I2958" i="1"/>
  <c r="A2959" i="1"/>
  <c r="F2959" i="1"/>
  <c r="G2959" i="1"/>
  <c r="I2959" i="1"/>
  <c r="A2960" i="1"/>
  <c r="F2960" i="1"/>
  <c r="G2960" i="1"/>
  <c r="I2960" i="1"/>
  <c r="A2961" i="1"/>
  <c r="F2961" i="1"/>
  <c r="G2961" i="1"/>
  <c r="I2961" i="1"/>
  <c r="A2962" i="1"/>
  <c r="F2962" i="1"/>
  <c r="G2962" i="1"/>
  <c r="I2962" i="1"/>
  <c r="A2963" i="1"/>
  <c r="F2963" i="1"/>
  <c r="G2963" i="1"/>
  <c r="I2963" i="1"/>
  <c r="A2964" i="1"/>
  <c r="F2964" i="1"/>
  <c r="G2964" i="1"/>
  <c r="I2964" i="1"/>
  <c r="A2965" i="1"/>
  <c r="F2965" i="1"/>
  <c r="G2965" i="1"/>
  <c r="I2965" i="1"/>
  <c r="A2966" i="1"/>
  <c r="F2966" i="1"/>
  <c r="G2966" i="1"/>
  <c r="I2966" i="1"/>
  <c r="A2967" i="1"/>
  <c r="F2967" i="1"/>
  <c r="G2967" i="1"/>
  <c r="I2967" i="1"/>
  <c r="A2968" i="1"/>
  <c r="F2968" i="1"/>
  <c r="G2968" i="1"/>
  <c r="I2968" i="1"/>
  <c r="A2969" i="1"/>
  <c r="F2969" i="1"/>
  <c r="G2969" i="1"/>
  <c r="I2969" i="1"/>
  <c r="A2970" i="1"/>
  <c r="F2970" i="1"/>
  <c r="G2970" i="1"/>
  <c r="I2970" i="1"/>
  <c r="A2971" i="1"/>
  <c r="F2971" i="1"/>
  <c r="G2971" i="1"/>
  <c r="I2971" i="1"/>
  <c r="A2972" i="1"/>
  <c r="F2972" i="1"/>
  <c r="G2972" i="1"/>
  <c r="I2972" i="1"/>
  <c r="A2973" i="1"/>
  <c r="F2973" i="1"/>
  <c r="G2973" i="1"/>
  <c r="I2973" i="1"/>
  <c r="A2974" i="1"/>
  <c r="F2974" i="1"/>
  <c r="G2974" i="1"/>
  <c r="I2974" i="1"/>
  <c r="A2975" i="1"/>
  <c r="F2975" i="1"/>
  <c r="G2975" i="1"/>
  <c r="I2975" i="1"/>
  <c r="A2976" i="1"/>
  <c r="F2976" i="1"/>
  <c r="G2976" i="1"/>
  <c r="I2976" i="1"/>
  <c r="A2977" i="1"/>
  <c r="F2977" i="1"/>
  <c r="G2977" i="1"/>
  <c r="I2977" i="1"/>
  <c r="A2978" i="1"/>
  <c r="F2978" i="1"/>
  <c r="G2978" i="1"/>
  <c r="I2978" i="1"/>
  <c r="A2979" i="1"/>
  <c r="F2979" i="1"/>
  <c r="G2979" i="1"/>
  <c r="I2979" i="1"/>
  <c r="A2980" i="1"/>
  <c r="F2980" i="1"/>
  <c r="G2980" i="1"/>
  <c r="I2980" i="1"/>
  <c r="A2981" i="1"/>
  <c r="F2981" i="1"/>
  <c r="G2981" i="1"/>
  <c r="I2981" i="1"/>
  <c r="A2982" i="1"/>
  <c r="F2982" i="1"/>
  <c r="G2982" i="1"/>
  <c r="I2982" i="1"/>
  <c r="A2983" i="1"/>
  <c r="F2983" i="1"/>
  <c r="G2983" i="1"/>
  <c r="I2983" i="1"/>
  <c r="A2984" i="1"/>
  <c r="F2984" i="1"/>
  <c r="G2984" i="1"/>
  <c r="I2984" i="1"/>
  <c r="A2985" i="1"/>
  <c r="F2985" i="1"/>
  <c r="G2985" i="1"/>
  <c r="I2985" i="1"/>
  <c r="A2986" i="1"/>
  <c r="F2986" i="1"/>
  <c r="G2986" i="1"/>
  <c r="I2986" i="1"/>
  <c r="A2987" i="1"/>
  <c r="F2987" i="1"/>
  <c r="G2987" i="1"/>
  <c r="I2987" i="1"/>
  <c r="A2988" i="1"/>
  <c r="F2988" i="1"/>
  <c r="G2988" i="1"/>
  <c r="I2988" i="1"/>
  <c r="A2989" i="1"/>
  <c r="F2989" i="1"/>
  <c r="G2989" i="1"/>
  <c r="I2989" i="1"/>
  <c r="A2990" i="1"/>
  <c r="F2990" i="1"/>
  <c r="G2990" i="1"/>
  <c r="I2990" i="1"/>
  <c r="A2991" i="1"/>
  <c r="F2991" i="1"/>
  <c r="G2991" i="1"/>
  <c r="I2991" i="1"/>
  <c r="A2992" i="1"/>
  <c r="F2992" i="1"/>
  <c r="G2992" i="1"/>
  <c r="I2992" i="1"/>
  <c r="A2993" i="1"/>
  <c r="F2993" i="1"/>
  <c r="G2993" i="1"/>
  <c r="I2993" i="1"/>
  <c r="A2994" i="1"/>
  <c r="F2994" i="1"/>
  <c r="G2994" i="1"/>
  <c r="I2994" i="1"/>
  <c r="A2995" i="1"/>
  <c r="F2995" i="1"/>
  <c r="G2995" i="1"/>
  <c r="I2995" i="1"/>
  <c r="A2996" i="1"/>
  <c r="F2996" i="1"/>
  <c r="G2996" i="1"/>
  <c r="I2996" i="1"/>
  <c r="A2997" i="1"/>
  <c r="F2997" i="1"/>
  <c r="G2997" i="1"/>
  <c r="I2997" i="1"/>
  <c r="A2998" i="1"/>
  <c r="F2998" i="1"/>
  <c r="G2998" i="1"/>
  <c r="I2998" i="1"/>
  <c r="A2999" i="1"/>
  <c r="F2999" i="1"/>
  <c r="G2999" i="1"/>
  <c r="I2999" i="1"/>
  <c r="A3000" i="1"/>
  <c r="F3000" i="1"/>
  <c r="G3000" i="1"/>
  <c r="I3000" i="1"/>
  <c r="A3001" i="1"/>
  <c r="F3001" i="1"/>
  <c r="G3001" i="1"/>
  <c r="I3001" i="1"/>
  <c r="A3002" i="1"/>
  <c r="F3002" i="1"/>
  <c r="G3002" i="1"/>
  <c r="I3002" i="1"/>
  <c r="A3003" i="1"/>
  <c r="F3003" i="1"/>
  <c r="G3003" i="1"/>
  <c r="I3003" i="1"/>
  <c r="A3004" i="1"/>
  <c r="F3004" i="1"/>
  <c r="G3004" i="1"/>
  <c r="I3004" i="1"/>
  <c r="A3005" i="1"/>
  <c r="F3005" i="1"/>
  <c r="G3005" i="1"/>
  <c r="I3005" i="1"/>
  <c r="A3006" i="1"/>
  <c r="F3006" i="1"/>
  <c r="G3006" i="1"/>
  <c r="I3006" i="1"/>
  <c r="A3007" i="1"/>
  <c r="F3007" i="1"/>
  <c r="G3007" i="1"/>
  <c r="I3007" i="1"/>
  <c r="A3008" i="1"/>
  <c r="F3008" i="1"/>
  <c r="G3008" i="1"/>
  <c r="I3008" i="1"/>
  <c r="A3009" i="1"/>
  <c r="F3009" i="1"/>
  <c r="G3009" i="1"/>
  <c r="I3009" i="1"/>
  <c r="A3010" i="1"/>
  <c r="F3010" i="1"/>
  <c r="G3010" i="1"/>
  <c r="I3010" i="1"/>
  <c r="A3011" i="1"/>
  <c r="F3011" i="1"/>
  <c r="G3011" i="1"/>
  <c r="I3011" i="1"/>
  <c r="A3012" i="1"/>
  <c r="F3012" i="1"/>
  <c r="G3012" i="1"/>
  <c r="I3012" i="1"/>
  <c r="A3013" i="1"/>
  <c r="F3013" i="1"/>
  <c r="G3013" i="1"/>
  <c r="I3013" i="1"/>
  <c r="A3014" i="1"/>
  <c r="F3014" i="1"/>
  <c r="G3014" i="1"/>
  <c r="I3014" i="1"/>
  <c r="A3015" i="1"/>
  <c r="F3015" i="1"/>
  <c r="G3015" i="1"/>
  <c r="I3015" i="1"/>
  <c r="A3016" i="1"/>
  <c r="F3016" i="1"/>
  <c r="G3016" i="1"/>
  <c r="I3016" i="1"/>
  <c r="A3017" i="1"/>
  <c r="F3017" i="1"/>
  <c r="G3017" i="1"/>
  <c r="I3017" i="1"/>
  <c r="A3018" i="1"/>
  <c r="F3018" i="1"/>
  <c r="G3018" i="1"/>
  <c r="I3018" i="1"/>
  <c r="A3019" i="1"/>
  <c r="F3019" i="1"/>
  <c r="G3019" i="1"/>
  <c r="I3019" i="1"/>
  <c r="A3020" i="1"/>
  <c r="F3020" i="1"/>
  <c r="G3020" i="1"/>
  <c r="I3020" i="1"/>
  <c r="A3021" i="1"/>
  <c r="F3021" i="1"/>
  <c r="G3021" i="1"/>
  <c r="I3021" i="1"/>
  <c r="A3022" i="1"/>
  <c r="F3022" i="1"/>
  <c r="G3022" i="1"/>
  <c r="I3022" i="1"/>
  <c r="A3023" i="1"/>
  <c r="F3023" i="1"/>
  <c r="G3023" i="1"/>
  <c r="I3023" i="1"/>
  <c r="A3024" i="1"/>
  <c r="F3024" i="1"/>
  <c r="G3024" i="1"/>
  <c r="I3024" i="1"/>
  <c r="A3025" i="1"/>
  <c r="F3025" i="1"/>
  <c r="G3025" i="1"/>
  <c r="I3025" i="1"/>
  <c r="A3026" i="1"/>
  <c r="F3026" i="1"/>
  <c r="G3026" i="1"/>
  <c r="I3026" i="1"/>
  <c r="A3027" i="1"/>
  <c r="F3027" i="1"/>
  <c r="G3027" i="1"/>
  <c r="I3027" i="1"/>
  <c r="A3028" i="1"/>
  <c r="F3028" i="1"/>
  <c r="G3028" i="1"/>
  <c r="I3028" i="1"/>
  <c r="A3029" i="1"/>
  <c r="F3029" i="1"/>
  <c r="G3029" i="1"/>
  <c r="I3029" i="1"/>
  <c r="A3030" i="1"/>
  <c r="F3030" i="1"/>
  <c r="G3030" i="1"/>
  <c r="I3030" i="1"/>
  <c r="A3031" i="1"/>
  <c r="F3031" i="1"/>
  <c r="G3031" i="1"/>
  <c r="I3031" i="1"/>
  <c r="A3032" i="1"/>
  <c r="F3032" i="1"/>
  <c r="G3032" i="1"/>
  <c r="I3032" i="1"/>
  <c r="A3033" i="1"/>
  <c r="F3033" i="1"/>
  <c r="G3033" i="1"/>
  <c r="I3033" i="1"/>
  <c r="A3034" i="1"/>
  <c r="F3034" i="1"/>
  <c r="G3034" i="1"/>
  <c r="I3034" i="1"/>
  <c r="A3035" i="1"/>
  <c r="F3035" i="1"/>
  <c r="G3035" i="1"/>
  <c r="I3035" i="1"/>
  <c r="A3036" i="1"/>
  <c r="F3036" i="1"/>
  <c r="G3036" i="1"/>
  <c r="I3036" i="1"/>
  <c r="A3037" i="1"/>
  <c r="F3037" i="1"/>
  <c r="G3037" i="1"/>
  <c r="I3037" i="1"/>
  <c r="A3038" i="1"/>
  <c r="F3038" i="1"/>
  <c r="G3038" i="1"/>
  <c r="I3038" i="1"/>
  <c r="A3039" i="1"/>
  <c r="F3039" i="1"/>
  <c r="G3039" i="1"/>
  <c r="I3039" i="1"/>
  <c r="A3040" i="1"/>
  <c r="F3040" i="1"/>
  <c r="G3040" i="1"/>
  <c r="I3040" i="1"/>
  <c r="A3041" i="1"/>
  <c r="F3041" i="1"/>
  <c r="G3041" i="1"/>
  <c r="I3041" i="1"/>
  <c r="A3042" i="1"/>
  <c r="F3042" i="1"/>
  <c r="G3042" i="1"/>
  <c r="I3042" i="1"/>
  <c r="A3043" i="1"/>
  <c r="F3043" i="1"/>
  <c r="G3043" i="1"/>
  <c r="I3043" i="1"/>
  <c r="A3044" i="1"/>
  <c r="F3044" i="1"/>
  <c r="G3044" i="1"/>
  <c r="I3044" i="1"/>
  <c r="A3045" i="1"/>
  <c r="F3045" i="1"/>
  <c r="G3045" i="1"/>
  <c r="I3045" i="1"/>
  <c r="A3046" i="1"/>
  <c r="F3046" i="1"/>
  <c r="G3046" i="1"/>
  <c r="I3046" i="1"/>
  <c r="A3047" i="1"/>
  <c r="F3047" i="1"/>
  <c r="G3047" i="1"/>
  <c r="I3047" i="1"/>
  <c r="A3048" i="1"/>
  <c r="F3048" i="1"/>
  <c r="G3048" i="1"/>
  <c r="I3048" i="1"/>
  <c r="A3049" i="1"/>
  <c r="F3049" i="1"/>
  <c r="G3049" i="1"/>
  <c r="I3049" i="1"/>
  <c r="A3050" i="1"/>
  <c r="F3050" i="1"/>
  <c r="G3050" i="1"/>
  <c r="I3050" i="1"/>
  <c r="A3051" i="1"/>
  <c r="F3051" i="1"/>
  <c r="G3051" i="1"/>
  <c r="I3051" i="1"/>
  <c r="A3052" i="1"/>
  <c r="F3052" i="1"/>
  <c r="G3052" i="1"/>
  <c r="I3052" i="1"/>
  <c r="A3053" i="1"/>
  <c r="F3053" i="1"/>
  <c r="G3053" i="1"/>
  <c r="I3053" i="1"/>
  <c r="A3054" i="1"/>
  <c r="F3054" i="1"/>
  <c r="G3054" i="1"/>
  <c r="I3054" i="1"/>
  <c r="A3055" i="1"/>
  <c r="F3055" i="1"/>
  <c r="G3055" i="1"/>
  <c r="I3055" i="1"/>
  <c r="A3056" i="1"/>
  <c r="F3056" i="1"/>
  <c r="G3056" i="1"/>
  <c r="I3056" i="1"/>
  <c r="A3057" i="1"/>
  <c r="F3057" i="1"/>
  <c r="G3057" i="1"/>
  <c r="I3057" i="1"/>
  <c r="A3058" i="1"/>
  <c r="F3058" i="1"/>
  <c r="G3058" i="1"/>
  <c r="I3058" i="1"/>
  <c r="A3059" i="1"/>
  <c r="F3059" i="1"/>
  <c r="G3059" i="1"/>
  <c r="I3059" i="1"/>
  <c r="A3060" i="1"/>
  <c r="F3060" i="1"/>
  <c r="G3060" i="1"/>
  <c r="I3060" i="1"/>
  <c r="A3061" i="1"/>
  <c r="F3061" i="1"/>
  <c r="G3061" i="1"/>
  <c r="I3061" i="1"/>
  <c r="A3062" i="1"/>
  <c r="F3062" i="1"/>
  <c r="G3062" i="1"/>
  <c r="I3062" i="1"/>
  <c r="A3063" i="1"/>
  <c r="F3063" i="1"/>
  <c r="G3063" i="1"/>
  <c r="I3063" i="1"/>
  <c r="A3064" i="1"/>
  <c r="F3064" i="1"/>
  <c r="G3064" i="1"/>
  <c r="I3064" i="1"/>
  <c r="A3065" i="1"/>
  <c r="F3065" i="1"/>
  <c r="G3065" i="1"/>
  <c r="I3065" i="1"/>
  <c r="A3066" i="1"/>
  <c r="F3066" i="1"/>
  <c r="G3066" i="1"/>
  <c r="I3066" i="1"/>
  <c r="A3067" i="1"/>
  <c r="F3067" i="1"/>
  <c r="G3067" i="1"/>
  <c r="I3067" i="1"/>
  <c r="A3068" i="1"/>
  <c r="F3068" i="1"/>
  <c r="G3068" i="1"/>
  <c r="I3068" i="1"/>
  <c r="A3069" i="1"/>
  <c r="F3069" i="1"/>
  <c r="G3069" i="1"/>
  <c r="I3069" i="1"/>
  <c r="A3070" i="1"/>
  <c r="F3070" i="1"/>
  <c r="G3070" i="1"/>
  <c r="I3070" i="1"/>
  <c r="A3071" i="1"/>
  <c r="F3071" i="1"/>
  <c r="G3071" i="1"/>
  <c r="I3071" i="1"/>
  <c r="A3072" i="1"/>
  <c r="F3072" i="1"/>
  <c r="G3072" i="1"/>
  <c r="I3072" i="1"/>
  <c r="A3073" i="1"/>
  <c r="F3073" i="1"/>
  <c r="G3073" i="1"/>
  <c r="I3073" i="1"/>
</calcChain>
</file>

<file path=xl/sharedStrings.xml><?xml version="1.0" encoding="utf-8"?>
<sst xmlns="http://schemas.openxmlformats.org/spreadsheetml/2006/main" count="693" uniqueCount="513">
  <si>
    <t xml:space="preserve">Vendor # </t>
  </si>
  <si>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</si>
  <si>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</si>
  <si>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</si>
  <si>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</si>
  <si>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</si>
  <si>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</si>
  <si>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</si>
  <si>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</si>
  <si>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49ER COMMUNICATIONS  INC.</t>
  </si>
  <si>
    <t>973 MATERIALS  LLC</t>
  </si>
  <si>
    <t>ARNOLD OIL COMPANY OF AUSTIN LP</t>
  </si>
  <si>
    <t>TIMOTHY HALL</t>
  </si>
  <si>
    <t>AAA FIRE/SAFETY EQUIP CO INC</t>
  </si>
  <si>
    <t>ACE MART RESTAURANT SUPPLY</t>
  </si>
  <si>
    <t>ADAM ROWINS</t>
  </si>
  <si>
    <t>ADENA LEWIS</t>
  </si>
  <si>
    <t>ALBERT NEAL PFEIFFER</t>
  </si>
  <si>
    <t>ALL FAITHS FUNERAL SERVICES</t>
  </si>
  <si>
    <t>ALLIED INSURANCE</t>
  </si>
  <si>
    <t>="15</t>
  </si>
  <si>
    <t>835  02/05/18"</t>
  </si>
  <si>
    <t>AMANDA BRUCE</t>
  </si>
  <si>
    <t>S &amp; D PLUMBING-GIDDINGS LLC</t>
  </si>
  <si>
    <t>AMAZON CAPITAL SERVICES INC</t>
  </si>
  <si>
    <t>="2 Pack 18"x24""</t>
  </si>
  <si>
    <t>AMERICAN HEALTH SERVICE SALES CORP</t>
  </si>
  <si>
    <t>AMERISOURCEBERGEN</t>
  </si>
  <si>
    <t>AMG PRINTING &amp; MAILING</t>
  </si>
  <si>
    <t>ANDERSON &amp; ANDERSON LAW FIRM PC</t>
  </si>
  <si>
    <t>MHI SOLUTIONS  LLC</t>
  </si>
  <si>
    <t>APCO</t>
  </si>
  <si>
    <t>APCO INTERNATIONAL</t>
  </si>
  <si>
    <t>C APPLEMAN ENT INC</t>
  </si>
  <si>
    <t>APRIL KUCK</t>
  </si>
  <si>
    <t>AQUA BEVERAGE COMPANY/OZARKA</t>
  </si>
  <si>
    <t>AQUA WATER SUPPLY</t>
  </si>
  <si>
    <t>ARA IMAGING / ST.DAVIDS IMAGING LP</t>
  </si>
  <si>
    <t>METROPLEX CONTROL SYSTEMS INC</t>
  </si>
  <si>
    <t>ARNOLD GONZALEZ</t>
  </si>
  <si>
    <t>ARSENAL ADVERTISING LLC</t>
  </si>
  <si>
    <t>ARTHUR KIMBROUGH</t>
  </si>
  <si>
    <t>AT &amp; T</t>
  </si>
  <si>
    <t>AT&amp;T</t>
  </si>
  <si>
    <t>AT&amp;T MOBILITY</t>
  </si>
  <si>
    <t>AUBREY WELDON</t>
  </si>
  <si>
    <t>AUS - TEX TOWING &amp; RECOVERY LLC</t>
  </si>
  <si>
    <t>GRAND JUNCTION NEWSPAPERS INC</t>
  </si>
  <si>
    <t>BUTLER &amp; BURNS EAR NOSE &amp; THROAT ASSO</t>
  </si>
  <si>
    <t>RALPH E BONNELL CIH</t>
  </si>
  <si>
    <t>PTL LAWN &amp; CLEANING SERVICE  INC</t>
  </si>
  <si>
    <t>AUSTIN RADIOLOGICAL ASSOC</t>
  </si>
  <si>
    <t>AUSTIN SOUTHWEST ORTHOPAEDIC GROUP</t>
  </si>
  <si>
    <t>AUTUMN SMITH</t>
  </si>
  <si>
    <t>JIM ATTRA INC</t>
  </si>
  <si>
    <t>MICHAEL OLDHAM TIRE INC</t>
  </si>
  <si>
    <t>BASTROP CNTY SHERIFF'S DEPT</t>
  </si>
  <si>
    <t>="10</t>
  </si>
  <si>
    <t>151"</t>
  </si>
  <si>
    <t>="12</t>
  </si>
  <si>
    <t>320"</t>
  </si>
  <si>
    <t>408"</t>
  </si>
  <si>
    <t>855"</t>
  </si>
  <si>
    <t>="11</t>
  </si>
  <si>
    <t>227"</t>
  </si>
  <si>
    <t>BASTROP COMMUNITY CARES</t>
  </si>
  <si>
    <t>DANIEL L HEPKER</t>
  </si>
  <si>
    <t>BASTROP COUNTY PROBATION DEPT</t>
  </si>
  <si>
    <t>BASTROP INDEPENDENT SCHOOL DISTRICT</t>
  </si>
  <si>
    <t>BASTROP MEDICAL CLINIC</t>
  </si>
  <si>
    <t>BASTROP OUTDOOR</t>
  </si>
  <si>
    <t>BASTROP PROVIDENCE FUNERAL HOME</t>
  </si>
  <si>
    <t>BASTROP TREE SERVICE  INC</t>
  </si>
  <si>
    <t>BASTROP VET. HOSPITAL  INC.</t>
  </si>
  <si>
    <t>DAVID H OUTON</t>
  </si>
  <si>
    <t>BEARD INTEGRATED SYSTEMS  INC.</t>
  </si>
  <si>
    <t>BEN E KEITH CO.</t>
  </si>
  <si>
    <t>BENJAMIN FOODS  LLC</t>
  </si>
  <si>
    <t>MULTI SERVICE CORP</t>
  </si>
  <si>
    <t>BOH LEE - JULIA INVESTMENTS  INC</t>
  </si>
  <si>
    <t>BEXAR COUNTY SHERIFF</t>
  </si>
  <si>
    <t>BICKERSTAFF HEATH DELGADO ACOSTA LL</t>
  </si>
  <si>
    <t>BIG WRENCH ROAD SERVICE INC</t>
  </si>
  <si>
    <t>BIMBO FOODS INC</t>
  </si>
  <si>
    <t>BLAS J COY JR</t>
  </si>
  <si>
    <t>BLUEBONNET ELECTRIC COOP</t>
  </si>
  <si>
    <t>BLUEBONNET TRAILS MHMR</t>
  </si>
  <si>
    <t>BOB BARKER COMPANY  INC.</t>
  </si>
  <si>
    <t>BOBBY BROWN</t>
  </si>
  <si>
    <t>BOHLS EQUIPMENT COMPANY</t>
  </si>
  <si>
    <t>BRAD ELLIS</t>
  </si>
  <si>
    <t>BRAGG TRAILERS LLC</t>
  </si>
  <si>
    <t>BRAUNTEX MATERIALS INC</t>
  </si>
  <si>
    <t>BRYAN GOERTZ</t>
  </si>
  <si>
    <t>LAW OFFICE OF BRYAN W. MCDANIEL  P.C.</t>
  </si>
  <si>
    <t>BUG MASTER EXTERMINATING LTD</t>
  </si>
  <si>
    <t>BUREAU OF VITAL STATISTICS</t>
  </si>
  <si>
    <t>BURNET COUNTY SHERIFF</t>
  </si>
  <si>
    <t>CAPITAL AREA COUNCIL OF GOVERNMENTS</t>
  </si>
  <si>
    <t>CAPITOL BEARING OF AUSTIN</t>
  </si>
  <si>
    <t>TIB-THE INDEPENDENT BANKERS BANK</t>
  </si>
  <si>
    <t>CAROLINE MCCLIMON</t>
  </si>
  <si>
    <t>CAROLINE McCLIMON</t>
  </si>
  <si>
    <t>COUNTY &amp; DISTRICT CLERKS ASSOCIATION OF TEXAS</t>
  </si>
  <si>
    <t>CECIL R REYNOLDS PHD</t>
  </si>
  <si>
    <t>CENTERPOINT ENERGY</t>
  </si>
  <si>
    <t>CENTEX IMAGE DESIGNS</t>
  </si>
  <si>
    <t>CENTEX MATERIALS LLC</t>
  </si>
  <si>
    <t>CENTRAL TEXAS BARRICADES INC</t>
  </si>
  <si>
    <t>CENTRAL TEXAS AUTOPSY</t>
  </si>
  <si>
    <t>CENTRAL TX RESOURCE CONSERVATION &amp;</t>
  </si>
  <si>
    <t>CHARLES W CARVER</t>
  </si>
  <si>
    <t>CHARM-TEX</t>
  </si>
  <si>
    <t>CHERYL KIRKPATRICK</t>
  </si>
  <si>
    <t>CHIEF SUPPLY CORPORATION</t>
  </si>
  <si>
    <t>CHILDREN'S ADVOCACY CENTER</t>
  </si>
  <si>
    <t>CHRIS MATT DILLON</t>
  </si>
  <si>
    <t>CHRISTOPHER A HAMMON</t>
  </si>
  <si>
    <t>CHRISTOPHER DAVID HOMES</t>
  </si>
  <si>
    <t>CHRISTOPHER ORTIZ  JR</t>
  </si>
  <si>
    <t>CINDYE WOLFORD</t>
  </si>
  <si>
    <t>CINTAS</t>
  </si>
  <si>
    <t>CINTAS CORPORATION</t>
  </si>
  <si>
    <t>CINTAS CORPORATION #86</t>
  </si>
  <si>
    <t>CITY OF BASTROP</t>
  </si>
  <si>
    <t>756  02/05/18"</t>
  </si>
  <si>
    <t>CITY OF ELGIN</t>
  </si>
  <si>
    <t>CITY OF SMITHVILLE</t>
  </si>
  <si>
    <t>CLINICAL PATHOLOGY ASSOC. OF AUSTIN</t>
  </si>
  <si>
    <t>CLINICAL PATHOLOGY LABORATORIES INC</t>
  </si>
  <si>
    <t>CONNIE SCHROEDER</t>
  </si>
  <si>
    <t>="13</t>
  </si>
  <si>
    <t>651  02/23/18"</t>
  </si>
  <si>
    <t>CONSOLIDATED ELECTRIC DIST</t>
  </si>
  <si>
    <t>CONTECH ENGINEERED SOLUTIONS INC</t>
  </si>
  <si>
    <t>CONVERGENCE CABLING INC</t>
  </si>
  <si>
    <t>COOPER EQUIPMENT CO.</t>
  </si>
  <si>
    <t>CRESSIDA EVELYN KWOLEK  PH. D.</t>
  </si>
  <si>
    <t>CROSSHAIRS TEXAS LLC</t>
  </si>
  <si>
    <t>CROSSROADS ANIMAL HOSPITAL</t>
  </si>
  <si>
    <t>CRYSTAL DEAR</t>
  </si>
  <si>
    <t>MUNICIPAL SERVICES BUREAU</t>
  </si>
  <si>
    <t>CURTIS &amp; CARIE OLTMAN</t>
  </si>
  <si>
    <t>CURTIS OLTMANN</t>
  </si>
  <si>
    <t>CUSTOM PRODUCTS CORPORATION</t>
  </si>
  <si>
    <t>D &amp; A WIRE ROPE  INC</t>
  </si>
  <si>
    <t>DAHILL INDUSTRIES  INC</t>
  </si>
  <si>
    <t>DALLAS CHILDREN'S ADVOCACY CENTER</t>
  </si>
  <si>
    <t>DALLAS COUNTY CONSTABLE PCT 1</t>
  </si>
  <si>
    <t>DAVID B BROOKS</t>
  </si>
  <si>
    <t>DAVID M COLLINS</t>
  </si>
  <si>
    <t>DAVID MICHAEL RYAN</t>
  </si>
  <si>
    <t>DAVIS &amp; STANTON INC</t>
  </si>
  <si>
    <t>DELL</t>
  </si>
  <si>
    <t>DENTRUST DENTAL TX PC</t>
  </si>
  <si>
    <t>DICKENS LOCKSMITH INC</t>
  </si>
  <si>
    <t>DISCOUNT DOOR &amp; METAL  LLC</t>
  </si>
  <si>
    <t>DISCOUNT FEEDS</t>
  </si>
  <si>
    <t>DONNA J  THOMSON</t>
  </si>
  <si>
    <t>DUNNE &amp; JUAREZ L.L.C.</t>
  </si>
  <si>
    <t>DURAN GRAVEL CO. INC</t>
  </si>
  <si>
    <t>ECOLAB INC</t>
  </si>
  <si>
    <t>ELECTION SYSTEMS &amp; SOFTWARE INC</t>
  </si>
  <si>
    <t>CITY OF ELGIN UTILITIES</t>
  </si>
  <si>
    <t>ELLIOTT ELECTRIC SUPPLY INC</t>
  </si>
  <si>
    <t>ENRIQUE PORTUGAL</t>
  </si>
  <si>
    <t>ENVIRONMENTAL SYSTEMS RESEARCH INSTITUTE  INC</t>
  </si>
  <si>
    <t>ERIN NICKEL</t>
  </si>
  <si>
    <t>EWALD KUBOTA  INC.</t>
  </si>
  <si>
    <t>EWING IRRIGATION PRODUCTS</t>
  </si>
  <si>
    <t>BASTROP COUNTY WOMEN'S SHELTER</t>
  </si>
  <si>
    <t>FAYETTE COUNTY SHERIFF</t>
  </si>
  <si>
    <t>FAYETTE MEDICAL SUPPLY</t>
  </si>
  <si>
    <t>FEDERAL EXPRESS</t>
  </si>
  <si>
    <t>FIRST NATIONAL BANK BASTROP</t>
  </si>
  <si>
    <t>507  02/02/18"</t>
  </si>
  <si>
    <t>="14</t>
  </si>
  <si>
    <t>861  02/23/18"</t>
  </si>
  <si>
    <t>FLEET COR TECHNOLOGIES INC</t>
  </si>
  <si>
    <t>FLEETPRIDE</t>
  </si>
  <si>
    <t>FOREMOST COUNTY MUTUAL INS CO</t>
  </si>
  <si>
    <t>347"</t>
  </si>
  <si>
    <t>FORREST L. SANDERSON</t>
  </si>
  <si>
    <t>FPC FINANCIAL f.s.b.</t>
  </si>
  <si>
    <t>AUSTIN TRUCK &amp; EQUIP LTD</t>
  </si>
  <si>
    <t>EUGENE W BRIGGS JR</t>
  </si>
  <si>
    <t>G &amp; K SERVICES</t>
  </si>
  <si>
    <t>GARMENTS TO GO  INC</t>
  </si>
  <si>
    <t>GOVERNMENTAL COLLECTORS ASSOCIATION OF TEXAS</t>
  </si>
  <si>
    <t>BRIDGESTONE AMERICAS INC</t>
  </si>
  <si>
    <t>KROSS WHOLESALE TIRE CO INC</t>
  </si>
  <si>
    <t>GEORGE HUGHLEN ARNOLD  LLC</t>
  </si>
  <si>
    <t>GERALD L BYINGTON. LMSW</t>
  </si>
  <si>
    <t>GIPSON PENDERGRASS PEOPLE'S MORTUARY LLC</t>
  </si>
  <si>
    <t>GOVERNMENT FINANCE OFFICERS ASSN</t>
  </si>
  <si>
    <t>GOVERNMENT FORMS AND SUPPLIES  LLC</t>
  </si>
  <si>
    <t>GRAYSTONE GARDENS  LLC</t>
  </si>
  <si>
    <t>GRUBER TECHNICAL</t>
  </si>
  <si>
    <t>GT DISTRIBUTORS  INC.</t>
  </si>
  <si>
    <t>GULF COAST PAPER CO. INC.</t>
  </si>
  <si>
    <t>H &amp; H OIL INC</t>
  </si>
  <si>
    <t>HALFF ASSOCIATES</t>
  </si>
  <si>
    <t>HAMER ENTERPRISES</t>
  </si>
  <si>
    <t>HANNAH McMAHAN</t>
  </si>
  <si>
    <t>HAROLD CONNETT</t>
  </si>
  <si>
    <t>HARRIS COUNTY CONSTABLE PCT 1</t>
  </si>
  <si>
    <t>HAYS COUNTY CONSTABLE PCT 1</t>
  </si>
  <si>
    <t>HAYS COUNTY CONSTABLE PCT 3</t>
  </si>
  <si>
    <t>HEADSETS DIRECT INC.</t>
  </si>
  <si>
    <t>PP-TX  LLC</t>
  </si>
  <si>
    <t>HEARTLAND QUARRIES  LLC</t>
  </si>
  <si>
    <t>HEB</t>
  </si>
  <si>
    <t>442"</t>
  </si>
  <si>
    <t>HERSHCAP BACKHOE &amp; DITCHING INC</t>
  </si>
  <si>
    <t>658  02/08/18"</t>
  </si>
  <si>
    <t>HILLARY LONG</t>
  </si>
  <si>
    <t>BASCOM L HODGES JR</t>
  </si>
  <si>
    <t>HODGSON G ECKEL</t>
  </si>
  <si>
    <t>SMMHI HOLIDAY SM  LLC</t>
  </si>
  <si>
    <t>HOLLY TUCKER</t>
  </si>
  <si>
    <t>BD HOLT CO</t>
  </si>
  <si>
    <t>HUDSON ENERGY CORP</t>
  </si>
  <si>
    <t>HYDRAULIC HOUSE INC</t>
  </si>
  <si>
    <t>ICS</t>
  </si>
  <si>
    <t>IDEXX DISTRIBUTION INC</t>
  </si>
  <si>
    <t>INDIGENT HEALTHCARE SOLUTIONS</t>
  </si>
  <si>
    <t>INTAB  LLC</t>
  </si>
  <si>
    <t>IRON MOUNTAIN RECORDS MGMT INC</t>
  </si>
  <si>
    <t>JACQUELINE LUCERO</t>
  </si>
  <si>
    <t>JAMES E. GARON &amp; ASSOC.</t>
  </si>
  <si>
    <t>JAMES O. BURKE</t>
  </si>
  <si>
    <t>JEFF KINNISON</t>
  </si>
  <si>
    <t>JENKINS &amp; JENKINS LLP</t>
  </si>
  <si>
    <t>JERRY HOFROCK</t>
  </si>
  <si>
    <t>505  02/23/18"</t>
  </si>
  <si>
    <t>JAMES MORGAN</t>
  </si>
  <si>
    <t>JA MAC INC</t>
  </si>
  <si>
    <t>JOHN C KUHN</t>
  </si>
  <si>
    <t>DEERE &amp; COMPANY</t>
  </si>
  <si>
    <t>BILLY JOSH GILL</t>
  </si>
  <si>
    <t>JUSTIN MATTHEW FOHN</t>
  </si>
  <si>
    <t>KAREN STARKS</t>
  </si>
  <si>
    <t>="8</t>
  </si>
  <si>
    <t>898  02/16/18"</t>
  </si>
  <si>
    <t>KATHY REEVES</t>
  </si>
  <si>
    <t>393  02/22/18"</t>
  </si>
  <si>
    <t>KATY NYC-LYYTINEN</t>
  </si>
  <si>
    <t>KELLY-MOORE PAINT COMPANY  INC</t>
  </si>
  <si>
    <t>KENNETH LIMUEL</t>
  </si>
  <si>
    <t>KENT BROUSSARD TOWER RENTAL INC</t>
  </si>
  <si>
    <t>KIRSTEN RUEHMAN</t>
  </si>
  <si>
    <t>KOETTER FIRE PROTECTION</t>
  </si>
  <si>
    <t>KRISTI POWELL</t>
  </si>
  <si>
    <t>LA GRANGE FORD</t>
  </si>
  <si>
    <t>LA SALLE HOTEL PROPERTIES</t>
  </si>
  <si>
    <t>LABATT INSTITUTIONAL SUPPLY CO</t>
  </si>
  <si>
    <t>LAUREN OTT</t>
  </si>
  <si>
    <t>J. MARQUE MOORE</t>
  </si>
  <si>
    <t>LBJ SCHOOL OF PUBLIC AFFAIRS</t>
  </si>
  <si>
    <t>LUCIO LEAL</t>
  </si>
  <si>
    <t>LEE COUNTY WATER SUPPLY CORP</t>
  </si>
  <si>
    <t>LEXISNEXIS RISK DATA MGMT INC</t>
  </si>
  <si>
    <t>LIBERTY TIRE RECYCLING</t>
  </si>
  <si>
    <t>LINDA HARMON-TAX ASSESSOR</t>
  </si>
  <si>
    <t>LISA DUTY</t>
  </si>
  <si>
    <t>LISA M. MIMS</t>
  </si>
  <si>
    <t>SAN ANTONIO BRAKE &amp; CLUTCH</t>
  </si>
  <si>
    <t>LONGHORN EMERGENCY MEDICAL ASSOC PA</t>
  </si>
  <si>
    <t>LONNIE LAWRENCE DAVIS</t>
  </si>
  <si>
    <t>LOREN SPENCER</t>
  </si>
  <si>
    <t>SCOTT BRYANT</t>
  </si>
  <si>
    <t>TRUBAR  LLC</t>
  </si>
  <si>
    <t>LOWE'S</t>
  </si>
  <si>
    <t>MAIREAD BURKE</t>
  </si>
  <si>
    <t>MANATRON</t>
  </si>
  <si>
    <t>MARGARET A RAIFORD</t>
  </si>
  <si>
    <t>MARIA ANFOSSO</t>
  </si>
  <si>
    <t>MARIA CELESTE COSTLEY</t>
  </si>
  <si>
    <t>MARIDEL BORREGO</t>
  </si>
  <si>
    <t>MARIO GINTELLA</t>
  </si>
  <si>
    <t>MARK A RUMPLE</t>
  </si>
  <si>
    <t>MARK D. CUNNINGHAM  PhD</t>
  </si>
  <si>
    <t>MARK T MALONE M.D. P.A</t>
  </si>
  <si>
    <t>MARX RAY HOWELL</t>
  </si>
  <si>
    <t>MARY BETH SCOTT</t>
  </si>
  <si>
    <t>MATHESON TRI-GAS INC</t>
  </si>
  <si>
    <t>MATTHEW J. MENDEL  PhD  PC</t>
  </si>
  <si>
    <t>MAUREEN S BURROWS MD MPH</t>
  </si>
  <si>
    <t>="16</t>
  </si>
  <si>
    <t>063"</t>
  </si>
  <si>
    <t>McCOY'S BUILDING SUPPLY CENTER</t>
  </si>
  <si>
    <t>McCREARY  VESELKA  BRAGG &amp; ALLEN P</t>
  </si>
  <si>
    <t>010  01/18/18"</t>
  </si>
  <si>
    <t>010  02/09/18"</t>
  </si>
  <si>
    <t>McLENNAN COUNTY CONSTABLE PCT 2</t>
  </si>
  <si>
    <t>MECHANICAL REPS INC</t>
  </si>
  <si>
    <t>MEDIMPACT HEALTHCARE SYSTEMS INC</t>
  </si>
  <si>
    <t>MELISSA A MEADOR</t>
  </si>
  <si>
    <t>MICHELE FRITSCHE C.S.R.</t>
  </si>
  <si>
    <t>MICHELE T WALTY</t>
  </si>
  <si>
    <t>MIDTEX MATERIALS</t>
  </si>
  <si>
    <t>MIKE FORSTNER'S WATERLIFE</t>
  </si>
  <si>
    <t>MILLER UNIFORMS &amp; EMBLEMS</t>
  </si>
  <si>
    <t>MILLS COUNTY SHERIFF</t>
  </si>
  <si>
    <t>ARLEEN BENDER</t>
  </si>
  <si>
    <t>BONNIE PROKOP</t>
  </si>
  <si>
    <t>LARRY ESPINOZA</t>
  </si>
  <si>
    <t>MARIA D. GARZA</t>
  </si>
  <si>
    <t>DAN ELLIS</t>
  </si>
  <si>
    <t>JOHNNIE THOMAS</t>
  </si>
  <si>
    <t>JIMI LYNN BRANDON</t>
  </si>
  <si>
    <t>DAVID SLOAN</t>
  </si>
  <si>
    <t>LEAH SAUNDERS</t>
  </si>
  <si>
    <t>LACEY NYHART</t>
  </si>
  <si>
    <t>JANA HOFFMAN MOORE</t>
  </si>
  <si>
    <t>SCOTT A SHIKE</t>
  </si>
  <si>
    <t>BRUCE ROBERT ALLYN</t>
  </si>
  <si>
    <t>DAVID KYLE BRUMMITT</t>
  </si>
  <si>
    <t>LAUREN N SCHECKTER</t>
  </si>
  <si>
    <t>JOSE ADRION FIGUEROA</t>
  </si>
  <si>
    <t>SARAH ELIZABETH-ANN EDSALL</t>
  </si>
  <si>
    <t>SYLVIA GONZALEZ WATSON</t>
  </si>
  <si>
    <t>LARRY GENE HANSEN</t>
  </si>
  <si>
    <t>BETHANY RENEE COOK</t>
  </si>
  <si>
    <t>NICOLASA AGUILAR BISHOP</t>
  </si>
  <si>
    <t>KATHRYN EVA ROGERS</t>
  </si>
  <si>
    <t>MISTY STUBBS</t>
  </si>
  <si>
    <t>MONARCH DISPOSAL  LLC</t>
  </si>
  <si>
    <t>MOORE MEDICAL LLC</t>
  </si>
  <si>
    <t>MOTOROLA INC</t>
  </si>
  <si>
    <t>NALCO COMPANY LLC</t>
  </si>
  <si>
    <t>NATIONAL FOOD GROUP INC</t>
  </si>
  <si>
    <t>HORIZONS SOUTHWEST MANAGEMENT LP</t>
  </si>
  <si>
    <t>JOHN NIXON</t>
  </si>
  <si>
    <t>NORTH TEXAS TOLLWAY AUTHORITY</t>
  </si>
  <si>
    <t>NOTARY PUBLIC UNDERWRITERS</t>
  </si>
  <si>
    <t>NUECES COUNTY CONSTABLE PCT 2</t>
  </si>
  <si>
    <t>NUECES COUNTY CONSTABLE  PCT 1</t>
  </si>
  <si>
    <t>O'REILLY AUTOMOTIVE  INC.</t>
  </si>
  <si>
    <t>SOUTHERN FOODS GROUP LP</t>
  </si>
  <si>
    <t>OFFICE DEPOT</t>
  </si>
  <si>
    <t>OMNIBASE SERVICES OF TEXAS LP</t>
  </si>
  <si>
    <t>ON SITE SERVICES</t>
  </si>
  <si>
    <t>ORENTHAL JOHNSON</t>
  </si>
  <si>
    <t>ROGER C OSBORN</t>
  </si>
  <si>
    <t>OSKAR NISIMBLAT</t>
  </si>
  <si>
    <t>OPERATIONAL SUPPORT SERVICES INC</t>
  </si>
  <si>
    <t>TACSERV LLC</t>
  </si>
  <si>
    <t>PAIGE TRACTORS INC</t>
  </si>
  <si>
    <t>SL PARKER PARTNERSHIP LLC</t>
  </si>
  <si>
    <t>PATRICK ELECTRIC SERVICE</t>
  </si>
  <si>
    <t>PATRICK TYDLACKA</t>
  </si>
  <si>
    <t>PATTERSON  VETERINARY SUPPLY INC</t>
  </si>
  <si>
    <t>PATTILLO  BROWN &amp; HILL   LLP</t>
  </si>
  <si>
    <t>PAUL PAPE</t>
  </si>
  <si>
    <t>PB ELECTRONICS  INC</t>
  </si>
  <si>
    <t>GRANT PEASE</t>
  </si>
  <si>
    <t>PERDUE  BRANDON  FIELDER  COLLINS &amp; MOTT LLP</t>
  </si>
  <si>
    <t>PETHEALTH SERVICES(USA) INC.</t>
  </si>
  <si>
    <t>PFC PRODUCTS INC.</t>
  </si>
  <si>
    <t>PHILIP R DUCLOUX</t>
  </si>
  <si>
    <t>PINEY CREEK AUTO SERVICE</t>
  </si>
  <si>
    <t>PB PROFESSIONAL SERVICES INC</t>
  </si>
  <si>
    <t>PITNEY BOWES GLOBAL FINANCIAL SERVICES</t>
  </si>
  <si>
    <t>PM WILSON &amp; ASSOCIATES PLLC</t>
  </si>
  <si>
    <t>POSTMASTER</t>
  </si>
  <si>
    <t>PROBUS LAW FIRM  PLLC</t>
  </si>
  <si>
    <t>ELGIN PROVIDENCE LLC</t>
  </si>
  <si>
    <t>AEGEAN LLC</t>
  </si>
  <si>
    <t>GRAY WOLF LP</t>
  </si>
  <si>
    <t>QUEST DIAGNOSTICS</t>
  </si>
  <si>
    <t>RACHEL A BAUER</t>
  </si>
  <si>
    <t>NESTLE WATERS N AMERICA INC</t>
  </si>
  <si>
    <t>REBECCA STRNAD</t>
  </si>
  <si>
    <t>REBEKHA MONTIE &amp; THE STORM LAW FIRM  PLLC</t>
  </si>
  <si>
    <t>REPUBLIC SERVICES INC BFI WASTE SERVICE</t>
  </si>
  <si>
    <t>REPUBLIC TRUCK SALES   PARTS  &amp; REPAIRS</t>
  </si>
  <si>
    <t>PAULINE SPURLOCK</t>
  </si>
  <si>
    <t>RESERVE ACCOUNT</t>
  </si>
  <si>
    <t>REYNOLDS &amp; KEINARTH</t>
  </si>
  <si>
    <t>RIATA FORD</t>
  </si>
  <si>
    <t>RICHARD ALLAN DICKMAN JR</t>
  </si>
  <si>
    <t>RICOH USA INC</t>
  </si>
  <si>
    <t>RICOH AMERICAS CORP</t>
  </si>
  <si>
    <t>RUNKLE ENTERPRISES</t>
  </si>
  <si>
    <t>ROADRUNNER RADIOLOGY EQUIP LLC</t>
  </si>
  <si>
    <t>ROBERT HANCOCK</t>
  </si>
  <si>
    <t>ROBERT MADDEN INDUSTRIES LTD</t>
  </si>
  <si>
    <t>RODOLFO LOPEZ</t>
  </si>
  <si>
    <t>ROGERS CUSTOM AUTOMOTIVE</t>
  </si>
  <si>
    <t>ROSE PIETSCH COUNTY CLERK</t>
  </si>
  <si>
    <t>SAFELANE TRAFFIC SUPPLY LLC</t>
  </si>
  <si>
    <t>SALVADOR ABRERO</t>
  </si>
  <si>
    <t>SAMMY LERMA III MD</t>
  </si>
  <si>
    <t>SCIENTIFIC INVESTIGATION &amp; INSTRUCTION INSTITUTE</t>
  </si>
  <si>
    <t>SECURUS TECHNOLOGIES INC</t>
  </si>
  <si>
    <t>SENTINEL HOLDINGS  INC</t>
  </si>
  <si>
    <t>SETON HEALTHCARE SPONSORED PROJECTS</t>
  </si>
  <si>
    <t>SETON FAMILY OF HOSPITALS</t>
  </si>
  <si>
    <t>SHARON HANCOCK</t>
  </si>
  <si>
    <t>962  02/09/18"</t>
  </si>
  <si>
    <t>SHARON STRAWN</t>
  </si>
  <si>
    <t>SHRED-IT US HOLDCO  INC</t>
  </si>
  <si>
    <t>SHERI LYNNE LINDER</t>
  </si>
  <si>
    <t>SHERWIN WILLIAMS CO</t>
  </si>
  <si>
    <t>SHI GOVERNMENT SOLUTIONS INC.</t>
  </si>
  <si>
    <t>SIGNATURE SMILES</t>
  </si>
  <si>
    <t>SIRCHIE FINGER PRINT LABORATORIES</t>
  </si>
  <si>
    <t>ROBERT M SMITH JR</t>
  </si>
  <si>
    <t>SMITHVILLE AUTO PARTS  INC</t>
  </si>
  <si>
    <t>SOLARWINDS</t>
  </si>
  <si>
    <t>1859 HISTORIC HOTELS  LTD</t>
  </si>
  <si>
    <t>SOUTHERN TIRE MART LLC</t>
  </si>
  <si>
    <t>DIGITELLIGENT IN</t>
  </si>
  <si>
    <t>SPOK INC</t>
  </si>
  <si>
    <t>ST.DAVID'S HEALTHCARE PARTNERSHIP</t>
  </si>
  <si>
    <t>STAPLES ADVANTAGE</t>
  </si>
  <si>
    <t>STATE BAR OF TEXAS</t>
  </si>
  <si>
    <t>STEPHEN BECK</t>
  </si>
  <si>
    <t>STERICYCLE  INC.</t>
  </si>
  <si>
    <t>STEVE GRANADO</t>
  </si>
  <si>
    <t>SXSW LLC</t>
  </si>
  <si>
    <t>TAMMY CAMPION</t>
  </si>
  <si>
    <t>TAVCO SERVICES INC</t>
  </si>
  <si>
    <t>TEEX</t>
  </si>
  <si>
    <t>TEJAS ELEVATOR COMPANY</t>
  </si>
  <si>
    <t>TERENCE W MEADOWS</t>
  </si>
  <si>
    <t>JOHN J FIETSAM INC</t>
  </si>
  <si>
    <t>TEX-CON OIL CO</t>
  </si>
  <si>
    <t>TEXAN EYE  P.A.</t>
  </si>
  <si>
    <t>TEXAS AGGREGATES  LLC</t>
  </si>
  <si>
    <t>TEXAS ASSOCIATES INSURORS AGENCY</t>
  </si>
  <si>
    <t>TEXAS ASSOCIATION OF COUNTIES</t>
  </si>
  <si>
    <t>TEXAS BLACKLAND HARDWARE</t>
  </si>
  <si>
    <t>TEXAS DEPARTMENT OF CRIMINAL JUSTICE</t>
  </si>
  <si>
    <t>TEXAS DIVISION OF EMERGENCY MANAGEMENT</t>
  </si>
  <si>
    <t>TXFACT  LLC</t>
  </si>
  <si>
    <t>TEXAS JUSTICE COURT TRAINING CENTER</t>
  </si>
  <si>
    <t>TEXAS ONCOLOGY</t>
  </si>
  <si>
    <t>TEXAS PARKS &amp; WILDLIFE FUNDS</t>
  </si>
  <si>
    <t>TEXAS PRISONER TRANSPORTATION DIVISION LLC</t>
  </si>
  <si>
    <t>JAMES ANDREW CASEY</t>
  </si>
  <si>
    <t>RICHARD NELSON MOORE</t>
  </si>
  <si>
    <t>THERESA STOPPELBERG</t>
  </si>
  <si>
    <t>THOMAS A. JONES</t>
  </si>
  <si>
    <t>THUMBS UP COMPLIANCE  LLC</t>
  </si>
  <si>
    <t>TWE-ADVANCE/NEWHOUSE PARTNERSHIP</t>
  </si>
  <si>
    <t>TRAVIS CO CONSTABLE  PCT 5</t>
  </si>
  <si>
    <t>TRAVIS COUNTY CLERK</t>
  </si>
  <si>
    <t>TRAVIS COUNTY SHERIFF'S</t>
  </si>
  <si>
    <t>TRAVIS COUNTY TREASURER</t>
  </si>
  <si>
    <t>TREADMAXX TIRE DISTRIBUTORS  INC.</t>
  </si>
  <si>
    <t>TRI-COUNTY PRACTICE ASSOCIATION</t>
  </si>
  <si>
    <t>TRIPLE S FUELS</t>
  </si>
  <si>
    <t>TRACTOR SUPPLY CREDIT PLAN</t>
  </si>
  <si>
    <t>TULL FARLEY</t>
  </si>
  <si>
    <t>HOWARD L COFFMAN</t>
  </si>
  <si>
    <t>TX COMMISSION ON ENVIRONMENTAL QUALITY</t>
  </si>
  <si>
    <t>TX JUSTICE COURT JUDGES ASSN</t>
  </si>
  <si>
    <t>TEXAS DEPARTMENT OF TRANSPORTATION</t>
  </si>
  <si>
    <t>TYLER TECHNOLOGIES INC</t>
  </si>
  <si>
    <t>ULINE</t>
  </si>
  <si>
    <t>UNITED REFRIGERATION INC</t>
  </si>
  <si>
    <t>UPS</t>
  </si>
  <si>
    <t>VALERIA GONZALEZ</t>
  </si>
  <si>
    <t>DEPARTMENT OF STATE HEALTH SERVICES</t>
  </si>
  <si>
    <t>VULCAN  INC.</t>
  </si>
  <si>
    <t>="24"x24" Reflective Y"</t>
  </si>
  <si>
    <t>="18"x24" Reflective W"</t>
  </si>
  <si>
    <t>WAL-MART  BASTROP</t>
  </si>
  <si>
    <t>442  02/22/18"</t>
  </si>
  <si>
    <t>WALLER COUNTY ASPHALT INC</t>
  </si>
  <si>
    <t>WALMART COMMUNITY BRC</t>
  </si>
  <si>
    <t>WALTER A RIEK</t>
  </si>
  <si>
    <t>WASHINGTON COUNTY CONSTABLE 2</t>
  </si>
  <si>
    <t>WASTE MANAGEMENT OF TEXAS INC</t>
  </si>
  <si>
    <t>WATCH GUARD VIDEO</t>
  </si>
  <si>
    <t>PROGRESSIVE WASTE SOLUTIONS OF TX. INC.</t>
  </si>
  <si>
    <t>WIND KNOT INCORPORATED</t>
  </si>
  <si>
    <t>WEI-ANN LIN  MD PA</t>
  </si>
  <si>
    <t>WEST PUBLISHING CORPORATION</t>
  </si>
  <si>
    <t>MAO PHARMACY INC</t>
  </si>
  <si>
    <t>WILLIAMSON COUNTY CONSTABLE 3</t>
  </si>
  <si>
    <t>WILSON CULVERTS  INC.</t>
  </si>
  <si>
    <t>WJC CONSTRUCTION LLC</t>
  </si>
  <si>
    <t>XEROX CORPORATION</t>
  </si>
  <si>
    <t>YESENIA JOHNSON</t>
  </si>
  <si>
    <t>YOLANDA MORALES</t>
  </si>
  <si>
    <t>ZORO TOOLS INC</t>
  </si>
  <si>
    <t>ELBERT ESQUIVEL</t>
  </si>
  <si>
    <t>KIRKSEY ARCHITECTS  INC.</t>
  </si>
  <si>
    <t>LANGFORD COMMUNITY MGMT INC</t>
  </si>
  <si>
    <t>ROGER C MATHIS</t>
  </si>
  <si>
    <t>MUSTANG MACHINERY COMPANY LTD</t>
  </si>
  <si>
    <t>ALLSTATE-AMERICAN HERITAGE LIFE INS CO</t>
  </si>
  <si>
    <t>BASTROP CNTY ADULT PROBATION</t>
  </si>
  <si>
    <t>COLONIAL LIFE &amp; ACCIDENT INS. CO.</t>
  </si>
  <si>
    <t>CUNA MUTUAL</t>
  </si>
  <si>
    <t>DEBORAH B LANGEHENNIG</t>
  </si>
  <si>
    <t>GUARDIAN</t>
  </si>
  <si>
    <t>INTERNAL REVENUE SERVICE - ACS SUPPORT</t>
  </si>
  <si>
    <t>IRS-PAYROLL TAXES</t>
  </si>
  <si>
    <t>MICHIGAN STATE DISBURSEMENT UNIT(MiSDU)</t>
  </si>
  <si>
    <t>MONUMENTAL LIFE INS CO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</si>
  <si>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</si>
  <si>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</si>
  <si>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</si>
  <si>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</si>
  <si>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</si>
  <si>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TG STUDENT LOAN</t>
  </si>
  <si>
    <t>U.S. DEPT OF EDUCATION - FINANCIAL  ASST</t>
  </si>
  <si>
    <t>WAGEWORKS INC  FSA/HSA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</si>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</sst>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73"/>
  <sheetViews>
    <sheetView tabSelected="1" workbookViewId="0">
      <selection activeCell="D2" sqref="D2"/>
    </sheetView>
  </sheetViews>
  <sheetFormatPr defaultRowHeight="15" x14ac:dyDescent="0.25"/>
  <cols>
    <col min="1" max="1" width="8.7109375" bestFit="1" customWidth="1"/>
    <col min="2" max="2" width="47.28515625" bestFit="1" customWidth="1"/>
    <col min="3" max="3" width="7.28515625" bestFit="1" customWidth="1"/>
    <col min="4" max="4" width="12.7109375" style="2" bestFit="1" customWidth="1"/>
    <col min="5" max="5" width="10.5703125" bestFit="1" customWidth="1"/>
    <col min="6" max="6" width="20.5703125" bestFit="1" customWidth="1"/>
    <col min="7" max="7" width="34.42578125" bestFit="1" customWidth="1"/>
    <col min="8" max="8" width="15.7109375" customWidth="1"/>
    <col min="9" max="9" width="34.42578125" bestFit="1" customWidth="1"/>
    <col min="10" max="10" width="6" bestFit="1" customWidth="1"/>
  </cols>
  <sheetData>
    <row r="1" spans="1:9" x14ac:dyDescent="0.25">
      <c r="A1" t="s">
        <v>0</v>
      </c>
      <c r="B1" t="s">
        <v>1</v>
      </c>
      <c r="C1" t="s">
        <v>2</v>
      </c>
      <c r="D1" s="2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tr">
        <f>"005493"</f>
        <v>005493</v>
      </c>
      <c r="B2" t="s">
        <v>9</v>
      </c>
      <c r="C2">
        <v>76200</v>
      </c>
      <c r="D2" s="2">
        <v>3775</v>
      </c>
      <c r="E2" s="1">
        <v>43213</v>
      </c>
      <c r="F2" t="str">
        <f>"OC0032211"</f>
        <v>OC0032211</v>
      </c>
      <c r="G2" t="str">
        <f>"4 RADIO GPH5102XP"</f>
        <v>4 RADIO GPH5102XP</v>
      </c>
      <c r="H2">
        <v>3775</v>
      </c>
      <c r="I2" t="str">
        <f>"HHDPHVHREAK"</f>
        <v>HHDPHVHREAK</v>
      </c>
    </row>
    <row r="3" spans="1:9" x14ac:dyDescent="0.25">
      <c r="A3" t="str">
        <f>""</f>
        <v/>
      </c>
      <c r="F3" t="str">
        <f>""</f>
        <v/>
      </c>
      <c r="G3" t="str">
        <f>""</f>
        <v/>
      </c>
      <c r="I3" t="str">
        <f>"PRGPHPSWRE"</f>
        <v>PRGPHPSWRE</v>
      </c>
    </row>
    <row r="4" spans="1:9" x14ac:dyDescent="0.25">
      <c r="A4" t="str">
        <f>""</f>
        <v/>
      </c>
      <c r="F4" t="str">
        <f>""</f>
        <v/>
      </c>
      <c r="G4" t="str">
        <f>""</f>
        <v/>
      </c>
      <c r="I4" t="str">
        <f>"UPS GROUND"</f>
        <v>UPS GROUND</v>
      </c>
    </row>
    <row r="5" spans="1:9" x14ac:dyDescent="0.25">
      <c r="A5" t="str">
        <f>"000598"</f>
        <v>000598</v>
      </c>
      <c r="B5" t="s">
        <v>10</v>
      </c>
      <c r="C5">
        <v>75992</v>
      </c>
      <c r="D5" s="2">
        <v>45096.35</v>
      </c>
      <c r="E5" s="1">
        <v>43199</v>
      </c>
      <c r="F5" t="str">
        <f>"9725-001-98883"</f>
        <v>9725-001-98883</v>
      </c>
      <c r="G5" t="str">
        <f>"ACCT#9725-001/REC BASE/PCT#2"</f>
        <v>ACCT#9725-001/REC BASE/PCT#2</v>
      </c>
      <c r="H5">
        <v>2069.39</v>
      </c>
      <c r="I5" t="str">
        <f>"ACCT#9725-001/REC BASE/PCT#2"</f>
        <v>ACCT#9725-001/REC BASE/PCT#2</v>
      </c>
    </row>
    <row r="6" spans="1:9" x14ac:dyDescent="0.25">
      <c r="A6" t="str">
        <f>""</f>
        <v/>
      </c>
      <c r="F6" t="str">
        <f>"9725-001-98972"</f>
        <v>9725-001-98972</v>
      </c>
      <c r="G6" t="str">
        <f>"ACCT#9725-001/REC BASE/PCT#2"</f>
        <v>ACCT#9725-001/REC BASE/PCT#2</v>
      </c>
      <c r="H6">
        <v>617.75</v>
      </c>
      <c r="I6" t="str">
        <f>"ACCT#9725-001/REC BASE/PCT#2"</f>
        <v>ACCT#9725-001/REC BASE/PCT#2</v>
      </c>
    </row>
    <row r="7" spans="1:9" x14ac:dyDescent="0.25">
      <c r="A7" t="str">
        <f>""</f>
        <v/>
      </c>
      <c r="F7" t="str">
        <f>"9725-001-99028"</f>
        <v>9725-001-99028</v>
      </c>
      <c r="G7" t="str">
        <f>"ACCT#9725-001/REC BASE/PCT#2"</f>
        <v>ACCT#9725-001/REC BASE/PCT#2</v>
      </c>
      <c r="H7">
        <v>2482.64</v>
      </c>
      <c r="I7" t="str">
        <f>"ACCT#9725-001/REC BASE/PCT#2"</f>
        <v>ACCT#9725-001/REC BASE/PCT#2</v>
      </c>
    </row>
    <row r="8" spans="1:9" x14ac:dyDescent="0.25">
      <c r="A8" t="str">
        <f>""</f>
        <v/>
      </c>
      <c r="F8" t="str">
        <f>"9725-017-98898"</f>
        <v>9725-017-98898</v>
      </c>
      <c r="G8" t="str">
        <f>"ACCT#9725-017/REC BASE/PCT#2"</f>
        <v>ACCT#9725-017/REC BASE/PCT#2</v>
      </c>
      <c r="H8">
        <v>3923.93</v>
      </c>
      <c r="I8" t="str">
        <f>"ACCT#9725-017/REC BASE/PCT#2"</f>
        <v>ACCT#9725-017/REC BASE/PCT#2</v>
      </c>
    </row>
    <row r="9" spans="1:9" x14ac:dyDescent="0.25">
      <c r="A9" t="str">
        <f>""</f>
        <v/>
      </c>
      <c r="F9" t="str">
        <f>"9725-017-98925"</f>
        <v>9725-017-98925</v>
      </c>
      <c r="G9" t="str">
        <f>"ACCT#9725-017/REC BASE/PCT#2"</f>
        <v>ACCT#9725-017/REC BASE/PCT#2</v>
      </c>
      <c r="H9">
        <v>3113.27</v>
      </c>
      <c r="I9" t="str">
        <f>"ACCT#9725-017/REC BASE/PCT#2"</f>
        <v>ACCT#9725-017/REC BASE/PCT#2</v>
      </c>
    </row>
    <row r="10" spans="1:9" x14ac:dyDescent="0.25">
      <c r="A10" t="str">
        <f>""</f>
        <v/>
      </c>
      <c r="F10" t="str">
        <f>"9725-017-98967"</f>
        <v>9725-017-98967</v>
      </c>
      <c r="G10" t="str">
        <f>"ACCT#9725-017/REC BASE/PCT#2"</f>
        <v>ACCT#9725-017/REC BASE/PCT#2</v>
      </c>
      <c r="H10">
        <v>2738.68</v>
      </c>
      <c r="I10" t="str">
        <f>"ACCT#9725-017/REC BASE/PCT#2"</f>
        <v>ACCT#9725-017/REC BASE/PCT#2</v>
      </c>
    </row>
    <row r="11" spans="1:9" x14ac:dyDescent="0.25">
      <c r="A11" t="str">
        <f>""</f>
        <v/>
      </c>
      <c r="F11" t="str">
        <f>"9725-017-98997"</f>
        <v>9725-017-98997</v>
      </c>
      <c r="G11" t="str">
        <f>"ACCT#9725-017/REC BASE/PCT#2"</f>
        <v>ACCT#9725-017/REC BASE/PCT#2</v>
      </c>
      <c r="H11">
        <v>3603.18</v>
      </c>
      <c r="I11" t="str">
        <f>"ACCT#9725-017/REC BASE/PCT#2"</f>
        <v>ACCT#9725-017/REC BASE/PCT#2</v>
      </c>
    </row>
    <row r="12" spans="1:9" x14ac:dyDescent="0.25">
      <c r="A12" t="str">
        <f>""</f>
        <v/>
      </c>
      <c r="F12" t="str">
        <f>"9725-017-99023"</f>
        <v>9725-017-99023</v>
      </c>
      <c r="G12" t="str">
        <f>"ACCT#9725-017/REC BASSE/PCT#2"</f>
        <v>ACCT#9725-017/REC BASSE/PCT#2</v>
      </c>
      <c r="H12">
        <v>3441.21</v>
      </c>
      <c r="I12" t="str">
        <f>"ACCT#9725-017/REC BASSE/PCT#2"</f>
        <v>ACCT#9725-017/REC BASSE/PCT#2</v>
      </c>
    </row>
    <row r="13" spans="1:9" x14ac:dyDescent="0.25">
      <c r="A13" t="str">
        <f>""</f>
        <v/>
      </c>
      <c r="F13" t="str">
        <f>"9725-017-99060"</f>
        <v>9725-017-99060</v>
      </c>
      <c r="G13" t="str">
        <f t="shared" ref="G13:G19" si="0">"ACCT#9725-017/REC BASE/PCT#2"</f>
        <v>ACCT#9725-017/REC BASE/PCT#2</v>
      </c>
      <c r="H13">
        <v>2779.37</v>
      </c>
      <c r="I13" t="str">
        <f t="shared" ref="I13:I19" si="1">"ACCT#9725-017/REC BASE/PCT#2"</f>
        <v>ACCT#9725-017/REC BASE/PCT#2</v>
      </c>
    </row>
    <row r="14" spans="1:9" x14ac:dyDescent="0.25">
      <c r="A14" t="str">
        <f>""</f>
        <v/>
      </c>
      <c r="F14" t="str">
        <f>"9725-017-99094"</f>
        <v>9725-017-99094</v>
      </c>
      <c r="G14" t="str">
        <f t="shared" si="0"/>
        <v>ACCT#9725-017/REC BASE/PCT#2</v>
      </c>
      <c r="H14">
        <v>2660.98</v>
      </c>
      <c r="I14" t="str">
        <f t="shared" si="1"/>
        <v>ACCT#9725-017/REC BASE/PCT#2</v>
      </c>
    </row>
    <row r="15" spans="1:9" x14ac:dyDescent="0.25">
      <c r="A15" t="str">
        <f>""</f>
        <v/>
      </c>
      <c r="F15" t="str">
        <f>"9725-017-99121"</f>
        <v>9725-017-99121</v>
      </c>
      <c r="G15" t="str">
        <f t="shared" si="0"/>
        <v>ACCT#9725-017/REC BASE/PCT#2</v>
      </c>
      <c r="H15">
        <v>3352.33</v>
      </c>
      <c r="I15" t="str">
        <f t="shared" si="1"/>
        <v>ACCT#9725-017/REC BASE/PCT#2</v>
      </c>
    </row>
    <row r="16" spans="1:9" x14ac:dyDescent="0.25">
      <c r="A16" t="str">
        <f>""</f>
        <v/>
      </c>
      <c r="F16" t="str">
        <f>"9725-017-99160"</f>
        <v>9725-017-99160</v>
      </c>
      <c r="G16" t="str">
        <f t="shared" si="0"/>
        <v>ACCT#9725-017/REC BASE/PCT#2</v>
      </c>
      <c r="H16">
        <v>4230.67</v>
      </c>
      <c r="I16" t="str">
        <f t="shared" si="1"/>
        <v>ACCT#9725-017/REC BASE/PCT#2</v>
      </c>
    </row>
    <row r="17" spans="1:9" x14ac:dyDescent="0.25">
      <c r="A17" t="str">
        <f>""</f>
        <v/>
      </c>
      <c r="F17" t="str">
        <f>"9725-017-99181"</f>
        <v>9725-017-99181</v>
      </c>
      <c r="G17" t="str">
        <f t="shared" si="0"/>
        <v>ACCT#9725-017/REC BASE/PCT#2</v>
      </c>
      <c r="H17">
        <v>3950.31</v>
      </c>
      <c r="I17" t="str">
        <f t="shared" si="1"/>
        <v>ACCT#9725-017/REC BASE/PCT#2</v>
      </c>
    </row>
    <row r="18" spans="1:9" x14ac:dyDescent="0.25">
      <c r="A18" t="str">
        <f>""</f>
        <v/>
      </c>
      <c r="F18" t="str">
        <f>"9725-017-99201"</f>
        <v>9725-017-99201</v>
      </c>
      <c r="G18" t="str">
        <f t="shared" si="0"/>
        <v>ACCT#9725-017/REC BASE/PCT#2</v>
      </c>
      <c r="H18">
        <v>2750.3</v>
      </c>
      <c r="I18" t="str">
        <f t="shared" si="1"/>
        <v>ACCT#9725-017/REC BASE/PCT#2</v>
      </c>
    </row>
    <row r="19" spans="1:9" x14ac:dyDescent="0.25">
      <c r="A19" t="str">
        <f>""</f>
        <v/>
      </c>
      <c r="F19" t="str">
        <f>"9725-017-99221"</f>
        <v>9725-017-99221</v>
      </c>
      <c r="G19" t="str">
        <f t="shared" si="0"/>
        <v>ACCT#9725-017/REC BASE/PCT#2</v>
      </c>
      <c r="H19">
        <v>3382.34</v>
      </c>
      <c r="I19" t="str">
        <f t="shared" si="1"/>
        <v>ACCT#9725-017/REC BASE/PCT#2</v>
      </c>
    </row>
    <row r="20" spans="1:9" x14ac:dyDescent="0.25">
      <c r="A20" t="str">
        <f>"000598"</f>
        <v>000598</v>
      </c>
      <c r="B20" t="s">
        <v>10</v>
      </c>
      <c r="C20">
        <v>76201</v>
      </c>
      <c r="D20" s="2">
        <v>28429.7</v>
      </c>
      <c r="E20" s="1">
        <v>43213</v>
      </c>
      <c r="F20" t="str">
        <f>"9725-001-99281"</f>
        <v>9725-001-99281</v>
      </c>
      <c r="G20" t="str">
        <f t="shared" ref="G20:G25" si="2">"ACCT#9725-001/REC BASE/PCT#2"</f>
        <v>ACCT#9725-001/REC BASE/PCT#2</v>
      </c>
      <c r="H20">
        <v>1010.89</v>
      </c>
      <c r="I20" t="str">
        <f t="shared" ref="I20:I25" si="3">"ACCT#9725-001/REC BASE/PCT#2"</f>
        <v>ACCT#9725-001/REC BASE/PCT#2</v>
      </c>
    </row>
    <row r="21" spans="1:9" x14ac:dyDescent="0.25">
      <c r="A21" t="str">
        <f>""</f>
        <v/>
      </c>
      <c r="F21" t="str">
        <f>"9725-001-99320"</f>
        <v>9725-001-99320</v>
      </c>
      <c r="G21" t="str">
        <f t="shared" si="2"/>
        <v>ACCT#9725-001/REC BASE/PCT#2</v>
      </c>
      <c r="H21">
        <v>847.35</v>
      </c>
      <c r="I21" t="str">
        <f t="shared" si="3"/>
        <v>ACCT#9725-001/REC BASE/PCT#2</v>
      </c>
    </row>
    <row r="22" spans="1:9" x14ac:dyDescent="0.25">
      <c r="A22" t="str">
        <f>""</f>
        <v/>
      </c>
      <c r="F22" t="str">
        <f>"9725-001-99386"</f>
        <v>9725-001-99386</v>
      </c>
      <c r="G22" t="str">
        <f t="shared" si="2"/>
        <v>ACCT#9725-001/REC BASE/PCT#2</v>
      </c>
      <c r="H22">
        <v>2988.31</v>
      </c>
      <c r="I22" t="str">
        <f t="shared" si="3"/>
        <v>ACCT#9725-001/REC BASE/PCT#2</v>
      </c>
    </row>
    <row r="23" spans="1:9" x14ac:dyDescent="0.25">
      <c r="A23" t="str">
        <f>""</f>
        <v/>
      </c>
      <c r="F23" t="str">
        <f>"9725-001-99421"</f>
        <v>9725-001-99421</v>
      </c>
      <c r="G23" t="str">
        <f t="shared" si="2"/>
        <v>ACCT#9725-001/REC BASE/PCT#2</v>
      </c>
      <c r="H23">
        <v>1240.93</v>
      </c>
      <c r="I23" t="str">
        <f t="shared" si="3"/>
        <v>ACCT#9725-001/REC BASE/PCT#2</v>
      </c>
    </row>
    <row r="24" spans="1:9" x14ac:dyDescent="0.25">
      <c r="A24" t="str">
        <f>""</f>
        <v/>
      </c>
      <c r="F24" t="str">
        <f>"9725-001-99444"</f>
        <v>9725-001-99444</v>
      </c>
      <c r="G24" t="str">
        <f t="shared" si="2"/>
        <v>ACCT#9725-001/REC BASE/PCT#2</v>
      </c>
      <c r="H24">
        <v>3080.19</v>
      </c>
      <c r="I24" t="str">
        <f t="shared" si="3"/>
        <v>ACCT#9725-001/REC BASE/PCT#2</v>
      </c>
    </row>
    <row r="25" spans="1:9" x14ac:dyDescent="0.25">
      <c r="A25" t="str">
        <f>""</f>
        <v/>
      </c>
      <c r="F25" t="str">
        <f>"9725-001-99479"</f>
        <v>9725-001-99479</v>
      </c>
      <c r="G25" t="str">
        <f t="shared" si="2"/>
        <v>ACCT#9725-001/REC BASE/PCT#2</v>
      </c>
      <c r="H25">
        <v>805.89</v>
      </c>
      <c r="I25" t="str">
        <f t="shared" si="3"/>
        <v>ACCT#9725-001/REC BASE/PCT#2</v>
      </c>
    </row>
    <row r="26" spans="1:9" x14ac:dyDescent="0.25">
      <c r="A26" t="str">
        <f>""</f>
        <v/>
      </c>
      <c r="F26" t="str">
        <f>"9725-017-99252"</f>
        <v>9725-017-99252</v>
      </c>
      <c r="G26" t="str">
        <f t="shared" ref="G26:G32" si="4">"ACCT#9725-017/REC BASE/PCT#2"</f>
        <v>ACCT#9725-017/REC BASE/PCT#2</v>
      </c>
      <c r="H26">
        <v>3099.09</v>
      </c>
      <c r="I26" t="str">
        <f t="shared" ref="I26:I32" si="5">"ACCT#9725-017/REC BASE/PCT#2"</f>
        <v>ACCT#9725-017/REC BASE/PCT#2</v>
      </c>
    </row>
    <row r="27" spans="1:9" x14ac:dyDescent="0.25">
      <c r="A27" t="str">
        <f>""</f>
        <v/>
      </c>
      <c r="F27" t="str">
        <f>"9725-017-99278"</f>
        <v>9725-017-99278</v>
      </c>
      <c r="G27" t="str">
        <f t="shared" si="4"/>
        <v>ACCT#9725-017/REC BASE/PCT#2</v>
      </c>
      <c r="H27">
        <v>3786.59</v>
      </c>
      <c r="I27" t="str">
        <f t="shared" si="5"/>
        <v>ACCT#9725-017/REC BASE/PCT#2</v>
      </c>
    </row>
    <row r="28" spans="1:9" x14ac:dyDescent="0.25">
      <c r="A28" t="str">
        <f>""</f>
        <v/>
      </c>
      <c r="F28" t="str">
        <f>"9725-017-99314"</f>
        <v>9725-017-99314</v>
      </c>
      <c r="G28" t="str">
        <f t="shared" si="4"/>
        <v>ACCT#9725-017/REC BASE/PCT#2</v>
      </c>
      <c r="H28">
        <v>2428.23</v>
      </c>
      <c r="I28" t="str">
        <f t="shared" si="5"/>
        <v>ACCT#9725-017/REC BASE/PCT#2</v>
      </c>
    </row>
    <row r="29" spans="1:9" x14ac:dyDescent="0.25">
      <c r="A29" t="str">
        <f>""</f>
        <v/>
      </c>
      <c r="F29" t="str">
        <f>"9725-017-99345"</f>
        <v>9725-017-99345</v>
      </c>
      <c r="G29" t="str">
        <f t="shared" si="4"/>
        <v>ACCT#9725-017/REC BASE/PCT#2</v>
      </c>
      <c r="H29">
        <v>2900.9</v>
      </c>
      <c r="I29" t="str">
        <f t="shared" si="5"/>
        <v>ACCT#9725-017/REC BASE/PCT#2</v>
      </c>
    </row>
    <row r="30" spans="1:9" x14ac:dyDescent="0.25">
      <c r="A30" t="str">
        <f>""</f>
        <v/>
      </c>
      <c r="F30" t="str">
        <f>"9725-017-99378"</f>
        <v>9725-017-99378</v>
      </c>
      <c r="G30" t="str">
        <f t="shared" si="4"/>
        <v>ACCT#9725-017/REC BASE/PCT#2</v>
      </c>
      <c r="H30">
        <v>2738.16</v>
      </c>
      <c r="I30" t="str">
        <f t="shared" si="5"/>
        <v>ACCT#9725-017/REC BASE/PCT#2</v>
      </c>
    </row>
    <row r="31" spans="1:9" x14ac:dyDescent="0.25">
      <c r="A31" t="str">
        <f>""</f>
        <v/>
      </c>
      <c r="F31" t="str">
        <f>"9725-017-99413"</f>
        <v>9725-017-99413</v>
      </c>
      <c r="G31" t="str">
        <f t="shared" si="4"/>
        <v>ACCT#9725-017/REC BASE/PCT#2</v>
      </c>
      <c r="H31">
        <v>3292.56</v>
      </c>
      <c r="I31" t="str">
        <f t="shared" si="5"/>
        <v>ACCT#9725-017/REC BASE/PCT#2</v>
      </c>
    </row>
    <row r="32" spans="1:9" x14ac:dyDescent="0.25">
      <c r="A32" t="str">
        <f>""</f>
        <v/>
      </c>
      <c r="F32" t="str">
        <f>"9725-017-99442"</f>
        <v>9725-017-99442</v>
      </c>
      <c r="G32" t="str">
        <f t="shared" si="4"/>
        <v>ACCT#9725-017/REC BASE/PCT#2</v>
      </c>
      <c r="H32">
        <v>210.61</v>
      </c>
      <c r="I32" t="str">
        <f t="shared" si="5"/>
        <v>ACCT#9725-017/REC BASE/PCT#2</v>
      </c>
    </row>
    <row r="33" spans="1:9" x14ac:dyDescent="0.25">
      <c r="A33" t="str">
        <f>"ALINE"</f>
        <v>ALINE</v>
      </c>
      <c r="B33" t="s">
        <v>11</v>
      </c>
      <c r="C33">
        <v>75993</v>
      </c>
      <c r="D33" s="2">
        <v>487.29</v>
      </c>
      <c r="E33" s="1">
        <v>43199</v>
      </c>
      <c r="F33" t="str">
        <f>"301338"</f>
        <v>301338</v>
      </c>
      <c r="G33" t="str">
        <f>"CUST#16500/PCT#4"</f>
        <v>CUST#16500/PCT#4</v>
      </c>
      <c r="H33">
        <v>487.29</v>
      </c>
      <c r="I33" t="str">
        <f>"CUST#16500/PCT#4"</f>
        <v>CUST#16500/PCT#4</v>
      </c>
    </row>
    <row r="34" spans="1:9" x14ac:dyDescent="0.25">
      <c r="A34" t="str">
        <f>"002048"</f>
        <v>002048</v>
      </c>
      <c r="B34" t="s">
        <v>12</v>
      </c>
      <c r="C34">
        <v>999999</v>
      </c>
      <c r="D34" s="2">
        <v>5090.54</v>
      </c>
      <c r="E34" s="1">
        <v>43200</v>
      </c>
      <c r="F34" t="str">
        <f>"201804039908"</f>
        <v>201804039908</v>
      </c>
      <c r="G34" t="str">
        <f>"HAULING EXP 03/22-04/02/PCT#1"</f>
        <v>HAULING EXP 03/22-04/02/PCT#1</v>
      </c>
      <c r="H34">
        <v>2355.9499999999998</v>
      </c>
      <c r="I34" t="str">
        <f>"HAULING EXP 03/22-04/02/PCT#1"</f>
        <v>HAULING EXP 03/22-04/02/PCT#1</v>
      </c>
    </row>
    <row r="35" spans="1:9" x14ac:dyDescent="0.25">
      <c r="A35" t="str">
        <f>""</f>
        <v/>
      </c>
      <c r="F35" t="str">
        <f>"201804039916"</f>
        <v>201804039916</v>
      </c>
      <c r="G35" t="str">
        <f>"HAULING EXPS 03/22-03/30 PCT#4"</f>
        <v>HAULING EXPS 03/22-03/30 PCT#4</v>
      </c>
      <c r="H35">
        <v>2734.59</v>
      </c>
      <c r="I35" t="str">
        <f>"HAULING EXPS 03/22-03/30 PCT#4"</f>
        <v>HAULING EXPS 03/22-03/30 PCT#4</v>
      </c>
    </row>
    <row r="36" spans="1:9" x14ac:dyDescent="0.25">
      <c r="A36" t="str">
        <f>"002048"</f>
        <v>002048</v>
      </c>
      <c r="B36" t="s">
        <v>12</v>
      </c>
      <c r="C36">
        <v>999999</v>
      </c>
      <c r="D36" s="2">
        <v>7844.86</v>
      </c>
      <c r="E36" s="1">
        <v>43214</v>
      </c>
      <c r="F36" t="str">
        <f>"201804160373"</f>
        <v>201804160373</v>
      </c>
      <c r="G36" t="str">
        <f>"HAULING EXPS 04/04-04/11/PCT#1"</f>
        <v>HAULING EXPS 04/04-04/11/PCT#1</v>
      </c>
      <c r="H36">
        <v>1190.53</v>
      </c>
      <c r="I36" t="str">
        <f>"HAULING EXPS 04/04-04/11/PCT#1"</f>
        <v>HAULING EXPS 04/04-04/11/PCT#1</v>
      </c>
    </row>
    <row r="37" spans="1:9" x14ac:dyDescent="0.25">
      <c r="A37" t="str">
        <f>""</f>
        <v/>
      </c>
      <c r="F37" t="str">
        <f>"201804160374"</f>
        <v>201804160374</v>
      </c>
      <c r="G37" t="str">
        <f>"HAULING EXPS 04/04-04/13/PCT#4"</f>
        <v>HAULING EXPS 04/04-04/13/PCT#4</v>
      </c>
      <c r="H37">
        <v>6654.33</v>
      </c>
      <c r="I37" t="str">
        <f>"HAULING EXPS 04/04-04/13/PCT#4"</f>
        <v>HAULING EXPS 04/04-04/13/PCT#4</v>
      </c>
    </row>
    <row r="38" spans="1:9" x14ac:dyDescent="0.25">
      <c r="A38" t="str">
        <f>"AAA"</f>
        <v>AAA</v>
      </c>
      <c r="B38" t="s">
        <v>13</v>
      </c>
      <c r="C38">
        <v>999999</v>
      </c>
      <c r="D38" s="2">
        <v>889.5</v>
      </c>
      <c r="E38" s="1">
        <v>43214</v>
      </c>
      <c r="F38" t="str">
        <f>"300104"</f>
        <v>300104</v>
      </c>
      <c r="G38" t="str">
        <f>"ANNUAL FIRE EXT MAINT SVC/GEN"</f>
        <v>ANNUAL FIRE EXT MAINT SVC/GEN</v>
      </c>
      <c r="H38">
        <v>35</v>
      </c>
      <c r="I38" t="str">
        <f>"ANNUAL FIRE EXT MAINT SVC/GEN"</f>
        <v>ANNUAL FIRE EXT MAINT SVC/GEN</v>
      </c>
    </row>
    <row r="39" spans="1:9" x14ac:dyDescent="0.25">
      <c r="A39" t="str">
        <f>""</f>
        <v/>
      </c>
      <c r="F39" t="str">
        <f>"300108"</f>
        <v>300108</v>
      </c>
      <c r="G39" t="str">
        <f>"MAINTENANCE SVC.PCT#4"</f>
        <v>MAINTENANCE SVC.PCT#4</v>
      </c>
      <c r="H39">
        <v>854.5</v>
      </c>
      <c r="I39" t="str">
        <f>"MAINTENANCE SVC.PCT#4"</f>
        <v>MAINTENANCE SVC.PCT#4</v>
      </c>
    </row>
    <row r="40" spans="1:9" x14ac:dyDescent="0.25">
      <c r="A40" t="str">
        <f>"000466"</f>
        <v>000466</v>
      </c>
      <c r="B40" t="s">
        <v>14</v>
      </c>
      <c r="C40">
        <v>76202</v>
      </c>
      <c r="D40" s="2">
        <v>1949.99</v>
      </c>
      <c r="E40" s="1">
        <v>43213</v>
      </c>
      <c r="F40" t="str">
        <f>"21924519"</f>
        <v>21924519</v>
      </c>
      <c r="G40" t="str">
        <f>"INV 21924519"</f>
        <v>INV 21924519</v>
      </c>
      <c r="H40">
        <v>1949.99</v>
      </c>
      <c r="I40" t="str">
        <f>"INV 21924519"</f>
        <v>INV 21924519</v>
      </c>
    </row>
    <row r="41" spans="1:9" x14ac:dyDescent="0.25">
      <c r="A41" t="str">
        <f>"000954"</f>
        <v>000954</v>
      </c>
      <c r="B41" t="s">
        <v>15</v>
      </c>
      <c r="C41">
        <v>76203</v>
      </c>
      <c r="D41" s="2">
        <v>727.5</v>
      </c>
      <c r="E41" s="1">
        <v>43213</v>
      </c>
      <c r="F41" t="str">
        <f>"201804120256"</f>
        <v>201804120256</v>
      </c>
      <c r="G41" t="str">
        <f>"18-18827"</f>
        <v>18-18827</v>
      </c>
      <c r="H41">
        <v>240</v>
      </c>
      <c r="I41" t="str">
        <f>"18-18827"</f>
        <v>18-18827</v>
      </c>
    </row>
    <row r="42" spans="1:9" x14ac:dyDescent="0.25">
      <c r="A42" t="str">
        <f>""</f>
        <v/>
      </c>
      <c r="F42" t="str">
        <f>"201804120257"</f>
        <v>201804120257</v>
      </c>
      <c r="G42" t="str">
        <f>"17-18392"</f>
        <v>17-18392</v>
      </c>
      <c r="H42">
        <v>280</v>
      </c>
      <c r="I42" t="str">
        <f>"17-18392"</f>
        <v>17-18392</v>
      </c>
    </row>
    <row r="43" spans="1:9" x14ac:dyDescent="0.25">
      <c r="A43" t="str">
        <f>""</f>
        <v/>
      </c>
      <c r="F43" t="str">
        <f>"201804120258"</f>
        <v>201804120258</v>
      </c>
      <c r="G43" t="str">
        <f>"16-17713"</f>
        <v>16-17713</v>
      </c>
      <c r="H43">
        <v>100</v>
      </c>
      <c r="I43" t="str">
        <f>"16-17713"</f>
        <v>16-17713</v>
      </c>
    </row>
    <row r="44" spans="1:9" x14ac:dyDescent="0.25">
      <c r="A44" t="str">
        <f>""</f>
        <v/>
      </c>
      <c r="F44" t="str">
        <f>"201804120259"</f>
        <v>201804120259</v>
      </c>
      <c r="G44" t="str">
        <f>"17-18788"</f>
        <v>17-18788</v>
      </c>
      <c r="H44">
        <v>107.5</v>
      </c>
      <c r="I44" t="str">
        <f>"17-18788"</f>
        <v>17-18788</v>
      </c>
    </row>
    <row r="45" spans="1:9" x14ac:dyDescent="0.25">
      <c r="A45" t="str">
        <f>"003117"</f>
        <v>003117</v>
      </c>
      <c r="B45" t="s">
        <v>16</v>
      </c>
      <c r="C45">
        <v>999999</v>
      </c>
      <c r="D45" s="2">
        <v>475</v>
      </c>
      <c r="E45" s="1">
        <v>43200</v>
      </c>
      <c r="F45" t="str">
        <f>"201803289796"</f>
        <v>201803289796</v>
      </c>
      <c r="G45" t="str">
        <f>"REIMBURSE-TML MEMBERSHIP"</f>
        <v>REIMBURSE-TML MEMBERSHIP</v>
      </c>
      <c r="H45">
        <v>325</v>
      </c>
      <c r="I45" t="str">
        <f>"REIMBURSE-TML MEMBERSHIP"</f>
        <v>REIMBURSE-TML MEMBERSHIP</v>
      </c>
    </row>
    <row r="46" spans="1:9" x14ac:dyDescent="0.25">
      <c r="A46" t="str">
        <f>""</f>
        <v/>
      </c>
      <c r="F46" t="str">
        <f>"201804039918"</f>
        <v>201804039918</v>
      </c>
      <c r="G46" t="str">
        <f>"PER DIEM-EARTH X TRADESHOW"</f>
        <v>PER DIEM-EARTH X TRADESHOW</v>
      </c>
      <c r="H46">
        <v>135</v>
      </c>
      <c r="I46" t="str">
        <f>"PER DIEM-EARTH X TRADESHOW"</f>
        <v>PER DIEM-EARTH X TRADESHOW</v>
      </c>
    </row>
    <row r="47" spans="1:9" x14ac:dyDescent="0.25">
      <c r="A47" t="str">
        <f>""</f>
        <v/>
      </c>
      <c r="F47" t="str">
        <f>"201804039919"</f>
        <v>201804039919</v>
      </c>
      <c r="G47" t="str">
        <f>"PER DIEM-ART CITY AUSTIN"</f>
        <v>PER DIEM-ART CITY AUSTIN</v>
      </c>
      <c r="H47">
        <v>15</v>
      </c>
      <c r="I47" t="str">
        <f>"PER DIEM-ART CITY AUSTIN"</f>
        <v>PER DIEM-ART CITY AUSTIN</v>
      </c>
    </row>
    <row r="48" spans="1:9" x14ac:dyDescent="0.25">
      <c r="A48" t="str">
        <f>"003117"</f>
        <v>003117</v>
      </c>
      <c r="B48" t="s">
        <v>16</v>
      </c>
      <c r="C48">
        <v>999999</v>
      </c>
      <c r="D48" s="2">
        <v>2216.88</v>
      </c>
      <c r="E48" s="1">
        <v>43214</v>
      </c>
      <c r="F48" t="str">
        <f>"201804180400"</f>
        <v>201804180400</v>
      </c>
      <c r="G48" t="str">
        <f>"REIMBURSE-REGISTRATION WEBINAR"</f>
        <v>REIMBURSE-REGISTRATION WEBINAR</v>
      </c>
      <c r="H48">
        <v>135</v>
      </c>
      <c r="I48" t="str">
        <f>"REIMBURSE-REGISTRATION WEBINAR"</f>
        <v>REIMBURSE-REGISTRATION WEBINAR</v>
      </c>
    </row>
    <row r="49" spans="1:10" x14ac:dyDescent="0.25">
      <c r="A49" t="str">
        <f>""</f>
        <v/>
      </c>
      <c r="F49" t="str">
        <f>"201804180401"</f>
        <v>201804180401</v>
      </c>
      <c r="G49" t="str">
        <f>"PARKING/DISPLAY/REGIST/MAIL"</f>
        <v>PARKING/DISPLAY/REGIST/MAIL</v>
      </c>
      <c r="H49">
        <v>836.88</v>
      </c>
      <c r="I49" t="str">
        <f>"PARKING/DISPLAY/REGIST/MAIL"</f>
        <v>PARKING/DISPLAY/REGIST/MAIL</v>
      </c>
    </row>
    <row r="50" spans="1:10" x14ac:dyDescent="0.25">
      <c r="A50" t="str">
        <f>""</f>
        <v/>
      </c>
      <c r="F50" t="str">
        <f>"201804180402"</f>
        <v>201804180402</v>
      </c>
      <c r="G50" t="str">
        <f>"BOOTH REGISTRATION-TML"</f>
        <v>BOOTH REGISTRATION-TML</v>
      </c>
      <c r="H50">
        <v>1050</v>
      </c>
      <c r="I50" t="str">
        <f>"BOOTH REGISTRATION-TML"</f>
        <v>BOOTH REGISTRATION-TML</v>
      </c>
    </row>
    <row r="51" spans="1:10" x14ac:dyDescent="0.25">
      <c r="A51" t="str">
        <f>""</f>
        <v/>
      </c>
      <c r="F51" t="str">
        <f>"201804180403"</f>
        <v>201804180403</v>
      </c>
      <c r="G51" t="str">
        <f>"TOURISM-COLLEGE REGISTRATION"</f>
        <v>TOURISM-COLLEGE REGISTRATION</v>
      </c>
      <c r="H51">
        <v>195</v>
      </c>
      <c r="I51" t="str">
        <f>"TOURISM-COLLEGE REGISTRATION"</f>
        <v>TOURISM-COLLEGE REGISTRATION</v>
      </c>
    </row>
    <row r="52" spans="1:10" x14ac:dyDescent="0.25">
      <c r="A52" t="str">
        <f>"NPP"</f>
        <v>NPP</v>
      </c>
      <c r="B52" t="s">
        <v>17</v>
      </c>
      <c r="C52">
        <v>999999</v>
      </c>
      <c r="D52" s="2">
        <v>400</v>
      </c>
      <c r="E52" s="1">
        <v>43200</v>
      </c>
      <c r="F52" t="str">
        <f>"201803279784"</f>
        <v>201803279784</v>
      </c>
      <c r="G52" t="str">
        <f>"16185"</f>
        <v>16185</v>
      </c>
      <c r="H52">
        <v>400</v>
      </c>
      <c r="I52" t="str">
        <f>"16185"</f>
        <v>16185</v>
      </c>
    </row>
    <row r="53" spans="1:10" x14ac:dyDescent="0.25">
      <c r="A53" t="str">
        <f>"002323"</f>
        <v>002323</v>
      </c>
      <c r="B53" t="s">
        <v>18</v>
      </c>
      <c r="C53">
        <v>75994</v>
      </c>
      <c r="D53" s="2">
        <v>495</v>
      </c>
      <c r="E53" s="1">
        <v>43199</v>
      </c>
      <c r="F53" t="str">
        <f>"0001880"</f>
        <v>0001880</v>
      </c>
      <c r="G53" t="str">
        <f>"REF#2018040017AO/F.D. MAHAN JR"</f>
        <v>REF#2018040017AO/F.D. MAHAN JR</v>
      </c>
      <c r="H53">
        <v>495</v>
      </c>
      <c r="I53" t="str">
        <f>"REF#2018040017AO/F.D. MAHAN JR"</f>
        <v>REF#2018040017AO/F.D. MAHAN JR</v>
      </c>
    </row>
    <row r="54" spans="1:10" x14ac:dyDescent="0.25">
      <c r="A54" t="str">
        <f>"005335"</f>
        <v>005335</v>
      </c>
      <c r="B54" t="s">
        <v>19</v>
      </c>
      <c r="C54">
        <v>76204</v>
      </c>
      <c r="D54" s="2">
        <v>30</v>
      </c>
      <c r="E54" s="1">
        <v>43213</v>
      </c>
      <c r="F54" t="s">
        <v>20</v>
      </c>
      <c r="G54" t="s">
        <v>21</v>
      </c>
      <c r="H54" t="str">
        <f>"RESTITUTION-T. CHURCH"</f>
        <v>RESTITUTION-T. CHURCH</v>
      </c>
      <c r="I54" t="str">
        <f>"210-0000"</f>
        <v>210-0000</v>
      </c>
      <c r="J54">
        <v>30</v>
      </c>
    </row>
    <row r="55" spans="1:10" x14ac:dyDescent="0.25">
      <c r="A55" t="str">
        <f>"005504"</f>
        <v>005504</v>
      </c>
      <c r="B55" t="s">
        <v>22</v>
      </c>
      <c r="C55">
        <v>76205</v>
      </c>
      <c r="D55" s="2">
        <v>1000</v>
      </c>
      <c r="E55" s="1">
        <v>43213</v>
      </c>
      <c r="F55" t="str">
        <f>"201804170388"</f>
        <v>201804170388</v>
      </c>
      <c r="G55" t="str">
        <f>"VETERINARY SVCS-APRIL 5 &amp; 10"</f>
        <v>VETERINARY SVCS-APRIL 5 &amp; 10</v>
      </c>
      <c r="H55">
        <v>1000</v>
      </c>
      <c r="I55" t="str">
        <f>"VETERINARY SVCS-APRIL 5 &amp; 10"</f>
        <v>VETERINARY SVCS-APRIL 5 &amp; 10</v>
      </c>
    </row>
    <row r="56" spans="1:10" x14ac:dyDescent="0.25">
      <c r="A56" t="str">
        <f>"004642"</f>
        <v>004642</v>
      </c>
      <c r="B56" t="s">
        <v>23</v>
      </c>
      <c r="C56">
        <v>76206</v>
      </c>
      <c r="D56" s="2">
        <v>661</v>
      </c>
      <c r="E56" s="1">
        <v>43213</v>
      </c>
      <c r="F56" t="str">
        <f>"29677"</f>
        <v>29677</v>
      </c>
      <c r="G56" t="str">
        <f>"RENTAL 601 COOL WATER/PCT#1"</f>
        <v>RENTAL 601 COOL WATER/PCT#1</v>
      </c>
      <c r="H56">
        <v>305</v>
      </c>
      <c r="I56" t="str">
        <f>"RENTAL 601 COOL WATER/PCT#1"</f>
        <v>RENTAL 601 COOL WATER/PCT#1</v>
      </c>
    </row>
    <row r="57" spans="1:10" x14ac:dyDescent="0.25">
      <c r="A57" t="str">
        <f>""</f>
        <v/>
      </c>
      <c r="F57" t="str">
        <f>"29678"</f>
        <v>29678</v>
      </c>
      <c r="G57" t="str">
        <f>"RENTAL-375 RIVERSIDE LAUNCH"</f>
        <v>RENTAL-375 RIVERSIDE LAUNCH</v>
      </c>
      <c r="H57">
        <v>259</v>
      </c>
      <c r="I57" t="str">
        <f>"RENTAL-375 RIVERSIDE LAUNCH"</f>
        <v>RENTAL-375 RIVERSIDE LAUNCH</v>
      </c>
    </row>
    <row r="58" spans="1:10" x14ac:dyDescent="0.25">
      <c r="A58" t="str">
        <f>""</f>
        <v/>
      </c>
      <c r="F58" t="str">
        <f>"29679"</f>
        <v>29679</v>
      </c>
      <c r="G58" t="str">
        <f>"RENTAL APRIL 06-MAY 03"</f>
        <v>RENTAL APRIL 06-MAY 03</v>
      </c>
      <c r="H58">
        <v>97</v>
      </c>
      <c r="I58" t="str">
        <f>"RENTAL APRIL 06-MAY 03"</f>
        <v>RENTAL APRIL 06-MAY 03</v>
      </c>
    </row>
    <row r="59" spans="1:10" x14ac:dyDescent="0.25">
      <c r="A59" t="str">
        <f>"005237"</f>
        <v>005237</v>
      </c>
      <c r="B59" t="s">
        <v>24</v>
      </c>
      <c r="C59">
        <v>999999</v>
      </c>
      <c r="D59" s="2">
        <v>719</v>
      </c>
      <c r="E59" s="1">
        <v>43200</v>
      </c>
      <c r="F59" t="str">
        <f>"1UR7-FDTR-J39R"</f>
        <v>1UR7-FDTR-J39R</v>
      </c>
      <c r="G59" t="str">
        <f>"Printer"</f>
        <v>Printer</v>
      </c>
      <c r="H59">
        <v>719</v>
      </c>
      <c r="I59" t="str">
        <f>"M608N Laser Printer"</f>
        <v>M608N Laser Printer</v>
      </c>
    </row>
    <row r="60" spans="1:10" x14ac:dyDescent="0.25">
      <c r="A60" t="str">
        <f>"005237"</f>
        <v>005237</v>
      </c>
      <c r="B60" t="s">
        <v>24</v>
      </c>
      <c r="C60">
        <v>999999</v>
      </c>
      <c r="D60" s="2">
        <v>3020.67</v>
      </c>
      <c r="E60" s="1">
        <v>43214</v>
      </c>
      <c r="F60" t="str">
        <f>"147W-9YWN-F4XD"</f>
        <v>147W-9YWN-F4XD</v>
      </c>
      <c r="G60" t="str">
        <f>"Tool Racks"</f>
        <v>Tool Racks</v>
      </c>
      <c r="H60">
        <v>929.39</v>
      </c>
      <c r="I60" t="str">
        <f>"113-2745248-4978668"</f>
        <v>113-2745248-4978668</v>
      </c>
    </row>
    <row r="61" spans="1:10" x14ac:dyDescent="0.25">
      <c r="A61" t="str">
        <f>""</f>
        <v/>
      </c>
      <c r="F61" t="str">
        <f>""</f>
        <v/>
      </c>
      <c r="G61" t="str">
        <f>""</f>
        <v/>
      </c>
      <c r="I61" t="str">
        <f>"S &amp; H"</f>
        <v>S &amp; H</v>
      </c>
    </row>
    <row r="62" spans="1:10" x14ac:dyDescent="0.25">
      <c r="A62" t="str">
        <f>""</f>
        <v/>
      </c>
      <c r="F62" t="str">
        <f>""</f>
        <v/>
      </c>
      <c r="G62" t="str">
        <f>""</f>
        <v/>
      </c>
      <c r="I62" t="str">
        <f>"Tax (To be refunded)"</f>
        <v>Tax (To be refunded)</v>
      </c>
    </row>
    <row r="63" spans="1:10" x14ac:dyDescent="0.25">
      <c r="A63" t="str">
        <f>""</f>
        <v/>
      </c>
      <c r="F63" t="str">
        <f>""</f>
        <v/>
      </c>
      <c r="G63" t="str">
        <f>""</f>
        <v/>
      </c>
      <c r="I63" t="str">
        <f>"113-1677237-5885001"</f>
        <v>113-1677237-5885001</v>
      </c>
    </row>
    <row r="64" spans="1:10" x14ac:dyDescent="0.25">
      <c r="A64" t="str">
        <f>""</f>
        <v/>
      </c>
      <c r="F64" t="str">
        <f>""</f>
        <v/>
      </c>
      <c r="G64" t="str">
        <f>""</f>
        <v/>
      </c>
      <c r="I64" t="str">
        <f>"SPOOL RACK"</f>
        <v>SPOOL RACK</v>
      </c>
    </row>
    <row r="65" spans="1:9" x14ac:dyDescent="0.25">
      <c r="A65" t="str">
        <f>""</f>
        <v/>
      </c>
      <c r="F65" t="str">
        <f>""</f>
        <v/>
      </c>
      <c r="G65" t="str">
        <f>""</f>
        <v/>
      </c>
      <c r="I65" t="str">
        <f>"113-0787726-8378660"</f>
        <v>113-0787726-8378660</v>
      </c>
    </row>
    <row r="66" spans="1:9" x14ac:dyDescent="0.25">
      <c r="A66" t="str">
        <f>""</f>
        <v/>
      </c>
      <c r="F66" t="str">
        <f>"177D-QNDV-DJPD"</f>
        <v>177D-QNDV-DJPD</v>
      </c>
      <c r="G66" t="str">
        <f>"Camera &amp; Voice Recorder"</f>
        <v>Camera &amp; Voice Recorder</v>
      </c>
      <c r="H66">
        <v>1779.12</v>
      </c>
      <c r="I66" t="str">
        <f>"Canon Bundle"</f>
        <v>Canon Bundle</v>
      </c>
    </row>
    <row r="67" spans="1:9" x14ac:dyDescent="0.25">
      <c r="A67" t="str">
        <f>""</f>
        <v/>
      </c>
      <c r="F67" t="str">
        <f>""</f>
        <v/>
      </c>
      <c r="G67" t="str">
        <f>""</f>
        <v/>
      </c>
      <c r="I67" t="str">
        <f>"OlympusVoiceRecorder"</f>
        <v>OlympusVoiceRecorder</v>
      </c>
    </row>
    <row r="68" spans="1:9" x14ac:dyDescent="0.25">
      <c r="A68" t="str">
        <f>""</f>
        <v/>
      </c>
      <c r="F68" t="str">
        <f>"1GLV-TH7V-91Y4"</f>
        <v>1GLV-TH7V-91Y4</v>
      </c>
      <c r="G68" t="str">
        <f>"Wilson Electronics"</f>
        <v>Wilson Electronics</v>
      </c>
      <c r="H68">
        <v>28.21</v>
      </c>
      <c r="I68" t="str">
        <f>"Antenna"</f>
        <v>Antenna</v>
      </c>
    </row>
    <row r="69" spans="1:9" x14ac:dyDescent="0.25">
      <c r="A69" t="str">
        <f>""</f>
        <v/>
      </c>
      <c r="F69" t="str">
        <f>"1W7R-JTTL-RMVF"</f>
        <v>1W7R-JTTL-RMVF</v>
      </c>
      <c r="G69" t="str">
        <f>"Office Chair"</f>
        <v>Office Chair</v>
      </c>
      <c r="H69">
        <v>159.99</v>
      </c>
      <c r="I69" t="str">
        <f>"Office Chair"</f>
        <v>Office Chair</v>
      </c>
    </row>
    <row r="70" spans="1:9" x14ac:dyDescent="0.25">
      <c r="A70" t="str">
        <f>""</f>
        <v/>
      </c>
      <c r="F70" t="str">
        <f>"1YJP-R4G3-FTVW"</f>
        <v>1YJP-R4G3-FTVW</v>
      </c>
      <c r="G70" t="str">
        <f>"Magnetic Signs"</f>
        <v>Magnetic Signs</v>
      </c>
      <c r="H70">
        <v>123.96</v>
      </c>
      <c r="I70" t="s">
        <v>25</v>
      </c>
    </row>
    <row r="71" spans="1:9" x14ac:dyDescent="0.25">
      <c r="A71" t="str">
        <f>"003253"</f>
        <v>003253</v>
      </c>
      <c r="B71" t="s">
        <v>26</v>
      </c>
      <c r="C71">
        <v>75995</v>
      </c>
      <c r="D71" s="2">
        <v>222</v>
      </c>
      <c r="E71" s="1">
        <v>43199</v>
      </c>
      <c r="F71" t="str">
        <f>"951353-1"</f>
        <v>951353-1</v>
      </c>
      <c r="G71" t="str">
        <f>"CUST#235716/ANIMAL CONTROL"</f>
        <v>CUST#235716/ANIMAL CONTROL</v>
      </c>
      <c r="H71">
        <v>222</v>
      </c>
      <c r="I71" t="str">
        <f>"CUST#235716/ANIMAL CONTROL"</f>
        <v>CUST#235716/ANIMAL CONTROL</v>
      </c>
    </row>
    <row r="72" spans="1:9" x14ac:dyDescent="0.25">
      <c r="A72" t="str">
        <f>"002148"</f>
        <v>002148</v>
      </c>
      <c r="B72" t="s">
        <v>27</v>
      </c>
      <c r="C72">
        <v>75996</v>
      </c>
      <c r="D72" s="2">
        <v>299.32</v>
      </c>
      <c r="E72" s="1">
        <v>43199</v>
      </c>
      <c r="F72" t="str">
        <f>"934741833/34"</f>
        <v>934741833/34</v>
      </c>
      <c r="G72" t="str">
        <f>"INV 934741833"</f>
        <v>INV 934741833</v>
      </c>
      <c r="H72">
        <v>299.32</v>
      </c>
      <c r="I72" t="str">
        <f>"INV 934741833"</f>
        <v>INV 934741833</v>
      </c>
    </row>
    <row r="73" spans="1:9" x14ac:dyDescent="0.25">
      <c r="A73" t="str">
        <f>""</f>
        <v/>
      </c>
      <c r="F73" t="str">
        <f>""</f>
        <v/>
      </c>
      <c r="G73" t="str">
        <f>""</f>
        <v/>
      </c>
      <c r="I73" t="str">
        <f>"INV 934741834"</f>
        <v>INV 934741834</v>
      </c>
    </row>
    <row r="74" spans="1:9" x14ac:dyDescent="0.25">
      <c r="A74" t="str">
        <f>"T14545"</f>
        <v>T14545</v>
      </c>
      <c r="B74" t="s">
        <v>28</v>
      </c>
      <c r="C74">
        <v>76207</v>
      </c>
      <c r="D74" s="2">
        <v>1788.59</v>
      </c>
      <c r="E74" s="1">
        <v>43213</v>
      </c>
      <c r="F74" t="str">
        <f>"108436"</f>
        <v>108436</v>
      </c>
      <c r="G74" t="str">
        <f>"VOTER CALENDAR/POSTAGE"</f>
        <v>VOTER CALENDAR/POSTAGE</v>
      </c>
      <c r="H74">
        <v>1788.59</v>
      </c>
      <c r="I74" t="str">
        <f>"VOTER CALENDAR/POSTAGE"</f>
        <v>VOTER CALENDAR/POSTAGE</v>
      </c>
    </row>
    <row r="75" spans="1:9" x14ac:dyDescent="0.25">
      <c r="A75" t="str">
        <f>"T7520"</f>
        <v>T7520</v>
      </c>
      <c r="B75" t="s">
        <v>29</v>
      </c>
      <c r="C75">
        <v>999999</v>
      </c>
      <c r="D75" s="2">
        <v>2100</v>
      </c>
      <c r="E75" s="1">
        <v>43200</v>
      </c>
      <c r="F75" t="str">
        <f>"201803299805"</f>
        <v>201803299805</v>
      </c>
      <c r="G75" t="str">
        <f>"16 330"</f>
        <v>16 330</v>
      </c>
      <c r="H75">
        <v>400</v>
      </c>
      <c r="I75" t="str">
        <f>"16 330"</f>
        <v>16 330</v>
      </c>
    </row>
    <row r="76" spans="1:9" x14ac:dyDescent="0.25">
      <c r="A76" t="str">
        <f>""</f>
        <v/>
      </c>
      <c r="F76" t="str">
        <f>"201804029836"</f>
        <v>201804029836</v>
      </c>
      <c r="G76" t="str">
        <f>"16 334"</f>
        <v>16 334</v>
      </c>
      <c r="H76">
        <v>400</v>
      </c>
      <c r="I76" t="str">
        <f>"16 334"</f>
        <v>16 334</v>
      </c>
    </row>
    <row r="77" spans="1:9" x14ac:dyDescent="0.25">
      <c r="A77" t="str">
        <f>""</f>
        <v/>
      </c>
      <c r="F77" t="str">
        <f>"201804029837"</f>
        <v>201804029837</v>
      </c>
      <c r="G77" t="str">
        <f>"16 442"</f>
        <v>16 442</v>
      </c>
      <c r="H77">
        <v>400</v>
      </c>
      <c r="I77" t="str">
        <f>"16 442"</f>
        <v>16 442</v>
      </c>
    </row>
    <row r="78" spans="1:9" x14ac:dyDescent="0.25">
      <c r="A78" t="str">
        <f>""</f>
        <v/>
      </c>
      <c r="F78" t="str">
        <f>"201804029838"</f>
        <v>201804029838</v>
      </c>
      <c r="G78" t="str">
        <f>"403247-2"</f>
        <v>403247-2</v>
      </c>
      <c r="H78">
        <v>400</v>
      </c>
      <c r="I78" t="str">
        <f>"403247-2"</f>
        <v>403247-2</v>
      </c>
    </row>
    <row r="79" spans="1:9" x14ac:dyDescent="0.25">
      <c r="A79" t="str">
        <f>""</f>
        <v/>
      </c>
      <c r="F79" t="str">
        <f>"201804039872"</f>
        <v>201804039872</v>
      </c>
      <c r="G79" t="str">
        <f>"02-0110-1"</f>
        <v>02-0110-1</v>
      </c>
      <c r="H79">
        <v>250</v>
      </c>
      <c r="I79" t="str">
        <f>"02-0110-1"</f>
        <v>02-0110-1</v>
      </c>
    </row>
    <row r="80" spans="1:9" x14ac:dyDescent="0.25">
      <c r="A80" t="str">
        <f>""</f>
        <v/>
      </c>
      <c r="F80" t="str">
        <f>"201804039889"</f>
        <v>201804039889</v>
      </c>
      <c r="G80" t="str">
        <f>"55 693"</f>
        <v>55 693</v>
      </c>
      <c r="H80">
        <v>250</v>
      </c>
      <c r="I80" t="str">
        <f>"55 693"</f>
        <v>55 693</v>
      </c>
    </row>
    <row r="81" spans="1:9" x14ac:dyDescent="0.25">
      <c r="A81" t="str">
        <f>"T7520"</f>
        <v>T7520</v>
      </c>
      <c r="B81" t="s">
        <v>29</v>
      </c>
      <c r="C81">
        <v>999999</v>
      </c>
      <c r="D81" s="2">
        <v>2232.5</v>
      </c>
      <c r="E81" s="1">
        <v>43214</v>
      </c>
      <c r="F81" t="str">
        <f>"201804130336"</f>
        <v>201804130336</v>
      </c>
      <c r="G81" t="str">
        <f>"18-18954"</f>
        <v>18-18954</v>
      </c>
      <c r="H81">
        <v>100</v>
      </c>
      <c r="I81" t="str">
        <f>"18-18954"</f>
        <v>18-18954</v>
      </c>
    </row>
    <row r="82" spans="1:9" x14ac:dyDescent="0.25">
      <c r="A82" t="str">
        <f>""</f>
        <v/>
      </c>
      <c r="F82" t="str">
        <f>"201804130337"</f>
        <v>201804130337</v>
      </c>
      <c r="G82" t="str">
        <f>"18-18951"</f>
        <v>18-18951</v>
      </c>
      <c r="H82">
        <v>100</v>
      </c>
      <c r="I82" t="str">
        <f>"18-18951"</f>
        <v>18-18951</v>
      </c>
    </row>
    <row r="83" spans="1:9" x14ac:dyDescent="0.25">
      <c r="A83" t="str">
        <f>""</f>
        <v/>
      </c>
      <c r="F83" t="str">
        <f>"201804130338"</f>
        <v>201804130338</v>
      </c>
      <c r="G83" t="str">
        <f>"17-18636"</f>
        <v>17-18636</v>
      </c>
      <c r="H83">
        <v>497.5</v>
      </c>
      <c r="I83" t="str">
        <f>"17-18636"</f>
        <v>17-18636</v>
      </c>
    </row>
    <row r="84" spans="1:9" x14ac:dyDescent="0.25">
      <c r="A84" t="str">
        <f>""</f>
        <v/>
      </c>
      <c r="F84" t="str">
        <f>"201804130339"</f>
        <v>201804130339</v>
      </c>
      <c r="G84" t="str">
        <f>"17-18392"</f>
        <v>17-18392</v>
      </c>
      <c r="H84">
        <v>565</v>
      </c>
      <c r="I84" t="str">
        <f>"17-18392"</f>
        <v>17-18392</v>
      </c>
    </row>
    <row r="85" spans="1:9" x14ac:dyDescent="0.25">
      <c r="A85" t="str">
        <f>""</f>
        <v/>
      </c>
      <c r="F85" t="str">
        <f>"201804130340"</f>
        <v>201804130340</v>
      </c>
      <c r="G85" t="str">
        <f>"14-16896"</f>
        <v>14-16896</v>
      </c>
      <c r="H85">
        <v>470</v>
      </c>
      <c r="I85" t="str">
        <f>"14-16896"</f>
        <v>14-16896</v>
      </c>
    </row>
    <row r="86" spans="1:9" x14ac:dyDescent="0.25">
      <c r="A86" t="str">
        <f>""</f>
        <v/>
      </c>
      <c r="F86" t="str">
        <f>"201804130341"</f>
        <v>201804130341</v>
      </c>
      <c r="G86" t="str">
        <f>"55 421"</f>
        <v>55 421</v>
      </c>
      <c r="H86">
        <v>250</v>
      </c>
      <c r="I86" t="str">
        <f>"55 421"</f>
        <v>55 421</v>
      </c>
    </row>
    <row r="87" spans="1:9" x14ac:dyDescent="0.25">
      <c r="A87" t="str">
        <f>""</f>
        <v/>
      </c>
      <c r="F87" t="str">
        <f>"201804130342"</f>
        <v>201804130342</v>
      </c>
      <c r="G87" t="str">
        <f>"55 198"</f>
        <v>55 198</v>
      </c>
      <c r="H87">
        <v>250</v>
      </c>
      <c r="I87" t="str">
        <f>"55 198"</f>
        <v>55 198</v>
      </c>
    </row>
    <row r="88" spans="1:9" x14ac:dyDescent="0.25">
      <c r="A88" t="str">
        <f>"005502"</f>
        <v>005502</v>
      </c>
      <c r="B88" t="s">
        <v>30</v>
      </c>
      <c r="C88">
        <v>76208</v>
      </c>
      <c r="D88" s="2">
        <v>435</v>
      </c>
      <c r="E88" s="1">
        <v>43213</v>
      </c>
      <c r="F88" t="str">
        <f>"LG0418-034"</f>
        <v>LG0418-034</v>
      </c>
      <c r="G88" t="str">
        <f>"DRUG SCREENING"</f>
        <v>DRUG SCREENING</v>
      </c>
      <c r="H88">
        <v>435</v>
      </c>
      <c r="I88" t="str">
        <f>"DRUG SCREENING"</f>
        <v>DRUG SCREENING</v>
      </c>
    </row>
    <row r="89" spans="1:9" x14ac:dyDescent="0.25">
      <c r="A89" t="str">
        <f>"T3685"</f>
        <v>T3685</v>
      </c>
      <c r="B89" t="s">
        <v>31</v>
      </c>
      <c r="C89">
        <v>76209</v>
      </c>
      <c r="D89" s="2">
        <v>489</v>
      </c>
      <c r="E89" s="1">
        <v>43213</v>
      </c>
      <c r="F89" t="str">
        <f>"526462-37847"</f>
        <v>526462-37847</v>
      </c>
      <c r="G89" t="str">
        <f>"APSC CTO Instructor Cours"</f>
        <v>APSC CTO Instructor Cours</v>
      </c>
      <c r="H89">
        <v>489</v>
      </c>
      <c r="I89" t="str">
        <f>"Institute Online"</f>
        <v>Institute Online</v>
      </c>
    </row>
    <row r="90" spans="1:9" x14ac:dyDescent="0.25">
      <c r="A90" t="str">
        <f>""</f>
        <v/>
      </c>
      <c r="F90" t="str">
        <f>""</f>
        <v/>
      </c>
      <c r="G90" t="str">
        <f>""</f>
        <v/>
      </c>
      <c r="I90" t="str">
        <f>"Member Discount"</f>
        <v>Member Discount</v>
      </c>
    </row>
    <row r="91" spans="1:9" x14ac:dyDescent="0.25">
      <c r="A91" t="str">
        <f>"T12714"</f>
        <v>T12714</v>
      </c>
      <c r="B91" t="s">
        <v>32</v>
      </c>
      <c r="C91">
        <v>76210</v>
      </c>
      <c r="D91" s="2">
        <v>30</v>
      </c>
      <c r="E91" s="1">
        <v>43213</v>
      </c>
      <c r="F91" t="str">
        <f>"00037431"</f>
        <v>00037431</v>
      </c>
      <c r="G91" t="str">
        <f>"CTO Recertification Fee"</f>
        <v>CTO Recertification Fee</v>
      </c>
      <c r="H91">
        <v>30</v>
      </c>
      <c r="I91" t="str">
        <f>"CTO Recertification Fee"</f>
        <v>CTO Recertification Fee</v>
      </c>
    </row>
    <row r="92" spans="1:9" x14ac:dyDescent="0.25">
      <c r="A92" t="str">
        <f>"002661"</f>
        <v>002661</v>
      </c>
      <c r="B92" t="s">
        <v>33</v>
      </c>
      <c r="C92">
        <v>75997</v>
      </c>
      <c r="D92" s="2">
        <v>40.57</v>
      </c>
      <c r="E92" s="1">
        <v>43199</v>
      </c>
      <c r="F92" t="str">
        <f>"201803299823"</f>
        <v>201803299823</v>
      </c>
      <c r="G92" t="str">
        <f>"1803-385137/ACCT#3-3053/PCT#2"</f>
        <v>1803-385137/ACCT#3-3053/PCT#2</v>
      </c>
      <c r="H92">
        <v>40.57</v>
      </c>
      <c r="I92" t="str">
        <f>"1803-385137/ACCT#3-3053/PCT#2"</f>
        <v>1803-385137/ACCT#3-3053/PCT#2</v>
      </c>
    </row>
    <row r="93" spans="1:9" x14ac:dyDescent="0.25">
      <c r="A93" t="str">
        <f>"004902"</f>
        <v>004902</v>
      </c>
      <c r="B93" t="s">
        <v>34</v>
      </c>
      <c r="C93">
        <v>999999</v>
      </c>
      <c r="D93" s="2">
        <v>246.89</v>
      </c>
      <c r="E93" s="1">
        <v>43200</v>
      </c>
      <c r="F93" t="str">
        <f>"201804039911"</f>
        <v>201804039911</v>
      </c>
      <c r="G93" t="str">
        <f>"MILEAGE REIMBURSEMENT"</f>
        <v>MILEAGE REIMBURSEMENT</v>
      </c>
      <c r="H93">
        <v>246.89</v>
      </c>
      <c r="I93" t="str">
        <f>"MILEAGE REIMBURSEMENT"</f>
        <v>MILEAGE REIMBURSEMENT</v>
      </c>
    </row>
    <row r="94" spans="1:9" x14ac:dyDescent="0.25">
      <c r="A94" t="str">
        <f>"AQUAB"</f>
        <v>AQUAB</v>
      </c>
      <c r="B94" t="s">
        <v>35</v>
      </c>
      <c r="C94">
        <v>76211</v>
      </c>
      <c r="D94" s="2">
        <v>864.93</v>
      </c>
      <c r="E94" s="1">
        <v>43213</v>
      </c>
      <c r="F94" t="str">
        <f>"201804100208"</f>
        <v>201804100208</v>
      </c>
      <c r="G94" t="str">
        <f>"ACCT#010835/PCT#1"</f>
        <v>ACCT#010835/PCT#1</v>
      </c>
      <c r="H94">
        <v>19.489999999999998</v>
      </c>
      <c r="I94" t="str">
        <f>"ACCT#010835/PCT#1"</f>
        <v>ACCT#010835/PCT#1</v>
      </c>
    </row>
    <row r="95" spans="1:9" x14ac:dyDescent="0.25">
      <c r="A95" t="str">
        <f>""</f>
        <v/>
      </c>
      <c r="F95" t="str">
        <f>"201804100209"</f>
        <v>201804100209</v>
      </c>
      <c r="G95" t="str">
        <f>"ACCT#011280/COUNTY CLERK"</f>
        <v>ACCT#011280/COUNTY CLERK</v>
      </c>
      <c r="H95">
        <v>39</v>
      </c>
      <c r="I95" t="str">
        <f>"ACCT#011280/COUNTY CLERK"</f>
        <v>ACCT#011280/COUNTY CLERK</v>
      </c>
    </row>
    <row r="96" spans="1:9" x14ac:dyDescent="0.25">
      <c r="A96" t="str">
        <f>""</f>
        <v/>
      </c>
      <c r="F96" t="str">
        <f>"201804100210"</f>
        <v>201804100210</v>
      </c>
      <c r="G96" t="str">
        <f>"ACCT#015538/EMER COMM"</f>
        <v>ACCT#015538/EMER COMM</v>
      </c>
      <c r="H96">
        <v>150.22999999999999</v>
      </c>
      <c r="I96" t="str">
        <f>"ACCT#015538/EMER COMM"</f>
        <v>ACCT#015538/EMER COMM</v>
      </c>
    </row>
    <row r="97" spans="1:9" x14ac:dyDescent="0.25">
      <c r="A97" t="str">
        <f>""</f>
        <v/>
      </c>
      <c r="F97" t="str">
        <f>"201804100211"</f>
        <v>201804100211</v>
      </c>
      <c r="G97" t="str">
        <f>"ACCT#011955/DIST JUDGE"</f>
        <v>ACCT#011955/DIST JUDGE</v>
      </c>
      <c r="H97">
        <v>57</v>
      </c>
      <c r="I97" t="str">
        <f>"ACCT#011955/DIST JUDGE"</f>
        <v>ACCT#011955/DIST JUDGE</v>
      </c>
    </row>
    <row r="98" spans="1:9" x14ac:dyDescent="0.25">
      <c r="A98" t="str">
        <f>""</f>
        <v/>
      </c>
      <c r="F98" t="str">
        <f>"201804100212"</f>
        <v>201804100212</v>
      </c>
      <c r="G98" t="str">
        <f>"ACCT#011033/IT DEPT"</f>
        <v>ACCT#011033/IT DEPT</v>
      </c>
      <c r="H98">
        <v>49.5</v>
      </c>
      <c r="I98" t="str">
        <f>"ACCT#011033/IT DEPT"</f>
        <v>ACCT#011033/IT DEPT</v>
      </c>
    </row>
    <row r="99" spans="1:9" x14ac:dyDescent="0.25">
      <c r="A99" t="str">
        <f>""</f>
        <v/>
      </c>
      <c r="F99" t="str">
        <f>"201804100213"</f>
        <v>201804100213</v>
      </c>
      <c r="G99" t="str">
        <f>"ACCT#010057/AUDITOR"</f>
        <v>ACCT#010057/AUDITOR</v>
      </c>
      <c r="H99">
        <v>25.5</v>
      </c>
      <c r="I99" t="str">
        <f>"ACCT#010057/AUDITOR"</f>
        <v>ACCT#010057/AUDITOR</v>
      </c>
    </row>
    <row r="100" spans="1:9" x14ac:dyDescent="0.25">
      <c r="A100" t="str">
        <f>""</f>
        <v/>
      </c>
      <c r="F100" t="str">
        <f>"201804100214"</f>
        <v>201804100214</v>
      </c>
      <c r="G100" t="str">
        <f>"ACCT#015476/PURCHASING DEPT"</f>
        <v>ACCT#015476/PURCHASING DEPT</v>
      </c>
      <c r="H100">
        <v>10.49</v>
      </c>
      <c r="I100" t="str">
        <f>"ACCT#015476/PURCHASING DEPT"</f>
        <v>ACCT#015476/PURCHASING DEPT</v>
      </c>
    </row>
    <row r="101" spans="1:9" x14ac:dyDescent="0.25">
      <c r="A101" t="str">
        <f>""</f>
        <v/>
      </c>
      <c r="F101" t="str">
        <f>"201804100215"</f>
        <v>201804100215</v>
      </c>
      <c r="G101" t="str">
        <f>"ACCT#015199/JP#1"</f>
        <v>ACCT#015199/JP#1</v>
      </c>
      <c r="H101">
        <v>19.489999999999998</v>
      </c>
      <c r="I101" t="str">
        <f>"ACCT#015199/JP#1"</f>
        <v>ACCT#015199/JP#1</v>
      </c>
    </row>
    <row r="102" spans="1:9" x14ac:dyDescent="0.25">
      <c r="A102" t="str">
        <f>""</f>
        <v/>
      </c>
      <c r="F102" t="str">
        <f>"201804100216"</f>
        <v>201804100216</v>
      </c>
      <c r="G102" t="str">
        <f>"ACCT#012260/DA'S OFFICE"</f>
        <v>ACCT#012260/DA'S OFFICE</v>
      </c>
      <c r="H102">
        <v>67.5</v>
      </c>
      <c r="I102" t="str">
        <f>"ACCT#012260/DA'S OFFICE"</f>
        <v>ACCT#012260/DA'S OFFICE</v>
      </c>
    </row>
    <row r="103" spans="1:9" x14ac:dyDescent="0.25">
      <c r="A103" t="str">
        <f>""</f>
        <v/>
      </c>
      <c r="F103" t="str">
        <f>"201804100217"</f>
        <v>201804100217</v>
      </c>
      <c r="G103" t="str">
        <f>"ACCT#010238/GEN SVCS"</f>
        <v>ACCT#010238/GEN SVCS</v>
      </c>
      <c r="H103">
        <v>81.75</v>
      </c>
      <c r="I103" t="str">
        <f>"ACCT#010238/GEN SVCS"</f>
        <v>ACCT#010238/GEN SVCS</v>
      </c>
    </row>
    <row r="104" spans="1:9" x14ac:dyDescent="0.25">
      <c r="A104" t="str">
        <f>""</f>
        <v/>
      </c>
      <c r="F104" t="str">
        <f>"201804100219"</f>
        <v>201804100219</v>
      </c>
      <c r="G104" t="str">
        <f>"ACCT#012259/DIST CLERK"</f>
        <v>ACCT#012259/DIST CLERK</v>
      </c>
      <c r="H104">
        <v>49.5</v>
      </c>
      <c r="I104" t="str">
        <f>"ACCT#012259/DIST CLERK"</f>
        <v>ACCT#012259/DIST CLERK</v>
      </c>
    </row>
    <row r="105" spans="1:9" x14ac:dyDescent="0.25">
      <c r="A105" t="str">
        <f>""</f>
        <v/>
      </c>
      <c r="F105" t="str">
        <f>"201804100220"</f>
        <v>201804100220</v>
      </c>
      <c r="G105" t="str">
        <f>"ACCT#011474/ELECTIONS"</f>
        <v>ACCT#011474/ELECTIONS</v>
      </c>
      <c r="H105">
        <v>32.5</v>
      </c>
      <c r="I105" t="str">
        <f>"ACCT#011474/ELECTIONS"</f>
        <v>ACCT#011474/ELECTIONS</v>
      </c>
    </row>
    <row r="106" spans="1:9" x14ac:dyDescent="0.25">
      <c r="A106" t="str">
        <f>""</f>
        <v/>
      </c>
      <c r="F106" t="str">
        <f>"201804100221"</f>
        <v>201804100221</v>
      </c>
      <c r="G106" t="str">
        <f>"ACCT#010111/CCAL-BASTROP"</f>
        <v>ACCT#010111/CCAL-BASTROP</v>
      </c>
      <c r="H106">
        <v>13</v>
      </c>
      <c r="I106" t="str">
        <f>"ACCT#010111/CCAL-BASTROP"</f>
        <v>ACCT#010111/CCAL-BASTROP</v>
      </c>
    </row>
    <row r="107" spans="1:9" x14ac:dyDescent="0.25">
      <c r="A107" t="str">
        <f>""</f>
        <v/>
      </c>
      <c r="F107" t="str">
        <f>"201804100224"</f>
        <v>201804100224</v>
      </c>
      <c r="G107" t="str">
        <f>"ACCT#010149/AGRI LIFE EXT"</f>
        <v>ACCT#010149/AGRI LIFE EXT</v>
      </c>
      <c r="H107">
        <v>39.99</v>
      </c>
      <c r="I107" t="str">
        <f>"ACCT#010149/AGRI LIFE EXT"</f>
        <v>ACCT#010149/AGRI LIFE EXT</v>
      </c>
    </row>
    <row r="108" spans="1:9" x14ac:dyDescent="0.25">
      <c r="A108" t="str">
        <f>""</f>
        <v/>
      </c>
      <c r="F108" t="str">
        <f>"201804100225"</f>
        <v>201804100225</v>
      </c>
      <c r="G108" t="str">
        <f>"ACCT#012231/DIST JUDGE OFFICE"</f>
        <v>ACCT#012231/DIST JUDGE OFFICE</v>
      </c>
      <c r="H108">
        <v>4</v>
      </c>
      <c r="I108" t="str">
        <f>"ACCT#012231/DIST JUDGE OFFICE"</f>
        <v>ACCT#012231/DIST JUDGE OFFICE</v>
      </c>
    </row>
    <row r="109" spans="1:9" x14ac:dyDescent="0.25">
      <c r="A109" t="str">
        <f>""</f>
        <v/>
      </c>
      <c r="F109" t="str">
        <f>"201804100227"</f>
        <v>201804100227</v>
      </c>
      <c r="G109" t="str">
        <f>"ACCT#010602/COMMISSIONERS OFF"</f>
        <v>ACCT#010602/COMMISSIONERS OFF</v>
      </c>
      <c r="H109">
        <v>67.5</v>
      </c>
      <c r="I109" t="str">
        <f>"ACCT#010602/COMMISSIONERS OFF"</f>
        <v>ACCT#010602/COMMISSIONERS OFF</v>
      </c>
    </row>
    <row r="110" spans="1:9" x14ac:dyDescent="0.25">
      <c r="A110" t="str">
        <f>""</f>
        <v/>
      </c>
      <c r="F110" t="str">
        <f>"201804100228"</f>
        <v>201804100228</v>
      </c>
      <c r="G110" t="str">
        <f>"ACCT#012803/JUDGE"</f>
        <v>ACCT#012803/JUDGE</v>
      </c>
      <c r="H110">
        <v>16.5</v>
      </c>
      <c r="I110" t="str">
        <f>"ACCT#012803/JUDGE"</f>
        <v>ACCT#012803/JUDGE</v>
      </c>
    </row>
    <row r="111" spans="1:9" x14ac:dyDescent="0.25">
      <c r="A111" t="str">
        <f>""</f>
        <v/>
      </c>
      <c r="F111" t="str">
        <f>"201804110244"</f>
        <v>201804110244</v>
      </c>
      <c r="G111" t="str">
        <f>"ACCT#013393/HUMAN RESOURCES"</f>
        <v>ACCT#013393/HUMAN RESOURCES</v>
      </c>
      <c r="H111">
        <v>32.5</v>
      </c>
      <c r="I111" t="str">
        <f>"ACCT#013393/HUMAN RESOURCES"</f>
        <v>ACCT#013393/HUMAN RESOURCES</v>
      </c>
    </row>
    <row r="112" spans="1:9" x14ac:dyDescent="0.25">
      <c r="A112" t="str">
        <f>""</f>
        <v/>
      </c>
      <c r="F112" t="str">
        <f>"201804160369"</f>
        <v>201804160369</v>
      </c>
      <c r="G112" t="str">
        <f>"ACCT#012571/TREASURER"</f>
        <v>ACCT#012571/TREASURER</v>
      </c>
      <c r="H112">
        <v>24</v>
      </c>
      <c r="I112" t="str">
        <f>"ACCT#012571/TREASURER"</f>
        <v>ACCT#012571/TREASURER</v>
      </c>
    </row>
    <row r="113" spans="1:9" x14ac:dyDescent="0.25">
      <c r="A113" t="str">
        <f>""</f>
        <v/>
      </c>
      <c r="F113" t="str">
        <f>"201804170384"</f>
        <v>201804170384</v>
      </c>
      <c r="G113" t="str">
        <f>"ACCT#014737/ANIMAL SERVICE"</f>
        <v>ACCT#014737/ANIMAL SERVICE</v>
      </c>
      <c r="H113">
        <v>56.49</v>
      </c>
      <c r="I113" t="str">
        <f>"ACCT#014737/ANIMAL SERVICE"</f>
        <v>ACCT#014737/ANIMAL SERVICE</v>
      </c>
    </row>
    <row r="114" spans="1:9" x14ac:dyDescent="0.25">
      <c r="A114" t="str">
        <f>""</f>
        <v/>
      </c>
      <c r="F114" t="str">
        <f>"201804170385"</f>
        <v>201804170385</v>
      </c>
      <c r="G114" t="str">
        <f>"ACCT#014877/OEM"</f>
        <v>ACCT#014877/OEM</v>
      </c>
      <c r="H114">
        <v>9</v>
      </c>
      <c r="I114" t="str">
        <f>"ACCT#014877/OEM"</f>
        <v>ACCT#014877/OEM</v>
      </c>
    </row>
    <row r="115" spans="1:9" x14ac:dyDescent="0.25">
      <c r="A115" t="str">
        <f>""</f>
        <v/>
      </c>
      <c r="F115" t="str">
        <f>""</f>
        <v/>
      </c>
      <c r="G115" t="str">
        <f>""</f>
        <v/>
      </c>
      <c r="I115" t="str">
        <f>"ACCT#014877/OEM"</f>
        <v>ACCT#014877/OEM</v>
      </c>
    </row>
    <row r="116" spans="1:9" x14ac:dyDescent="0.25">
      <c r="A116" t="str">
        <f>"AWS"</f>
        <v>AWS</v>
      </c>
      <c r="B116" t="s">
        <v>36</v>
      </c>
      <c r="C116">
        <v>75987</v>
      </c>
      <c r="D116" s="2">
        <v>1297.48</v>
      </c>
      <c r="E116" s="1">
        <v>43195</v>
      </c>
      <c r="F116" t="str">
        <f>"201804050000"</f>
        <v>201804050000</v>
      </c>
      <c r="G116" t="str">
        <f>"ACCT#0800042801 / 04012018"</f>
        <v>ACCT#0800042801 / 04012018</v>
      </c>
      <c r="H116">
        <v>35.33</v>
      </c>
      <c r="I116" t="str">
        <f>"ACCT#0800042801 / 04012018"</f>
        <v>ACCT#0800042801 / 04012018</v>
      </c>
    </row>
    <row r="117" spans="1:9" x14ac:dyDescent="0.25">
      <c r="A117" t="str">
        <f>""</f>
        <v/>
      </c>
      <c r="F117" t="str">
        <f>"201804059995"</f>
        <v>201804059995</v>
      </c>
      <c r="G117" t="str">
        <f>"ACCT#0102120801 / 04012018"</f>
        <v>ACCT#0102120801 / 04012018</v>
      </c>
      <c r="H117">
        <v>555.85</v>
      </c>
      <c r="I117" t="str">
        <f>"ACCT#0102120801 / 04012018"</f>
        <v>ACCT#0102120801 / 04012018</v>
      </c>
    </row>
    <row r="118" spans="1:9" x14ac:dyDescent="0.25">
      <c r="A118" t="str">
        <f>""</f>
        <v/>
      </c>
      <c r="F118" t="str">
        <f>"201804059996"</f>
        <v>201804059996</v>
      </c>
      <c r="G118" t="str">
        <f>"ACCT#0201855301 / 04012018"</f>
        <v>ACCT#0201855301 / 04012018</v>
      </c>
      <c r="H118">
        <v>30.69</v>
      </c>
      <c r="I118" t="str">
        <f>"ACCT#0201855301 / 04012018"</f>
        <v>ACCT#0201855301 / 04012018</v>
      </c>
    </row>
    <row r="119" spans="1:9" x14ac:dyDescent="0.25">
      <c r="A119" t="str">
        <f>""</f>
        <v/>
      </c>
      <c r="F119" t="str">
        <f>"201804059997"</f>
        <v>201804059997</v>
      </c>
      <c r="G119" t="str">
        <f>"ACCT#0201891401 / 04012018"</f>
        <v>ACCT#0201891401 / 04012018</v>
      </c>
      <c r="H119">
        <v>26.05</v>
      </c>
      <c r="I119" t="str">
        <f>"ACCT#0201891401 / 04012018"</f>
        <v>ACCT#0201891401 / 04012018</v>
      </c>
    </row>
    <row r="120" spans="1:9" x14ac:dyDescent="0.25">
      <c r="A120" t="str">
        <f>""</f>
        <v/>
      </c>
      <c r="F120" t="str">
        <f>"201804059998"</f>
        <v>201804059998</v>
      </c>
      <c r="G120" t="str">
        <f>"ACCT#0400785803 / 04012018"</f>
        <v>ACCT#0400785803 / 04012018</v>
      </c>
      <c r="H120">
        <v>210.4</v>
      </c>
      <c r="I120" t="str">
        <f>"ACCT#0400785803 / 04012018"</f>
        <v>ACCT#0400785803 / 04012018</v>
      </c>
    </row>
    <row r="121" spans="1:9" x14ac:dyDescent="0.25">
      <c r="A121" t="str">
        <f>""</f>
        <v/>
      </c>
      <c r="F121" t="str">
        <f>"201804059999"</f>
        <v>201804059999</v>
      </c>
      <c r="G121" t="str">
        <f>"ACCT#0401408501 / 04012018"</f>
        <v>ACCT#0401408501 / 04012018</v>
      </c>
      <c r="H121">
        <v>439.16</v>
      </c>
      <c r="I121" t="str">
        <f>"ACCT#0401408501 / 04012018"</f>
        <v>ACCT#0401408501 / 04012018</v>
      </c>
    </row>
    <row r="122" spans="1:9" x14ac:dyDescent="0.25">
      <c r="A122" t="str">
        <f>"AWS"</f>
        <v>AWS</v>
      </c>
      <c r="B122" t="s">
        <v>36</v>
      </c>
      <c r="C122">
        <v>76212</v>
      </c>
      <c r="D122" s="2">
        <v>51.25</v>
      </c>
      <c r="E122" s="1">
        <v>43213</v>
      </c>
      <c r="F122" t="str">
        <f>"201804110249"</f>
        <v>201804110249</v>
      </c>
      <c r="G122" t="str">
        <f>"ACCT#7700010024/3 LDS WATER/P1"</f>
        <v>ACCT#7700010024/3 LDS WATER/P1</v>
      </c>
      <c r="H122">
        <v>30.75</v>
      </c>
      <c r="I122" t="str">
        <f>"ACCT#7700010024/3 LDS WATER/P1"</f>
        <v>ACCT#7700010024/3 LDS WATER/P1</v>
      </c>
    </row>
    <row r="123" spans="1:9" x14ac:dyDescent="0.25">
      <c r="A123" t="str">
        <f>""</f>
        <v/>
      </c>
      <c r="F123" t="str">
        <f>"201804120286"</f>
        <v>201804120286</v>
      </c>
      <c r="G123" t="str">
        <f>"ACCT#7700010025/2 LDS WTR MAR"</f>
        <v>ACCT#7700010025/2 LDS WTR MAR</v>
      </c>
      <c r="H123">
        <v>20.5</v>
      </c>
      <c r="I123" t="str">
        <f>"ACCT#7700010025/2 LDS WTR MAR"</f>
        <v>ACCT#7700010025/2 LDS WTR MAR</v>
      </c>
    </row>
    <row r="124" spans="1:9" x14ac:dyDescent="0.25">
      <c r="A124" t="str">
        <f>"000987"</f>
        <v>000987</v>
      </c>
      <c r="B124" t="s">
        <v>37</v>
      </c>
      <c r="C124">
        <v>75998</v>
      </c>
      <c r="D124" s="2">
        <v>183.67</v>
      </c>
      <c r="E124" s="1">
        <v>43199</v>
      </c>
      <c r="F124" t="str">
        <f>"201804049940"</f>
        <v>201804049940</v>
      </c>
      <c r="G124" t="str">
        <f>"INDIGENT HEALTH"</f>
        <v>INDIGENT HEALTH</v>
      </c>
      <c r="H124">
        <v>183.67</v>
      </c>
      <c r="I124" t="str">
        <f>"INDIGENT HEALTH"</f>
        <v>INDIGENT HEALTH</v>
      </c>
    </row>
    <row r="125" spans="1:9" x14ac:dyDescent="0.25">
      <c r="A125" t="str">
        <f>"001114"</f>
        <v>001114</v>
      </c>
      <c r="B125" t="s">
        <v>38</v>
      </c>
      <c r="C125">
        <v>999999</v>
      </c>
      <c r="D125" s="2">
        <v>1350</v>
      </c>
      <c r="E125" s="1">
        <v>43200</v>
      </c>
      <c r="F125" t="str">
        <f>"198672"</f>
        <v>198672</v>
      </c>
      <c r="G125" t="str">
        <f>"INV 198672"</f>
        <v>INV 198672</v>
      </c>
      <c r="H125">
        <v>1350</v>
      </c>
      <c r="I125" t="str">
        <f>"INV 198672"</f>
        <v>INV 198672</v>
      </c>
    </row>
    <row r="126" spans="1:9" x14ac:dyDescent="0.25">
      <c r="A126" t="str">
        <f>"001114"</f>
        <v>001114</v>
      </c>
      <c r="B126" t="s">
        <v>38</v>
      </c>
      <c r="C126">
        <v>999999</v>
      </c>
      <c r="D126" s="2">
        <v>1800</v>
      </c>
      <c r="E126" s="1">
        <v>43214</v>
      </c>
      <c r="F126" t="str">
        <f>"198765"</f>
        <v>198765</v>
      </c>
      <c r="G126" t="str">
        <f>"INV 198765"</f>
        <v>INV 198765</v>
      </c>
      <c r="H126">
        <v>1800</v>
      </c>
      <c r="I126" t="str">
        <f>"INV 198765"</f>
        <v>INV 198765</v>
      </c>
    </row>
    <row r="127" spans="1:9" x14ac:dyDescent="0.25">
      <c r="A127" t="str">
        <f>"002029"</f>
        <v>002029</v>
      </c>
      <c r="B127" t="s">
        <v>39</v>
      </c>
      <c r="C127">
        <v>76213</v>
      </c>
      <c r="D127" s="2">
        <v>105</v>
      </c>
      <c r="E127" s="1">
        <v>43213</v>
      </c>
      <c r="F127" t="str">
        <f>"PER DIEM"</f>
        <v>PER DIEM</v>
      </c>
      <c r="G127" t="str">
        <f>"PER DIEM"</f>
        <v>PER DIEM</v>
      </c>
      <c r="H127">
        <v>105</v>
      </c>
      <c r="I127" t="str">
        <f>"PER DIEM"</f>
        <v>PER DIEM</v>
      </c>
    </row>
    <row r="128" spans="1:9" x14ac:dyDescent="0.25">
      <c r="A128" t="str">
        <f>"003672"</f>
        <v>003672</v>
      </c>
      <c r="B128" t="s">
        <v>40</v>
      </c>
      <c r="C128">
        <v>76214</v>
      </c>
      <c r="D128" s="2">
        <v>31036</v>
      </c>
      <c r="E128" s="1">
        <v>43213</v>
      </c>
      <c r="F128" t="str">
        <f>"14665"</f>
        <v>14665</v>
      </c>
      <c r="G128" t="str">
        <f>"BC JAN/FEB ADV"</f>
        <v>BC JAN/FEB ADV</v>
      </c>
      <c r="H128">
        <v>19986</v>
      </c>
      <c r="I128" t="str">
        <f>"BC JAN/FEB ADV"</f>
        <v>BC JAN/FEB ADV</v>
      </c>
    </row>
    <row r="129" spans="1:9" x14ac:dyDescent="0.25">
      <c r="A129" t="str">
        <f>""</f>
        <v/>
      </c>
      <c r="F129" t="str">
        <f>"14666"</f>
        <v>14666</v>
      </c>
      <c r="G129" t="str">
        <f>"BC PRO SERV JAN/FEB ADV"</f>
        <v>BC PRO SERV JAN/FEB ADV</v>
      </c>
      <c r="H129">
        <v>11050</v>
      </c>
      <c r="I129" t="str">
        <f>"BC PRO SERV JAN/FEB ADV"</f>
        <v>BC PRO SERV JAN/FEB ADV</v>
      </c>
    </row>
    <row r="130" spans="1:9" x14ac:dyDescent="0.25">
      <c r="A130" t="str">
        <f>"003413"</f>
        <v>003413</v>
      </c>
      <c r="B130" t="s">
        <v>41</v>
      </c>
      <c r="C130">
        <v>75999</v>
      </c>
      <c r="D130" s="2">
        <v>5</v>
      </c>
      <c r="E130" s="1">
        <v>43199</v>
      </c>
      <c r="F130" t="str">
        <f>"201803279749"</f>
        <v>201803279749</v>
      </c>
      <c r="G130" t="str">
        <f>"FERAL HOGS"</f>
        <v>FERAL HOGS</v>
      </c>
      <c r="H130">
        <v>5</v>
      </c>
      <c r="I130" t="str">
        <f>"FERAL HOGS"</f>
        <v>FERAL HOGS</v>
      </c>
    </row>
    <row r="131" spans="1:9" x14ac:dyDescent="0.25">
      <c r="A131" t="str">
        <f>"003673"</f>
        <v>003673</v>
      </c>
      <c r="B131" t="s">
        <v>42</v>
      </c>
      <c r="C131">
        <v>76000</v>
      </c>
      <c r="D131" s="2">
        <v>5119.2</v>
      </c>
      <c r="E131" s="1">
        <v>43199</v>
      </c>
      <c r="F131" t="str">
        <f>"201803289789"</f>
        <v>201803289789</v>
      </c>
      <c r="G131" t="str">
        <f>"ACCT#512A49-0048 193 3"</f>
        <v>ACCT#512A49-0048 193 3</v>
      </c>
      <c r="H131">
        <v>4556.58</v>
      </c>
      <c r="I131" t="str">
        <f>"ACCT#512A49-0048 193 3"</f>
        <v>ACCT#512A49-0048 193 3</v>
      </c>
    </row>
    <row r="132" spans="1:9" x14ac:dyDescent="0.25">
      <c r="A132" t="str">
        <f>""</f>
        <v/>
      </c>
      <c r="F132" t="str">
        <f>""</f>
        <v/>
      </c>
      <c r="G132" t="str">
        <f>""</f>
        <v/>
      </c>
      <c r="I132" t="str">
        <f>"ACCT#512A49-0048 193 3"</f>
        <v>ACCT#512A49-0048 193 3</v>
      </c>
    </row>
    <row r="133" spans="1:9" x14ac:dyDescent="0.25">
      <c r="A133" t="str">
        <f>""</f>
        <v/>
      </c>
      <c r="F133" t="str">
        <f>"201803289790"</f>
        <v>201803289790</v>
      </c>
      <c r="G133" t="str">
        <f>"ACCT#512A49-0048 193 3"</f>
        <v>ACCT#512A49-0048 193 3</v>
      </c>
      <c r="H133">
        <v>181.42</v>
      </c>
      <c r="I133" t="str">
        <f>"ACCT#512A49-0048 193 3"</f>
        <v>ACCT#512A49-0048 193 3</v>
      </c>
    </row>
    <row r="134" spans="1:9" x14ac:dyDescent="0.25">
      <c r="A134" t="str">
        <f>""</f>
        <v/>
      </c>
      <c r="F134" t="str">
        <f>"201803289791"</f>
        <v>201803289791</v>
      </c>
      <c r="G134" t="str">
        <f>"ACCT#512A49-0048 193 3"</f>
        <v>ACCT#512A49-0048 193 3</v>
      </c>
      <c r="H134">
        <v>136.01</v>
      </c>
      <c r="I134" t="str">
        <f>"ACCT#512A49-0048 193 3"</f>
        <v>ACCT#512A49-0048 193 3</v>
      </c>
    </row>
    <row r="135" spans="1:9" x14ac:dyDescent="0.25">
      <c r="A135" t="str">
        <f>""</f>
        <v/>
      </c>
      <c r="F135" t="str">
        <f>"201803289793"</f>
        <v>201803289793</v>
      </c>
      <c r="G135" t="str">
        <f>"ACCT#512A49-0048 193 3/PCT#2"</f>
        <v>ACCT#512A49-0048 193 3/PCT#2</v>
      </c>
      <c r="H135">
        <v>245.19</v>
      </c>
      <c r="I135" t="str">
        <f>"ACCT#512A49-0048 193 3/PCT#2"</f>
        <v>ACCT#512A49-0048 193 3/PCT#2</v>
      </c>
    </row>
    <row r="136" spans="1:9" x14ac:dyDescent="0.25">
      <c r="A136" t="str">
        <f>"AT&amp;TLO"</f>
        <v>AT&amp;TLO</v>
      </c>
      <c r="B136" t="s">
        <v>43</v>
      </c>
      <c r="C136">
        <v>76215</v>
      </c>
      <c r="D136" s="2">
        <v>13307.74</v>
      </c>
      <c r="E136" s="1">
        <v>43213</v>
      </c>
      <c r="F136" t="str">
        <f>"201804100232"</f>
        <v>201804100232</v>
      </c>
      <c r="G136" t="str">
        <f>"ACCT#287263291654/PCT#2"</f>
        <v>ACCT#287263291654/PCT#2</v>
      </c>
      <c r="H136">
        <v>597.04999999999995</v>
      </c>
      <c r="I136" t="str">
        <f>"ACCT#287263291654/PCT#2"</f>
        <v>ACCT#287263291654/PCT#2</v>
      </c>
    </row>
    <row r="137" spans="1:9" x14ac:dyDescent="0.25">
      <c r="A137" t="str">
        <f>""</f>
        <v/>
      </c>
      <c r="F137" t="str">
        <f>"201804100234"</f>
        <v>201804100234</v>
      </c>
      <c r="G137" t="str">
        <f>"ACCT#287263291654/PCT#4"</f>
        <v>ACCT#287263291654/PCT#4</v>
      </c>
      <c r="H137">
        <v>143.96</v>
      </c>
      <c r="I137" t="str">
        <f>"ACCT#287263291654/PCT#4"</f>
        <v>ACCT#287263291654/PCT#4</v>
      </c>
    </row>
    <row r="138" spans="1:9" x14ac:dyDescent="0.25">
      <c r="A138" t="str">
        <f>""</f>
        <v/>
      </c>
      <c r="F138" t="str">
        <f>"201804100236"</f>
        <v>201804100236</v>
      </c>
      <c r="G138" t="str">
        <f>"ACCT#287263291654"</f>
        <v>ACCT#287263291654</v>
      </c>
      <c r="H138">
        <v>151.96</v>
      </c>
      <c r="I138" t="str">
        <f t="shared" ref="I138:I153" si="6">"ACCT#287263291654"</f>
        <v>ACCT#287263291654</v>
      </c>
    </row>
    <row r="139" spans="1:9" x14ac:dyDescent="0.25">
      <c r="A139" t="str">
        <f>""</f>
        <v/>
      </c>
      <c r="F139" t="str">
        <f>"201804100237"</f>
        <v>201804100237</v>
      </c>
      <c r="G139" t="str">
        <f>"ACCT#287263291654"</f>
        <v>ACCT#287263291654</v>
      </c>
      <c r="H139">
        <v>6621.89</v>
      </c>
      <c r="I139" t="str">
        <f t="shared" si="6"/>
        <v>ACCT#287263291654</v>
      </c>
    </row>
    <row r="140" spans="1:9" x14ac:dyDescent="0.25">
      <c r="A140" t="str">
        <f>""</f>
        <v/>
      </c>
      <c r="F140" t="str">
        <f>""</f>
        <v/>
      </c>
      <c r="G140" t="str">
        <f>""</f>
        <v/>
      </c>
      <c r="I140" t="str">
        <f t="shared" si="6"/>
        <v>ACCT#287263291654</v>
      </c>
    </row>
    <row r="141" spans="1:9" x14ac:dyDescent="0.25">
      <c r="A141" t="str">
        <f>""</f>
        <v/>
      </c>
      <c r="F141" t="str">
        <f>""</f>
        <v/>
      </c>
      <c r="G141" t="str">
        <f>""</f>
        <v/>
      </c>
      <c r="I141" t="str">
        <f t="shared" si="6"/>
        <v>ACCT#287263291654</v>
      </c>
    </row>
    <row r="142" spans="1:9" x14ac:dyDescent="0.25">
      <c r="A142" t="str">
        <f>""</f>
        <v/>
      </c>
      <c r="F142" t="str">
        <f>""</f>
        <v/>
      </c>
      <c r="G142" t="str">
        <f>""</f>
        <v/>
      </c>
      <c r="I142" t="str">
        <f t="shared" si="6"/>
        <v>ACCT#287263291654</v>
      </c>
    </row>
    <row r="143" spans="1:9" x14ac:dyDescent="0.25">
      <c r="A143" t="str">
        <f>""</f>
        <v/>
      </c>
      <c r="F143" t="str">
        <f>""</f>
        <v/>
      </c>
      <c r="G143" t="str">
        <f>""</f>
        <v/>
      </c>
      <c r="I143" t="str">
        <f t="shared" si="6"/>
        <v>ACCT#287263291654</v>
      </c>
    </row>
    <row r="144" spans="1:9" x14ac:dyDescent="0.25">
      <c r="A144" t="str">
        <f>""</f>
        <v/>
      </c>
      <c r="F144" t="str">
        <f>""</f>
        <v/>
      </c>
      <c r="G144" t="str">
        <f>""</f>
        <v/>
      </c>
      <c r="I144" t="str">
        <f t="shared" si="6"/>
        <v>ACCT#287263291654</v>
      </c>
    </row>
    <row r="145" spans="1:9" x14ac:dyDescent="0.25">
      <c r="A145" t="str">
        <f>""</f>
        <v/>
      </c>
      <c r="F145" t="str">
        <f>""</f>
        <v/>
      </c>
      <c r="G145" t="str">
        <f>""</f>
        <v/>
      </c>
      <c r="I145" t="str">
        <f t="shared" si="6"/>
        <v>ACCT#287263291654</v>
      </c>
    </row>
    <row r="146" spans="1:9" x14ac:dyDescent="0.25">
      <c r="A146" t="str">
        <f>""</f>
        <v/>
      </c>
      <c r="F146" t="str">
        <f>""</f>
        <v/>
      </c>
      <c r="G146" t="str">
        <f>""</f>
        <v/>
      </c>
      <c r="I146" t="str">
        <f t="shared" si="6"/>
        <v>ACCT#287263291654</v>
      </c>
    </row>
    <row r="147" spans="1:9" x14ac:dyDescent="0.25">
      <c r="A147" t="str">
        <f>""</f>
        <v/>
      </c>
      <c r="F147" t="str">
        <f>""</f>
        <v/>
      </c>
      <c r="G147" t="str">
        <f>""</f>
        <v/>
      </c>
      <c r="I147" t="str">
        <f t="shared" si="6"/>
        <v>ACCT#287263291654</v>
      </c>
    </row>
    <row r="148" spans="1:9" x14ac:dyDescent="0.25">
      <c r="A148" t="str">
        <f>""</f>
        <v/>
      </c>
      <c r="F148" t="str">
        <f>""</f>
        <v/>
      </c>
      <c r="G148" t="str">
        <f>""</f>
        <v/>
      </c>
      <c r="I148" t="str">
        <f t="shared" si="6"/>
        <v>ACCT#287263291654</v>
      </c>
    </row>
    <row r="149" spans="1:9" x14ac:dyDescent="0.25">
      <c r="A149" t="str">
        <f>""</f>
        <v/>
      </c>
      <c r="F149" t="str">
        <f>""</f>
        <v/>
      </c>
      <c r="G149" t="str">
        <f>""</f>
        <v/>
      </c>
      <c r="I149" t="str">
        <f t="shared" si="6"/>
        <v>ACCT#287263291654</v>
      </c>
    </row>
    <row r="150" spans="1:9" x14ac:dyDescent="0.25">
      <c r="A150" t="str">
        <f>""</f>
        <v/>
      </c>
      <c r="F150" t="str">
        <f>""</f>
        <v/>
      </c>
      <c r="G150" t="str">
        <f>""</f>
        <v/>
      </c>
      <c r="I150" t="str">
        <f t="shared" si="6"/>
        <v>ACCT#287263291654</v>
      </c>
    </row>
    <row r="151" spans="1:9" x14ac:dyDescent="0.25">
      <c r="A151" t="str">
        <f>""</f>
        <v/>
      </c>
      <c r="F151" t="str">
        <f>""</f>
        <v/>
      </c>
      <c r="G151" t="str">
        <f>""</f>
        <v/>
      </c>
      <c r="I151" t="str">
        <f t="shared" si="6"/>
        <v>ACCT#287263291654</v>
      </c>
    </row>
    <row r="152" spans="1:9" x14ac:dyDescent="0.25">
      <c r="A152" t="str">
        <f>""</f>
        <v/>
      </c>
      <c r="F152" t="str">
        <f>""</f>
        <v/>
      </c>
      <c r="G152" t="str">
        <f>""</f>
        <v/>
      </c>
      <c r="I152" t="str">
        <f t="shared" si="6"/>
        <v>ACCT#287263291654</v>
      </c>
    </row>
    <row r="153" spans="1:9" x14ac:dyDescent="0.25">
      <c r="A153" t="str">
        <f>""</f>
        <v/>
      </c>
      <c r="F153" t="str">
        <f>""</f>
        <v/>
      </c>
      <c r="G153" t="str">
        <f>""</f>
        <v/>
      </c>
      <c r="I153" t="str">
        <f t="shared" si="6"/>
        <v>ACCT#287263291654</v>
      </c>
    </row>
    <row r="154" spans="1:9" x14ac:dyDescent="0.25">
      <c r="A154" t="str">
        <f>""</f>
        <v/>
      </c>
      <c r="F154" t="str">
        <f>"201804110239"</f>
        <v>201804110239</v>
      </c>
      <c r="G154" t="str">
        <f>"ACCT#831-000-6084 095"</f>
        <v>ACCT#831-000-6084 095</v>
      </c>
      <c r="H154">
        <v>3811.58</v>
      </c>
      <c r="I154" t="str">
        <f>"ACCT#831-000-6084 095"</f>
        <v>ACCT#831-000-6084 095</v>
      </c>
    </row>
    <row r="155" spans="1:9" x14ac:dyDescent="0.25">
      <c r="A155" t="str">
        <f>""</f>
        <v/>
      </c>
      <c r="F155" t="str">
        <f>"201804110240"</f>
        <v>201804110240</v>
      </c>
      <c r="G155" t="str">
        <f>"ACCT#831-000-7218 923"</f>
        <v>ACCT#831-000-7218 923</v>
      </c>
      <c r="H155">
        <v>1981.3</v>
      </c>
      <c r="I155" t="str">
        <f>"ACCT#831-000-7218 923"</f>
        <v>ACCT#831-000-7218 923</v>
      </c>
    </row>
    <row r="156" spans="1:9" x14ac:dyDescent="0.25">
      <c r="A156" t="str">
        <f>"AT&amp;TMO"</f>
        <v>AT&amp;TMO</v>
      </c>
      <c r="B156" t="s">
        <v>44</v>
      </c>
      <c r="C156">
        <v>76001</v>
      </c>
      <c r="D156" s="2">
        <v>2598.86</v>
      </c>
      <c r="E156" s="1">
        <v>43199</v>
      </c>
      <c r="F156" t="str">
        <f>"287263291729X03202"</f>
        <v>287263291729X03202</v>
      </c>
      <c r="G156" t="str">
        <f>"ACCT#287263291729/FAN 06062279"</f>
        <v>ACCT#287263291729/FAN 06062279</v>
      </c>
      <c r="H156">
        <v>1942.18</v>
      </c>
      <c r="I156" t="str">
        <f>"ACCT#287263291729/FAN 06062279"</f>
        <v>ACCT#287263291729/FAN 06062279</v>
      </c>
    </row>
    <row r="157" spans="1:9" x14ac:dyDescent="0.25">
      <c r="A157" t="str">
        <f>""</f>
        <v/>
      </c>
      <c r="F157" t="str">
        <f>"287280903541X02202"</f>
        <v>287280903541X02202</v>
      </c>
      <c r="G157" t="str">
        <f>"ACCT#287280903541/FAN 06062279"</f>
        <v>ACCT#287280903541/FAN 06062279</v>
      </c>
      <c r="H157">
        <v>656.68</v>
      </c>
      <c r="I157" t="str">
        <f>"ACCT#287280903541/FAN 06062279"</f>
        <v>ACCT#287280903541/FAN 06062279</v>
      </c>
    </row>
    <row r="158" spans="1:9" x14ac:dyDescent="0.25">
      <c r="A158" t="str">
        <f>"AT&amp;TMO"</f>
        <v>AT&amp;TMO</v>
      </c>
      <c r="B158" t="s">
        <v>44</v>
      </c>
      <c r="C158">
        <v>76216</v>
      </c>
      <c r="D158" s="2">
        <v>1900.58</v>
      </c>
      <c r="E158" s="1">
        <v>43213</v>
      </c>
      <c r="F158" t="str">
        <f>"201804120291"</f>
        <v>201804120291</v>
      </c>
      <c r="G158" t="str">
        <f>"ACCT#177071528640"</f>
        <v>ACCT#177071528640</v>
      </c>
      <c r="H158">
        <v>3.25</v>
      </c>
      <c r="I158" t="str">
        <f>"ACCT#177071528640"</f>
        <v>ACCT#177071528640</v>
      </c>
    </row>
    <row r="159" spans="1:9" x14ac:dyDescent="0.25">
      <c r="A159" t="str">
        <f>""</f>
        <v/>
      </c>
      <c r="F159" t="str">
        <f>"201804170380"</f>
        <v>201804170380</v>
      </c>
      <c r="G159" t="str">
        <f>"ACCT#287263291654/PCT#4"</f>
        <v>ACCT#287263291654/PCT#4</v>
      </c>
      <c r="H159">
        <v>35.99</v>
      </c>
      <c r="I159" t="str">
        <f>"ACCT#287263291654/PCT#4"</f>
        <v>ACCT#287263291654/PCT#4</v>
      </c>
    </row>
    <row r="160" spans="1:9" x14ac:dyDescent="0.25">
      <c r="A160" t="str">
        <f>""</f>
        <v/>
      </c>
      <c r="F160" t="str">
        <f>"FAN 06062279"</f>
        <v>FAN 06062279</v>
      </c>
      <c r="G160" t="str">
        <f>"ACCT#287263291654"</f>
        <v>ACCT#287263291654</v>
      </c>
      <c r="H160">
        <v>1630.8</v>
      </c>
      <c r="I160" t="str">
        <f t="shared" ref="I160:I174" si="7">"ACCT#287263291654"</f>
        <v>ACCT#287263291654</v>
      </c>
    </row>
    <row r="161" spans="1:9" x14ac:dyDescent="0.25">
      <c r="A161" t="str">
        <f>""</f>
        <v/>
      </c>
      <c r="F161" t="str">
        <f>""</f>
        <v/>
      </c>
      <c r="G161" t="str">
        <f>""</f>
        <v/>
      </c>
      <c r="I161" t="str">
        <f t="shared" si="7"/>
        <v>ACCT#287263291654</v>
      </c>
    </row>
    <row r="162" spans="1:9" x14ac:dyDescent="0.25">
      <c r="A162" t="str">
        <f>""</f>
        <v/>
      </c>
      <c r="F162" t="str">
        <f>""</f>
        <v/>
      </c>
      <c r="G162" t="str">
        <f>""</f>
        <v/>
      </c>
      <c r="I162" t="str">
        <f t="shared" si="7"/>
        <v>ACCT#287263291654</v>
      </c>
    </row>
    <row r="163" spans="1:9" x14ac:dyDescent="0.25">
      <c r="A163" t="str">
        <f>""</f>
        <v/>
      </c>
      <c r="F163" t="str">
        <f>""</f>
        <v/>
      </c>
      <c r="G163" t="str">
        <f>""</f>
        <v/>
      </c>
      <c r="I163" t="str">
        <f t="shared" si="7"/>
        <v>ACCT#287263291654</v>
      </c>
    </row>
    <row r="164" spans="1:9" x14ac:dyDescent="0.25">
      <c r="A164" t="str">
        <f>""</f>
        <v/>
      </c>
      <c r="F164" t="str">
        <f>""</f>
        <v/>
      </c>
      <c r="G164" t="str">
        <f>""</f>
        <v/>
      </c>
      <c r="I164" t="str">
        <f t="shared" si="7"/>
        <v>ACCT#287263291654</v>
      </c>
    </row>
    <row r="165" spans="1:9" x14ac:dyDescent="0.25">
      <c r="A165" t="str">
        <f>""</f>
        <v/>
      </c>
      <c r="F165" t="str">
        <f>""</f>
        <v/>
      </c>
      <c r="G165" t="str">
        <f>""</f>
        <v/>
      </c>
      <c r="I165" t="str">
        <f t="shared" si="7"/>
        <v>ACCT#287263291654</v>
      </c>
    </row>
    <row r="166" spans="1:9" x14ac:dyDescent="0.25">
      <c r="A166" t="str">
        <f>""</f>
        <v/>
      </c>
      <c r="F166" t="str">
        <f>""</f>
        <v/>
      </c>
      <c r="G166" t="str">
        <f>""</f>
        <v/>
      </c>
      <c r="I166" t="str">
        <f t="shared" si="7"/>
        <v>ACCT#287263291654</v>
      </c>
    </row>
    <row r="167" spans="1:9" x14ac:dyDescent="0.25">
      <c r="A167" t="str">
        <f>""</f>
        <v/>
      </c>
      <c r="F167" t="str">
        <f>""</f>
        <v/>
      </c>
      <c r="G167" t="str">
        <f>""</f>
        <v/>
      </c>
      <c r="I167" t="str">
        <f t="shared" si="7"/>
        <v>ACCT#287263291654</v>
      </c>
    </row>
    <row r="168" spans="1:9" x14ac:dyDescent="0.25">
      <c r="A168" t="str">
        <f>""</f>
        <v/>
      </c>
      <c r="F168" t="str">
        <f>""</f>
        <v/>
      </c>
      <c r="G168" t="str">
        <f>""</f>
        <v/>
      </c>
      <c r="I168" t="str">
        <f t="shared" si="7"/>
        <v>ACCT#287263291654</v>
      </c>
    </row>
    <row r="169" spans="1:9" x14ac:dyDescent="0.25">
      <c r="A169" t="str">
        <f>""</f>
        <v/>
      </c>
      <c r="F169" t="str">
        <f>""</f>
        <v/>
      </c>
      <c r="G169" t="str">
        <f>""</f>
        <v/>
      </c>
      <c r="I169" t="str">
        <f t="shared" si="7"/>
        <v>ACCT#287263291654</v>
      </c>
    </row>
    <row r="170" spans="1:9" x14ac:dyDescent="0.25">
      <c r="A170" t="str">
        <f>""</f>
        <v/>
      </c>
      <c r="F170" t="str">
        <f>""</f>
        <v/>
      </c>
      <c r="G170" t="str">
        <f>""</f>
        <v/>
      </c>
      <c r="I170" t="str">
        <f t="shared" si="7"/>
        <v>ACCT#287263291654</v>
      </c>
    </row>
    <row r="171" spans="1:9" x14ac:dyDescent="0.25">
      <c r="A171" t="str">
        <f>""</f>
        <v/>
      </c>
      <c r="F171" t="str">
        <f>""</f>
        <v/>
      </c>
      <c r="G171" t="str">
        <f>""</f>
        <v/>
      </c>
      <c r="I171" t="str">
        <f t="shared" si="7"/>
        <v>ACCT#287263291654</v>
      </c>
    </row>
    <row r="172" spans="1:9" x14ac:dyDescent="0.25">
      <c r="A172" t="str">
        <f>""</f>
        <v/>
      </c>
      <c r="F172" t="str">
        <f>""</f>
        <v/>
      </c>
      <c r="G172" t="str">
        <f>""</f>
        <v/>
      </c>
      <c r="I172" t="str">
        <f t="shared" si="7"/>
        <v>ACCT#287263291654</v>
      </c>
    </row>
    <row r="173" spans="1:9" x14ac:dyDescent="0.25">
      <c r="A173" t="str">
        <f>""</f>
        <v/>
      </c>
      <c r="F173" t="str">
        <f>""</f>
        <v/>
      </c>
      <c r="G173" t="str">
        <f>""</f>
        <v/>
      </c>
      <c r="I173" t="str">
        <f t="shared" si="7"/>
        <v>ACCT#287263291654</v>
      </c>
    </row>
    <row r="174" spans="1:9" x14ac:dyDescent="0.25">
      <c r="A174" t="str">
        <f>""</f>
        <v/>
      </c>
      <c r="F174" t="str">
        <f>""</f>
        <v/>
      </c>
      <c r="G174" t="str">
        <f>""</f>
        <v/>
      </c>
      <c r="I174" t="str">
        <f t="shared" si="7"/>
        <v>ACCT#287263291654</v>
      </c>
    </row>
    <row r="175" spans="1:9" x14ac:dyDescent="0.25">
      <c r="A175" t="str">
        <f>""</f>
        <v/>
      </c>
      <c r="F175" t="str">
        <f>"FAN 06062279 P2"</f>
        <v>FAN 06062279 P2</v>
      </c>
      <c r="G175" t="str">
        <f>"ACCT#287263291654/PCT#2"</f>
        <v>ACCT#287263291654/PCT#2</v>
      </c>
      <c r="H175">
        <v>192.55</v>
      </c>
      <c r="I175" t="str">
        <f>"ACCT#287263291654/PCT#2"</f>
        <v>ACCT#287263291654/PCT#2</v>
      </c>
    </row>
    <row r="176" spans="1:9" x14ac:dyDescent="0.25">
      <c r="A176" t="str">
        <f>""</f>
        <v/>
      </c>
      <c r="F176" t="str">
        <f>"FAN06062279"</f>
        <v>FAN06062279</v>
      </c>
      <c r="G176" t="str">
        <f>"ACCT#287263291654"</f>
        <v>ACCT#287263291654</v>
      </c>
      <c r="H176">
        <v>37.99</v>
      </c>
      <c r="I176" t="str">
        <f>"ACCT#287263291654"</f>
        <v>ACCT#287263291654</v>
      </c>
    </row>
    <row r="177" spans="1:9" x14ac:dyDescent="0.25">
      <c r="A177" t="str">
        <f>"003312"</f>
        <v>003312</v>
      </c>
      <c r="B177" t="s">
        <v>45</v>
      </c>
      <c r="C177">
        <v>76002</v>
      </c>
      <c r="D177" s="2">
        <v>58.43</v>
      </c>
      <c r="E177" s="1">
        <v>43199</v>
      </c>
      <c r="F177" t="str">
        <f>"201804039912"</f>
        <v>201804039912</v>
      </c>
      <c r="G177" t="str">
        <f>"REIMBURSEMENT"</f>
        <v>REIMBURSEMENT</v>
      </c>
      <c r="H177">
        <v>58.43</v>
      </c>
      <c r="I177" t="str">
        <f>"REIMBURSEMENT"</f>
        <v>REIMBURSEMENT</v>
      </c>
    </row>
    <row r="178" spans="1:9" x14ac:dyDescent="0.25">
      <c r="A178" t="str">
        <f>"003355"</f>
        <v>003355</v>
      </c>
      <c r="B178" t="s">
        <v>46</v>
      </c>
      <c r="C178">
        <v>76003</v>
      </c>
      <c r="D178" s="2">
        <v>213.5</v>
      </c>
      <c r="E178" s="1">
        <v>43199</v>
      </c>
      <c r="F178" t="str">
        <f>"201804029834"</f>
        <v>201804029834</v>
      </c>
      <c r="G178" t="str">
        <f>"TOWING FEE/MILEAGE/PCT#4"</f>
        <v>TOWING FEE/MILEAGE/PCT#4</v>
      </c>
      <c r="H178">
        <v>213.5</v>
      </c>
      <c r="I178" t="str">
        <f>"TOWING FEE/MILEAGE/PCT#4"</f>
        <v>TOWING FEE/MILEAGE/PCT#4</v>
      </c>
    </row>
    <row r="179" spans="1:9" x14ac:dyDescent="0.25">
      <c r="A179" t="str">
        <f>"003291"</f>
        <v>003291</v>
      </c>
      <c r="B179" t="s">
        <v>47</v>
      </c>
      <c r="C179">
        <v>999999</v>
      </c>
      <c r="D179" s="2">
        <v>1581.12</v>
      </c>
      <c r="E179" s="1">
        <v>43200</v>
      </c>
      <c r="F179" t="str">
        <f>"320146/320151"</f>
        <v>320146/320151</v>
      </c>
      <c r="G179" t="str">
        <f>"AD# 320146 &amp; 320151"</f>
        <v>AD# 320146 &amp; 320151</v>
      </c>
      <c r="H179">
        <v>794.88</v>
      </c>
      <c r="I179" t="str">
        <f>"AD# 320146"</f>
        <v>AD# 320146</v>
      </c>
    </row>
    <row r="180" spans="1:9" x14ac:dyDescent="0.25">
      <c r="A180" t="str">
        <f>""</f>
        <v/>
      </c>
      <c r="F180" t="str">
        <f>""</f>
        <v/>
      </c>
      <c r="G180" t="str">
        <f>""</f>
        <v/>
      </c>
      <c r="I180" t="str">
        <f>"AD# 320151"</f>
        <v>AD# 320151</v>
      </c>
    </row>
    <row r="181" spans="1:9" x14ac:dyDescent="0.25">
      <c r="A181" t="str">
        <f>""</f>
        <v/>
      </c>
      <c r="F181" t="str">
        <f>"320266/320274"</f>
        <v>320266/320274</v>
      </c>
      <c r="G181" t="str">
        <f>"Ad# 320266 &amp; 320274"</f>
        <v>Ad# 320266 &amp; 320274</v>
      </c>
      <c r="H181">
        <v>786.24</v>
      </c>
      <c r="I181" t="str">
        <f>"Ad# 320266"</f>
        <v>Ad# 320266</v>
      </c>
    </row>
    <row r="182" spans="1:9" x14ac:dyDescent="0.25">
      <c r="A182" t="str">
        <f>""</f>
        <v/>
      </c>
      <c r="F182" t="str">
        <f>""</f>
        <v/>
      </c>
      <c r="G182" t="str">
        <f>""</f>
        <v/>
      </c>
      <c r="I182" t="str">
        <f>"AD# 320274"</f>
        <v>AD# 320274</v>
      </c>
    </row>
    <row r="183" spans="1:9" x14ac:dyDescent="0.25">
      <c r="A183" t="str">
        <f>"003291"</f>
        <v>003291</v>
      </c>
      <c r="B183" t="s">
        <v>47</v>
      </c>
      <c r="C183">
        <v>999999</v>
      </c>
      <c r="D183" s="2">
        <v>527.04</v>
      </c>
      <c r="E183" s="1">
        <v>43214</v>
      </c>
      <c r="F183" t="str">
        <f>"0000335138-01"</f>
        <v>0000335138-01</v>
      </c>
      <c r="G183" t="str">
        <f>"Public Notice"</f>
        <v>Public Notice</v>
      </c>
      <c r="H183">
        <v>164.16</v>
      </c>
      <c r="I183" t="str">
        <f>"Public Notice"</f>
        <v>Public Notice</v>
      </c>
    </row>
    <row r="184" spans="1:9" x14ac:dyDescent="0.25">
      <c r="A184" t="str">
        <f>""</f>
        <v/>
      </c>
      <c r="F184" t="str">
        <f>"332580"</f>
        <v>332580</v>
      </c>
      <c r="G184" t="str">
        <f>"Ad# 332580"</f>
        <v>Ad# 332580</v>
      </c>
      <c r="H184">
        <v>362.88</v>
      </c>
      <c r="I184" t="str">
        <f>"Ad# 332580"</f>
        <v>Ad# 332580</v>
      </c>
    </row>
    <row r="185" spans="1:9" x14ac:dyDescent="0.25">
      <c r="A185" t="str">
        <f>"T6178"</f>
        <v>T6178</v>
      </c>
      <c r="B185" t="s">
        <v>48</v>
      </c>
      <c r="C185">
        <v>76004</v>
      </c>
      <c r="D185" s="2">
        <v>165.96</v>
      </c>
      <c r="E185" s="1">
        <v>43199</v>
      </c>
      <c r="F185" t="str">
        <f>"201804049941"</f>
        <v>201804049941</v>
      </c>
      <c r="G185" t="str">
        <f>"INDIGENT HEALTH"</f>
        <v>INDIGENT HEALTH</v>
      </c>
      <c r="H185">
        <v>165.96</v>
      </c>
      <c r="I185" t="str">
        <f>"INDIGENT HEALTH"</f>
        <v>INDIGENT HEALTH</v>
      </c>
    </row>
    <row r="186" spans="1:9" x14ac:dyDescent="0.25">
      <c r="A186" t="str">
        <f>"004686"</f>
        <v>004686</v>
      </c>
      <c r="B186" t="s">
        <v>49</v>
      </c>
      <c r="C186">
        <v>76005</v>
      </c>
      <c r="D186" s="2">
        <v>19015</v>
      </c>
      <c r="E186" s="1">
        <v>43199</v>
      </c>
      <c r="F186" t="str">
        <f>"0319184"</f>
        <v>0319184</v>
      </c>
      <c r="G186" t="str">
        <f>"ASBESTOS TESTING"</f>
        <v>ASBESTOS TESTING</v>
      </c>
      <c r="H186">
        <v>19015</v>
      </c>
      <c r="I186" t="str">
        <f>"ASBESTOS TESTING"</f>
        <v>ASBESTOS TESTING</v>
      </c>
    </row>
    <row r="187" spans="1:9" x14ac:dyDescent="0.25">
      <c r="A187" t="str">
        <f>"T9221"</f>
        <v>T9221</v>
      </c>
      <c r="B187" t="s">
        <v>50</v>
      </c>
      <c r="C187">
        <v>76217</v>
      </c>
      <c r="D187" s="2">
        <v>130.1</v>
      </c>
      <c r="E187" s="1">
        <v>43213</v>
      </c>
      <c r="F187" t="str">
        <f>"236993"</f>
        <v>236993</v>
      </c>
      <c r="G187" t="str">
        <f>"CONNECTOR-HOSE"</f>
        <v>CONNECTOR-HOSE</v>
      </c>
      <c r="H187">
        <v>3.99</v>
      </c>
      <c r="I187" t="str">
        <f>"CONNECTOR-HOSE"</f>
        <v>CONNECTOR-HOSE</v>
      </c>
    </row>
    <row r="188" spans="1:9" x14ac:dyDescent="0.25">
      <c r="A188" t="str">
        <f>""</f>
        <v/>
      </c>
      <c r="F188" t="str">
        <f>"236998"</f>
        <v>236998</v>
      </c>
      <c r="G188" t="str">
        <f>"SHOP LABOR TIRE INSTALL/PCT#4"</f>
        <v>SHOP LABOR TIRE INSTALL/PCT#4</v>
      </c>
      <c r="H188">
        <v>15</v>
      </c>
      <c r="I188" t="str">
        <f>"SHOP LABOR TIRE INSTALL/PCT#4"</f>
        <v>SHOP LABOR TIRE INSTALL/PCT#4</v>
      </c>
    </row>
    <row r="189" spans="1:9" x14ac:dyDescent="0.25">
      <c r="A189" t="str">
        <f>""</f>
        <v/>
      </c>
      <c r="F189" t="str">
        <f>"237943"</f>
        <v>237943</v>
      </c>
      <c r="G189" t="str">
        <f>"REF#264752/PCT#4"</f>
        <v>REF#264752/PCT#4</v>
      </c>
      <c r="H189">
        <v>38.99</v>
      </c>
      <c r="I189" t="str">
        <f>"REF#264752/PCT#4"</f>
        <v>REF#264752/PCT#4</v>
      </c>
    </row>
    <row r="190" spans="1:9" x14ac:dyDescent="0.25">
      <c r="A190" t="str">
        <f>""</f>
        <v/>
      </c>
      <c r="F190" t="str">
        <f>"237945"</f>
        <v>237945</v>
      </c>
      <c r="G190" t="str">
        <f>"REF#264754/PCT#4"</f>
        <v>REF#264754/PCT#4</v>
      </c>
      <c r="H190">
        <v>72.12</v>
      </c>
      <c r="I190" t="str">
        <f>"REF#264754/PCT#4"</f>
        <v>REF#264754/PCT#4</v>
      </c>
    </row>
    <row r="191" spans="1:9" x14ac:dyDescent="0.25">
      <c r="A191" t="str">
        <f>"T1251"</f>
        <v>T1251</v>
      </c>
      <c r="B191" t="s">
        <v>51</v>
      </c>
      <c r="C191">
        <v>76006</v>
      </c>
      <c r="D191" s="2">
        <v>344.03</v>
      </c>
      <c r="E191" s="1">
        <v>43199</v>
      </c>
      <c r="F191" t="str">
        <f>"201804049942"</f>
        <v>201804049942</v>
      </c>
      <c r="G191" t="str">
        <f>"INDIGENT HEALTH"</f>
        <v>INDIGENT HEALTH</v>
      </c>
      <c r="H191">
        <v>344.03</v>
      </c>
      <c r="I191" t="str">
        <f>"INDIGENT HEALTH"</f>
        <v>INDIGENT HEALTH</v>
      </c>
    </row>
    <row r="192" spans="1:9" x14ac:dyDescent="0.25">
      <c r="A192" t="str">
        <f>"T3200"</f>
        <v>T3200</v>
      </c>
      <c r="B192" t="s">
        <v>52</v>
      </c>
      <c r="C192">
        <v>76007</v>
      </c>
      <c r="D192" s="2">
        <v>33.270000000000003</v>
      </c>
      <c r="E192" s="1">
        <v>43199</v>
      </c>
      <c r="F192" t="str">
        <f>"201804049943"</f>
        <v>201804049943</v>
      </c>
      <c r="G192" t="str">
        <f>"INDIGENT HEALTH"</f>
        <v>INDIGENT HEALTH</v>
      </c>
      <c r="H192">
        <v>33.270000000000003</v>
      </c>
      <c r="I192" t="str">
        <f>"INDIGENT HEALTH"</f>
        <v>INDIGENT HEALTH</v>
      </c>
    </row>
    <row r="193" spans="1:9" x14ac:dyDescent="0.25">
      <c r="A193" t="str">
        <f>"002384"</f>
        <v>002384</v>
      </c>
      <c r="B193" t="s">
        <v>53</v>
      </c>
      <c r="C193">
        <v>76008</v>
      </c>
      <c r="D193" s="2">
        <v>350</v>
      </c>
      <c r="E193" s="1">
        <v>43199</v>
      </c>
      <c r="F193" t="str">
        <f>"201803289794"</f>
        <v>201803289794</v>
      </c>
      <c r="G193" t="str">
        <f>"MOTION TO TENDER IN MOORE DIV"</f>
        <v>MOTION TO TENDER IN MOORE DIV</v>
      </c>
      <c r="H193">
        <v>350</v>
      </c>
      <c r="I193" t="str">
        <f>"MOTION TO TENDER IN MOORE DIV"</f>
        <v>MOTION TO TENDER IN MOORE DIV</v>
      </c>
    </row>
    <row r="194" spans="1:9" x14ac:dyDescent="0.25">
      <c r="A194" t="str">
        <f>"B&amp;B"</f>
        <v>B&amp;B</v>
      </c>
      <c r="B194" t="s">
        <v>54</v>
      </c>
      <c r="C194">
        <v>76009</v>
      </c>
      <c r="D194" s="2">
        <v>2137.6</v>
      </c>
      <c r="E194" s="1">
        <v>43199</v>
      </c>
      <c r="F194" t="str">
        <f>"201804039902"</f>
        <v>201804039902</v>
      </c>
      <c r="G194" t="str">
        <f>"CUST#1750/PCT#3"</f>
        <v>CUST#1750/PCT#3</v>
      </c>
      <c r="H194">
        <v>1522.39</v>
      </c>
      <c r="I194" t="str">
        <f>"CUST#1750/PCT#3"</f>
        <v>CUST#1750/PCT#3</v>
      </c>
    </row>
    <row r="195" spans="1:9" x14ac:dyDescent="0.25">
      <c r="A195" t="str">
        <f>""</f>
        <v/>
      </c>
      <c r="F195" t="str">
        <f>"201804039903"</f>
        <v>201804039903</v>
      </c>
      <c r="G195" t="str">
        <f>"CUST#1800/PCT#4"</f>
        <v>CUST#1800/PCT#4</v>
      </c>
      <c r="H195">
        <v>587.19000000000005</v>
      </c>
      <c r="I195" t="str">
        <f>"CUST#1800/PCT#4"</f>
        <v>CUST#1800/PCT#4</v>
      </c>
    </row>
    <row r="196" spans="1:9" x14ac:dyDescent="0.25">
      <c r="A196" t="str">
        <f>""</f>
        <v/>
      </c>
      <c r="F196" t="str">
        <f>"ID-572677"</f>
        <v>ID-572677</v>
      </c>
      <c r="G196" t="str">
        <f>"CUST#1590/ANIMAL CONTROL"</f>
        <v>CUST#1590/ANIMAL CONTROL</v>
      </c>
      <c r="H196">
        <v>28.02</v>
      </c>
      <c r="I196" t="str">
        <f>"CUST#1590/ANIMAL CONTROL"</f>
        <v>CUST#1590/ANIMAL CONTROL</v>
      </c>
    </row>
    <row r="197" spans="1:9" x14ac:dyDescent="0.25">
      <c r="A197" t="str">
        <f>"B&amp;B"</f>
        <v>B&amp;B</v>
      </c>
      <c r="B197" t="s">
        <v>54</v>
      </c>
      <c r="C197">
        <v>76218</v>
      </c>
      <c r="D197" s="2">
        <v>638.33000000000004</v>
      </c>
      <c r="E197" s="1">
        <v>43213</v>
      </c>
      <c r="F197" t="str">
        <f>"201804110248"</f>
        <v>201804110248</v>
      </c>
      <c r="G197" t="str">
        <f>"CUST#1650/PCT#1"</f>
        <v>CUST#1650/PCT#1</v>
      </c>
      <c r="H197">
        <v>119.76</v>
      </c>
      <c r="I197" t="str">
        <f>"CUST#1650/PCT#1"</f>
        <v>CUST#1650/PCT#1</v>
      </c>
    </row>
    <row r="198" spans="1:9" x14ac:dyDescent="0.25">
      <c r="A198" t="str">
        <f>""</f>
        <v/>
      </c>
      <c r="F198" t="str">
        <f>"201804130305"</f>
        <v>201804130305</v>
      </c>
      <c r="G198" t="str">
        <f>"CUST#1650/AUTO SUPPLIES"</f>
        <v>CUST#1650/AUTO SUPPLIES</v>
      </c>
      <c r="H198">
        <v>435.36</v>
      </c>
      <c r="I198" t="str">
        <f>"CUST#1650/AUTO SUPPLIES"</f>
        <v>CUST#1650/AUTO SUPPLIES</v>
      </c>
    </row>
    <row r="199" spans="1:9" x14ac:dyDescent="0.25">
      <c r="A199" t="str">
        <f>""</f>
        <v/>
      </c>
      <c r="F199" t="str">
        <f>""</f>
        <v/>
      </c>
      <c r="G199" t="str">
        <f>""</f>
        <v/>
      </c>
      <c r="I199" t="str">
        <f>"CUST#1650/AUTO SUPPLIES"</f>
        <v>CUST#1650/AUTO SUPPLIES</v>
      </c>
    </row>
    <row r="200" spans="1:9" x14ac:dyDescent="0.25">
      <c r="A200" t="str">
        <f>""</f>
        <v/>
      </c>
      <c r="F200" t="str">
        <f>""</f>
        <v/>
      </c>
      <c r="G200" t="str">
        <f>""</f>
        <v/>
      </c>
      <c r="I200" t="str">
        <f>"CUST#1650/AUTO SUPPLIES"</f>
        <v>CUST#1650/AUTO SUPPLIES</v>
      </c>
    </row>
    <row r="201" spans="1:9" x14ac:dyDescent="0.25">
      <c r="A201" t="str">
        <f>""</f>
        <v/>
      </c>
      <c r="F201" t="str">
        <f>"PARTS/SHERIFF'S OF"</f>
        <v>PARTS/SHERIFF'S OF</v>
      </c>
      <c r="G201" t="str">
        <f>"INV 9205-568336"</f>
        <v>INV 9205-568336</v>
      </c>
      <c r="H201">
        <v>83.21</v>
      </c>
      <c r="I201" t="str">
        <f>"INV 9205-568336"</f>
        <v>INV 9205-568336</v>
      </c>
    </row>
    <row r="202" spans="1:9" x14ac:dyDescent="0.25">
      <c r="A202" t="str">
        <f>""</f>
        <v/>
      </c>
      <c r="F202" t="str">
        <f>""</f>
        <v/>
      </c>
      <c r="G202" t="str">
        <f>""</f>
        <v/>
      </c>
      <c r="I202" t="str">
        <f>"INV 9205-568120"</f>
        <v>INV 9205-568120</v>
      </c>
    </row>
    <row r="203" spans="1:9" x14ac:dyDescent="0.25">
      <c r="A203" t="str">
        <f>""</f>
        <v/>
      </c>
      <c r="F203" t="str">
        <f>""</f>
        <v/>
      </c>
      <c r="G203" t="str">
        <f>""</f>
        <v/>
      </c>
      <c r="I203" t="str">
        <f>"INV 9205-568113"</f>
        <v>INV 9205-568113</v>
      </c>
    </row>
    <row r="204" spans="1:9" x14ac:dyDescent="0.25">
      <c r="A204" t="str">
        <f>""</f>
        <v/>
      </c>
      <c r="F204" t="str">
        <f>""</f>
        <v/>
      </c>
      <c r="G204" t="str">
        <f>""</f>
        <v/>
      </c>
      <c r="I204" t="str">
        <f>"INV 9205-571215"</f>
        <v>INV 9205-571215</v>
      </c>
    </row>
    <row r="205" spans="1:9" x14ac:dyDescent="0.25">
      <c r="A205" t="str">
        <f>""</f>
        <v/>
      </c>
      <c r="F205" t="str">
        <f>""</f>
        <v/>
      </c>
      <c r="G205" t="str">
        <f>""</f>
        <v/>
      </c>
      <c r="I205" t="str">
        <f>"INV 9205-572178"</f>
        <v>INV 9205-572178</v>
      </c>
    </row>
    <row r="206" spans="1:9" x14ac:dyDescent="0.25">
      <c r="A206" t="str">
        <f>""</f>
        <v/>
      </c>
      <c r="F206" t="str">
        <f>""</f>
        <v/>
      </c>
      <c r="G206" t="str">
        <f>""</f>
        <v/>
      </c>
      <c r="I206" t="str">
        <f>"ACCOUNT CREDIT"</f>
        <v>ACCOUNT CREDIT</v>
      </c>
    </row>
    <row r="207" spans="1:9" x14ac:dyDescent="0.25">
      <c r="A207" t="str">
        <f>"BTW"</f>
        <v>BTW</v>
      </c>
      <c r="B207" t="s">
        <v>55</v>
      </c>
      <c r="C207">
        <v>76010</v>
      </c>
      <c r="D207" s="2">
        <v>839.5</v>
      </c>
      <c r="E207" s="1">
        <v>43199</v>
      </c>
      <c r="F207" t="str">
        <f>"201804039849"</f>
        <v>201804039849</v>
      </c>
      <c r="G207" t="str">
        <f>"CUST ID:0008/PCT#1"</f>
        <v>CUST ID:0008/PCT#1</v>
      </c>
      <c r="H207">
        <v>108</v>
      </c>
      <c r="I207" t="str">
        <f>"CUST ID:0008/PCT#1"</f>
        <v>CUST ID:0008/PCT#1</v>
      </c>
    </row>
    <row r="208" spans="1:9" x14ac:dyDescent="0.25">
      <c r="A208" t="str">
        <f>""</f>
        <v/>
      </c>
      <c r="F208" t="str">
        <f>"201804039850"</f>
        <v>201804039850</v>
      </c>
      <c r="G208" t="str">
        <f>"CUST ID:0010/PCT#2"</f>
        <v>CUST ID:0010/PCT#2</v>
      </c>
      <c r="H208">
        <v>655</v>
      </c>
      <c r="I208" t="str">
        <f>"CUST ID:0010/PCT#2"</f>
        <v>CUST ID:0010/PCT#2</v>
      </c>
    </row>
    <row r="209" spans="1:10" x14ac:dyDescent="0.25">
      <c r="A209" t="str">
        <f>""</f>
        <v/>
      </c>
      <c r="F209" t="str">
        <f>"349050"</f>
        <v>349050</v>
      </c>
      <c r="G209" t="str">
        <f>"CUST ID:0008/ENVIR/SAN"</f>
        <v>CUST ID:0008/ENVIR/SAN</v>
      </c>
      <c r="H209">
        <v>39</v>
      </c>
      <c r="I209" t="str">
        <f>"CUST ID:0008/ENVIR/SAN"</f>
        <v>CUST ID:0008/ENVIR/SAN</v>
      </c>
    </row>
    <row r="210" spans="1:10" x14ac:dyDescent="0.25">
      <c r="A210" t="str">
        <f>""</f>
        <v/>
      </c>
      <c r="F210" t="str">
        <f>"349241"</f>
        <v>349241</v>
      </c>
      <c r="G210" t="str">
        <f>"CUST ID:0011/2004 DODGE/PCT#3"</f>
        <v>CUST ID:0011/2004 DODGE/PCT#3</v>
      </c>
      <c r="H210">
        <v>37.5</v>
      </c>
      <c r="I210" t="str">
        <f>"CUST ID:0011/2004 DODGE/PCT#3"</f>
        <v>CUST ID:0011/2004 DODGE/PCT#3</v>
      </c>
    </row>
    <row r="211" spans="1:10" x14ac:dyDescent="0.25">
      <c r="A211" t="str">
        <f>"T1636"</f>
        <v>T1636</v>
      </c>
      <c r="B211" t="s">
        <v>56</v>
      </c>
      <c r="C211">
        <v>76011</v>
      </c>
      <c r="D211" s="2">
        <v>2300</v>
      </c>
      <c r="E211" s="1">
        <v>43199</v>
      </c>
      <c r="F211" t="s">
        <v>57</v>
      </c>
      <c r="G211" t="s">
        <v>58</v>
      </c>
      <c r="H211" t="str">
        <f>"SERVICE  02/12/18"</f>
        <v>SERVICE  02/12/18</v>
      </c>
      <c r="I211" t="str">
        <f>"995-4110"</f>
        <v>995-4110</v>
      </c>
      <c r="J211">
        <v>250</v>
      </c>
    </row>
    <row r="212" spans="1:10" x14ac:dyDescent="0.25">
      <c r="A212" t="str">
        <f>""</f>
        <v/>
      </c>
      <c r="F212" t="s">
        <v>59</v>
      </c>
      <c r="G212" t="s">
        <v>60</v>
      </c>
      <c r="H212" t="str">
        <f>"SERVICE  02/08/18"</f>
        <v>SERVICE  02/08/18</v>
      </c>
      <c r="I212" t="str">
        <f>"995-4110"</f>
        <v>995-4110</v>
      </c>
      <c r="J212">
        <v>75</v>
      </c>
    </row>
    <row r="213" spans="1:10" x14ac:dyDescent="0.25">
      <c r="A213" t="str">
        <f>""</f>
        <v/>
      </c>
      <c r="F213" t="s">
        <v>59</v>
      </c>
      <c r="G213" t="s">
        <v>61</v>
      </c>
      <c r="H213" t="str">
        <f>"SERVICE  02/08/18"</f>
        <v>SERVICE  02/08/18</v>
      </c>
      <c r="I213" t="str">
        <f>"995-4110"</f>
        <v>995-4110</v>
      </c>
      <c r="J213">
        <v>150</v>
      </c>
    </row>
    <row r="214" spans="1:10" x14ac:dyDescent="0.25">
      <c r="A214" t="str">
        <f>""</f>
        <v/>
      </c>
      <c r="F214" t="s">
        <v>59</v>
      </c>
      <c r="G214" t="s">
        <v>62</v>
      </c>
      <c r="H214" t="str">
        <f>"SERVICE  01/22/18"</f>
        <v>SERVICE  01/22/18</v>
      </c>
      <c r="I214" t="str">
        <f>"995-4110"</f>
        <v>995-4110</v>
      </c>
      <c r="J214">
        <v>150</v>
      </c>
    </row>
    <row r="215" spans="1:10" x14ac:dyDescent="0.25">
      <c r="A215" t="str">
        <f>""</f>
        <v/>
      </c>
      <c r="F215" t="str">
        <f>"12135"</f>
        <v>12135</v>
      </c>
      <c r="G215" t="str">
        <f>"SERVICE  01/26/18"</f>
        <v>SERVICE  01/26/18</v>
      </c>
      <c r="H215">
        <v>150</v>
      </c>
      <c r="I215" t="str">
        <f>"SERVICE  01/26/18"</f>
        <v>SERVICE  01/26/18</v>
      </c>
    </row>
    <row r="216" spans="1:10" x14ac:dyDescent="0.25">
      <c r="A216" t="str">
        <f>""</f>
        <v/>
      </c>
      <c r="F216" t="str">
        <f>"12329  02/05/18"</f>
        <v>12329  02/05/18</v>
      </c>
      <c r="G216" t="str">
        <f>"SERVICE  02/05/18"</f>
        <v>SERVICE  02/05/18</v>
      </c>
      <c r="H216">
        <v>50</v>
      </c>
      <c r="I216" t="str">
        <f>"SERVICE  02/05/18"</f>
        <v>SERVICE  02/05/18</v>
      </c>
    </row>
    <row r="217" spans="1:10" x14ac:dyDescent="0.25">
      <c r="A217" t="str">
        <f>""</f>
        <v/>
      </c>
      <c r="F217" t="str">
        <f>"12466"</f>
        <v>12466</v>
      </c>
      <c r="G217" t="str">
        <f>"SERVICE  01/08/18"</f>
        <v>SERVICE  01/08/18</v>
      </c>
      <c r="H217">
        <v>75</v>
      </c>
      <c r="I217" t="str">
        <f>"SERVICE  01/08/18"</f>
        <v>SERVICE  01/08/18</v>
      </c>
    </row>
    <row r="218" spans="1:10" x14ac:dyDescent="0.25">
      <c r="A218" t="str">
        <f>""</f>
        <v/>
      </c>
      <c r="F218" t="str">
        <f>"12502"</f>
        <v>12502</v>
      </c>
      <c r="G218" t="str">
        <f>"SERVICE  12/08/17"</f>
        <v>SERVICE  12/08/17</v>
      </c>
      <c r="H218">
        <v>325</v>
      </c>
      <c r="I218" t="str">
        <f>"SERVICE  12/08/17"</f>
        <v>SERVICE  12/08/17</v>
      </c>
    </row>
    <row r="219" spans="1:10" x14ac:dyDescent="0.25">
      <c r="A219" t="str">
        <f>""</f>
        <v/>
      </c>
      <c r="F219" t="str">
        <f>"12510"</f>
        <v>12510</v>
      </c>
      <c r="G219" t="str">
        <f>"SERVICE FEE  12/08/17"</f>
        <v>SERVICE FEE  12/08/17</v>
      </c>
      <c r="H219">
        <v>325</v>
      </c>
      <c r="I219" t="str">
        <f>"SERVICE FEE  12/08/17"</f>
        <v>SERVICE FEE  12/08/17</v>
      </c>
    </row>
    <row r="220" spans="1:10" x14ac:dyDescent="0.25">
      <c r="A220" t="str">
        <f>""</f>
        <v/>
      </c>
      <c r="F220" t="str">
        <f>"12571"</f>
        <v>12571</v>
      </c>
      <c r="G220" t="str">
        <f>"SERVICE  01/09/18"</f>
        <v>SERVICE  01/09/18</v>
      </c>
      <c r="H220">
        <v>75</v>
      </c>
      <c r="I220" t="str">
        <f>"SERVICE  01/09/18"</f>
        <v>SERVICE  01/09/18</v>
      </c>
    </row>
    <row r="221" spans="1:10" x14ac:dyDescent="0.25">
      <c r="A221" t="str">
        <f>""</f>
        <v/>
      </c>
      <c r="F221" t="str">
        <f>"12827"</f>
        <v>12827</v>
      </c>
      <c r="G221" t="str">
        <f>"SERVICE  01/29/18"</f>
        <v>SERVICE  01/29/18</v>
      </c>
      <c r="H221">
        <v>150</v>
      </c>
      <c r="I221" t="str">
        <f>"SERVICE  01/29/18"</f>
        <v>SERVICE  01/29/18</v>
      </c>
    </row>
    <row r="222" spans="1:10" x14ac:dyDescent="0.25">
      <c r="A222" t="str">
        <f>""</f>
        <v/>
      </c>
      <c r="F222" t="str">
        <f>"12845"</f>
        <v>12845</v>
      </c>
      <c r="G222" t="str">
        <f>"SERVICE  01/30/2018"</f>
        <v>SERVICE  01/30/2018</v>
      </c>
      <c r="H222">
        <v>150</v>
      </c>
      <c r="I222" t="str">
        <f>"SERVICE  01/30/2018"</f>
        <v>SERVICE  01/30/2018</v>
      </c>
    </row>
    <row r="223" spans="1:10" x14ac:dyDescent="0.25">
      <c r="A223" t="str">
        <f>""</f>
        <v/>
      </c>
      <c r="F223" t="str">
        <f>"12851"</f>
        <v>12851</v>
      </c>
      <c r="G223" t="str">
        <f>"SERVICE  01/10/18"</f>
        <v>SERVICE  01/10/18</v>
      </c>
      <c r="H223">
        <v>225</v>
      </c>
      <c r="I223" t="str">
        <f>"SERVICE  01/10/18"</f>
        <v>SERVICE  01/10/18</v>
      </c>
    </row>
    <row r="224" spans="1:10" x14ac:dyDescent="0.25">
      <c r="A224" t="str">
        <f>""</f>
        <v/>
      </c>
      <c r="F224" t="str">
        <f>"12858"</f>
        <v>12858</v>
      </c>
      <c r="G224" t="str">
        <f>"SERVICE  01/29/18"</f>
        <v>SERVICE  01/29/18</v>
      </c>
      <c r="H224">
        <v>150</v>
      </c>
      <c r="I224" t="str">
        <f>"SERVICE  01/29/18"</f>
        <v>SERVICE  01/29/18</v>
      </c>
    </row>
    <row r="225" spans="1:10" x14ac:dyDescent="0.25">
      <c r="A225" t="str">
        <f>"T1636"</f>
        <v>T1636</v>
      </c>
      <c r="B225" t="s">
        <v>56</v>
      </c>
      <c r="C225">
        <v>76219</v>
      </c>
      <c r="D225" s="2">
        <v>5228.42</v>
      </c>
      <c r="E225" s="1">
        <v>43213</v>
      </c>
      <c r="F225" t="s">
        <v>63</v>
      </c>
      <c r="G225" t="s">
        <v>64</v>
      </c>
      <c r="H225" t="str">
        <f>"SERVICE  02/13/18"</f>
        <v>SERVICE  02/13/18</v>
      </c>
      <c r="I225" t="str">
        <f>"995-4110"</f>
        <v>995-4110</v>
      </c>
      <c r="J225">
        <v>350</v>
      </c>
    </row>
    <row r="226" spans="1:10" x14ac:dyDescent="0.25">
      <c r="A226" t="str">
        <f>""</f>
        <v/>
      </c>
      <c r="F226" t="str">
        <f>"12101  02/16/18"</f>
        <v>12101  02/16/18</v>
      </c>
      <c r="G226" t="str">
        <f>"SERVICE  02/16/18"</f>
        <v>SERVICE  02/16/18</v>
      </c>
      <c r="H226">
        <v>75</v>
      </c>
      <c r="I226" t="str">
        <f>"SERVICE  02/16/18"</f>
        <v>SERVICE  02/16/18</v>
      </c>
    </row>
    <row r="227" spans="1:10" x14ac:dyDescent="0.25">
      <c r="A227" t="str">
        <f>""</f>
        <v/>
      </c>
      <c r="F227" t="str">
        <f>"12380"</f>
        <v>12380</v>
      </c>
      <c r="G227" t="str">
        <f>"SERVICE  12/08/17"</f>
        <v>SERVICE  12/08/17</v>
      </c>
      <c r="H227">
        <v>325</v>
      </c>
      <c r="I227" t="str">
        <f>"SERVICE  12/08/17"</f>
        <v>SERVICE  12/08/17</v>
      </c>
    </row>
    <row r="228" spans="1:10" x14ac:dyDescent="0.25">
      <c r="A228" t="str">
        <f>""</f>
        <v/>
      </c>
      <c r="F228" t="str">
        <f>"12536"</f>
        <v>12536</v>
      </c>
      <c r="G228" t="str">
        <f>"SERVICE  12/08/17"</f>
        <v>SERVICE  12/08/17</v>
      </c>
      <c r="H228">
        <v>325</v>
      </c>
      <c r="I228" t="str">
        <f>"SERVICE  12/08/17"</f>
        <v>SERVICE  12/08/17</v>
      </c>
    </row>
    <row r="229" spans="1:10" x14ac:dyDescent="0.25">
      <c r="A229" t="str">
        <f>""</f>
        <v/>
      </c>
      <c r="F229" t="str">
        <f>"12559  12/08/17"</f>
        <v>12559  12/08/17</v>
      </c>
      <c r="G229" t="str">
        <f>"SERVICE  12/08/17"</f>
        <v>SERVICE  12/08/17</v>
      </c>
      <c r="H229">
        <v>250</v>
      </c>
      <c r="I229" t="str">
        <f>"SERVICE  12/08/17"</f>
        <v>SERVICE  12/08/17</v>
      </c>
    </row>
    <row r="230" spans="1:10" x14ac:dyDescent="0.25">
      <c r="A230" t="str">
        <f>""</f>
        <v/>
      </c>
      <c r="F230" t="str">
        <f>"12570"</f>
        <v>12570</v>
      </c>
      <c r="G230" t="str">
        <f>"SERVICE  02/22/18"</f>
        <v>SERVICE  02/22/18</v>
      </c>
      <c r="H230">
        <v>75</v>
      </c>
      <c r="I230" t="str">
        <f>"SERVICE  02/22/18"</f>
        <v>SERVICE  02/22/18</v>
      </c>
    </row>
    <row r="231" spans="1:10" x14ac:dyDescent="0.25">
      <c r="A231" t="str">
        <f>""</f>
        <v/>
      </c>
      <c r="F231" t="str">
        <f>"12581"</f>
        <v>12581</v>
      </c>
      <c r="G231" t="str">
        <f>"SERVICE  12/08/17"</f>
        <v>SERVICE  12/08/17</v>
      </c>
      <c r="H231">
        <v>325</v>
      </c>
      <c r="I231" t="str">
        <f>"SERVICE  12/08/17"</f>
        <v>SERVICE  12/08/17</v>
      </c>
    </row>
    <row r="232" spans="1:10" x14ac:dyDescent="0.25">
      <c r="A232" t="str">
        <f>""</f>
        <v/>
      </c>
      <c r="F232" t="str">
        <f>"12605"</f>
        <v>12605</v>
      </c>
      <c r="G232" t="str">
        <f>"SERVICE  12/08/17"</f>
        <v>SERVICE  12/08/17</v>
      </c>
      <c r="H232">
        <v>775</v>
      </c>
      <c r="I232" t="str">
        <f>"SERVICE  12/08/17"</f>
        <v>SERVICE  12/08/17</v>
      </c>
    </row>
    <row r="233" spans="1:10" x14ac:dyDescent="0.25">
      <c r="A233" t="str">
        <f>""</f>
        <v/>
      </c>
      <c r="F233" t="str">
        <f>"12635"</f>
        <v>12635</v>
      </c>
      <c r="G233" t="str">
        <f>"SERVICE 12/08/17"</f>
        <v>SERVICE 12/08/17</v>
      </c>
      <c r="H233">
        <v>325</v>
      </c>
      <c r="I233" t="str">
        <f>"SERVICE 12/08/17"</f>
        <v>SERVICE 12/08/17</v>
      </c>
    </row>
    <row r="234" spans="1:10" x14ac:dyDescent="0.25">
      <c r="A234" t="str">
        <f>""</f>
        <v/>
      </c>
      <c r="F234" t="str">
        <f>"12640"</f>
        <v>12640</v>
      </c>
      <c r="G234" t="str">
        <f t="shared" ref="G234:G239" si="8">"SERVICE  12/08/17"</f>
        <v>SERVICE  12/08/17</v>
      </c>
      <c r="H234">
        <v>325</v>
      </c>
      <c r="I234" t="str">
        <f t="shared" ref="I234:I239" si="9">"SERVICE  12/08/17"</f>
        <v>SERVICE  12/08/17</v>
      </c>
    </row>
    <row r="235" spans="1:10" x14ac:dyDescent="0.25">
      <c r="A235" t="str">
        <f>""</f>
        <v/>
      </c>
      <c r="F235" t="str">
        <f>"12676"</f>
        <v>12676</v>
      </c>
      <c r="G235" t="str">
        <f t="shared" si="8"/>
        <v>SERVICE  12/08/17</v>
      </c>
      <c r="H235">
        <v>250</v>
      </c>
      <c r="I235" t="str">
        <f t="shared" si="9"/>
        <v>SERVICE  12/08/17</v>
      </c>
    </row>
    <row r="236" spans="1:10" x14ac:dyDescent="0.25">
      <c r="A236" t="str">
        <f>""</f>
        <v/>
      </c>
      <c r="F236" t="str">
        <f>"12691"</f>
        <v>12691</v>
      </c>
      <c r="G236" t="str">
        <f t="shared" si="8"/>
        <v>SERVICE  12/08/17</v>
      </c>
      <c r="H236">
        <v>325</v>
      </c>
      <c r="I236" t="str">
        <f t="shared" si="9"/>
        <v>SERVICE  12/08/17</v>
      </c>
    </row>
    <row r="237" spans="1:10" x14ac:dyDescent="0.25">
      <c r="A237" t="str">
        <f>""</f>
        <v/>
      </c>
      <c r="F237" t="str">
        <f>"12693"</f>
        <v>12693</v>
      </c>
      <c r="G237" t="str">
        <f t="shared" si="8"/>
        <v>SERVICE  12/08/17</v>
      </c>
      <c r="H237">
        <v>325</v>
      </c>
      <c r="I237" t="str">
        <f t="shared" si="9"/>
        <v>SERVICE  12/08/17</v>
      </c>
    </row>
    <row r="238" spans="1:10" x14ac:dyDescent="0.25">
      <c r="A238" t="str">
        <f>""</f>
        <v/>
      </c>
      <c r="F238" t="str">
        <f>"12696"</f>
        <v>12696</v>
      </c>
      <c r="G238" t="str">
        <f t="shared" si="8"/>
        <v>SERVICE  12/08/17</v>
      </c>
      <c r="H238">
        <v>250</v>
      </c>
      <c r="I238" t="str">
        <f t="shared" si="9"/>
        <v>SERVICE  12/08/17</v>
      </c>
    </row>
    <row r="239" spans="1:10" x14ac:dyDescent="0.25">
      <c r="A239" t="str">
        <f>""</f>
        <v/>
      </c>
      <c r="F239" t="str">
        <f>"12717"</f>
        <v>12717</v>
      </c>
      <c r="G239" t="str">
        <f t="shared" si="8"/>
        <v>SERVICE  12/08/17</v>
      </c>
      <c r="H239">
        <v>250</v>
      </c>
      <c r="I239" t="str">
        <f t="shared" si="9"/>
        <v>SERVICE  12/08/17</v>
      </c>
    </row>
    <row r="240" spans="1:10" x14ac:dyDescent="0.25">
      <c r="A240" t="str">
        <f>""</f>
        <v/>
      </c>
      <c r="F240" t="str">
        <f>"12739"</f>
        <v>12739</v>
      </c>
      <c r="G240" t="str">
        <f>"SERVICE 02/20/18"</f>
        <v>SERVICE 02/20/18</v>
      </c>
      <c r="H240">
        <v>400</v>
      </c>
      <c r="I240" t="str">
        <f>"SERVICE 02/20/18"</f>
        <v>SERVICE 02/20/18</v>
      </c>
    </row>
    <row r="241" spans="1:9" x14ac:dyDescent="0.25">
      <c r="A241" t="str">
        <f>""</f>
        <v/>
      </c>
      <c r="F241" t="str">
        <f>"201804160370"</f>
        <v>201804160370</v>
      </c>
      <c r="G241" t="str">
        <f>"ONLINE BID PAYMENT"</f>
        <v>ONLINE BID PAYMENT</v>
      </c>
      <c r="H241">
        <v>278.42</v>
      </c>
      <c r="I241" t="str">
        <f>"ONLINE BID PAYMENT"</f>
        <v>ONLINE BID PAYMENT</v>
      </c>
    </row>
    <row r="242" spans="1:9" x14ac:dyDescent="0.25">
      <c r="A242" t="str">
        <f>"005396"</f>
        <v>005396</v>
      </c>
      <c r="B242" t="s">
        <v>65</v>
      </c>
      <c r="C242">
        <v>999999</v>
      </c>
      <c r="D242" s="2">
        <v>13601.74</v>
      </c>
      <c r="E242" s="1">
        <v>43200</v>
      </c>
      <c r="F242" t="str">
        <f>"201804039910"</f>
        <v>201804039910</v>
      </c>
      <c r="G242" t="str">
        <f>"CONTRACT#24556873"</f>
        <v>CONTRACT#24556873</v>
      </c>
      <c r="H242">
        <v>13601.74</v>
      </c>
      <c r="I242" t="str">
        <f>"CONTRACT#24556873"</f>
        <v>CONTRACT#24556873</v>
      </c>
    </row>
    <row r="243" spans="1:9" x14ac:dyDescent="0.25">
      <c r="A243" t="str">
        <f>"005396"</f>
        <v>005396</v>
      </c>
      <c r="B243" t="s">
        <v>65</v>
      </c>
      <c r="C243">
        <v>999999</v>
      </c>
      <c r="D243" s="2">
        <v>8062.03</v>
      </c>
      <c r="E243" s="1">
        <v>43214</v>
      </c>
      <c r="F243" t="str">
        <f>"201804110247"</f>
        <v>201804110247</v>
      </c>
      <c r="G243" t="str">
        <f>"GRANT REIMBURSEMENT"</f>
        <v>GRANT REIMBURSEMENT</v>
      </c>
      <c r="H243">
        <v>8062.03</v>
      </c>
      <c r="I243" t="str">
        <f>"GRANT REIMBURSEMENT"</f>
        <v>GRANT REIMBURSEMENT</v>
      </c>
    </row>
    <row r="244" spans="1:9" x14ac:dyDescent="0.25">
      <c r="A244" t="str">
        <f>"BASCO"</f>
        <v>BASCO</v>
      </c>
      <c r="B244" t="s">
        <v>66</v>
      </c>
      <c r="C244">
        <v>76220</v>
      </c>
      <c r="D244" s="2">
        <v>1078.05</v>
      </c>
      <c r="E244" s="1">
        <v>43213</v>
      </c>
      <c r="F244" t="str">
        <f>"170385"</f>
        <v>170385</v>
      </c>
      <c r="G244" t="str">
        <f>"INV 170385"</f>
        <v>INV 170385</v>
      </c>
      <c r="H244">
        <v>282</v>
      </c>
      <c r="I244" t="str">
        <f>"INV 170385"</f>
        <v>INV 170385</v>
      </c>
    </row>
    <row r="245" spans="1:9" x14ac:dyDescent="0.25">
      <c r="A245" t="str">
        <f>""</f>
        <v/>
      </c>
      <c r="F245" t="str">
        <f>"201804100218"</f>
        <v>201804100218</v>
      </c>
      <c r="G245" t="str">
        <f>"ACCT#BC01/OFFICE SUPPLIES"</f>
        <v>ACCT#BC01/OFFICE SUPPLIES</v>
      </c>
      <c r="H245">
        <v>796.05</v>
      </c>
      <c r="I245" t="str">
        <f t="shared" ref="I245:I252" si="10">"ACCT#BC01/OFFICE SUPPLIES"</f>
        <v>ACCT#BC01/OFFICE SUPPLIES</v>
      </c>
    </row>
    <row r="246" spans="1:9" x14ac:dyDescent="0.25">
      <c r="A246" t="str">
        <f>""</f>
        <v/>
      </c>
      <c r="F246" t="str">
        <f>""</f>
        <v/>
      </c>
      <c r="G246" t="str">
        <f>""</f>
        <v/>
      </c>
      <c r="I246" t="str">
        <f t="shared" si="10"/>
        <v>ACCT#BC01/OFFICE SUPPLIES</v>
      </c>
    </row>
    <row r="247" spans="1:9" x14ac:dyDescent="0.25">
      <c r="A247" t="str">
        <f>""</f>
        <v/>
      </c>
      <c r="F247" t="str">
        <f>""</f>
        <v/>
      </c>
      <c r="G247" t="str">
        <f>""</f>
        <v/>
      </c>
      <c r="I247" t="str">
        <f t="shared" si="10"/>
        <v>ACCT#BC01/OFFICE SUPPLIES</v>
      </c>
    </row>
    <row r="248" spans="1:9" x14ac:dyDescent="0.25">
      <c r="A248" t="str">
        <f>""</f>
        <v/>
      </c>
      <c r="F248" t="str">
        <f>""</f>
        <v/>
      </c>
      <c r="G248" t="str">
        <f>""</f>
        <v/>
      </c>
      <c r="I248" t="str">
        <f t="shared" si="10"/>
        <v>ACCT#BC01/OFFICE SUPPLIES</v>
      </c>
    </row>
    <row r="249" spans="1:9" x14ac:dyDescent="0.25">
      <c r="A249" t="str">
        <f>""</f>
        <v/>
      </c>
      <c r="F249" t="str">
        <f>""</f>
        <v/>
      </c>
      <c r="G249" t="str">
        <f>""</f>
        <v/>
      </c>
      <c r="I249" t="str">
        <f t="shared" si="10"/>
        <v>ACCT#BC01/OFFICE SUPPLIES</v>
      </c>
    </row>
    <row r="250" spans="1:9" x14ac:dyDescent="0.25">
      <c r="A250" t="str">
        <f>""</f>
        <v/>
      </c>
      <c r="F250" t="str">
        <f>""</f>
        <v/>
      </c>
      <c r="G250" t="str">
        <f>""</f>
        <v/>
      </c>
      <c r="I250" t="str">
        <f t="shared" si="10"/>
        <v>ACCT#BC01/OFFICE SUPPLIES</v>
      </c>
    </row>
    <row r="251" spans="1:9" x14ac:dyDescent="0.25">
      <c r="A251" t="str">
        <f>""</f>
        <v/>
      </c>
      <c r="F251" t="str">
        <f>""</f>
        <v/>
      </c>
      <c r="G251" t="str">
        <f>""</f>
        <v/>
      </c>
      <c r="I251" t="str">
        <f t="shared" si="10"/>
        <v>ACCT#BC01/OFFICE SUPPLIES</v>
      </c>
    </row>
    <row r="252" spans="1:9" x14ac:dyDescent="0.25">
      <c r="A252" t="str">
        <f>""</f>
        <v/>
      </c>
      <c r="F252" t="str">
        <f>""</f>
        <v/>
      </c>
      <c r="G252" t="str">
        <f>""</f>
        <v/>
      </c>
      <c r="I252" t="str">
        <f t="shared" si="10"/>
        <v>ACCT#BC01/OFFICE SUPPLIES</v>
      </c>
    </row>
    <row r="253" spans="1:9" x14ac:dyDescent="0.25">
      <c r="A253" t="str">
        <f>"BCPD"</f>
        <v>BCPD</v>
      </c>
      <c r="B253" t="s">
        <v>67</v>
      </c>
      <c r="C253">
        <v>76221</v>
      </c>
      <c r="D253" s="2">
        <v>74704.5</v>
      </c>
      <c r="E253" s="1">
        <v>43213</v>
      </c>
      <c r="F253" t="str">
        <f>"2ND QTR FY '18"</f>
        <v>2ND QTR FY '18</v>
      </c>
      <c r="G253" t="str">
        <f>"REVENUE BASTROP"</f>
        <v>REVENUE BASTROP</v>
      </c>
      <c r="H253">
        <v>74704.5</v>
      </c>
      <c r="I253" t="str">
        <f>"REVENUE BASTROP"</f>
        <v>REVENUE BASTROP</v>
      </c>
    </row>
    <row r="254" spans="1:9" x14ac:dyDescent="0.25">
      <c r="A254" t="str">
        <f>"T3799"</f>
        <v>T3799</v>
      </c>
      <c r="B254" t="s">
        <v>68</v>
      </c>
      <c r="C254">
        <v>76222</v>
      </c>
      <c r="D254" s="2">
        <v>1108.32</v>
      </c>
      <c r="E254" s="1">
        <v>43213</v>
      </c>
      <c r="F254" t="str">
        <f>"183"</f>
        <v>183</v>
      </c>
      <c r="G254" t="str">
        <f>"FUEL"</f>
        <v>FUEL</v>
      </c>
      <c r="H254">
        <v>1108.32</v>
      </c>
      <c r="I254" t="str">
        <f>"FUEL"</f>
        <v>FUEL</v>
      </c>
    </row>
    <row r="255" spans="1:9" x14ac:dyDescent="0.25">
      <c r="A255" t="str">
        <f>"T13544"</f>
        <v>T13544</v>
      </c>
      <c r="B255" t="s">
        <v>69</v>
      </c>
      <c r="C255">
        <v>999999</v>
      </c>
      <c r="D255" s="2">
        <v>286.81</v>
      </c>
      <c r="E255" s="1">
        <v>43200</v>
      </c>
      <c r="F255" t="str">
        <f>"201804049944"</f>
        <v>201804049944</v>
      </c>
      <c r="G255" t="str">
        <f>"INDIGENT HEALTH"</f>
        <v>INDIGENT HEALTH</v>
      </c>
      <c r="H255">
        <v>286.81</v>
      </c>
      <c r="I255" t="str">
        <f>"INDIGENT HEALTH"</f>
        <v>INDIGENT HEALTH</v>
      </c>
    </row>
    <row r="256" spans="1:9" x14ac:dyDescent="0.25">
      <c r="A256" t="str">
        <f>"000719"</f>
        <v>000719</v>
      </c>
      <c r="B256" t="s">
        <v>70</v>
      </c>
      <c r="C256">
        <v>76223</v>
      </c>
      <c r="D256" s="2">
        <v>814.62</v>
      </c>
      <c r="E256" s="1">
        <v>43213</v>
      </c>
      <c r="F256" t="str">
        <f>"5756"</f>
        <v>5756</v>
      </c>
      <c r="G256" t="str">
        <f>"CARB/INTAKE CASE ASS/GEN SVCS"</f>
        <v>CARB/INTAKE CASE ASS/GEN SVCS</v>
      </c>
      <c r="H256">
        <v>186.42</v>
      </c>
      <c r="I256" t="str">
        <f>"CARB/INTAKE CASE ASS/GEN SVCS"</f>
        <v>CARB/INTAKE CASE ASS/GEN SVCS</v>
      </c>
    </row>
    <row r="257" spans="1:9" x14ac:dyDescent="0.25">
      <c r="A257" t="str">
        <f>""</f>
        <v/>
      </c>
      <c r="F257" t="str">
        <f>"5939"</f>
        <v>5939</v>
      </c>
      <c r="G257" t="str">
        <f>"BLADES/GEN SVCS"</f>
        <v>BLADES/GEN SVCS</v>
      </c>
      <c r="H257">
        <v>86.69</v>
      </c>
      <c r="I257" t="str">
        <f>"BLADES/GEN SVCS"</f>
        <v>BLADES/GEN SVCS</v>
      </c>
    </row>
    <row r="258" spans="1:9" x14ac:dyDescent="0.25">
      <c r="A258" t="str">
        <f>""</f>
        <v/>
      </c>
      <c r="F258" t="str">
        <f>"6268"</f>
        <v>6268</v>
      </c>
      <c r="G258" t="str">
        <f>"PARTS/GROUND MAINTENANCE"</f>
        <v>PARTS/GROUND MAINTENANCE</v>
      </c>
      <c r="H258">
        <v>159.22999999999999</v>
      </c>
      <c r="I258" t="str">
        <f>"PARTS/GROUND MAINTENANCE"</f>
        <v>PARTS/GROUND MAINTENANCE</v>
      </c>
    </row>
    <row r="259" spans="1:9" x14ac:dyDescent="0.25">
      <c r="A259" t="str">
        <f>""</f>
        <v/>
      </c>
      <c r="F259" t="str">
        <f>"6272"</f>
        <v>6272</v>
      </c>
      <c r="G259" t="str">
        <f>"SHARPEN CHAIN/GEN SVCS"</f>
        <v>SHARPEN CHAIN/GEN SVCS</v>
      </c>
      <c r="H259">
        <v>63.23</v>
      </c>
      <c r="I259" t="str">
        <f>"SHARPEN CHAIN/GEN SVCS"</f>
        <v>SHARPEN CHAIN/GEN SVCS</v>
      </c>
    </row>
    <row r="260" spans="1:9" x14ac:dyDescent="0.25">
      <c r="A260" t="str">
        <f>""</f>
        <v/>
      </c>
      <c r="F260" t="str">
        <f>"6276"</f>
        <v>6276</v>
      </c>
      <c r="G260" t="str">
        <f>"CHAINS/GEN SVCS"</f>
        <v>CHAINS/GEN SVCS</v>
      </c>
      <c r="H260">
        <v>49</v>
      </c>
      <c r="I260" t="str">
        <f>"CHAINS/GEN SVCS"</f>
        <v>CHAINS/GEN SVCS</v>
      </c>
    </row>
    <row r="261" spans="1:9" x14ac:dyDescent="0.25">
      <c r="A261" t="str">
        <f>""</f>
        <v/>
      </c>
      <c r="F261" t="str">
        <f>"6931"</f>
        <v>6931</v>
      </c>
      <c r="G261" t="str">
        <f>"CAPS/EYES/GEN SVCS"</f>
        <v>CAPS/EYES/GEN SVCS</v>
      </c>
      <c r="H261">
        <v>66.05</v>
      </c>
      <c r="I261" t="str">
        <f>"CAPS/EYES/GEN SVCS"</f>
        <v>CAPS/EYES/GEN SVCS</v>
      </c>
    </row>
    <row r="262" spans="1:9" x14ac:dyDescent="0.25">
      <c r="A262" t="str">
        <f>""</f>
        <v/>
      </c>
      <c r="F262" t="str">
        <f>"6943"</f>
        <v>6943</v>
      </c>
      <c r="G262" t="str">
        <f>"BLADES/GEN SVCS"</f>
        <v>BLADES/GEN SVCS</v>
      </c>
      <c r="H262">
        <v>204</v>
      </c>
      <c r="I262" t="str">
        <f>"BLADES/GEN SVCS"</f>
        <v>BLADES/GEN SVCS</v>
      </c>
    </row>
    <row r="263" spans="1:9" x14ac:dyDescent="0.25">
      <c r="A263" t="str">
        <f>"001542"</f>
        <v>001542</v>
      </c>
      <c r="B263" t="s">
        <v>71</v>
      </c>
      <c r="C263">
        <v>999999</v>
      </c>
      <c r="D263" s="2">
        <v>695</v>
      </c>
      <c r="E263" s="1">
        <v>43200</v>
      </c>
      <c r="F263" t="str">
        <f>"2018047"</f>
        <v>2018047</v>
      </c>
      <c r="G263" t="str">
        <f>"TRANSPORT-JH MATHEWS/CASE#1142"</f>
        <v>TRANSPORT-JH MATHEWS/CASE#1142</v>
      </c>
      <c r="H263">
        <v>695</v>
      </c>
      <c r="I263" t="str">
        <f>"TRANSPORT-JH MATHEWS/CASE#1142"</f>
        <v>TRANSPORT-JH MATHEWS/CASE#1142</v>
      </c>
    </row>
    <row r="264" spans="1:9" x14ac:dyDescent="0.25">
      <c r="A264" t="str">
        <f>"001542"</f>
        <v>001542</v>
      </c>
      <c r="B264" t="s">
        <v>71</v>
      </c>
      <c r="C264">
        <v>999999</v>
      </c>
      <c r="D264" s="2">
        <v>2875</v>
      </c>
      <c r="E264" s="1">
        <v>43214</v>
      </c>
      <c r="F264" t="str">
        <f>"2018037"</f>
        <v>2018037</v>
      </c>
      <c r="G264" t="str">
        <f>"TRANSPORT-V.L. SWEET"</f>
        <v>TRANSPORT-V.L. SWEET</v>
      </c>
      <c r="H264">
        <v>495</v>
      </c>
      <c r="I264" t="str">
        <f>"TRANSPORT-V.L. SWEET"</f>
        <v>TRANSPORT-V.L. SWEET</v>
      </c>
    </row>
    <row r="265" spans="1:9" x14ac:dyDescent="0.25">
      <c r="A265" t="str">
        <f>""</f>
        <v/>
      </c>
      <c r="F265" t="str">
        <f>"2018038"</f>
        <v>2018038</v>
      </c>
      <c r="G265" t="str">
        <f>"TRANSPORT-J. BRANDON"</f>
        <v>TRANSPORT-J. BRANDON</v>
      </c>
      <c r="H265">
        <v>495</v>
      </c>
      <c r="I265" t="str">
        <f>"TRANSPORT-J. BRANDON"</f>
        <v>TRANSPORT-J. BRANDON</v>
      </c>
    </row>
    <row r="266" spans="1:9" x14ac:dyDescent="0.25">
      <c r="A266" t="str">
        <f>""</f>
        <v/>
      </c>
      <c r="F266" t="str">
        <f>"2018040"</f>
        <v>2018040</v>
      </c>
      <c r="G266" t="str">
        <f>"TRANSPORT-J. RUTHERFORD"</f>
        <v>TRANSPORT-J. RUTHERFORD</v>
      </c>
      <c r="H266">
        <v>400</v>
      </c>
      <c r="I266" t="str">
        <f>"TRANSPORT-J. RUTHERFORD"</f>
        <v>TRANSPORT-J. RUTHERFORD</v>
      </c>
    </row>
    <row r="267" spans="1:9" x14ac:dyDescent="0.25">
      <c r="A267" t="str">
        <f>""</f>
        <v/>
      </c>
      <c r="F267" t="str">
        <f>"2018043"</f>
        <v>2018043</v>
      </c>
      <c r="G267" t="str">
        <f>"TRANSPORT- L.A. JACOBS"</f>
        <v>TRANSPORT- L.A. JACOBS</v>
      </c>
      <c r="H267">
        <v>495</v>
      </c>
      <c r="I267" t="str">
        <f>"TRANSPORT- L.A. JACOBS"</f>
        <v>TRANSPORT- L.A. JACOBS</v>
      </c>
    </row>
    <row r="268" spans="1:9" x14ac:dyDescent="0.25">
      <c r="A268" t="str">
        <f>""</f>
        <v/>
      </c>
      <c r="F268" t="str">
        <f>"2018046"</f>
        <v>2018046</v>
      </c>
      <c r="G268" t="str">
        <f>"TRANSPORT-J.H. MATHEWS"</f>
        <v>TRANSPORT-J.H. MATHEWS</v>
      </c>
      <c r="H268">
        <v>295</v>
      </c>
      <c r="I268" t="str">
        <f>"TRANSPORT-J.H. MATHEWS"</f>
        <v>TRANSPORT-J.H. MATHEWS</v>
      </c>
    </row>
    <row r="269" spans="1:9" x14ac:dyDescent="0.25">
      <c r="A269" t="str">
        <f>""</f>
        <v/>
      </c>
      <c r="F269" t="str">
        <f>"2018048"</f>
        <v>2018048</v>
      </c>
      <c r="G269" t="str">
        <f>"TRANSPORT-A. NORFLEET"</f>
        <v>TRANSPORT-A. NORFLEET</v>
      </c>
      <c r="H269">
        <v>695</v>
      </c>
      <c r="I269" t="str">
        <f>"TRANSPORT-A. NORFLEET"</f>
        <v>TRANSPORT-A. NORFLEET</v>
      </c>
    </row>
    <row r="270" spans="1:9" x14ac:dyDescent="0.25">
      <c r="A270" t="str">
        <f>"000485"</f>
        <v>000485</v>
      </c>
      <c r="B270" t="s">
        <v>72</v>
      </c>
      <c r="C270">
        <v>76012</v>
      </c>
      <c r="D270" s="2">
        <v>2295</v>
      </c>
      <c r="E270" s="1">
        <v>43199</v>
      </c>
      <c r="F270" t="str">
        <f>"5037R"</f>
        <v>5037R</v>
      </c>
      <c r="G270" t="str">
        <f>"Inv# 5037R"</f>
        <v>Inv# 5037R</v>
      </c>
      <c r="H270">
        <v>2295</v>
      </c>
      <c r="I270" t="str">
        <f>"Remaning Amount"</f>
        <v>Remaning Amount</v>
      </c>
    </row>
    <row r="271" spans="1:9" x14ac:dyDescent="0.25">
      <c r="A271" t="str">
        <f>"BVH"</f>
        <v>BVH</v>
      </c>
      <c r="B271" t="s">
        <v>73</v>
      </c>
      <c r="C271">
        <v>76224</v>
      </c>
      <c r="D271" s="2">
        <v>170</v>
      </c>
      <c r="E271" s="1">
        <v>43213</v>
      </c>
      <c r="F271" t="str">
        <f>"1106256"</f>
        <v>1106256</v>
      </c>
      <c r="G271" t="str">
        <f>"INV 1106256"</f>
        <v>INV 1106256</v>
      </c>
      <c r="H271">
        <v>170</v>
      </c>
      <c r="I271" t="str">
        <f>"INV 1106256"</f>
        <v>INV 1106256</v>
      </c>
    </row>
    <row r="272" spans="1:9" x14ac:dyDescent="0.25">
      <c r="A272" t="str">
        <f>"000110"</f>
        <v>000110</v>
      </c>
      <c r="B272" t="s">
        <v>74</v>
      </c>
      <c r="C272">
        <v>999999</v>
      </c>
      <c r="D272" s="2">
        <v>245</v>
      </c>
      <c r="E272" s="1">
        <v>43200</v>
      </c>
      <c r="F272" t="str">
        <f>"201804039846"</f>
        <v>201804039846</v>
      </c>
      <c r="G272" t="str">
        <f>"FOR SVCS PROVIDED IN MARCH2018"</f>
        <v>FOR SVCS PROVIDED IN MARCH2018</v>
      </c>
      <c r="H272">
        <v>245</v>
      </c>
      <c r="I272" t="str">
        <f>"FOR SVCS PROVIDED IN MARCH2018"</f>
        <v>FOR SVCS PROVIDED IN MARCH2018</v>
      </c>
    </row>
    <row r="273" spans="1:9" x14ac:dyDescent="0.25">
      <c r="A273" t="str">
        <f>"000110"</f>
        <v>000110</v>
      </c>
      <c r="B273" t="s">
        <v>74</v>
      </c>
      <c r="C273">
        <v>999999</v>
      </c>
      <c r="D273" s="2">
        <v>1924.76</v>
      </c>
      <c r="E273" s="1">
        <v>43214</v>
      </c>
      <c r="F273" t="str">
        <f>"MARCH SERVICES"</f>
        <v>MARCH SERVICES</v>
      </c>
      <c r="G273" t="str">
        <f>"MARCH SERVICES"</f>
        <v>MARCH SERVICES</v>
      </c>
      <c r="H273">
        <v>1924.76</v>
      </c>
      <c r="I273" t="str">
        <f>"MARCH SERVICES - LE"</f>
        <v>MARCH SERVICES - LE</v>
      </c>
    </row>
    <row r="274" spans="1:9" x14ac:dyDescent="0.25">
      <c r="A274" t="str">
        <f>"005445"</f>
        <v>005445</v>
      </c>
      <c r="B274" t="s">
        <v>75</v>
      </c>
      <c r="C274">
        <v>76225</v>
      </c>
      <c r="D274" s="2">
        <v>1787.5</v>
      </c>
      <c r="E274" s="1">
        <v>43213</v>
      </c>
      <c r="F274" t="str">
        <f>"18302029-01"</f>
        <v>18302029-01</v>
      </c>
      <c r="G274" t="str">
        <f>"INV 18302029-01"</f>
        <v>INV 18302029-01</v>
      </c>
      <c r="H274">
        <v>175</v>
      </c>
      <c r="I274" t="str">
        <f>"INV 18302029-01"</f>
        <v>INV 18302029-01</v>
      </c>
    </row>
    <row r="275" spans="1:9" x14ac:dyDescent="0.25">
      <c r="A275" t="str">
        <f>""</f>
        <v/>
      </c>
      <c r="F275" t="str">
        <f>"18302030-01"</f>
        <v>18302030-01</v>
      </c>
      <c r="G275" t="str">
        <f>"INV 18302030-01"</f>
        <v>INV 18302030-01</v>
      </c>
      <c r="H275">
        <v>400</v>
      </c>
      <c r="I275" t="str">
        <f>"INV 18302030-01"</f>
        <v>INV 18302030-01</v>
      </c>
    </row>
    <row r="276" spans="1:9" x14ac:dyDescent="0.25">
      <c r="A276" t="str">
        <f>""</f>
        <v/>
      </c>
      <c r="F276" t="str">
        <f>"18302031-01"</f>
        <v>18302031-01</v>
      </c>
      <c r="G276" t="str">
        <f>"INV 18302031-01"</f>
        <v>INV 18302031-01</v>
      </c>
      <c r="H276">
        <v>175</v>
      </c>
      <c r="I276" t="str">
        <f>"INV 18302031-01"</f>
        <v>INV 18302031-01</v>
      </c>
    </row>
    <row r="277" spans="1:9" x14ac:dyDescent="0.25">
      <c r="A277" t="str">
        <f>""</f>
        <v/>
      </c>
      <c r="F277" t="str">
        <f>"18302032-01"</f>
        <v>18302032-01</v>
      </c>
      <c r="G277" t="str">
        <f>"INV 18302032-01"</f>
        <v>INV 18302032-01</v>
      </c>
      <c r="H277">
        <v>450</v>
      </c>
      <c r="I277" t="str">
        <f>"INV 18302032-01"</f>
        <v>INV 18302032-01</v>
      </c>
    </row>
    <row r="278" spans="1:9" x14ac:dyDescent="0.25">
      <c r="A278" t="str">
        <f>""</f>
        <v/>
      </c>
      <c r="F278" t="str">
        <f>"18302034-01"</f>
        <v>18302034-01</v>
      </c>
      <c r="G278" t="str">
        <f>"INV 18302034-01"</f>
        <v>INV 18302034-01</v>
      </c>
      <c r="H278">
        <v>287.5</v>
      </c>
      <c r="I278" t="str">
        <f>"INV 18302034-01"</f>
        <v>INV 18302034-01</v>
      </c>
    </row>
    <row r="279" spans="1:9" x14ac:dyDescent="0.25">
      <c r="A279" t="str">
        <f>""</f>
        <v/>
      </c>
      <c r="F279" t="str">
        <f>"18302035-01"</f>
        <v>18302035-01</v>
      </c>
      <c r="G279" t="str">
        <f>"INV 18302035-01"</f>
        <v>INV 18302035-01</v>
      </c>
      <c r="H279">
        <v>300</v>
      </c>
      <c r="I279" t="str">
        <f>"INV 18302035-01"</f>
        <v>INV 18302035-01</v>
      </c>
    </row>
    <row r="280" spans="1:9" x14ac:dyDescent="0.25">
      <c r="A280" t="str">
        <f>"KEITH"</f>
        <v>KEITH</v>
      </c>
      <c r="B280" t="s">
        <v>76</v>
      </c>
      <c r="C280">
        <v>76013</v>
      </c>
      <c r="D280" s="2">
        <v>670.82</v>
      </c>
      <c r="E280" s="1">
        <v>43199</v>
      </c>
      <c r="F280" t="str">
        <f>"74628745"</f>
        <v>74628745</v>
      </c>
      <c r="G280" t="str">
        <f>"INV 74628745"</f>
        <v>INV 74628745</v>
      </c>
      <c r="H280">
        <v>670.82</v>
      </c>
      <c r="I280" t="str">
        <f>"INV 74628745"</f>
        <v>INV 74628745</v>
      </c>
    </row>
    <row r="281" spans="1:9" x14ac:dyDescent="0.25">
      <c r="A281" t="str">
        <f>"KEITH"</f>
        <v>KEITH</v>
      </c>
      <c r="B281" t="s">
        <v>76</v>
      </c>
      <c r="C281">
        <v>76226</v>
      </c>
      <c r="D281" s="2">
        <v>2839.13</v>
      </c>
      <c r="E281" s="1">
        <v>43213</v>
      </c>
      <c r="F281" t="str">
        <f>"74636136/74643571"</f>
        <v>74636136/74643571</v>
      </c>
      <c r="G281" t="str">
        <f>"INV 74636136"</f>
        <v>INV 74636136</v>
      </c>
      <c r="H281">
        <v>2839.13</v>
      </c>
      <c r="I281" t="str">
        <f>"INV 74636136"</f>
        <v>INV 74636136</v>
      </c>
    </row>
    <row r="282" spans="1:9" x14ac:dyDescent="0.25">
      <c r="A282" t="str">
        <f>""</f>
        <v/>
      </c>
      <c r="F282" t="str">
        <f>""</f>
        <v/>
      </c>
      <c r="G282" t="str">
        <f>""</f>
        <v/>
      </c>
      <c r="I282" t="str">
        <f>"INV 74643571"</f>
        <v>INV 74643571</v>
      </c>
    </row>
    <row r="283" spans="1:9" x14ac:dyDescent="0.25">
      <c r="A283" t="str">
        <f>""</f>
        <v/>
      </c>
      <c r="F283" t="str">
        <f>""</f>
        <v/>
      </c>
      <c r="G283" t="str">
        <f>""</f>
        <v/>
      </c>
      <c r="I283" t="str">
        <f>"INV 74650966"</f>
        <v>INV 74650966</v>
      </c>
    </row>
    <row r="284" spans="1:9" x14ac:dyDescent="0.25">
      <c r="A284" t="str">
        <f>"004075"</f>
        <v>004075</v>
      </c>
      <c r="B284" t="s">
        <v>77</v>
      </c>
      <c r="C284">
        <v>999999</v>
      </c>
      <c r="D284" s="2">
        <v>6711.59</v>
      </c>
      <c r="E284" s="1">
        <v>43214</v>
      </c>
      <c r="F284" t="str">
        <f>"204701-00"</f>
        <v>204701-00</v>
      </c>
      <c r="G284" t="str">
        <f>"INV 204701-00"</f>
        <v>INV 204701-00</v>
      </c>
      <c r="H284">
        <v>2329.9499999999998</v>
      </c>
      <c r="I284" t="str">
        <f>"INV 204701-00"</f>
        <v>INV 204701-00</v>
      </c>
    </row>
    <row r="285" spans="1:9" x14ac:dyDescent="0.25">
      <c r="A285" t="str">
        <f>""</f>
        <v/>
      </c>
      <c r="F285" t="str">
        <f>"211411-00"</f>
        <v>211411-00</v>
      </c>
      <c r="G285" t="str">
        <f>"INV 211411"</f>
        <v>INV 211411</v>
      </c>
      <c r="H285">
        <v>4381.6400000000003</v>
      </c>
      <c r="I285" t="str">
        <f>"INV 211411-00"</f>
        <v>INV 211411-00</v>
      </c>
    </row>
    <row r="286" spans="1:9" x14ac:dyDescent="0.25">
      <c r="A286" t="str">
        <f>""</f>
        <v/>
      </c>
      <c r="F286" t="str">
        <f>""</f>
        <v/>
      </c>
      <c r="G286" t="str">
        <f>""</f>
        <v/>
      </c>
      <c r="I286" t="str">
        <f>"INV 214388-00"</f>
        <v>INV 214388-00</v>
      </c>
    </row>
    <row r="287" spans="1:9" x14ac:dyDescent="0.25">
      <c r="A287" t="str">
        <f>"001112"</f>
        <v>001112</v>
      </c>
      <c r="B287" t="s">
        <v>78</v>
      </c>
      <c r="C287">
        <v>76014</v>
      </c>
      <c r="D287" s="2">
        <v>642.91999999999996</v>
      </c>
      <c r="E287" s="1">
        <v>43199</v>
      </c>
      <c r="F287" t="str">
        <f>"3170651"</f>
        <v>3170651</v>
      </c>
      <c r="G287" t="str">
        <f>"STMT# 01465920180309"</f>
        <v>STMT# 01465920180309</v>
      </c>
      <c r="H287">
        <v>642.91999999999996</v>
      </c>
      <c r="I287" t="str">
        <f>"Inv# 3170651"</f>
        <v>Inv# 3170651</v>
      </c>
    </row>
    <row r="288" spans="1:9" x14ac:dyDescent="0.25">
      <c r="A288" t="str">
        <f>"001112"</f>
        <v>001112</v>
      </c>
      <c r="B288" t="s">
        <v>78</v>
      </c>
      <c r="C288">
        <v>76227</v>
      </c>
      <c r="D288" s="2">
        <v>1089.0899999999999</v>
      </c>
      <c r="E288" s="1">
        <v>43213</v>
      </c>
      <c r="F288" t="str">
        <f>"01465920180412"</f>
        <v>01465920180412</v>
      </c>
      <c r="G288" t="str">
        <f>"customer# 14659"</f>
        <v>customer# 14659</v>
      </c>
      <c r="H288">
        <v>446.17</v>
      </c>
      <c r="I288" t="str">
        <f>"Inv# 3211353"</f>
        <v>Inv# 3211353</v>
      </c>
    </row>
    <row r="289" spans="1:9" x14ac:dyDescent="0.25">
      <c r="A289" t="str">
        <f>""</f>
        <v/>
      </c>
      <c r="F289" t="str">
        <f>""</f>
        <v/>
      </c>
      <c r="G289" t="str">
        <f>""</f>
        <v/>
      </c>
      <c r="I289" t="str">
        <f>"Inv#3146491"</f>
        <v>Inv#3146491</v>
      </c>
    </row>
    <row r="290" spans="1:9" x14ac:dyDescent="0.25">
      <c r="A290" t="str">
        <f>""</f>
        <v/>
      </c>
      <c r="F290" t="str">
        <f>""</f>
        <v/>
      </c>
      <c r="G290" t="str">
        <f>""</f>
        <v/>
      </c>
      <c r="I290" t="str">
        <f>"Inv# 3146492"</f>
        <v>Inv# 3146492</v>
      </c>
    </row>
    <row r="291" spans="1:9" x14ac:dyDescent="0.25">
      <c r="A291" t="str">
        <f>""</f>
        <v/>
      </c>
      <c r="F291" t="str">
        <f>""</f>
        <v/>
      </c>
      <c r="G291" t="str">
        <f>""</f>
        <v/>
      </c>
      <c r="I291" t="str">
        <f>"Inv# 3103685"</f>
        <v>Inv# 3103685</v>
      </c>
    </row>
    <row r="292" spans="1:9" x14ac:dyDescent="0.25">
      <c r="A292" t="str">
        <f>""</f>
        <v/>
      </c>
      <c r="F292" t="str">
        <f>""</f>
        <v/>
      </c>
      <c r="G292" t="str">
        <f>""</f>
        <v/>
      </c>
      <c r="I292" t="str">
        <f>"Inv# 3103686"</f>
        <v>Inv# 3103686</v>
      </c>
    </row>
    <row r="293" spans="1:9" x14ac:dyDescent="0.25">
      <c r="A293" t="str">
        <f>""</f>
        <v/>
      </c>
      <c r="F293" t="str">
        <f>"INV#3170651"</f>
        <v>INV#3170651</v>
      </c>
      <c r="G293" t="str">
        <f>"Inv# 3170651"</f>
        <v>Inv# 3170651</v>
      </c>
      <c r="H293">
        <v>642.91999999999996</v>
      </c>
      <c r="I293" t="str">
        <f>"Inv# 3170651"</f>
        <v>Inv# 3170651</v>
      </c>
    </row>
    <row r="294" spans="1:9" x14ac:dyDescent="0.25">
      <c r="A294" t="str">
        <f>"005514"</f>
        <v>005514</v>
      </c>
      <c r="B294" t="s">
        <v>79</v>
      </c>
      <c r="C294">
        <v>76228</v>
      </c>
      <c r="D294" s="2">
        <v>274.56</v>
      </c>
      <c r="E294" s="1">
        <v>43213</v>
      </c>
      <c r="F294" t="str">
        <f>"LODGING-A.GONZALEZ"</f>
        <v>LODGING-A.GONZALEZ</v>
      </c>
      <c r="G294" t="str">
        <f>"LODGING"</f>
        <v>LODGING</v>
      </c>
      <c r="H294">
        <v>274.56</v>
      </c>
      <c r="I294" t="str">
        <f>"LODGING"</f>
        <v>LODGING</v>
      </c>
    </row>
    <row r="295" spans="1:9" x14ac:dyDescent="0.25">
      <c r="A295" t="str">
        <f>"002443"</f>
        <v>002443</v>
      </c>
      <c r="B295" t="s">
        <v>80</v>
      </c>
      <c r="C295">
        <v>76015</v>
      </c>
      <c r="D295" s="2">
        <v>225</v>
      </c>
      <c r="E295" s="1">
        <v>43199</v>
      </c>
      <c r="F295" t="str">
        <f>"12502"</f>
        <v>12502</v>
      </c>
      <c r="G295" t="str">
        <f>"SERVICE  12/08/17"</f>
        <v>SERVICE  12/08/17</v>
      </c>
      <c r="H295">
        <v>225</v>
      </c>
      <c r="I295" t="str">
        <f>"SERVICE  12/08/17"</f>
        <v>SERVICE  12/08/17</v>
      </c>
    </row>
    <row r="296" spans="1:9" x14ac:dyDescent="0.25">
      <c r="A296" t="str">
        <f>"002443"</f>
        <v>002443</v>
      </c>
      <c r="B296" t="s">
        <v>80</v>
      </c>
      <c r="C296">
        <v>76229</v>
      </c>
      <c r="D296" s="2">
        <v>150</v>
      </c>
      <c r="E296" s="1">
        <v>43213</v>
      </c>
      <c r="F296" t="str">
        <f>"12640"</f>
        <v>12640</v>
      </c>
      <c r="G296" t="str">
        <f>"SERVICE  12/08/17"</f>
        <v>SERVICE  12/08/17</v>
      </c>
      <c r="H296">
        <v>150</v>
      </c>
      <c r="I296" t="str">
        <f>"SERVICE  12/08/17"</f>
        <v>SERVICE  12/08/17</v>
      </c>
    </row>
    <row r="297" spans="1:9" x14ac:dyDescent="0.25">
      <c r="A297" t="str">
        <f>"T2043"</f>
        <v>T2043</v>
      </c>
      <c r="B297" t="s">
        <v>81</v>
      </c>
      <c r="C297">
        <v>999999</v>
      </c>
      <c r="D297" s="2">
        <v>4376.8999999999996</v>
      </c>
      <c r="E297" s="1">
        <v>43200</v>
      </c>
      <c r="F297" t="str">
        <f>"106196"</f>
        <v>106196</v>
      </c>
      <c r="G297" t="str">
        <f>"APPEAL TCEQ TRANSFER/CL#001309"</f>
        <v>APPEAL TCEQ TRANSFER/CL#001309</v>
      </c>
      <c r="H297">
        <v>4376.8999999999996</v>
      </c>
      <c r="I297" t="str">
        <f>"APPEAL TCEQ TRANSFER/CL#001309"</f>
        <v>APPEAL TCEQ TRANSFER/CL#001309</v>
      </c>
    </row>
    <row r="298" spans="1:9" x14ac:dyDescent="0.25">
      <c r="A298" t="str">
        <f>"004147"</f>
        <v>004147</v>
      </c>
      <c r="B298" t="s">
        <v>82</v>
      </c>
      <c r="C298">
        <v>999999</v>
      </c>
      <c r="D298" s="2">
        <v>2850.69</v>
      </c>
      <c r="E298" s="1">
        <v>43214</v>
      </c>
      <c r="F298" t="str">
        <f>"4513"</f>
        <v>4513</v>
      </c>
      <c r="G298" t="str">
        <f>"VEHICLE MAINT/FORD/PCT#4"</f>
        <v>VEHICLE MAINT/FORD/PCT#4</v>
      </c>
      <c r="H298">
        <v>448</v>
      </c>
      <c r="I298" t="str">
        <f>"VEHICLE MAINT/FORD/PCT#4"</f>
        <v>VEHICLE MAINT/FORD/PCT#4</v>
      </c>
    </row>
    <row r="299" spans="1:9" x14ac:dyDescent="0.25">
      <c r="A299" t="str">
        <f>""</f>
        <v/>
      </c>
      <c r="F299" t="str">
        <f>"4541"</f>
        <v>4541</v>
      </c>
      <c r="G299" t="str">
        <f>"VEHICLE MAINT/FORD F550/PCT#4"</f>
        <v>VEHICLE MAINT/FORD F550/PCT#4</v>
      </c>
      <c r="H299">
        <v>1640.85</v>
      </c>
      <c r="I299" t="str">
        <f>"VEHICLE MAINT/FORD F550/PCT#4"</f>
        <v>VEHICLE MAINT/FORD F550/PCT#4</v>
      </c>
    </row>
    <row r="300" spans="1:9" x14ac:dyDescent="0.25">
      <c r="A300" t="str">
        <f>""</f>
        <v/>
      </c>
      <c r="F300" t="str">
        <f>"4542"</f>
        <v>4542</v>
      </c>
      <c r="G300" t="str">
        <f>"INSTALL CAB MOUNT BUSHINGS/P4"</f>
        <v>INSTALL CAB MOUNT BUSHINGS/P4</v>
      </c>
      <c r="H300">
        <v>666.84</v>
      </c>
      <c r="I300" t="str">
        <f>"INSTALL CAB MOUNT BUSHINGS/P4"</f>
        <v>INSTALL CAB MOUNT BUSHINGS/P4</v>
      </c>
    </row>
    <row r="301" spans="1:9" x14ac:dyDescent="0.25">
      <c r="A301" t="str">
        <f>""</f>
        <v/>
      </c>
      <c r="F301" t="str">
        <f>"4555"</f>
        <v>4555</v>
      </c>
      <c r="G301" t="str">
        <f>"R&amp;R FAN CLUTCH/2003 FORD/PCT#4"</f>
        <v>R&amp;R FAN CLUTCH/2003 FORD/PCT#4</v>
      </c>
      <c r="H301">
        <v>95</v>
      </c>
      <c r="I301" t="str">
        <f>"R&amp;R FAN CLUTCH/2003 FORD/PCT#4"</f>
        <v>R&amp;R FAN CLUTCH/2003 FORD/PCT#4</v>
      </c>
    </row>
    <row r="302" spans="1:9" x14ac:dyDescent="0.25">
      <c r="A302" t="str">
        <f>"000593"</f>
        <v>000593</v>
      </c>
      <c r="B302" t="s">
        <v>83</v>
      </c>
      <c r="C302">
        <v>76016</v>
      </c>
      <c r="D302" s="2">
        <v>560.20000000000005</v>
      </c>
      <c r="E302" s="1">
        <v>43199</v>
      </c>
      <c r="F302" t="str">
        <f>"84078932331/406"</f>
        <v>84078932331/406</v>
      </c>
      <c r="G302" t="str">
        <f>"INV 84078932331"</f>
        <v>INV 84078932331</v>
      </c>
      <c r="H302">
        <v>560.20000000000005</v>
      </c>
      <c r="I302" t="str">
        <f>"INV 84078932331"</f>
        <v>INV 84078932331</v>
      </c>
    </row>
    <row r="303" spans="1:9" x14ac:dyDescent="0.25">
      <c r="A303" t="str">
        <f>""</f>
        <v/>
      </c>
      <c r="F303" t="str">
        <f>""</f>
        <v/>
      </c>
      <c r="G303" t="str">
        <f>""</f>
        <v/>
      </c>
      <c r="I303" t="str">
        <f>"INV 84078932406"</f>
        <v>INV 84078932406</v>
      </c>
    </row>
    <row r="304" spans="1:9" x14ac:dyDescent="0.25">
      <c r="A304" t="str">
        <f>"000593"</f>
        <v>000593</v>
      </c>
      <c r="B304" t="s">
        <v>83</v>
      </c>
      <c r="C304">
        <v>76230</v>
      </c>
      <c r="D304" s="2">
        <v>592.29999999999995</v>
      </c>
      <c r="E304" s="1">
        <v>43213</v>
      </c>
      <c r="F304" t="str">
        <f>"84078932491/571"</f>
        <v>84078932491/571</v>
      </c>
      <c r="G304" t="str">
        <f>"INV 84078932491"</f>
        <v>INV 84078932491</v>
      </c>
      <c r="H304">
        <v>592.29999999999995</v>
      </c>
      <c r="I304" t="str">
        <f>"INV 84078932491"</f>
        <v>INV 84078932491</v>
      </c>
    </row>
    <row r="305" spans="1:9" x14ac:dyDescent="0.25">
      <c r="A305" t="str">
        <f>""</f>
        <v/>
      </c>
      <c r="F305" t="str">
        <f>""</f>
        <v/>
      </c>
      <c r="G305" t="str">
        <f>""</f>
        <v/>
      </c>
      <c r="I305" t="str">
        <f>"INV 84078932571"</f>
        <v>INV 84078932571</v>
      </c>
    </row>
    <row r="306" spans="1:9" x14ac:dyDescent="0.25">
      <c r="A306" t="str">
        <f>"003732"</f>
        <v>003732</v>
      </c>
      <c r="B306" t="s">
        <v>84</v>
      </c>
      <c r="C306">
        <v>999999</v>
      </c>
      <c r="D306" s="2">
        <v>1887.5</v>
      </c>
      <c r="E306" s="1">
        <v>43200</v>
      </c>
      <c r="F306" t="str">
        <f>"201804039859"</f>
        <v>201804039859</v>
      </c>
      <c r="G306" t="str">
        <f>"16-17713"</f>
        <v>16-17713</v>
      </c>
      <c r="H306">
        <v>437.5</v>
      </c>
      <c r="I306" t="str">
        <f>"16-17713"</f>
        <v>16-17713</v>
      </c>
    </row>
    <row r="307" spans="1:9" x14ac:dyDescent="0.25">
      <c r="A307" t="str">
        <f>""</f>
        <v/>
      </c>
      <c r="F307" t="str">
        <f>"201804039860"</f>
        <v>201804039860</v>
      </c>
      <c r="G307" t="str">
        <f>"17-18643"</f>
        <v>17-18643</v>
      </c>
      <c r="H307">
        <v>100</v>
      </c>
      <c r="I307" t="str">
        <f>"17-18643"</f>
        <v>17-18643</v>
      </c>
    </row>
    <row r="308" spans="1:9" x14ac:dyDescent="0.25">
      <c r="A308" t="str">
        <f>""</f>
        <v/>
      </c>
      <c r="F308" t="str">
        <f>"201804039884"</f>
        <v>201804039884</v>
      </c>
      <c r="G308" t="str">
        <f>"55 504"</f>
        <v>55 504</v>
      </c>
      <c r="H308">
        <v>250</v>
      </c>
      <c r="I308" t="str">
        <f>"55 504"</f>
        <v>55 504</v>
      </c>
    </row>
    <row r="309" spans="1:9" x14ac:dyDescent="0.25">
      <c r="A309" t="str">
        <f>""</f>
        <v/>
      </c>
      <c r="F309" t="str">
        <f>"201804039885"</f>
        <v>201804039885</v>
      </c>
      <c r="G309" t="str">
        <f>"55 628"</f>
        <v>55 628</v>
      </c>
      <c r="H309">
        <v>250</v>
      </c>
      <c r="I309" t="str">
        <f>"55 628"</f>
        <v>55 628</v>
      </c>
    </row>
    <row r="310" spans="1:9" x14ac:dyDescent="0.25">
      <c r="A310" t="str">
        <f>""</f>
        <v/>
      </c>
      <c r="F310" t="str">
        <f>"201804039886"</f>
        <v>201804039886</v>
      </c>
      <c r="G310" t="str">
        <f>"55 503"</f>
        <v>55 503</v>
      </c>
      <c r="H310">
        <v>250</v>
      </c>
      <c r="I310" t="str">
        <f>"55 503"</f>
        <v>55 503</v>
      </c>
    </row>
    <row r="311" spans="1:9" x14ac:dyDescent="0.25">
      <c r="A311" t="str">
        <f>""</f>
        <v/>
      </c>
      <c r="F311" t="str">
        <f>"201804049966"</f>
        <v>201804049966</v>
      </c>
      <c r="G311" t="str">
        <f>"18-18825"</f>
        <v>18-18825</v>
      </c>
      <c r="H311">
        <v>100</v>
      </c>
      <c r="I311" t="str">
        <f>"18-18825"</f>
        <v>18-18825</v>
      </c>
    </row>
    <row r="312" spans="1:9" x14ac:dyDescent="0.25">
      <c r="A312" t="str">
        <f>""</f>
        <v/>
      </c>
      <c r="F312" t="str">
        <f>"201804049968"</f>
        <v>201804049968</v>
      </c>
      <c r="G312" t="str">
        <f>"02-0122-1"</f>
        <v>02-0122-1</v>
      </c>
      <c r="H312">
        <v>250</v>
      </c>
      <c r="I312" t="str">
        <f>"02-0122-1"</f>
        <v>02-0122-1</v>
      </c>
    </row>
    <row r="313" spans="1:9" x14ac:dyDescent="0.25">
      <c r="A313" t="str">
        <f>""</f>
        <v/>
      </c>
      <c r="F313" t="str">
        <f>"201804049976"</f>
        <v>201804049976</v>
      </c>
      <c r="G313" t="str">
        <f>"55 598"</f>
        <v>55 598</v>
      </c>
      <c r="H313">
        <v>250</v>
      </c>
      <c r="I313" t="str">
        <f>"55 598"</f>
        <v>55 598</v>
      </c>
    </row>
    <row r="314" spans="1:9" x14ac:dyDescent="0.25">
      <c r="A314" t="str">
        <f>"003732"</f>
        <v>003732</v>
      </c>
      <c r="B314" t="s">
        <v>84</v>
      </c>
      <c r="C314">
        <v>999999</v>
      </c>
      <c r="D314" s="2">
        <v>1550</v>
      </c>
      <c r="E314" s="1">
        <v>43214</v>
      </c>
      <c r="F314" t="str">
        <f>"201804120283"</f>
        <v>201804120283</v>
      </c>
      <c r="G314" t="str">
        <f>"55 797"</f>
        <v>55 797</v>
      </c>
      <c r="H314">
        <v>250</v>
      </c>
      <c r="I314" t="str">
        <f>"55 797"</f>
        <v>55 797</v>
      </c>
    </row>
    <row r="315" spans="1:9" x14ac:dyDescent="0.25">
      <c r="A315" t="str">
        <f>""</f>
        <v/>
      </c>
      <c r="F315" t="str">
        <f>"201804130324"</f>
        <v>201804130324</v>
      </c>
      <c r="G315" t="str">
        <f>"18-18972"</f>
        <v>18-18972</v>
      </c>
      <c r="H315">
        <v>100</v>
      </c>
      <c r="I315" t="str">
        <f>"18-18972"</f>
        <v>18-18972</v>
      </c>
    </row>
    <row r="316" spans="1:9" x14ac:dyDescent="0.25">
      <c r="A316" t="str">
        <f>""</f>
        <v/>
      </c>
      <c r="F316" t="str">
        <f>"201804130325"</f>
        <v>201804130325</v>
      </c>
      <c r="G316" t="str">
        <f>"18-18973"</f>
        <v>18-18973</v>
      </c>
      <c r="H316">
        <v>100</v>
      </c>
      <c r="I316" t="str">
        <f>"18-18973"</f>
        <v>18-18973</v>
      </c>
    </row>
    <row r="317" spans="1:9" x14ac:dyDescent="0.25">
      <c r="A317" t="str">
        <f>""</f>
        <v/>
      </c>
      <c r="F317" t="str">
        <f>"201804130326"</f>
        <v>201804130326</v>
      </c>
      <c r="G317" t="str">
        <f>"18-18961"</f>
        <v>18-18961</v>
      </c>
      <c r="H317">
        <v>100</v>
      </c>
      <c r="I317" t="str">
        <f>"18-18961"</f>
        <v>18-18961</v>
      </c>
    </row>
    <row r="318" spans="1:9" x14ac:dyDescent="0.25">
      <c r="A318" t="str">
        <f>""</f>
        <v/>
      </c>
      <c r="F318" t="str">
        <f>"201804130327"</f>
        <v>201804130327</v>
      </c>
      <c r="G318" t="str">
        <f>"4105054 9199577933A001 15-S-06"</f>
        <v>4105054 9199577933A001 15-S-06</v>
      </c>
      <c r="H318">
        <v>250</v>
      </c>
      <c r="I318" t="str">
        <f>"4105054 9199577933A001 15-S-06"</f>
        <v>4105054 9199577933A001 15-S-06</v>
      </c>
    </row>
    <row r="319" spans="1:9" x14ac:dyDescent="0.25">
      <c r="A319" t="str">
        <f>""</f>
        <v/>
      </c>
      <c r="F319" t="str">
        <f>"201804130328"</f>
        <v>201804130328</v>
      </c>
      <c r="G319" t="str">
        <f>"20150801-H 9199569213A002/A001"</f>
        <v>20150801-H 9199569213A002/A001</v>
      </c>
      <c r="H319">
        <v>375</v>
      </c>
      <c r="I319" t="str">
        <f>"20150801-H 9199569213A002/A001"</f>
        <v>20150801-H 9199569213A002/A001</v>
      </c>
    </row>
    <row r="320" spans="1:9" x14ac:dyDescent="0.25">
      <c r="A320" t="str">
        <f>""</f>
        <v/>
      </c>
      <c r="F320" t="str">
        <f>"201804130330"</f>
        <v>201804130330</v>
      </c>
      <c r="G320" t="str">
        <f>"55 995  55 996"</f>
        <v>55 995  55 996</v>
      </c>
      <c r="H320">
        <v>375</v>
      </c>
      <c r="I320" t="str">
        <f>"55 995  55 996"</f>
        <v>55 995  55 996</v>
      </c>
    </row>
    <row r="321" spans="1:9" x14ac:dyDescent="0.25">
      <c r="A321" t="str">
        <f>"BEC"</f>
        <v>BEC</v>
      </c>
      <c r="B321" t="s">
        <v>85</v>
      </c>
      <c r="C321">
        <v>76195</v>
      </c>
      <c r="D321" s="2">
        <v>2466.7199999999998</v>
      </c>
      <c r="E321" s="1">
        <v>43203</v>
      </c>
      <c r="F321" t="str">
        <f>"201804120303"</f>
        <v>201804120303</v>
      </c>
      <c r="G321" t="str">
        <f>"ACCT#5000057374 / 04/03/2018"</f>
        <v>ACCT#5000057374 / 04/03/2018</v>
      </c>
      <c r="H321">
        <v>2466.7199999999998</v>
      </c>
      <c r="I321" t="str">
        <f>"ACCT#5000057374 / 04/03/2018"</f>
        <v>ACCT#5000057374 / 04/03/2018</v>
      </c>
    </row>
    <row r="322" spans="1:9" x14ac:dyDescent="0.25">
      <c r="A322" t="str">
        <f>""</f>
        <v/>
      </c>
      <c r="F322" t="str">
        <f>""</f>
        <v/>
      </c>
      <c r="G322" t="str">
        <f>""</f>
        <v/>
      </c>
      <c r="I322" t="str">
        <f>"ACCT#5000057374 / 04/03/2018"</f>
        <v>ACCT#5000057374 / 04/03/2018</v>
      </c>
    </row>
    <row r="323" spans="1:9" x14ac:dyDescent="0.25">
      <c r="A323" t="str">
        <f>""</f>
        <v/>
      </c>
      <c r="F323" t="str">
        <f>""</f>
        <v/>
      </c>
      <c r="G323" t="str">
        <f>""</f>
        <v/>
      </c>
      <c r="I323" t="str">
        <f>"ACCT#5000057374 / 04/03/2018"</f>
        <v>ACCT#5000057374 / 04/03/2018</v>
      </c>
    </row>
    <row r="324" spans="1:9" x14ac:dyDescent="0.25">
      <c r="A324" t="str">
        <f>""</f>
        <v/>
      </c>
      <c r="F324" t="str">
        <f>""</f>
        <v/>
      </c>
      <c r="G324" t="str">
        <f>""</f>
        <v/>
      </c>
      <c r="I324" t="str">
        <f>"ACCT#5000057374 / 04/03/2018"</f>
        <v>ACCT#5000057374 / 04/03/2018</v>
      </c>
    </row>
    <row r="325" spans="1:9" x14ac:dyDescent="0.25">
      <c r="A325" t="str">
        <f>"T5975"</f>
        <v>T5975</v>
      </c>
      <c r="B325" t="s">
        <v>86</v>
      </c>
      <c r="C325">
        <v>76231</v>
      </c>
      <c r="D325" s="2">
        <v>950</v>
      </c>
      <c r="E325" s="1">
        <v>43213</v>
      </c>
      <c r="F325" t="str">
        <f>"25032018"</f>
        <v>25032018</v>
      </c>
      <c r="G325" t="str">
        <f>"INV 25032018"</f>
        <v>INV 25032018</v>
      </c>
      <c r="H325">
        <v>950</v>
      </c>
      <c r="I325" t="str">
        <f>"INV 25032018"</f>
        <v>INV 25032018</v>
      </c>
    </row>
    <row r="326" spans="1:9" x14ac:dyDescent="0.25">
      <c r="A326" t="str">
        <f>"BBCI"</f>
        <v>BBCI</v>
      </c>
      <c r="B326" t="s">
        <v>87</v>
      </c>
      <c r="C326">
        <v>76017</v>
      </c>
      <c r="D326" s="2">
        <v>371.8</v>
      </c>
      <c r="E326" s="1">
        <v>43199</v>
      </c>
      <c r="F326" t="str">
        <f>"UT1000453188"</f>
        <v>UT1000453188</v>
      </c>
      <c r="G326" t="str">
        <f>"INV UT1000453188"</f>
        <v>INV UT1000453188</v>
      </c>
      <c r="H326">
        <v>371.8</v>
      </c>
      <c r="I326" t="str">
        <f>"INV UT1000453188"</f>
        <v>INV UT1000453188</v>
      </c>
    </row>
    <row r="327" spans="1:9" x14ac:dyDescent="0.25">
      <c r="A327" t="str">
        <f>"BBCI"</f>
        <v>BBCI</v>
      </c>
      <c r="B327" t="s">
        <v>87</v>
      </c>
      <c r="C327">
        <v>76232</v>
      </c>
      <c r="D327" s="2">
        <v>770.7</v>
      </c>
      <c r="E327" s="1">
        <v>43213</v>
      </c>
      <c r="F327" t="str">
        <f>"UT1000454258"</f>
        <v>UT1000454258</v>
      </c>
      <c r="G327" t="str">
        <f>"INV UT1000454258"</f>
        <v>INV UT1000454258</v>
      </c>
      <c r="H327">
        <v>539.70000000000005</v>
      </c>
      <c r="I327" t="str">
        <f>"INV UT1000454258"</f>
        <v>INV UT1000454258</v>
      </c>
    </row>
    <row r="328" spans="1:9" x14ac:dyDescent="0.25">
      <c r="A328" t="str">
        <f>""</f>
        <v/>
      </c>
      <c r="F328" t="str">
        <f>"UTI000454181"</f>
        <v>UTI000454181</v>
      </c>
      <c r="G328" t="str">
        <f>"INV UT1000454181"</f>
        <v>INV UT1000454181</v>
      </c>
      <c r="H328">
        <v>231</v>
      </c>
      <c r="I328" t="str">
        <f>"INV UT1000454181"</f>
        <v>INV UT1000454181</v>
      </c>
    </row>
    <row r="329" spans="1:9" x14ac:dyDescent="0.25">
      <c r="A329" t="str">
        <f>"001367"</f>
        <v>001367</v>
      </c>
      <c r="B329" t="s">
        <v>88</v>
      </c>
      <c r="C329">
        <v>76018</v>
      </c>
      <c r="D329" s="2">
        <v>3991.36</v>
      </c>
      <c r="E329" s="1">
        <v>43199</v>
      </c>
      <c r="F329" t="str">
        <f>"7385"</f>
        <v>7385</v>
      </c>
      <c r="G329" t="str">
        <f>"INV 7385 / UNIT 1628"</f>
        <v>INV 7385 / UNIT 1628</v>
      </c>
      <c r="H329">
        <v>711.61</v>
      </c>
      <c r="I329" t="str">
        <f>"INV 7385 / UNIT 1628"</f>
        <v>INV 7385 / UNIT 1628</v>
      </c>
    </row>
    <row r="330" spans="1:9" x14ac:dyDescent="0.25">
      <c r="A330" t="str">
        <f>""</f>
        <v/>
      </c>
      <c r="F330" t="str">
        <f>"7447"</f>
        <v>7447</v>
      </c>
      <c r="G330" t="str">
        <f>"INV 7447 / UNIT 1995"</f>
        <v>INV 7447 / UNIT 1995</v>
      </c>
      <c r="H330">
        <v>769.76</v>
      </c>
      <c r="I330" t="str">
        <f>"INV 7447 / UNIT 1995"</f>
        <v>INV 7447 / UNIT 1995</v>
      </c>
    </row>
    <row r="331" spans="1:9" x14ac:dyDescent="0.25">
      <c r="A331" t="str">
        <f>""</f>
        <v/>
      </c>
      <c r="F331" t="str">
        <f>"7470"</f>
        <v>7470</v>
      </c>
      <c r="G331" t="str">
        <f>"INV 7470 / UNIT 5273"</f>
        <v>INV 7470 / UNIT 5273</v>
      </c>
      <c r="H331">
        <v>361.1</v>
      </c>
      <c r="I331" t="str">
        <f>"INV 7470 / UNIT 5273"</f>
        <v>INV 7470 / UNIT 5273</v>
      </c>
    </row>
    <row r="332" spans="1:9" x14ac:dyDescent="0.25">
      <c r="A332" t="str">
        <f>""</f>
        <v/>
      </c>
      <c r="F332" t="str">
        <f>"7477"</f>
        <v>7477</v>
      </c>
      <c r="G332" t="str">
        <f>"INV 7477 / UNIT 3805"</f>
        <v>INV 7477 / UNIT 3805</v>
      </c>
      <c r="H332">
        <v>401.7</v>
      </c>
      <c r="I332" t="str">
        <f>"INV 7477 / UNIT 3805"</f>
        <v>INV 7477 / UNIT 3805</v>
      </c>
    </row>
    <row r="333" spans="1:9" x14ac:dyDescent="0.25">
      <c r="A333" t="str">
        <f>""</f>
        <v/>
      </c>
      <c r="F333" t="str">
        <f>"7503"</f>
        <v>7503</v>
      </c>
      <c r="G333" t="str">
        <f>"INV 7503 / UNIT 3102"</f>
        <v>INV 7503 / UNIT 3102</v>
      </c>
      <c r="H333">
        <v>154.5</v>
      </c>
      <c r="I333" t="str">
        <f>"INV 7503 / UNIT 3102"</f>
        <v>INV 7503 / UNIT 3102</v>
      </c>
    </row>
    <row r="334" spans="1:9" x14ac:dyDescent="0.25">
      <c r="A334" t="str">
        <f>""</f>
        <v/>
      </c>
      <c r="F334" t="str">
        <f>"7504"</f>
        <v>7504</v>
      </c>
      <c r="G334" t="str">
        <f>"INV 7504 / UNIT 6424"</f>
        <v>INV 7504 / UNIT 6424</v>
      </c>
      <c r="H334">
        <v>112.21</v>
      </c>
      <c r="I334" t="str">
        <f>"INV 7504 / UNIT 6424"</f>
        <v>INV 7504 / UNIT 6424</v>
      </c>
    </row>
    <row r="335" spans="1:9" x14ac:dyDescent="0.25">
      <c r="A335" t="str">
        <f>""</f>
        <v/>
      </c>
      <c r="F335" t="str">
        <f>"7527"</f>
        <v>7527</v>
      </c>
      <c r="G335" t="str">
        <f>"INV 7527 / UNIT 1663"</f>
        <v>INV 7527 / UNIT 1663</v>
      </c>
      <c r="H335">
        <v>355.16</v>
      </c>
      <c r="I335" t="str">
        <f>"INV 7527 / UNIT 1663"</f>
        <v>INV 7527 / UNIT 1663</v>
      </c>
    </row>
    <row r="336" spans="1:9" x14ac:dyDescent="0.25">
      <c r="A336" t="str">
        <f>""</f>
        <v/>
      </c>
      <c r="F336" t="str">
        <f>"7536"</f>
        <v>7536</v>
      </c>
      <c r="G336" t="str">
        <f>"INV 7536 / UNIT 123"</f>
        <v>INV 7536 / UNIT 123</v>
      </c>
      <c r="H336">
        <v>123.6</v>
      </c>
      <c r="I336" t="str">
        <f>"INV 7536 / UNIT 123"</f>
        <v>INV 7536 / UNIT 123</v>
      </c>
    </row>
    <row r="337" spans="1:9" x14ac:dyDescent="0.25">
      <c r="A337" t="str">
        <f>""</f>
        <v/>
      </c>
      <c r="F337" t="str">
        <f>"7547/UNIT1668"</f>
        <v>7547/UNIT1668</v>
      </c>
      <c r="G337" t="str">
        <f>"INV 7547 / UNIT 1668"</f>
        <v>INV 7547 / UNIT 1668</v>
      </c>
      <c r="H337">
        <v>355.16</v>
      </c>
      <c r="I337" t="str">
        <f>"INV 7547 / UNIT 1668"</f>
        <v>INV 7547 / UNIT 1668</v>
      </c>
    </row>
    <row r="338" spans="1:9" x14ac:dyDescent="0.25">
      <c r="A338" t="str">
        <f>""</f>
        <v/>
      </c>
      <c r="F338" t="str">
        <f>"BLANKET PO-VEH MAN"</f>
        <v>BLANKET PO-VEH MAN</v>
      </c>
      <c r="G338" t="str">
        <f>"INV 7439 / UNIT 0120"</f>
        <v>INV 7439 / UNIT 0120</v>
      </c>
      <c r="H338">
        <v>646.55999999999995</v>
      </c>
      <c r="I338" t="str">
        <f>"INV 7439 / UNIT 0120"</f>
        <v>INV 7439 / UNIT 0120</v>
      </c>
    </row>
    <row r="339" spans="1:9" x14ac:dyDescent="0.25">
      <c r="A339" t="str">
        <f>""</f>
        <v/>
      </c>
      <c r="F339" t="str">
        <f>""</f>
        <v/>
      </c>
      <c r="G339" t="str">
        <f>""</f>
        <v/>
      </c>
      <c r="I339" t="str">
        <f>"INV 7442 / UNIT 3805"</f>
        <v>INV 7442 / UNIT 3805</v>
      </c>
    </row>
    <row r="340" spans="1:9" x14ac:dyDescent="0.25">
      <c r="A340" t="str">
        <f>""</f>
        <v/>
      </c>
      <c r="F340" t="str">
        <f>""</f>
        <v/>
      </c>
      <c r="G340" t="str">
        <f>""</f>
        <v/>
      </c>
      <c r="I340" t="str">
        <f>"INV 7448 / UNIT 1995"</f>
        <v>INV 7448 / UNIT 1995</v>
      </c>
    </row>
    <row r="341" spans="1:9" x14ac:dyDescent="0.25">
      <c r="A341" t="str">
        <f>""</f>
        <v/>
      </c>
      <c r="F341" t="str">
        <f>""</f>
        <v/>
      </c>
      <c r="G341" t="str">
        <f>""</f>
        <v/>
      </c>
      <c r="I341" t="str">
        <f>"INV 7453 / UNIT 5273"</f>
        <v>INV 7453 / UNIT 5273</v>
      </c>
    </row>
    <row r="342" spans="1:9" x14ac:dyDescent="0.25">
      <c r="A342" t="str">
        <f>""</f>
        <v/>
      </c>
      <c r="F342" t="str">
        <f>""</f>
        <v/>
      </c>
      <c r="G342" t="str">
        <f>""</f>
        <v/>
      </c>
      <c r="I342" t="str">
        <f>"INV 7462 / UNIT 1665"</f>
        <v>INV 7462 / UNIT 1665</v>
      </c>
    </row>
    <row r="343" spans="1:9" x14ac:dyDescent="0.25">
      <c r="A343" t="str">
        <f>""</f>
        <v/>
      </c>
      <c r="F343" t="str">
        <f>""</f>
        <v/>
      </c>
      <c r="G343" t="str">
        <f>""</f>
        <v/>
      </c>
      <c r="I343" t="str">
        <f>"INV 7468 / UNIT 124"</f>
        <v>INV 7468 / UNIT 124</v>
      </c>
    </row>
    <row r="344" spans="1:9" x14ac:dyDescent="0.25">
      <c r="A344" t="str">
        <f>""</f>
        <v/>
      </c>
      <c r="F344" t="str">
        <f>""</f>
        <v/>
      </c>
      <c r="G344" t="str">
        <f>""</f>
        <v/>
      </c>
      <c r="I344" t="str">
        <f>"INV 7472 / UNIT 4362"</f>
        <v>INV 7472 / UNIT 4362</v>
      </c>
    </row>
    <row r="345" spans="1:9" x14ac:dyDescent="0.25">
      <c r="A345" t="str">
        <f>""</f>
        <v/>
      </c>
      <c r="F345" t="str">
        <f>""</f>
        <v/>
      </c>
      <c r="G345" t="str">
        <f>""</f>
        <v/>
      </c>
      <c r="I345" t="str">
        <f>"INV 7478 / UNIT 5511"</f>
        <v>INV 7478 / UNIT 5511</v>
      </c>
    </row>
    <row r="346" spans="1:9" x14ac:dyDescent="0.25">
      <c r="A346" t="str">
        <f>""</f>
        <v/>
      </c>
      <c r="F346" t="str">
        <f>""</f>
        <v/>
      </c>
      <c r="G346" t="str">
        <f>""</f>
        <v/>
      </c>
      <c r="I346" t="str">
        <f>"INV 7483 / UNIT 0127"</f>
        <v>INV 7483 / UNIT 0127</v>
      </c>
    </row>
    <row r="347" spans="1:9" x14ac:dyDescent="0.25">
      <c r="A347" t="str">
        <f>""</f>
        <v/>
      </c>
      <c r="F347" t="str">
        <f>""</f>
        <v/>
      </c>
      <c r="G347" t="str">
        <f>""</f>
        <v/>
      </c>
      <c r="I347" t="str">
        <f>"INV 7508 / UNIT 3804"</f>
        <v>INV 7508 / UNIT 3804</v>
      </c>
    </row>
    <row r="348" spans="1:9" x14ac:dyDescent="0.25">
      <c r="A348" t="str">
        <f>""</f>
        <v/>
      </c>
      <c r="F348" t="str">
        <f>""</f>
        <v/>
      </c>
      <c r="G348" t="str">
        <f>""</f>
        <v/>
      </c>
      <c r="I348" t="str">
        <f>"INV 7515 / UNIT 123"</f>
        <v>INV 7515 / UNIT 123</v>
      </c>
    </row>
    <row r="349" spans="1:9" x14ac:dyDescent="0.25">
      <c r="A349" t="str">
        <f>""</f>
        <v/>
      </c>
      <c r="F349" t="str">
        <f>""</f>
        <v/>
      </c>
      <c r="G349" t="str">
        <f>""</f>
        <v/>
      </c>
      <c r="I349" t="str">
        <f>"INV 7517 / UNIT 7277"</f>
        <v>INV 7517 / UNIT 7277</v>
      </c>
    </row>
    <row r="350" spans="1:9" x14ac:dyDescent="0.25">
      <c r="A350" t="str">
        <f>""</f>
        <v/>
      </c>
      <c r="F350" t="str">
        <f>""</f>
        <v/>
      </c>
      <c r="G350" t="str">
        <f>""</f>
        <v/>
      </c>
      <c r="I350" t="str">
        <f>"INV 7520 / UNIT 6523"</f>
        <v>INV 7520 / UNIT 6523</v>
      </c>
    </row>
    <row r="351" spans="1:9" x14ac:dyDescent="0.25">
      <c r="A351" t="str">
        <f>""</f>
        <v/>
      </c>
      <c r="F351" t="str">
        <f>""</f>
        <v/>
      </c>
      <c r="G351" t="str">
        <f>""</f>
        <v/>
      </c>
      <c r="I351" t="str">
        <f>"INV 7522 / UNIT 0126"</f>
        <v>INV 7522 / UNIT 0126</v>
      </c>
    </row>
    <row r="352" spans="1:9" x14ac:dyDescent="0.25">
      <c r="A352" t="str">
        <f>""</f>
        <v/>
      </c>
      <c r="F352" t="str">
        <f>""</f>
        <v/>
      </c>
      <c r="G352" t="str">
        <f>""</f>
        <v/>
      </c>
      <c r="I352" t="str">
        <f>"INV 7540 / UNIT 0117"</f>
        <v>INV 7540 / UNIT 0117</v>
      </c>
    </row>
    <row r="353" spans="1:9" x14ac:dyDescent="0.25">
      <c r="A353" t="str">
        <f>""</f>
        <v/>
      </c>
      <c r="F353" t="str">
        <f>""</f>
        <v/>
      </c>
      <c r="G353" t="str">
        <f>""</f>
        <v/>
      </c>
      <c r="I353" t="str">
        <f>"INV 7546 / 1668"</f>
        <v>INV 7546 / 1668</v>
      </c>
    </row>
    <row r="354" spans="1:9" x14ac:dyDescent="0.25">
      <c r="A354" t="str">
        <f>"001367"</f>
        <v>001367</v>
      </c>
      <c r="B354" t="s">
        <v>88</v>
      </c>
      <c r="C354">
        <v>76233</v>
      </c>
      <c r="D354" s="2">
        <v>6519.12</v>
      </c>
      <c r="E354" s="1">
        <v>43213</v>
      </c>
      <c r="F354" t="str">
        <f>"7577"</f>
        <v>7577</v>
      </c>
      <c r="G354" t="str">
        <f>"2003 FORD F-150/GEN SVCS"</f>
        <v>2003 FORD F-150/GEN SVCS</v>
      </c>
      <c r="H354">
        <v>207.32</v>
      </c>
      <c r="I354" t="str">
        <f>"2003 FORD F-150/GEN SVCS"</f>
        <v>2003 FORD F-150/GEN SVCS</v>
      </c>
    </row>
    <row r="355" spans="1:9" x14ac:dyDescent="0.25">
      <c r="A355" t="str">
        <f>""</f>
        <v/>
      </c>
      <c r="F355" t="str">
        <f>"7594"</f>
        <v>7594</v>
      </c>
      <c r="G355" t="str">
        <f>"INSPECTION 2009 DODGE"</f>
        <v>INSPECTION 2009 DODGE</v>
      </c>
      <c r="H355">
        <v>7</v>
      </c>
      <c r="I355" t="str">
        <f>"INSPECTION 2009 DODGE"</f>
        <v>INSPECTION 2009 DODGE</v>
      </c>
    </row>
    <row r="356" spans="1:9" x14ac:dyDescent="0.25">
      <c r="A356" t="str">
        <f>""</f>
        <v/>
      </c>
      <c r="F356" t="str">
        <f>"INV7566"</f>
        <v>INV7566</v>
      </c>
      <c r="G356" t="str">
        <f>"INV 7566/ UNIT 1667"</f>
        <v>INV 7566/ UNIT 1667</v>
      </c>
      <c r="H356">
        <v>254.76</v>
      </c>
      <c r="I356" t="str">
        <f>"INV 7566/ UNIT 1667"</f>
        <v>INV 7566/ UNIT 1667</v>
      </c>
    </row>
    <row r="357" spans="1:9" x14ac:dyDescent="0.25">
      <c r="A357" t="str">
        <f>""</f>
        <v/>
      </c>
      <c r="F357" t="str">
        <f>"INV7574"</f>
        <v>INV7574</v>
      </c>
      <c r="G357" t="str">
        <f>"INV 7574/ UNIT 4111"</f>
        <v>INV 7574/ UNIT 4111</v>
      </c>
      <c r="H357">
        <v>1134.1199999999999</v>
      </c>
      <c r="I357" t="str">
        <f>"INV 7574/ UNIT 4111"</f>
        <v>INV 7574/ UNIT 4111</v>
      </c>
    </row>
    <row r="358" spans="1:9" x14ac:dyDescent="0.25">
      <c r="A358" t="str">
        <f>""</f>
        <v/>
      </c>
      <c r="F358" t="str">
        <f>"INV7578"</f>
        <v>INV7578</v>
      </c>
      <c r="G358" t="str">
        <f>"INV 7578/ UNIT 1670"</f>
        <v>INV 7578/ UNIT 1670</v>
      </c>
      <c r="H358">
        <v>355.16</v>
      </c>
      <c r="I358" t="str">
        <f>"INV 7578/ UNIT 1670"</f>
        <v>INV 7578/ UNIT 1670</v>
      </c>
    </row>
    <row r="359" spans="1:9" x14ac:dyDescent="0.25">
      <c r="A359" t="str">
        <f>""</f>
        <v/>
      </c>
      <c r="F359" t="str">
        <f>"INV7608"</f>
        <v>INV7608</v>
      </c>
      <c r="G359" t="str">
        <f>"INV 7608/UNIT 0313"</f>
        <v>INV 7608/UNIT 0313</v>
      </c>
      <c r="H359">
        <v>862.35</v>
      </c>
      <c r="I359" t="str">
        <f>"INV 7608/UNIT 0313"</f>
        <v>INV 7608/UNIT 0313</v>
      </c>
    </row>
    <row r="360" spans="1:9" x14ac:dyDescent="0.25">
      <c r="A360" t="str">
        <f>""</f>
        <v/>
      </c>
      <c r="F360" t="str">
        <f>"INV7613"</f>
        <v>INV7613</v>
      </c>
      <c r="G360" t="str">
        <f>"INV 7613/ UNIT 123"</f>
        <v>INV 7613/ UNIT 123</v>
      </c>
      <c r="H360">
        <v>1708.96</v>
      </c>
      <c r="I360" t="str">
        <f>"INV 7613/ UNIT 123"</f>
        <v>INV 7613/ UNIT 123</v>
      </c>
    </row>
    <row r="361" spans="1:9" x14ac:dyDescent="0.25">
      <c r="A361" t="str">
        <f>""</f>
        <v/>
      </c>
      <c r="F361" t="str">
        <f>"INV7628"</f>
        <v>INV7628</v>
      </c>
      <c r="G361" t="str">
        <f>"INV 7628/ UNIT 80"</f>
        <v>INV 7628/ UNIT 80</v>
      </c>
      <c r="H361">
        <v>185.14</v>
      </c>
      <c r="I361" t="str">
        <f>"INV 7628/ UNIT 80"</f>
        <v>INV 7628/ UNIT 80</v>
      </c>
    </row>
    <row r="362" spans="1:9" x14ac:dyDescent="0.25">
      <c r="A362" t="str">
        <f>""</f>
        <v/>
      </c>
      <c r="F362" t="str">
        <f>"INV7637"</f>
        <v>INV7637</v>
      </c>
      <c r="G362" t="str">
        <f>"INV 7637/ UINT 8953"</f>
        <v>INV 7637/ UINT 8953</v>
      </c>
      <c r="H362">
        <v>195.48</v>
      </c>
      <c r="I362" t="str">
        <f>"INV 7637/ UINT 8953"</f>
        <v>INV 7637/ UINT 8953</v>
      </c>
    </row>
    <row r="363" spans="1:9" x14ac:dyDescent="0.25">
      <c r="A363" t="str">
        <f>""</f>
        <v/>
      </c>
      <c r="F363" t="str">
        <f>"INV7650"</f>
        <v>INV7650</v>
      </c>
      <c r="G363" t="str">
        <f>"INV 7650/ UNIT 0121"</f>
        <v>INV 7650/ UNIT 0121</v>
      </c>
      <c r="H363">
        <v>389.01</v>
      </c>
      <c r="I363" t="str">
        <f>"INV 7650/ UNIT 0121"</f>
        <v>INV 7650/ UNIT 0121</v>
      </c>
    </row>
    <row r="364" spans="1:9" x14ac:dyDescent="0.25">
      <c r="A364" t="str">
        <f>""</f>
        <v/>
      </c>
      <c r="F364" t="str">
        <f>"REF#7579"</f>
        <v>REF#7579</v>
      </c>
      <c r="G364" t="str">
        <f>"2014 FORD F150/GEN SVCS"</f>
        <v>2014 FORD F150/GEN SVCS</v>
      </c>
      <c r="H364">
        <v>129.72</v>
      </c>
      <c r="I364" t="str">
        <f>"2014 FORD F150/GEN SVCS"</f>
        <v>2014 FORD F150/GEN SVCS</v>
      </c>
    </row>
    <row r="365" spans="1:9" x14ac:dyDescent="0.25">
      <c r="A365" t="str">
        <f>""</f>
        <v/>
      </c>
      <c r="F365" t="str">
        <f>"VEH MAINT-SHERIFFS"</f>
        <v>VEH MAINT-SHERIFFS</v>
      </c>
      <c r="G365" t="str">
        <f>"INV 7560/ UNIT 1670"</f>
        <v>INV 7560/ UNIT 1670</v>
      </c>
      <c r="H365">
        <v>1090.0999999999999</v>
      </c>
      <c r="I365" t="str">
        <f>"INV 7560/ UNIT 1670"</f>
        <v>INV 7560/ UNIT 1670</v>
      </c>
    </row>
    <row r="366" spans="1:9" x14ac:dyDescent="0.25">
      <c r="A366" t="str">
        <f>""</f>
        <v/>
      </c>
      <c r="F366" t="str">
        <f>""</f>
        <v/>
      </c>
      <c r="G366" t="str">
        <f>""</f>
        <v/>
      </c>
      <c r="I366" t="str">
        <f>"INV 7562/ UNIT 7083"</f>
        <v>INV 7562/ UNIT 7083</v>
      </c>
    </row>
    <row r="367" spans="1:9" x14ac:dyDescent="0.25">
      <c r="A367" t="str">
        <f>""</f>
        <v/>
      </c>
      <c r="F367" t="str">
        <f>""</f>
        <v/>
      </c>
      <c r="G367" t="str">
        <f>""</f>
        <v/>
      </c>
      <c r="I367" t="str">
        <f>"INV 7559/ UNIT 6541"</f>
        <v>INV 7559/ UNIT 6541</v>
      </c>
    </row>
    <row r="368" spans="1:9" x14ac:dyDescent="0.25">
      <c r="A368" t="str">
        <f>""</f>
        <v/>
      </c>
      <c r="F368" t="str">
        <f>""</f>
        <v/>
      </c>
      <c r="G368" t="str">
        <f>""</f>
        <v/>
      </c>
      <c r="I368" t="str">
        <f>"INV 7581/ UNIT 1667"</f>
        <v>INV 7581/ UNIT 1667</v>
      </c>
    </row>
    <row r="369" spans="1:9" x14ac:dyDescent="0.25">
      <c r="A369" t="str">
        <f>""</f>
        <v/>
      </c>
      <c r="F369" t="str">
        <f>""</f>
        <v/>
      </c>
      <c r="G369" t="str">
        <f>""</f>
        <v/>
      </c>
      <c r="I369" t="str">
        <f>"INV 7582/ UNIT 0312"</f>
        <v>INV 7582/ UNIT 0312</v>
      </c>
    </row>
    <row r="370" spans="1:9" x14ac:dyDescent="0.25">
      <c r="A370" t="str">
        <f>""</f>
        <v/>
      </c>
      <c r="F370" t="str">
        <f>""</f>
        <v/>
      </c>
      <c r="G370" t="str">
        <f>""</f>
        <v/>
      </c>
      <c r="I370" t="str">
        <f>"INV 7585 / UNIT 6550"</f>
        <v>INV 7585 / UNIT 6550</v>
      </c>
    </row>
    <row r="371" spans="1:9" x14ac:dyDescent="0.25">
      <c r="A371" t="str">
        <f>""</f>
        <v/>
      </c>
      <c r="F371" t="str">
        <f>""</f>
        <v/>
      </c>
      <c r="G371" t="str">
        <f>""</f>
        <v/>
      </c>
      <c r="I371" t="str">
        <f>"INV 7593/ UNIT 3106"</f>
        <v>INV 7593/ UNIT 3106</v>
      </c>
    </row>
    <row r="372" spans="1:9" x14ac:dyDescent="0.25">
      <c r="A372" t="str">
        <f>""</f>
        <v/>
      </c>
      <c r="F372" t="str">
        <f>""</f>
        <v/>
      </c>
      <c r="G372" t="str">
        <f>""</f>
        <v/>
      </c>
      <c r="I372" t="str">
        <f>"INV 7599/ UNIT 5511"</f>
        <v>INV 7599/ UNIT 5511</v>
      </c>
    </row>
    <row r="373" spans="1:9" x14ac:dyDescent="0.25">
      <c r="A373" t="str">
        <f>""</f>
        <v/>
      </c>
      <c r="F373" t="str">
        <f>""</f>
        <v/>
      </c>
      <c r="G373" t="str">
        <f>""</f>
        <v/>
      </c>
      <c r="I373" t="str">
        <f>"INV 7601/ UNIT 4717"</f>
        <v>INV 7601/ UNIT 4717</v>
      </c>
    </row>
    <row r="374" spans="1:9" x14ac:dyDescent="0.25">
      <c r="A374" t="str">
        <f>""</f>
        <v/>
      </c>
      <c r="F374" t="str">
        <f>""</f>
        <v/>
      </c>
      <c r="G374" t="str">
        <f>""</f>
        <v/>
      </c>
      <c r="I374" t="str">
        <f>"INV 7506/ UNIT 6502"</f>
        <v>INV 7506/ UNIT 6502</v>
      </c>
    </row>
    <row r="375" spans="1:9" x14ac:dyDescent="0.25">
      <c r="A375" t="str">
        <f>""</f>
        <v/>
      </c>
      <c r="F375" t="str">
        <f>""</f>
        <v/>
      </c>
      <c r="G375" t="str">
        <f>""</f>
        <v/>
      </c>
      <c r="I375" t="str">
        <f>"INV 7606/ UNIT 6499"</f>
        <v>INV 7606/ UNIT 6499</v>
      </c>
    </row>
    <row r="376" spans="1:9" x14ac:dyDescent="0.25">
      <c r="A376" t="str">
        <f>""</f>
        <v/>
      </c>
      <c r="F376" t="str">
        <f>""</f>
        <v/>
      </c>
      <c r="G376" t="str">
        <f>""</f>
        <v/>
      </c>
      <c r="I376" t="str">
        <f>"INV 7607/ UNIT 0311"</f>
        <v>INV 7607/ UNIT 0311</v>
      </c>
    </row>
    <row r="377" spans="1:9" x14ac:dyDescent="0.25">
      <c r="A377" t="str">
        <f>""</f>
        <v/>
      </c>
      <c r="F377" t="str">
        <f>""</f>
        <v/>
      </c>
      <c r="G377" t="str">
        <f>""</f>
        <v/>
      </c>
      <c r="I377" t="str">
        <f>"INV 7610/ UNIT 4045"</f>
        <v>INV 7610/ UNIT 4045</v>
      </c>
    </row>
    <row r="378" spans="1:9" x14ac:dyDescent="0.25">
      <c r="A378" t="str">
        <f>""</f>
        <v/>
      </c>
      <c r="F378" t="str">
        <f>""</f>
        <v/>
      </c>
      <c r="G378" t="str">
        <f>""</f>
        <v/>
      </c>
      <c r="I378" t="str">
        <f>"INV 7620/ UNIT 0120"</f>
        <v>INV 7620/ UNIT 0120</v>
      </c>
    </row>
    <row r="379" spans="1:9" x14ac:dyDescent="0.25">
      <c r="A379" t="str">
        <f>""</f>
        <v/>
      </c>
      <c r="F379" t="str">
        <f>""</f>
        <v/>
      </c>
      <c r="G379" t="str">
        <f>""</f>
        <v/>
      </c>
      <c r="I379" t="str">
        <f>"INV 7623/ UNIT 6492"</f>
        <v>INV 7623/ UNIT 6492</v>
      </c>
    </row>
    <row r="380" spans="1:9" x14ac:dyDescent="0.25">
      <c r="A380" t="str">
        <f>""</f>
        <v/>
      </c>
      <c r="F380" t="str">
        <f>""</f>
        <v/>
      </c>
      <c r="G380" t="str">
        <f>""</f>
        <v/>
      </c>
      <c r="I380" t="str">
        <f>"INV 6525/ UNIT 1671"</f>
        <v>INV 6525/ UNIT 1671</v>
      </c>
    </row>
    <row r="381" spans="1:9" x14ac:dyDescent="0.25">
      <c r="A381" t="str">
        <f>""</f>
        <v/>
      </c>
      <c r="F381" t="str">
        <f>""</f>
        <v/>
      </c>
      <c r="G381" t="str">
        <f>""</f>
        <v/>
      </c>
      <c r="I381" t="str">
        <f>"INV 7627/ UNIT 8217"</f>
        <v>INV 7627/ UNIT 8217</v>
      </c>
    </row>
    <row r="382" spans="1:9" x14ac:dyDescent="0.25">
      <c r="A382" t="str">
        <f>""</f>
        <v/>
      </c>
      <c r="F382" t="str">
        <f>""</f>
        <v/>
      </c>
      <c r="G382" t="str">
        <f>""</f>
        <v/>
      </c>
      <c r="I382" t="str">
        <f>"INV 7635 / UNIT 9379"</f>
        <v>INV 7635 / UNIT 9379</v>
      </c>
    </row>
    <row r="383" spans="1:9" x14ac:dyDescent="0.25">
      <c r="A383" t="str">
        <f>""</f>
        <v/>
      </c>
      <c r="F383" t="str">
        <f>""</f>
        <v/>
      </c>
      <c r="G383" t="str">
        <f>""</f>
        <v/>
      </c>
      <c r="I383" t="str">
        <f>"INV 7639/ UNIT 1666"</f>
        <v>INV 7639/ UNIT 1666</v>
      </c>
    </row>
    <row r="384" spans="1:9" x14ac:dyDescent="0.25">
      <c r="A384" t="str">
        <f>""</f>
        <v/>
      </c>
      <c r="F384" t="str">
        <f>""</f>
        <v/>
      </c>
      <c r="G384" t="str">
        <f>""</f>
        <v/>
      </c>
      <c r="I384" t="str">
        <f>"INV 7641/ UNIT 6520"</f>
        <v>INV 7641/ UNIT 6520</v>
      </c>
    </row>
    <row r="385" spans="1:9" x14ac:dyDescent="0.25">
      <c r="A385" t="str">
        <f>""</f>
        <v/>
      </c>
      <c r="F385" t="str">
        <f>""</f>
        <v/>
      </c>
      <c r="G385" t="str">
        <f>""</f>
        <v/>
      </c>
      <c r="I385" t="str">
        <f>"INV 7644/ UNIT 6556"</f>
        <v>INV 7644/ UNIT 6556</v>
      </c>
    </row>
    <row r="386" spans="1:9" x14ac:dyDescent="0.25">
      <c r="A386" t="str">
        <f>""</f>
        <v/>
      </c>
      <c r="F386" t="str">
        <f>""</f>
        <v/>
      </c>
      <c r="G386" t="str">
        <f>""</f>
        <v/>
      </c>
      <c r="I386" t="str">
        <f>"INV 7646/ UNIT 0311"</f>
        <v>INV 7646/ UNIT 0311</v>
      </c>
    </row>
    <row r="387" spans="1:9" x14ac:dyDescent="0.25">
      <c r="A387" t="str">
        <f>""</f>
        <v/>
      </c>
      <c r="F387" t="str">
        <f>""</f>
        <v/>
      </c>
      <c r="G387" t="str">
        <f>""</f>
        <v/>
      </c>
      <c r="I387" t="str">
        <f>"INV 7647/ UNIT 0121"</f>
        <v>INV 7647/ UNIT 0121</v>
      </c>
    </row>
    <row r="388" spans="1:9" x14ac:dyDescent="0.25">
      <c r="A388" t="str">
        <f>"005478"</f>
        <v>005478</v>
      </c>
      <c r="B388" t="s">
        <v>89</v>
      </c>
      <c r="C388">
        <v>999999</v>
      </c>
      <c r="D388" s="2">
        <v>840.93</v>
      </c>
      <c r="E388" s="1">
        <v>43200</v>
      </c>
      <c r="F388" t="str">
        <f>"50193"</f>
        <v>50193</v>
      </c>
      <c r="G388" t="str">
        <f>"Shawn Harris"</f>
        <v>Shawn Harris</v>
      </c>
      <c r="H388">
        <v>840.93</v>
      </c>
      <c r="I388" t="str">
        <f>"EM-3615-T"</f>
        <v>EM-3615-T</v>
      </c>
    </row>
    <row r="389" spans="1:9" x14ac:dyDescent="0.25">
      <c r="A389" t="str">
        <f>""</f>
        <v/>
      </c>
      <c r="F389" t="str">
        <f>""</f>
        <v/>
      </c>
      <c r="G389" t="str">
        <f>""</f>
        <v/>
      </c>
      <c r="I389" t="str">
        <f>"2B-07.0"</f>
        <v>2B-07.0</v>
      </c>
    </row>
    <row r="390" spans="1:9" x14ac:dyDescent="0.25">
      <c r="A390" t="str">
        <f>""</f>
        <v/>
      </c>
      <c r="F390" t="str">
        <f>""</f>
        <v/>
      </c>
      <c r="G390" t="str">
        <f>""</f>
        <v/>
      </c>
      <c r="I390" t="str">
        <f>"SK-1 1/8"</f>
        <v>SK-1 1/8</v>
      </c>
    </row>
    <row r="391" spans="1:9" x14ac:dyDescent="0.25">
      <c r="A391" t="str">
        <f>"005505"</f>
        <v>005505</v>
      </c>
      <c r="B391" t="s">
        <v>90</v>
      </c>
      <c r="C391">
        <v>76234</v>
      </c>
      <c r="D391" s="2">
        <v>140</v>
      </c>
      <c r="E391" s="1">
        <v>43213</v>
      </c>
      <c r="F391" t="str">
        <f>"201804110246"</f>
        <v>201804110246</v>
      </c>
      <c r="G391" t="str">
        <f>"TRAVEL ADVANCE REQ-PER DIEM"</f>
        <v>TRAVEL ADVANCE REQ-PER DIEM</v>
      </c>
      <c r="H391">
        <v>140</v>
      </c>
      <c r="I391" t="str">
        <f>"TRAVEL ADVANCE REQ-PER DIEM"</f>
        <v>TRAVEL ADVANCE REQ-PER DIEM</v>
      </c>
    </row>
    <row r="392" spans="1:9" x14ac:dyDescent="0.25">
      <c r="A392" t="str">
        <f>"005437"</f>
        <v>005437</v>
      </c>
      <c r="B392" t="s">
        <v>91</v>
      </c>
      <c r="C392">
        <v>999999</v>
      </c>
      <c r="D392" s="2">
        <v>6048.25</v>
      </c>
      <c r="E392" s="1">
        <v>43214</v>
      </c>
      <c r="F392" t="str">
        <f>"M237"</f>
        <v>M237</v>
      </c>
      <c r="G392" t="str">
        <f>"Box Trailer"</f>
        <v>Box Trailer</v>
      </c>
      <c r="H392">
        <v>6048.25</v>
      </c>
      <c r="I392" t="str">
        <f>"Enclosed Trailer"</f>
        <v>Enclosed Trailer</v>
      </c>
    </row>
    <row r="393" spans="1:9" x14ac:dyDescent="0.25">
      <c r="A393" t="str">
        <f>""</f>
        <v/>
      </c>
      <c r="F393" t="str">
        <f>""</f>
        <v/>
      </c>
      <c r="G393" t="str">
        <f>""</f>
        <v/>
      </c>
      <c r="I393" t="str">
        <f>"Documentation Fee"</f>
        <v>Documentation Fee</v>
      </c>
    </row>
    <row r="394" spans="1:9" x14ac:dyDescent="0.25">
      <c r="A394" t="str">
        <f>""</f>
        <v/>
      </c>
      <c r="F394" t="str">
        <f>""</f>
        <v/>
      </c>
      <c r="G394" t="str">
        <f>""</f>
        <v/>
      </c>
      <c r="I394" t="str">
        <f>"10K Registration Fee"</f>
        <v>10K Registration Fee</v>
      </c>
    </row>
    <row r="395" spans="1:9" x14ac:dyDescent="0.25">
      <c r="A395" t="str">
        <f>""</f>
        <v/>
      </c>
      <c r="F395" t="str">
        <f>""</f>
        <v/>
      </c>
      <c r="G395" t="str">
        <f>""</f>
        <v/>
      </c>
      <c r="I395" t="str">
        <f>"Title Fee"</f>
        <v>Title Fee</v>
      </c>
    </row>
    <row r="396" spans="1:9" x14ac:dyDescent="0.25">
      <c r="A396" t="str">
        <f>""</f>
        <v/>
      </c>
      <c r="F396" t="str">
        <f>""</f>
        <v/>
      </c>
      <c r="G396" t="str">
        <f>""</f>
        <v/>
      </c>
      <c r="I396" t="str">
        <f>"Road and Bridge"</f>
        <v>Road and Bridge</v>
      </c>
    </row>
    <row r="397" spans="1:9" x14ac:dyDescent="0.25">
      <c r="A397" t="str">
        <f>""</f>
        <v/>
      </c>
      <c r="F397" t="str">
        <f>""</f>
        <v/>
      </c>
      <c r="G397" t="str">
        <f>""</f>
        <v/>
      </c>
      <c r="I397" t="str">
        <f>"Fee for Paper Tag"</f>
        <v>Fee for Paper Tag</v>
      </c>
    </row>
    <row r="398" spans="1:9" x14ac:dyDescent="0.25">
      <c r="A398" t="str">
        <f>""</f>
        <v/>
      </c>
      <c r="F398" t="str">
        <f>""</f>
        <v/>
      </c>
      <c r="G398" t="str">
        <f>""</f>
        <v/>
      </c>
      <c r="I398" t="str">
        <f>"Automation Fee"</f>
        <v>Automation Fee</v>
      </c>
    </row>
    <row r="399" spans="1:9" x14ac:dyDescent="0.25">
      <c r="A399" t="str">
        <f>""</f>
        <v/>
      </c>
      <c r="F399" t="str">
        <f>""</f>
        <v/>
      </c>
      <c r="G399" t="str">
        <f>""</f>
        <v/>
      </c>
      <c r="I399" t="str">
        <f>"Inspection"</f>
        <v>Inspection</v>
      </c>
    </row>
    <row r="400" spans="1:9" x14ac:dyDescent="0.25">
      <c r="A400" t="str">
        <f>""</f>
        <v/>
      </c>
      <c r="F400" t="str">
        <f>""</f>
        <v/>
      </c>
      <c r="G400" t="str">
        <f>""</f>
        <v/>
      </c>
      <c r="I400" t="str">
        <f>"Bogie Wheel"</f>
        <v>Bogie Wheel</v>
      </c>
    </row>
    <row r="401" spans="1:9" x14ac:dyDescent="0.25">
      <c r="A401" t="str">
        <f>""</f>
        <v/>
      </c>
      <c r="F401" t="str">
        <f>""</f>
        <v/>
      </c>
      <c r="G401" t="str">
        <f>""</f>
        <v/>
      </c>
      <c r="I401" t="str">
        <f>"Freight"</f>
        <v>Freight</v>
      </c>
    </row>
    <row r="402" spans="1:9" x14ac:dyDescent="0.25">
      <c r="A402" t="str">
        <f>""</f>
        <v/>
      </c>
      <c r="F402" t="str">
        <f>""</f>
        <v/>
      </c>
      <c r="G402" t="str">
        <f>""</f>
        <v/>
      </c>
      <c r="I402" t="str">
        <f>"Spare Tire"</f>
        <v>Spare Tire</v>
      </c>
    </row>
    <row r="403" spans="1:9" x14ac:dyDescent="0.25">
      <c r="A403" t="str">
        <f>"004069"</f>
        <v>004069</v>
      </c>
      <c r="B403" t="s">
        <v>92</v>
      </c>
      <c r="C403">
        <v>76019</v>
      </c>
      <c r="D403" s="2">
        <v>115.9</v>
      </c>
      <c r="E403" s="1">
        <v>43199</v>
      </c>
      <c r="F403" t="str">
        <f>"92698"</f>
        <v>92698</v>
      </c>
      <c r="G403" t="str">
        <f>"ACCT#1268/FOB/YARD/PCT#3"</f>
        <v>ACCT#1268/FOB/YARD/PCT#3</v>
      </c>
      <c r="H403">
        <v>115.9</v>
      </c>
      <c r="I403" t="str">
        <f>"ACCT#1268/FOB/YARD/PCT#3"</f>
        <v>ACCT#1268/FOB/YARD/PCT#3</v>
      </c>
    </row>
    <row r="404" spans="1:9" x14ac:dyDescent="0.25">
      <c r="A404" t="str">
        <f>"004069"</f>
        <v>004069</v>
      </c>
      <c r="B404" t="s">
        <v>92</v>
      </c>
      <c r="C404">
        <v>76235</v>
      </c>
      <c r="D404" s="2">
        <v>180.55</v>
      </c>
      <c r="E404" s="1">
        <v>43213</v>
      </c>
      <c r="F404" t="str">
        <f>"92960"</f>
        <v>92960</v>
      </c>
      <c r="G404" t="str">
        <f>"ACCT#1268/PCT#3"</f>
        <v>ACCT#1268/PCT#3</v>
      </c>
      <c r="H404">
        <v>180.55</v>
      </c>
      <c r="I404" t="str">
        <f>"ACCT#1268/PCT#3"</f>
        <v>ACCT#1268/PCT#3</v>
      </c>
    </row>
    <row r="405" spans="1:9" x14ac:dyDescent="0.25">
      <c r="A405" t="str">
        <f>"T11280"</f>
        <v>T11280</v>
      </c>
      <c r="B405" t="s">
        <v>93</v>
      </c>
      <c r="C405">
        <v>76020</v>
      </c>
      <c r="D405" s="2">
        <v>49.6</v>
      </c>
      <c r="E405" s="1">
        <v>43199</v>
      </c>
      <c r="F405" t="str">
        <f>"201804059992"</f>
        <v>201804059992</v>
      </c>
      <c r="G405" t="str">
        <f>"MILEAGE REIMBURSEMENT"</f>
        <v>MILEAGE REIMBURSEMENT</v>
      </c>
      <c r="H405">
        <v>49.6</v>
      </c>
      <c r="I405" t="str">
        <f>"MILEAGE REIMBURSEMENT"</f>
        <v>MILEAGE REIMBURSEMENT</v>
      </c>
    </row>
    <row r="406" spans="1:9" x14ac:dyDescent="0.25">
      <c r="A406" t="str">
        <f>"T9216"</f>
        <v>T9216</v>
      </c>
      <c r="B406" t="s">
        <v>94</v>
      </c>
      <c r="C406">
        <v>76021</v>
      </c>
      <c r="D406" s="2">
        <v>1125</v>
      </c>
      <c r="E406" s="1">
        <v>43199</v>
      </c>
      <c r="F406" t="str">
        <f>"201804039867"</f>
        <v>201804039867</v>
      </c>
      <c r="G406" t="str">
        <f>"55 380"</f>
        <v>55 380</v>
      </c>
      <c r="H406">
        <v>250</v>
      </c>
      <c r="I406" t="str">
        <f>"55 380"</f>
        <v>55 380</v>
      </c>
    </row>
    <row r="407" spans="1:9" x14ac:dyDescent="0.25">
      <c r="A407" t="str">
        <f>""</f>
        <v/>
      </c>
      <c r="F407" t="str">
        <f>"201804039883"</f>
        <v>201804039883</v>
      </c>
      <c r="G407" t="str">
        <f>"55 708  55 709"</f>
        <v>55 708  55 709</v>
      </c>
      <c r="H407">
        <v>375</v>
      </c>
      <c r="I407" t="str">
        <f>"55 708  55 709"</f>
        <v>55 708  55 709</v>
      </c>
    </row>
    <row r="408" spans="1:9" x14ac:dyDescent="0.25">
      <c r="A408" t="str">
        <f>""</f>
        <v/>
      </c>
      <c r="F408" t="str">
        <f>"201804049980"</f>
        <v>201804049980</v>
      </c>
      <c r="G408" t="str">
        <f>"55 649"</f>
        <v>55 649</v>
      </c>
      <c r="H408">
        <v>250</v>
      </c>
      <c r="I408" t="str">
        <f>"55 649"</f>
        <v>55 649</v>
      </c>
    </row>
    <row r="409" spans="1:9" x14ac:dyDescent="0.25">
      <c r="A409" t="str">
        <f>""</f>
        <v/>
      </c>
      <c r="F409" t="str">
        <f>"201804049981"</f>
        <v>201804049981</v>
      </c>
      <c r="G409" t="str">
        <f>"55 436"</f>
        <v>55 436</v>
      </c>
      <c r="H409">
        <v>250</v>
      </c>
      <c r="I409" t="str">
        <f>"55 436"</f>
        <v>55 436</v>
      </c>
    </row>
    <row r="410" spans="1:9" x14ac:dyDescent="0.25">
      <c r="A410" t="str">
        <f>"004635"</f>
        <v>004635</v>
      </c>
      <c r="B410" t="s">
        <v>95</v>
      </c>
      <c r="C410">
        <v>76022</v>
      </c>
      <c r="D410" s="2">
        <v>5592</v>
      </c>
      <c r="E410" s="1">
        <v>43199</v>
      </c>
      <c r="F410" t="str">
        <f>"51529"</f>
        <v>51529</v>
      </c>
      <c r="G410" t="str">
        <f>"ACCT#188757/TRAPPING/LBJ BLDG"</f>
        <v>ACCT#188757/TRAPPING/LBJ BLDG</v>
      </c>
      <c r="H410">
        <v>4200</v>
      </c>
      <c r="I410" t="str">
        <f>"RODENT TRAPPING - GS"</f>
        <v>RODENT TRAPPING - GS</v>
      </c>
    </row>
    <row r="411" spans="1:9" x14ac:dyDescent="0.25">
      <c r="A411" t="str">
        <f>""</f>
        <v/>
      </c>
      <c r="F411" t="str">
        <f>"51769"</f>
        <v>51769</v>
      </c>
      <c r="G411" t="str">
        <f>"ACCT#188757/SIGN OFFICE"</f>
        <v>ACCT#188757/SIGN OFFICE</v>
      </c>
      <c r="H411">
        <v>95</v>
      </c>
      <c r="I411" t="str">
        <f>"PEST PREVENTION"</f>
        <v>PEST PREVENTION</v>
      </c>
    </row>
    <row r="412" spans="1:9" x14ac:dyDescent="0.25">
      <c r="A412" t="str">
        <f>""</f>
        <v/>
      </c>
      <c r="F412" t="str">
        <f>"51796"</f>
        <v>51796</v>
      </c>
      <c r="G412" t="str">
        <f>"ACCT#188757/JUV BOOT CAMP/PEST"</f>
        <v>ACCT#188757/JUV BOOT CAMP/PEST</v>
      </c>
      <c r="H412">
        <v>118.5</v>
      </c>
      <c r="I412" t="str">
        <f>"ACCT#188757/JUV BOOT CAMP/PEST"</f>
        <v>ACCT#188757/JUV BOOT CAMP/PEST</v>
      </c>
    </row>
    <row r="413" spans="1:9" x14ac:dyDescent="0.25">
      <c r="A413" t="str">
        <f>""</f>
        <v/>
      </c>
      <c r="F413" t="str">
        <f>"52340"</f>
        <v>52340</v>
      </c>
      <c r="G413" t="str">
        <f>"ACCT#188757/DPS/TDL AQUA BLDG"</f>
        <v>ACCT#188757/DPS/TDL AQUA BLDG</v>
      </c>
      <c r="H413">
        <v>76</v>
      </c>
      <c r="I413" t="str">
        <f>"ACCT#188757/PEST PREVENTION"</f>
        <v>ACCT#188757/PEST PREVENTION</v>
      </c>
    </row>
    <row r="414" spans="1:9" x14ac:dyDescent="0.25">
      <c r="A414" t="str">
        <f>""</f>
        <v/>
      </c>
      <c r="F414" t="str">
        <f>"52349"</f>
        <v>52349</v>
      </c>
      <c r="G414" t="str">
        <f>"ACCT#188757/HISTORIC JAIL"</f>
        <v>ACCT#188757/HISTORIC JAIL</v>
      </c>
      <c r="H414">
        <v>76</v>
      </c>
      <c r="I414" t="str">
        <f>"ACCT#188757/PEST PREVENTION"</f>
        <v>ACCT#188757/PEST PREVENTION</v>
      </c>
    </row>
    <row r="415" spans="1:9" x14ac:dyDescent="0.25">
      <c r="A415" t="str">
        <f>""</f>
        <v/>
      </c>
      <c r="F415" t="str">
        <f>"52383"</f>
        <v>52383</v>
      </c>
      <c r="G415" t="str">
        <f>"ACCT#188757/MIKE FISHER BLDG"</f>
        <v>ACCT#188757/MIKE FISHER BLDG</v>
      </c>
      <c r="H415">
        <v>112</v>
      </c>
      <c r="I415" t="str">
        <f>"ACCT#188757/PEST PREVENTION"</f>
        <v>ACCT#188757/PEST PREVENTION</v>
      </c>
    </row>
    <row r="416" spans="1:9" x14ac:dyDescent="0.25">
      <c r="A416" t="str">
        <f>""</f>
        <v/>
      </c>
      <c r="F416" t="str">
        <f>"52398"</f>
        <v>52398</v>
      </c>
      <c r="G416" t="str">
        <f>"ACCT#188757/CT HOUSE &amp; ANNEX"</f>
        <v>ACCT#188757/CT HOUSE &amp; ANNEX</v>
      </c>
      <c r="H416">
        <v>137</v>
      </c>
      <c r="I416" t="str">
        <f>"ACCT#188757/PEST PREVENTION"</f>
        <v>ACCT#188757/PEST PREVENTION</v>
      </c>
    </row>
    <row r="417" spans="1:9" x14ac:dyDescent="0.25">
      <c r="A417" t="str">
        <f>""</f>
        <v/>
      </c>
      <c r="F417" t="str">
        <f>"52411"</f>
        <v>52411</v>
      </c>
      <c r="G417" t="str">
        <f>"ACCT#188757/JUVENILE PROB"</f>
        <v>ACCT#188757/JUVENILE PROB</v>
      </c>
      <c r="H417">
        <v>132</v>
      </c>
      <c r="I417" t="str">
        <f>"ACCT#188757/PEST PREVENTION"</f>
        <v>ACCT#188757/PEST PREVENTION</v>
      </c>
    </row>
    <row r="418" spans="1:9" x14ac:dyDescent="0.25">
      <c r="A418" t="str">
        <f>""</f>
        <v/>
      </c>
      <c r="F418" t="str">
        <f>"52496"</f>
        <v>52496</v>
      </c>
      <c r="G418" t="str">
        <f>"ACCT#188757/EXT HABITAT OFFICE"</f>
        <v>ACCT#188757/EXT HABITAT OFFICE</v>
      </c>
      <c r="H418">
        <v>89</v>
      </c>
      <c r="I418" t="str">
        <f>"ACCT#188757/EXT HABITAT OFFICE"</f>
        <v>ACCT#188757/EXT HABITAT OFFICE</v>
      </c>
    </row>
    <row r="419" spans="1:9" x14ac:dyDescent="0.25">
      <c r="A419" t="str">
        <f>""</f>
        <v/>
      </c>
      <c r="F419" t="str">
        <f>"52536"</f>
        <v>52536</v>
      </c>
      <c r="G419" t="str">
        <f>"ACCT#188757/P4 RD &amp; BRIDGE BAR"</f>
        <v>ACCT#188757/P4 RD &amp; BRIDGE BAR</v>
      </c>
      <c r="H419">
        <v>95.5</v>
      </c>
      <c r="I419" t="str">
        <f>"ACCT#188757/P4 RD &amp; BRIDGE BAR"</f>
        <v>ACCT#188757/P4 RD &amp; BRIDGE BAR</v>
      </c>
    </row>
    <row r="420" spans="1:9" x14ac:dyDescent="0.25">
      <c r="A420" t="str">
        <f>""</f>
        <v/>
      </c>
      <c r="F420" t="str">
        <f>"52698"</f>
        <v>52698</v>
      </c>
      <c r="G420" t="str">
        <f>"ACCT#188757/TAX OFFICE"</f>
        <v>ACCT#188757/TAX OFFICE</v>
      </c>
      <c r="H420">
        <v>102</v>
      </c>
      <c r="I420" t="str">
        <f>"ACCT#188757/TAX OFFICE"</f>
        <v>ACCT#188757/TAX OFFICE</v>
      </c>
    </row>
    <row r="421" spans="1:9" x14ac:dyDescent="0.25">
      <c r="A421" t="str">
        <f>""</f>
        <v/>
      </c>
      <c r="F421" t="str">
        <f>"52761"</f>
        <v>52761</v>
      </c>
      <c r="G421" t="str">
        <f>"ACCT#188757/LBJ BLDG/PEST PREV"</f>
        <v>ACCT#188757/LBJ BLDG/PEST PREV</v>
      </c>
      <c r="H421">
        <v>69</v>
      </c>
      <c r="I421" t="str">
        <f>"ACCT#188757/LBJ BLDG/PEST PREV"</f>
        <v>ACCT#188757/LBJ BLDG/PEST PREV</v>
      </c>
    </row>
    <row r="422" spans="1:9" x14ac:dyDescent="0.25">
      <c r="A422" t="str">
        <f>""</f>
        <v/>
      </c>
      <c r="F422" t="str">
        <f>"52782"</f>
        <v>52782</v>
      </c>
      <c r="G422" t="str">
        <f>"ACCT#188757/ANIMAL SHELTER"</f>
        <v>ACCT#188757/ANIMAL SHELTER</v>
      </c>
      <c r="H422">
        <v>290</v>
      </c>
      <c r="I422" t="str">
        <f>"ACCT#188757/ANIMAL SHELTER"</f>
        <v>ACCT#188757/ANIMAL SHELTER</v>
      </c>
    </row>
    <row r="423" spans="1:9" x14ac:dyDescent="0.25">
      <c r="A423" t="str">
        <f>"004635"</f>
        <v>004635</v>
      </c>
      <c r="B423" t="s">
        <v>95</v>
      </c>
      <c r="C423">
        <v>76236</v>
      </c>
      <c r="D423" s="2">
        <v>515</v>
      </c>
      <c r="E423" s="1">
        <v>43213</v>
      </c>
      <c r="F423" t="str">
        <f>"53626"</f>
        <v>53626</v>
      </c>
      <c r="G423" t="str">
        <f>"ACCT#188757/HISTORIC JAIL"</f>
        <v>ACCT#188757/HISTORIC JAIL</v>
      </c>
      <c r="H423">
        <v>420</v>
      </c>
      <c r="I423" t="str">
        <f>"ACCT#188757/HISTORIC JAIL"</f>
        <v>ACCT#188757/HISTORIC JAIL</v>
      </c>
    </row>
    <row r="424" spans="1:9" x14ac:dyDescent="0.25">
      <c r="A424" t="str">
        <f>""</f>
        <v/>
      </c>
      <c r="F424" t="str">
        <f>"55072"</f>
        <v>55072</v>
      </c>
      <c r="G424" t="str">
        <f>"ACCT#188757/PEST PREVENTION"</f>
        <v>ACCT#188757/PEST PREVENTION</v>
      </c>
      <c r="H424">
        <v>95</v>
      </c>
      <c r="I424" t="str">
        <f>"ACCT#188757/PEST PREVENTION"</f>
        <v>ACCT#188757/PEST PREVENTION</v>
      </c>
    </row>
    <row r="425" spans="1:9" x14ac:dyDescent="0.25">
      <c r="A425" t="str">
        <f>"002356"</f>
        <v>002356</v>
      </c>
      <c r="B425" t="s">
        <v>96</v>
      </c>
      <c r="C425">
        <v>76237</v>
      </c>
      <c r="D425" s="2">
        <v>60</v>
      </c>
      <c r="E425" s="1">
        <v>43213</v>
      </c>
      <c r="F425" t="str">
        <f>"18-18862"</f>
        <v>18-18862</v>
      </c>
      <c r="G425" t="str">
        <f>"CENTRAL ADOPT REG FUND 2/09/18"</f>
        <v>CENTRAL ADOPT REG FUND 2/09/18</v>
      </c>
      <c r="H425">
        <v>15</v>
      </c>
      <c r="I425" t="str">
        <f>"CENTRAL ADOPT REG FUND 2/09/18"</f>
        <v>CENTRAL ADOPT REG FUND 2/09/18</v>
      </c>
    </row>
    <row r="426" spans="1:9" x14ac:dyDescent="0.25">
      <c r="A426" t="str">
        <f>""</f>
        <v/>
      </c>
      <c r="F426" t="str">
        <f>"18-18910"</f>
        <v>18-18910</v>
      </c>
      <c r="G426" t="str">
        <f>"CENTRAL ADOPT REG FUND 3/7/18"</f>
        <v>CENTRAL ADOPT REG FUND 3/7/18</v>
      </c>
      <c r="H426">
        <v>15</v>
      </c>
      <c r="I426" t="str">
        <f>"CENTRAL ADOPT REG FUND 3/7/18"</f>
        <v>CENTRAL ADOPT REG FUND 3/7/18</v>
      </c>
    </row>
    <row r="427" spans="1:9" x14ac:dyDescent="0.25">
      <c r="A427" t="str">
        <f>""</f>
        <v/>
      </c>
      <c r="F427" t="str">
        <f>"423-5614"</f>
        <v>423-5614</v>
      </c>
      <c r="G427" t="str">
        <f>"CENTRAL ADOPT REG FUND 3/27/18"</f>
        <v>CENTRAL ADOPT REG FUND 3/27/18</v>
      </c>
      <c r="H427">
        <v>15</v>
      </c>
      <c r="I427" t="str">
        <f>"CENTRAL ADOPT REG FUND 3/27/18"</f>
        <v>CENTRAL ADOPT REG FUND 3/27/18</v>
      </c>
    </row>
    <row r="428" spans="1:9" x14ac:dyDescent="0.25">
      <c r="A428" t="str">
        <f>""</f>
        <v/>
      </c>
      <c r="F428" t="str">
        <f>"423-5626"</f>
        <v>423-5626</v>
      </c>
      <c r="G428" t="str">
        <f>"CENTRAL ADOPT REG FUND"</f>
        <v>CENTRAL ADOPT REG FUND</v>
      </c>
      <c r="H428">
        <v>15</v>
      </c>
      <c r="I428" t="str">
        <f>"CENTRAL ADOPT REG FUND"</f>
        <v>CENTRAL ADOPT REG FUND</v>
      </c>
    </row>
    <row r="429" spans="1:9" x14ac:dyDescent="0.25">
      <c r="A429" t="str">
        <f>"002589"</f>
        <v>002589</v>
      </c>
      <c r="B429" t="s">
        <v>97</v>
      </c>
      <c r="C429">
        <v>76238</v>
      </c>
      <c r="D429" s="2">
        <v>75</v>
      </c>
      <c r="E429" s="1">
        <v>43213</v>
      </c>
      <c r="F429" t="str">
        <f>"12696"</f>
        <v>12696</v>
      </c>
      <c r="G429" t="str">
        <f>"SERVICE  12/08/17"</f>
        <v>SERVICE  12/08/17</v>
      </c>
      <c r="H429">
        <v>75</v>
      </c>
      <c r="I429" t="str">
        <f>"SERVICE  12/08/17"</f>
        <v>SERVICE  12/08/17</v>
      </c>
    </row>
    <row r="430" spans="1:9" x14ac:dyDescent="0.25">
      <c r="A430" t="str">
        <f>"T12518"</f>
        <v>T12518</v>
      </c>
      <c r="B430" t="s">
        <v>98</v>
      </c>
      <c r="C430">
        <v>76023</v>
      </c>
      <c r="D430" s="2">
        <v>72</v>
      </c>
      <c r="E430" s="1">
        <v>43199</v>
      </c>
      <c r="F430" t="str">
        <f>"TRAINING-T.STALCUP"</f>
        <v>TRAINING-T.STALCUP</v>
      </c>
      <c r="G430" t="str">
        <f>"COURSE T. STALCUP 4/12/18"</f>
        <v>COURSE T. STALCUP 4/12/18</v>
      </c>
      <c r="H430">
        <v>72</v>
      </c>
      <c r="I430" t="str">
        <f>"COURSE T. STALCUP 4/12/18"</f>
        <v>COURSE T. STALCUP 4/12/18</v>
      </c>
    </row>
    <row r="431" spans="1:9" x14ac:dyDescent="0.25">
      <c r="A431" t="str">
        <f>"T12518"</f>
        <v>T12518</v>
      </c>
      <c r="B431" t="s">
        <v>98</v>
      </c>
      <c r="C431">
        <v>76239</v>
      </c>
      <c r="D431" s="2">
        <v>288</v>
      </c>
      <c r="E431" s="1">
        <v>43213</v>
      </c>
      <c r="F431" t="str">
        <f>"TRAINING-A.MARTINE"</f>
        <v>TRAINING-A.MARTINE</v>
      </c>
      <c r="G431" t="str">
        <f>"TRAINING - A. MARTINEZ JR"</f>
        <v>TRAINING - A. MARTINEZ JR</v>
      </c>
      <c r="H431">
        <v>288</v>
      </c>
      <c r="I431" t="str">
        <f>"TRAINING"</f>
        <v>TRAINING</v>
      </c>
    </row>
    <row r="432" spans="1:9" x14ac:dyDescent="0.25">
      <c r="A432" t="str">
        <f>"CBOA"</f>
        <v>CBOA</v>
      </c>
      <c r="B432" t="s">
        <v>99</v>
      </c>
      <c r="C432">
        <v>999999</v>
      </c>
      <c r="D432" s="2">
        <v>292.27999999999997</v>
      </c>
      <c r="E432" s="1">
        <v>43214</v>
      </c>
      <c r="F432" t="str">
        <f>"497536"</f>
        <v>497536</v>
      </c>
      <c r="G432" t="str">
        <f>"ORDER#00417160/PCT#2"</f>
        <v>ORDER#00417160/PCT#2</v>
      </c>
      <c r="H432">
        <v>292.27999999999997</v>
      </c>
      <c r="I432" t="str">
        <f>"ORDER#00417160/PCT#2"</f>
        <v>ORDER#00417160/PCT#2</v>
      </c>
    </row>
    <row r="433" spans="1:9" x14ac:dyDescent="0.25">
      <c r="A433" t="str">
        <f>"002726"</f>
        <v>002726</v>
      </c>
      <c r="B433" t="s">
        <v>100</v>
      </c>
      <c r="C433">
        <v>76024</v>
      </c>
      <c r="D433" s="2">
        <v>5642.27</v>
      </c>
      <c r="E433" s="1">
        <v>43199</v>
      </c>
      <c r="F433" t="str">
        <f>"ACCT#XXXXXXXX0058"</f>
        <v>ACCT#XXXXXXXX0058</v>
      </c>
      <c r="G433" t="str">
        <f>"Acct# 0058"</f>
        <v>Acct# 0058</v>
      </c>
      <c r="H433">
        <v>5642.27</v>
      </c>
      <c r="I433" t="str">
        <f>"IWCF"</f>
        <v>IWCF</v>
      </c>
    </row>
    <row r="434" spans="1:9" x14ac:dyDescent="0.25">
      <c r="A434" t="str">
        <f>""</f>
        <v/>
      </c>
      <c r="F434" t="str">
        <f>""</f>
        <v/>
      </c>
      <c r="G434" t="str">
        <f>""</f>
        <v/>
      </c>
      <c r="I434" t="str">
        <f>"Problem Solver"</f>
        <v>Problem Solver</v>
      </c>
    </row>
    <row r="435" spans="1:9" x14ac:dyDescent="0.25">
      <c r="A435" t="str">
        <f>""</f>
        <v/>
      </c>
      <c r="F435" t="str">
        <f>""</f>
        <v/>
      </c>
      <c r="G435" t="str">
        <f>""</f>
        <v/>
      </c>
      <c r="I435" t="str">
        <f>"Texas Associations"</f>
        <v>Texas Associations</v>
      </c>
    </row>
    <row r="436" spans="1:9" x14ac:dyDescent="0.25">
      <c r="A436" t="str">
        <f>""</f>
        <v/>
      </c>
      <c r="F436" t="str">
        <f>""</f>
        <v/>
      </c>
      <c r="G436" t="str">
        <f>""</f>
        <v/>
      </c>
      <c r="I436" t="str">
        <f>"Custom INk"</f>
        <v>Custom INk</v>
      </c>
    </row>
    <row r="437" spans="1:9" x14ac:dyDescent="0.25">
      <c r="A437" t="str">
        <f>""</f>
        <v/>
      </c>
      <c r="F437" t="str">
        <f>""</f>
        <v/>
      </c>
      <c r="G437" t="str">
        <f>""</f>
        <v/>
      </c>
      <c r="I437" t="str">
        <f>"Custom Ink"</f>
        <v>Custom Ink</v>
      </c>
    </row>
    <row r="438" spans="1:9" x14ac:dyDescent="0.25">
      <c r="A438" t="str">
        <f>""</f>
        <v/>
      </c>
      <c r="F438" t="str">
        <f>""</f>
        <v/>
      </c>
      <c r="G438" t="str">
        <f>""</f>
        <v/>
      </c>
      <c r="I438" t="str">
        <f>"VistaPrint"</f>
        <v>VistaPrint</v>
      </c>
    </row>
    <row r="439" spans="1:9" x14ac:dyDescent="0.25">
      <c r="A439" t="str">
        <f>""</f>
        <v/>
      </c>
      <c r="F439" t="str">
        <f>""</f>
        <v/>
      </c>
      <c r="G439" t="str">
        <f>""</f>
        <v/>
      </c>
      <c r="I439" t="str">
        <f>"Harbor Freight"</f>
        <v>Harbor Freight</v>
      </c>
    </row>
    <row r="440" spans="1:9" x14ac:dyDescent="0.25">
      <c r="A440" t="str">
        <f>""</f>
        <v/>
      </c>
      <c r="F440" t="str">
        <f>""</f>
        <v/>
      </c>
      <c r="G440" t="str">
        <f>""</f>
        <v/>
      </c>
      <c r="I440" t="str">
        <f>"SQ Bastrop County"</f>
        <v>SQ Bastrop County</v>
      </c>
    </row>
    <row r="441" spans="1:9" x14ac:dyDescent="0.25">
      <c r="A441" t="str">
        <f>""</f>
        <v/>
      </c>
      <c r="F441" t="str">
        <f>""</f>
        <v/>
      </c>
      <c r="G441" t="str">
        <f>""</f>
        <v/>
      </c>
      <c r="I441" t="str">
        <f>"UT Cont Legal"</f>
        <v>UT Cont Legal</v>
      </c>
    </row>
    <row r="442" spans="1:9" x14ac:dyDescent="0.25">
      <c r="A442" t="str">
        <f>""</f>
        <v/>
      </c>
      <c r="F442" t="str">
        <f>""</f>
        <v/>
      </c>
      <c r="G442" t="str">
        <f>""</f>
        <v/>
      </c>
      <c r="I442" t="str">
        <f>"Erika DeJesus"</f>
        <v>Erika DeJesus</v>
      </c>
    </row>
    <row r="443" spans="1:9" x14ac:dyDescent="0.25">
      <c r="A443" t="str">
        <f>""</f>
        <v/>
      </c>
      <c r="F443" t="str">
        <f>""</f>
        <v/>
      </c>
      <c r="G443" t="str">
        <f>""</f>
        <v/>
      </c>
      <c r="I443" t="str">
        <f>"Rosanna Garza"</f>
        <v>Rosanna Garza</v>
      </c>
    </row>
    <row r="444" spans="1:9" x14ac:dyDescent="0.25">
      <c r="A444" t="str">
        <f>""</f>
        <v/>
      </c>
      <c r="F444" t="str">
        <f>""</f>
        <v/>
      </c>
      <c r="G444" t="str">
        <f>""</f>
        <v/>
      </c>
      <c r="I444" t="str">
        <f>"Robert Bennett"</f>
        <v>Robert Bennett</v>
      </c>
    </row>
    <row r="445" spans="1:9" x14ac:dyDescent="0.25">
      <c r="A445" t="str">
        <f>""</f>
        <v/>
      </c>
      <c r="F445" t="str">
        <f>""</f>
        <v/>
      </c>
      <c r="G445" t="str">
        <f>""</f>
        <v/>
      </c>
      <c r="I445" t="str">
        <f>"Annette Murley"</f>
        <v>Annette Murley</v>
      </c>
    </row>
    <row r="446" spans="1:9" x14ac:dyDescent="0.25">
      <c r="A446" t="str">
        <f>""</f>
        <v/>
      </c>
      <c r="F446" t="str">
        <f>""</f>
        <v/>
      </c>
      <c r="G446" t="str">
        <f>""</f>
        <v/>
      </c>
      <c r="I446" t="str">
        <f>"Kenneth Leatherwood"</f>
        <v>Kenneth Leatherwood</v>
      </c>
    </row>
    <row r="447" spans="1:9" x14ac:dyDescent="0.25">
      <c r="A447" t="str">
        <f>""</f>
        <v/>
      </c>
      <c r="F447" t="str">
        <f>""</f>
        <v/>
      </c>
      <c r="G447" t="str">
        <f>""</f>
        <v/>
      </c>
      <c r="I447" t="str">
        <f>"Texas Animal Shelter"</f>
        <v>Texas Animal Shelter</v>
      </c>
    </row>
    <row r="448" spans="1:9" x14ac:dyDescent="0.25">
      <c r="A448" t="str">
        <f>""</f>
        <v/>
      </c>
      <c r="F448" t="str">
        <f>""</f>
        <v/>
      </c>
      <c r="G448" t="str">
        <f>""</f>
        <v/>
      </c>
      <c r="I448" t="str">
        <f>"Election Center"</f>
        <v>Election Center</v>
      </c>
    </row>
    <row r="449" spans="1:9" x14ac:dyDescent="0.25">
      <c r="A449" t="str">
        <f>""</f>
        <v/>
      </c>
      <c r="F449" t="str">
        <f>""</f>
        <v/>
      </c>
      <c r="G449" t="str">
        <f>""</f>
        <v/>
      </c>
      <c r="I449" t="str">
        <f>"HEB- Bottled Water"</f>
        <v>HEB- Bottled Water</v>
      </c>
    </row>
    <row r="450" spans="1:9" x14ac:dyDescent="0.25">
      <c r="A450" t="str">
        <f>""</f>
        <v/>
      </c>
      <c r="F450" t="str">
        <f>""</f>
        <v/>
      </c>
      <c r="G450" t="str">
        <f>""</f>
        <v/>
      </c>
      <c r="I450" t="str">
        <f>"TopGunn"</f>
        <v>TopGunn</v>
      </c>
    </row>
    <row r="451" spans="1:9" x14ac:dyDescent="0.25">
      <c r="A451" t="str">
        <f>""</f>
        <v/>
      </c>
      <c r="F451" t="str">
        <f>""</f>
        <v/>
      </c>
      <c r="G451" t="str">
        <f>""</f>
        <v/>
      </c>
      <c r="I451" t="str">
        <f>"Top Gunn"</f>
        <v>Top Gunn</v>
      </c>
    </row>
    <row r="452" spans="1:9" x14ac:dyDescent="0.25">
      <c r="A452" t="str">
        <f>""</f>
        <v/>
      </c>
      <c r="F452" t="str">
        <f>""</f>
        <v/>
      </c>
      <c r="G452" t="str">
        <f>""</f>
        <v/>
      </c>
      <c r="I452" t="str">
        <f>"Hampton-Demetrius"</f>
        <v>Hampton-Demetrius</v>
      </c>
    </row>
    <row r="453" spans="1:9" x14ac:dyDescent="0.25">
      <c r="A453" t="str">
        <f>""</f>
        <v/>
      </c>
      <c r="F453" t="str">
        <f>""</f>
        <v/>
      </c>
      <c r="G453" t="str">
        <f>""</f>
        <v/>
      </c>
      <c r="I453" t="str">
        <f>"Hampton-Ricardo"</f>
        <v>Hampton-Ricardo</v>
      </c>
    </row>
    <row r="454" spans="1:9" x14ac:dyDescent="0.25">
      <c r="A454" t="str">
        <f>"CARD"</f>
        <v>CARD</v>
      </c>
      <c r="B454" t="s">
        <v>100</v>
      </c>
      <c r="C454">
        <v>0</v>
      </c>
      <c r="D454" s="2">
        <v>1693.73</v>
      </c>
      <c r="E454" s="1">
        <v>43213</v>
      </c>
      <c r="F454" t="str">
        <f>"STATEMENT0574"</f>
        <v>STATEMENT0574</v>
      </c>
      <c r="G454" t="str">
        <f>"STATEMENT 02/21-03/23/18"</f>
        <v>STATEMENT 02/21-03/23/18</v>
      </c>
      <c r="H454">
        <v>1693.73</v>
      </c>
      <c r="I454" t="str">
        <f>"LONGHORN RENTAL"</f>
        <v>LONGHORN RENTAL</v>
      </c>
    </row>
    <row r="455" spans="1:9" x14ac:dyDescent="0.25">
      <c r="A455" t="str">
        <f>""</f>
        <v/>
      </c>
      <c r="F455" t="str">
        <f>""</f>
        <v/>
      </c>
      <c r="G455" t="str">
        <f>""</f>
        <v/>
      </c>
      <c r="I455" t="str">
        <f>"HARBOR FREIGHT"</f>
        <v>HARBOR FREIGHT</v>
      </c>
    </row>
    <row r="456" spans="1:9" x14ac:dyDescent="0.25">
      <c r="A456" t="str">
        <f>""</f>
        <v/>
      </c>
      <c r="F456" t="str">
        <f>""</f>
        <v/>
      </c>
      <c r="G456" t="str">
        <f>""</f>
        <v/>
      </c>
      <c r="I456" t="str">
        <f>"SOUTHWEST AIR"</f>
        <v>SOUTHWEST AIR</v>
      </c>
    </row>
    <row r="457" spans="1:9" x14ac:dyDescent="0.25">
      <c r="A457" t="str">
        <f>""</f>
        <v/>
      </c>
      <c r="F457" t="str">
        <f>""</f>
        <v/>
      </c>
      <c r="G457" t="str">
        <f>""</f>
        <v/>
      </c>
      <c r="I457" t="str">
        <f>"HOLIDAY INN"</f>
        <v>HOLIDAY INN</v>
      </c>
    </row>
    <row r="458" spans="1:9" x14ac:dyDescent="0.25">
      <c r="A458" t="str">
        <f>""</f>
        <v/>
      </c>
      <c r="F458" t="str">
        <f>""</f>
        <v/>
      </c>
      <c r="G458" t="str">
        <f>""</f>
        <v/>
      </c>
      <c r="I458" t="str">
        <f>"BEGSTROM AIRPORT"</f>
        <v>BEGSTROM AIRPORT</v>
      </c>
    </row>
    <row r="459" spans="1:9" x14ac:dyDescent="0.25">
      <c r="A459" t="str">
        <f>""</f>
        <v/>
      </c>
      <c r="F459" t="str">
        <f>""</f>
        <v/>
      </c>
      <c r="G459" t="str">
        <f>""</f>
        <v/>
      </c>
      <c r="I459" t="str">
        <f>"LA QUINTA"</f>
        <v>LA QUINTA</v>
      </c>
    </row>
    <row r="460" spans="1:9" x14ac:dyDescent="0.25">
      <c r="A460" t="str">
        <f>""</f>
        <v/>
      </c>
      <c r="F460" t="str">
        <f>""</f>
        <v/>
      </c>
      <c r="G460" t="str">
        <f>""</f>
        <v/>
      </c>
      <c r="I460" t="str">
        <f>"AVIS RENT A CAR"</f>
        <v>AVIS RENT A CAR</v>
      </c>
    </row>
    <row r="461" spans="1:9" x14ac:dyDescent="0.25">
      <c r="A461" t="str">
        <f>""</f>
        <v/>
      </c>
      <c r="F461" t="str">
        <f>""</f>
        <v/>
      </c>
      <c r="G461" t="str">
        <f>""</f>
        <v/>
      </c>
      <c r="I461" t="str">
        <f>"UNIVERSITY HOTEL"</f>
        <v>UNIVERSITY HOTEL</v>
      </c>
    </row>
    <row r="462" spans="1:9" x14ac:dyDescent="0.25">
      <c r="A462" t="str">
        <f>""</f>
        <v/>
      </c>
      <c r="F462" t="str">
        <f>""</f>
        <v/>
      </c>
      <c r="G462" t="str">
        <f>""</f>
        <v/>
      </c>
      <c r="I462" t="str">
        <f>"CONOCO"</f>
        <v>CONOCO</v>
      </c>
    </row>
    <row r="463" spans="1:9" x14ac:dyDescent="0.25">
      <c r="A463" t="str">
        <f>"005053"</f>
        <v>005053</v>
      </c>
      <c r="B463" t="s">
        <v>101</v>
      </c>
      <c r="C463">
        <v>76025</v>
      </c>
      <c r="D463" s="2">
        <v>2837.49</v>
      </c>
      <c r="E463" s="1">
        <v>43199</v>
      </c>
      <c r="F463" t="str">
        <f>"201803299825"</f>
        <v>201803299825</v>
      </c>
      <c r="G463" t="str">
        <f>"11-14658"</f>
        <v>11-14658</v>
      </c>
      <c r="H463">
        <v>2535</v>
      </c>
      <c r="I463" t="str">
        <f>"11-14658"</f>
        <v>11-14658</v>
      </c>
    </row>
    <row r="464" spans="1:9" x14ac:dyDescent="0.25">
      <c r="A464" t="str">
        <f>""</f>
        <v/>
      </c>
      <c r="F464" t="str">
        <f>"201803299826"</f>
        <v>201803299826</v>
      </c>
      <c r="G464" t="str">
        <f>"14 324"</f>
        <v>14 324</v>
      </c>
      <c r="H464">
        <v>302.49</v>
      </c>
      <c r="I464" t="str">
        <f>"14 324"</f>
        <v>14 324</v>
      </c>
    </row>
    <row r="465" spans="1:9" x14ac:dyDescent="0.25">
      <c r="A465" t="str">
        <f>"005483"</f>
        <v>005483</v>
      </c>
      <c r="B465" t="s">
        <v>102</v>
      </c>
      <c r="C465">
        <v>76026</v>
      </c>
      <c r="D465" s="2">
        <v>25</v>
      </c>
      <c r="E465" s="1">
        <v>43199</v>
      </c>
      <c r="F465" t="str">
        <f>"201803299801"</f>
        <v>201803299801</v>
      </c>
      <c r="G465" t="str">
        <f>"REFUND FOR OVERPAYMENT"</f>
        <v>REFUND FOR OVERPAYMENT</v>
      </c>
      <c r="H465">
        <v>25</v>
      </c>
      <c r="I465" t="str">
        <f>"REFUND FOR OVERPAYMENT"</f>
        <v>REFUND FOR OVERPAYMENT</v>
      </c>
    </row>
    <row r="466" spans="1:9" x14ac:dyDescent="0.25">
      <c r="A466" t="str">
        <f>"TCCA"</f>
        <v>TCCA</v>
      </c>
      <c r="B466" t="s">
        <v>103</v>
      </c>
      <c r="C466">
        <v>76027</v>
      </c>
      <c r="D466" s="2">
        <v>15</v>
      </c>
      <c r="E466" s="1">
        <v>43199</v>
      </c>
      <c r="F466" t="str">
        <f>"201803299802"</f>
        <v>201803299802</v>
      </c>
      <c r="G466" t="str">
        <f>"REG IV SPRING CONF-SARAH LOUCK"</f>
        <v>REG IV SPRING CONF-SARAH LOUCK</v>
      </c>
      <c r="H466">
        <v>15</v>
      </c>
      <c r="I466" t="str">
        <f>"REG IV SPRING CONF-SARAH LOUCK"</f>
        <v>REG IV SPRING CONF-SARAH LOUCK</v>
      </c>
    </row>
    <row r="467" spans="1:9" x14ac:dyDescent="0.25">
      <c r="A467" t="str">
        <f>"CRR"</f>
        <v>CRR</v>
      </c>
      <c r="B467" t="s">
        <v>104</v>
      </c>
      <c r="C467">
        <v>76028</v>
      </c>
      <c r="D467" s="2">
        <v>8702.5</v>
      </c>
      <c r="E467" s="1">
        <v>43199</v>
      </c>
      <c r="F467" t="str">
        <f>"201804059993"</f>
        <v>201804059993</v>
      </c>
      <c r="G467" t="str">
        <f>"CAUSE#15 914"</f>
        <v>CAUSE#15 914</v>
      </c>
      <c r="H467">
        <v>8702.5</v>
      </c>
      <c r="I467" t="str">
        <f>"CAUSE#15 914"</f>
        <v>CAUSE#15 914</v>
      </c>
    </row>
    <row r="468" spans="1:9" x14ac:dyDescent="0.25">
      <c r="A468" t="str">
        <f>"CTRPNT"</f>
        <v>CTRPNT</v>
      </c>
      <c r="B468" t="s">
        <v>105</v>
      </c>
      <c r="C468">
        <v>75986</v>
      </c>
      <c r="D468" s="2">
        <v>2866.87</v>
      </c>
      <c r="E468" s="1">
        <v>43192</v>
      </c>
      <c r="F468" t="str">
        <f>"201804029840"</f>
        <v>201804029840</v>
      </c>
      <c r="G468" t="str">
        <f>"ACCT#8000081165-5/03192018"</f>
        <v>ACCT#8000081165-5/03192018</v>
      </c>
      <c r="H468">
        <v>2866.87</v>
      </c>
      <c r="I468" t="str">
        <f>"ACCT#8000081165-5/03192018"</f>
        <v>ACCT#8000081165-5/03192018</v>
      </c>
    </row>
    <row r="469" spans="1:9" x14ac:dyDescent="0.25">
      <c r="A469" t="str">
        <f>""</f>
        <v/>
      </c>
      <c r="F469" t="str">
        <f>""</f>
        <v/>
      </c>
      <c r="G469" t="str">
        <f>""</f>
        <v/>
      </c>
      <c r="I469" t="str">
        <f>"ACCT#8000081165-5/03192018"</f>
        <v>ACCT#8000081165-5/03192018</v>
      </c>
    </row>
    <row r="470" spans="1:9" x14ac:dyDescent="0.25">
      <c r="A470" t="str">
        <f>"CTRPNT"</f>
        <v>CTRPNT</v>
      </c>
      <c r="B470" t="s">
        <v>105</v>
      </c>
      <c r="C470">
        <v>76448</v>
      </c>
      <c r="D470" s="2">
        <v>1947.88</v>
      </c>
      <c r="E470" s="1">
        <v>43217</v>
      </c>
      <c r="F470" t="str">
        <f>"201804270470"</f>
        <v>201804270470</v>
      </c>
      <c r="G470" t="str">
        <f>"ACCT#80000081165-5/04182018"</f>
        <v>ACCT#80000081165-5/04182018</v>
      </c>
      <c r="H470">
        <v>1947.88</v>
      </c>
      <c r="I470" t="str">
        <f>"ACCT#80000081165-5/04182018"</f>
        <v>ACCT#80000081165-5/04182018</v>
      </c>
    </row>
    <row r="471" spans="1:9" x14ac:dyDescent="0.25">
      <c r="A471" t="str">
        <f>""</f>
        <v/>
      </c>
      <c r="F471" t="str">
        <f>""</f>
        <v/>
      </c>
      <c r="G471" t="str">
        <f>""</f>
        <v/>
      </c>
      <c r="I471" t="str">
        <f>"ACCT#80000081165-5/04182018"</f>
        <v>ACCT#80000081165-5/04182018</v>
      </c>
    </row>
    <row r="472" spans="1:9" x14ac:dyDescent="0.25">
      <c r="A472" t="str">
        <f>"T12897"</f>
        <v>T12897</v>
      </c>
      <c r="B472" t="s">
        <v>106</v>
      </c>
      <c r="C472">
        <v>76029</v>
      </c>
      <c r="D472" s="2">
        <v>4095.13</v>
      </c>
      <c r="E472" s="1">
        <v>43199</v>
      </c>
      <c r="F472" t="str">
        <f>"CID2227190"</f>
        <v>CID2227190</v>
      </c>
      <c r="G472" t="str">
        <f>"ACCT#238567/ORD#CID2270552"</f>
        <v>ACCT#238567/ORD#CID2270552</v>
      </c>
      <c r="H472">
        <v>4095.13</v>
      </c>
      <c r="I472" t="str">
        <f>"ACCT#238567/ORD#CID2270552"</f>
        <v>ACCT#238567/ORD#CID2270552</v>
      </c>
    </row>
    <row r="473" spans="1:9" x14ac:dyDescent="0.25">
      <c r="A473" t="str">
        <f>"CENTEX"</f>
        <v>CENTEX</v>
      </c>
      <c r="B473" t="s">
        <v>107</v>
      </c>
      <c r="C473">
        <v>76030</v>
      </c>
      <c r="D473" s="2">
        <v>3223.53</v>
      </c>
      <c r="E473" s="1">
        <v>43199</v>
      </c>
      <c r="F473" t="str">
        <f>"30124691"</f>
        <v>30124691</v>
      </c>
      <c r="G473" t="str">
        <f>"ORD#37-19558/CUST#BASPCT1/PCT1"</f>
        <v>ORD#37-19558/CUST#BASPCT1/PCT1</v>
      </c>
      <c r="H473">
        <v>408.19</v>
      </c>
      <c r="I473" t="str">
        <f>"ORD#37-19558/CUST#BASPCT1/PCT1"</f>
        <v>ORD#37-19558/CUST#BASPCT1/PCT1</v>
      </c>
    </row>
    <row r="474" spans="1:9" x14ac:dyDescent="0.25">
      <c r="A474" t="str">
        <f>""</f>
        <v/>
      </c>
      <c r="F474" t="str">
        <f>"30124692"</f>
        <v>30124692</v>
      </c>
      <c r="G474" t="str">
        <f>"CUST#BASPCT4/ORD#37-19552/PCT4"</f>
        <v>CUST#BASPCT4/ORD#37-19552/PCT4</v>
      </c>
      <c r="H474">
        <v>405.91</v>
      </c>
      <c r="I474" t="str">
        <f>"CUST#BASPCT4/ORD#37-19552/PCT4"</f>
        <v>CUST#BASPCT4/ORD#37-19552/PCT4</v>
      </c>
    </row>
    <row r="475" spans="1:9" x14ac:dyDescent="0.25">
      <c r="A475" t="str">
        <f>""</f>
        <v/>
      </c>
      <c r="F475" t="str">
        <f>"30124723"</f>
        <v>30124723</v>
      </c>
      <c r="G475" t="str">
        <f>"ORD#37-19558/CUST#BASPCT1/PCT1"</f>
        <v>ORD#37-19558/CUST#BASPCT1/PCT1</v>
      </c>
      <c r="H475">
        <v>416.07</v>
      </c>
      <c r="I475" t="str">
        <f>"ORD#37-19558/CUST#BASPCT1/PCT1"</f>
        <v>ORD#37-19558/CUST#BASPCT1/PCT1</v>
      </c>
    </row>
    <row r="476" spans="1:9" x14ac:dyDescent="0.25">
      <c r="A476" t="str">
        <f>""</f>
        <v/>
      </c>
      <c r="F476" t="str">
        <f>"30124724"</f>
        <v>30124724</v>
      </c>
      <c r="G476" t="str">
        <f>"CUST#BASPCT4/ORD#37-19552/PCT4"</f>
        <v>CUST#BASPCT4/ORD#37-19552/PCT4</v>
      </c>
      <c r="H476">
        <v>404.43</v>
      </c>
      <c r="I476" t="str">
        <f>"CUST#BASPCT4/ORD#37-19552/PCT4"</f>
        <v>CUST#BASPCT4/ORD#37-19552/PCT4</v>
      </c>
    </row>
    <row r="477" spans="1:9" x14ac:dyDescent="0.25">
      <c r="A477" t="str">
        <f>""</f>
        <v/>
      </c>
      <c r="F477" t="str">
        <f>"30124751"</f>
        <v>30124751</v>
      </c>
      <c r="G477" t="str">
        <f>"ORD#37-19558/CUST#BASPCT1/PCT1"</f>
        <v>ORD#37-19558/CUST#BASPCT1/PCT1</v>
      </c>
      <c r="H477">
        <v>408.89</v>
      </c>
      <c r="I477" t="str">
        <f>"ORD#37-19558/CUST#BASPCT1/PCT1"</f>
        <v>ORD#37-19558/CUST#BASPCT1/PCT1</v>
      </c>
    </row>
    <row r="478" spans="1:9" x14ac:dyDescent="0.25">
      <c r="A478" t="str">
        <f>""</f>
        <v/>
      </c>
      <c r="F478" t="str">
        <f>"30124752"</f>
        <v>30124752</v>
      </c>
      <c r="G478" t="str">
        <f>"CUST#BASPCT4/ORD#37-19552/PCT4"</f>
        <v>CUST#BASPCT4/ORD#37-19552/PCT4</v>
      </c>
      <c r="H478">
        <v>399.97</v>
      </c>
      <c r="I478" t="str">
        <f>"CUST#BASPCT4/ORD#37-19552/PCT4"</f>
        <v>CUST#BASPCT4/ORD#37-19552/PCT4</v>
      </c>
    </row>
    <row r="479" spans="1:9" x14ac:dyDescent="0.25">
      <c r="A479" t="str">
        <f>""</f>
        <v/>
      </c>
      <c r="F479" t="str">
        <f>"30124785"</f>
        <v>30124785</v>
      </c>
      <c r="G479" t="str">
        <f>"ORD#37-19552/CUST#BASPCT4/PCT4"</f>
        <v>ORD#37-19552/CUST#BASPCT4/PCT4</v>
      </c>
      <c r="H479">
        <v>780.07</v>
      </c>
      <c r="I479" t="str">
        <f>"ORD#37-19552/CUST#BASPCT4/PCT4"</f>
        <v>ORD#37-19552/CUST#BASPCT4/PCT4</v>
      </c>
    </row>
    <row r="480" spans="1:9" x14ac:dyDescent="0.25">
      <c r="A480" t="str">
        <f>"CENTEX"</f>
        <v>CENTEX</v>
      </c>
      <c r="B480" t="s">
        <v>107</v>
      </c>
      <c r="C480">
        <v>76240</v>
      </c>
      <c r="D480" s="2">
        <v>10821.61</v>
      </c>
      <c r="E480" s="1">
        <v>43213</v>
      </c>
      <c r="F480" t="str">
        <f>"30124810"</f>
        <v>30124810</v>
      </c>
      <c r="G480" t="str">
        <f>"CUST#BASPCT1/ORD#37-19558/PCT1"</f>
        <v>CUST#BASPCT1/ORD#37-19558/PCT1</v>
      </c>
      <c r="H480">
        <v>605.33000000000004</v>
      </c>
      <c r="I480" t="str">
        <f>"CUST#BASPCT1/ORD#37-19558/PCT1"</f>
        <v>CUST#BASPCT1/ORD#37-19558/PCT1</v>
      </c>
    </row>
    <row r="481" spans="1:9" x14ac:dyDescent="0.25">
      <c r="A481" t="str">
        <f>""</f>
        <v/>
      </c>
      <c r="F481" t="str">
        <f>"30124811"</f>
        <v>30124811</v>
      </c>
      <c r="G481" t="str">
        <f>"CUST#BASPCT4/ORD#37-19552/PCT4"</f>
        <v>CUST#BASPCT4/ORD#37-19552/PCT4</v>
      </c>
      <c r="H481">
        <v>1737.05</v>
      </c>
      <c r="I481" t="str">
        <f>"CUST#BASPCT4/ORD#37-19552/PCT4"</f>
        <v>CUST#BASPCT4/ORD#37-19552/PCT4</v>
      </c>
    </row>
    <row r="482" spans="1:9" x14ac:dyDescent="0.25">
      <c r="A482" t="str">
        <f>""</f>
        <v/>
      </c>
      <c r="F482" t="str">
        <f>"30124835"</f>
        <v>30124835</v>
      </c>
      <c r="G482" t="str">
        <f>"CUST#BASPCT4/ORD#37-19552/PCT4"</f>
        <v>CUST#BASPCT4/ORD#37-19552/PCT4</v>
      </c>
      <c r="H482">
        <v>1215.73</v>
      </c>
      <c r="I482" t="str">
        <f>"CUST#BASPCT4/ORD#37-19552/PCT4"</f>
        <v>CUST#BASPCT4/ORD#37-19552/PCT4</v>
      </c>
    </row>
    <row r="483" spans="1:9" x14ac:dyDescent="0.25">
      <c r="A483" t="str">
        <f>""</f>
        <v/>
      </c>
      <c r="F483" t="str">
        <f>"30124866"</f>
        <v>30124866</v>
      </c>
      <c r="G483" t="str">
        <f>"CUST#BASPCT1/ORD#37-19558/PCT1"</f>
        <v>CUST#BASPCT1/ORD#37-19558/PCT1</v>
      </c>
      <c r="H483">
        <v>615.65</v>
      </c>
      <c r="I483" t="str">
        <f>"CUST#BASPCT1/ORD#37-19558/PCT1"</f>
        <v>CUST#BASPCT1/ORD#37-19558/PCT1</v>
      </c>
    </row>
    <row r="484" spans="1:9" x14ac:dyDescent="0.25">
      <c r="A484" t="str">
        <f>""</f>
        <v/>
      </c>
      <c r="F484" t="str">
        <f>"30124867"</f>
        <v>30124867</v>
      </c>
      <c r="G484" t="str">
        <f>"CUST#BASPCT4/ORD#37-19552"</f>
        <v>CUST#BASPCT4/ORD#37-19552</v>
      </c>
      <c r="H484">
        <v>1096.29</v>
      </c>
      <c r="I484" t="str">
        <f>"CUST#BASPCT4/ORD#37-19552"</f>
        <v>CUST#BASPCT4/ORD#37-19552</v>
      </c>
    </row>
    <row r="485" spans="1:9" x14ac:dyDescent="0.25">
      <c r="A485" t="str">
        <f>""</f>
        <v/>
      </c>
      <c r="F485" t="str">
        <f>"30124901"</f>
        <v>30124901</v>
      </c>
      <c r="G485" t="str">
        <f>"CUST#BASPCT4/ORD#37-19552/PCT4"</f>
        <v>CUST#BASPCT4/ORD#37-19552/PCT4</v>
      </c>
      <c r="H485">
        <v>579.95000000000005</v>
      </c>
      <c r="I485" t="str">
        <f>"CUST#BASPCT4/ORD#37-19552/PCT4"</f>
        <v>CUST#BASPCT4/ORD#37-19552/PCT4</v>
      </c>
    </row>
    <row r="486" spans="1:9" x14ac:dyDescent="0.25">
      <c r="A486" t="str">
        <f>""</f>
        <v/>
      </c>
      <c r="F486" t="str">
        <f>"30124936"</f>
        <v>30124936</v>
      </c>
      <c r="G486" t="str">
        <f>"CUST#BASPCT4/ORD#37-19552/PCT4"</f>
        <v>CUST#BASPCT4/ORD#37-19552/PCT4</v>
      </c>
      <c r="H486">
        <v>1174.6099999999999</v>
      </c>
      <c r="I486" t="str">
        <f>"CUST#BASPCT4/ORD#37-19552/PCT4"</f>
        <v>CUST#BASPCT4/ORD#37-19552/PCT4</v>
      </c>
    </row>
    <row r="487" spans="1:9" x14ac:dyDescent="0.25">
      <c r="A487" t="str">
        <f>""</f>
        <v/>
      </c>
      <c r="F487" t="str">
        <f>"30124978"</f>
        <v>30124978</v>
      </c>
      <c r="G487" t="str">
        <f>"CUST#BASPCT4/ORD#37-19552/PCT4"</f>
        <v>CUST#BASPCT4/ORD#37-19552/PCT4</v>
      </c>
      <c r="H487">
        <v>1796.47</v>
      </c>
      <c r="I487" t="str">
        <f>"CUST#BASPCT4/ORD#37-19552/PCT4"</f>
        <v>CUST#BASPCT4/ORD#37-19552/PCT4</v>
      </c>
    </row>
    <row r="488" spans="1:9" x14ac:dyDescent="0.25">
      <c r="A488" t="str">
        <f>""</f>
        <v/>
      </c>
      <c r="F488" t="str">
        <f>"30125020"</f>
        <v>30125020</v>
      </c>
      <c r="G488" t="str">
        <f>"CUST#BASPCT4/ORD#37-19552/PCT4"</f>
        <v>CUST#BASPCT4/ORD#37-19552/PCT4</v>
      </c>
      <c r="H488">
        <v>1432.74</v>
      </c>
      <c r="I488" t="str">
        <f>"CUST#BASPCT4/ORD#37-19552/PCT4"</f>
        <v>CUST#BASPCT4/ORD#37-19552/PCT4</v>
      </c>
    </row>
    <row r="489" spans="1:9" x14ac:dyDescent="0.25">
      <c r="A489" t="str">
        <f>""</f>
        <v/>
      </c>
      <c r="F489" t="str">
        <f>"30125059"</f>
        <v>30125059</v>
      </c>
      <c r="G489" t="str">
        <f>"CUST#BASPCT4/ORD#37-19552/PCT4"</f>
        <v>CUST#BASPCT4/ORD#37-19552/PCT4</v>
      </c>
      <c r="H489">
        <v>567.79</v>
      </c>
      <c r="I489" t="str">
        <f>"CUST#BASPCT4/ORD#37-19552/PCT4"</f>
        <v>CUST#BASPCT4/ORD#37-19552/PCT4</v>
      </c>
    </row>
    <row r="490" spans="1:9" x14ac:dyDescent="0.25">
      <c r="A490" t="str">
        <f>"T11963"</f>
        <v>T11963</v>
      </c>
      <c r="B490" t="s">
        <v>108</v>
      </c>
      <c r="C490">
        <v>76031</v>
      </c>
      <c r="D490" s="2">
        <v>195</v>
      </c>
      <c r="E490" s="1">
        <v>43199</v>
      </c>
      <c r="F490" t="str">
        <f>"BC2#005"</f>
        <v>BC2#005</v>
      </c>
      <c r="G490" t="str">
        <f>"WATER BARRIERS FEB28-MAR28"</f>
        <v>WATER BARRIERS FEB28-MAR28</v>
      </c>
      <c r="H490">
        <v>195</v>
      </c>
      <c r="I490" t="str">
        <f>"WATER BARRIERS FEB28-MAR28"</f>
        <v>WATER BARRIERS FEB28-MAR28</v>
      </c>
    </row>
    <row r="491" spans="1:9" x14ac:dyDescent="0.25">
      <c r="A491" t="str">
        <f>"T11963"</f>
        <v>T11963</v>
      </c>
      <c r="B491" t="s">
        <v>108</v>
      </c>
      <c r="C491">
        <v>76241</v>
      </c>
      <c r="D491" s="2">
        <v>260</v>
      </c>
      <c r="E491" s="1">
        <v>43213</v>
      </c>
      <c r="F491" t="str">
        <f>"BC2#006"</f>
        <v>BC2#006</v>
      </c>
      <c r="G491" t="str">
        <f>"WATER BARRIERS/PCT#2"</f>
        <v>WATER BARRIERS/PCT#2</v>
      </c>
      <c r="H491">
        <v>260</v>
      </c>
      <c r="I491" t="str">
        <f>"WATER BARRIERS/PCT#2"</f>
        <v>WATER BARRIERS/PCT#2</v>
      </c>
    </row>
    <row r="492" spans="1:9" x14ac:dyDescent="0.25">
      <c r="A492" t="str">
        <f>"002795"</f>
        <v>002795</v>
      </c>
      <c r="B492" t="s">
        <v>109</v>
      </c>
      <c r="C492">
        <v>76032</v>
      </c>
      <c r="D492" s="2">
        <v>2100</v>
      </c>
      <c r="E492" s="1">
        <v>43199</v>
      </c>
      <c r="F492" t="str">
        <f>"12196"</f>
        <v>12196</v>
      </c>
      <c r="G492" t="str">
        <f>"TRANSPORT-R. MEINSEN-TREVINO"</f>
        <v>TRANSPORT-R. MEINSEN-TREVINO</v>
      </c>
      <c r="H492">
        <v>2100</v>
      </c>
      <c r="I492" t="str">
        <f>"TRANSPORT-R. MEINSEN-TREVINO"</f>
        <v>TRANSPORT-R. MEINSEN-TREVINO</v>
      </c>
    </row>
    <row r="493" spans="1:9" x14ac:dyDescent="0.25">
      <c r="A493" t="str">
        <f>"002795"</f>
        <v>002795</v>
      </c>
      <c r="B493" t="s">
        <v>109</v>
      </c>
      <c r="C493">
        <v>76242</v>
      </c>
      <c r="D493" s="2">
        <v>2100</v>
      </c>
      <c r="E493" s="1">
        <v>43213</v>
      </c>
      <c r="F493" t="str">
        <f>"12008"</f>
        <v>12008</v>
      </c>
      <c r="G493" t="str">
        <f>"CTA 432-17/AUTOPSY"</f>
        <v>CTA 432-17/AUTOPSY</v>
      </c>
      <c r="H493">
        <v>2100</v>
      </c>
      <c r="I493" t="str">
        <f>"CTA 432-17/AUTOPSY"</f>
        <v>CTA 432-17/AUTOPSY</v>
      </c>
    </row>
    <row r="494" spans="1:9" x14ac:dyDescent="0.25">
      <c r="A494" t="str">
        <f>"002689"</f>
        <v>002689</v>
      </c>
      <c r="B494" t="s">
        <v>110</v>
      </c>
      <c r="C494">
        <v>76033</v>
      </c>
      <c r="D494" s="2">
        <v>475</v>
      </c>
      <c r="E494" s="1">
        <v>43199</v>
      </c>
      <c r="F494" t="str">
        <f>"2018-01"</f>
        <v>2018-01</v>
      </c>
      <c r="G494" t="str">
        <f>"2018 ANNUAL SPONSORSHIP DUES"</f>
        <v>2018 ANNUAL SPONSORSHIP DUES</v>
      </c>
      <c r="H494">
        <v>475</v>
      </c>
      <c r="I494" t="str">
        <f>"2018 ANNUAL SPONSORSHIP DUES"</f>
        <v>2018 ANNUAL SPONSORSHIP DUES</v>
      </c>
    </row>
    <row r="495" spans="1:9" x14ac:dyDescent="0.25">
      <c r="A495" t="str">
        <f>"004648"</f>
        <v>004648</v>
      </c>
      <c r="B495" t="s">
        <v>111</v>
      </c>
      <c r="C495">
        <v>76243</v>
      </c>
      <c r="D495" s="2">
        <v>1340</v>
      </c>
      <c r="E495" s="1">
        <v>43213</v>
      </c>
      <c r="F495" t="str">
        <f>"201804120267"</f>
        <v>201804120267</v>
      </c>
      <c r="G495" t="str">
        <f>"17-18269"</f>
        <v>17-18269</v>
      </c>
      <c r="H495">
        <v>347.5</v>
      </c>
      <c r="I495" t="str">
        <f>"17-18269"</f>
        <v>17-18269</v>
      </c>
    </row>
    <row r="496" spans="1:9" x14ac:dyDescent="0.25">
      <c r="A496" t="str">
        <f>""</f>
        <v/>
      </c>
      <c r="F496" t="str">
        <f>"201804120268"</f>
        <v>201804120268</v>
      </c>
      <c r="G496" t="str">
        <f>"18-18885"</f>
        <v>18-18885</v>
      </c>
      <c r="H496">
        <v>150</v>
      </c>
      <c r="I496" t="str">
        <f>"18-18885"</f>
        <v>18-18885</v>
      </c>
    </row>
    <row r="497" spans="1:9" x14ac:dyDescent="0.25">
      <c r="A497" t="str">
        <f>""</f>
        <v/>
      </c>
      <c r="F497" t="str">
        <f>"201804120269"</f>
        <v>201804120269</v>
      </c>
      <c r="G497" t="str">
        <f>"18-18960"</f>
        <v>18-18960</v>
      </c>
      <c r="H497">
        <v>130</v>
      </c>
      <c r="I497" t="str">
        <f>"18-18960"</f>
        <v>18-18960</v>
      </c>
    </row>
    <row r="498" spans="1:9" x14ac:dyDescent="0.25">
      <c r="A498" t="str">
        <f>""</f>
        <v/>
      </c>
      <c r="F498" t="str">
        <f>"201804120301"</f>
        <v>201804120301</v>
      </c>
      <c r="G498" t="str">
        <f>"17-18119"</f>
        <v>17-18119</v>
      </c>
      <c r="H498">
        <v>712.5</v>
      </c>
      <c r="I498" t="str">
        <f>"17-18119"</f>
        <v>17-18119</v>
      </c>
    </row>
    <row r="499" spans="1:9" x14ac:dyDescent="0.25">
      <c r="A499" t="str">
        <f>"T11831"</f>
        <v>T11831</v>
      </c>
      <c r="B499" t="s">
        <v>112</v>
      </c>
      <c r="C499">
        <v>76034</v>
      </c>
      <c r="D499" s="2">
        <v>430.8</v>
      </c>
      <c r="E499" s="1">
        <v>43199</v>
      </c>
      <c r="F499" t="str">
        <f>"0160227-IN"</f>
        <v>0160227-IN</v>
      </c>
      <c r="G499" t="str">
        <f>"INV 0160227-IN"</f>
        <v>INV 0160227-IN</v>
      </c>
      <c r="H499">
        <v>430.8</v>
      </c>
      <c r="I499" t="str">
        <f>"INV 0160227-IN"</f>
        <v>INV 0160227-IN</v>
      </c>
    </row>
    <row r="500" spans="1:9" x14ac:dyDescent="0.25">
      <c r="A500" t="str">
        <f>"005503"</f>
        <v>005503</v>
      </c>
      <c r="B500" t="s">
        <v>113</v>
      </c>
      <c r="C500">
        <v>76244</v>
      </c>
      <c r="D500" s="2">
        <v>140</v>
      </c>
      <c r="E500" s="1">
        <v>43213</v>
      </c>
      <c r="F500" t="str">
        <f>"201804110243"</f>
        <v>201804110243</v>
      </c>
      <c r="G500" t="str">
        <f>"PER DIEM"</f>
        <v>PER DIEM</v>
      </c>
      <c r="H500">
        <v>140</v>
      </c>
      <c r="I500" t="str">
        <f>"PER DIEM"</f>
        <v>PER DIEM</v>
      </c>
    </row>
    <row r="501" spans="1:9" x14ac:dyDescent="0.25">
      <c r="A501" t="str">
        <f>"T6802"</f>
        <v>T6802</v>
      </c>
      <c r="B501" t="s">
        <v>114</v>
      </c>
      <c r="C501">
        <v>76245</v>
      </c>
      <c r="D501" s="2">
        <v>385.49</v>
      </c>
      <c r="E501" s="1">
        <v>43213</v>
      </c>
      <c r="F501" t="str">
        <f>"425440"</f>
        <v>425440</v>
      </c>
      <c r="G501" t="str">
        <f>"INV 425440"</f>
        <v>INV 425440</v>
      </c>
      <c r="H501">
        <v>385.49</v>
      </c>
      <c r="I501" t="str">
        <f>"INV 425440"</f>
        <v>INV 425440</v>
      </c>
    </row>
    <row r="502" spans="1:9" x14ac:dyDescent="0.25">
      <c r="A502" t="str">
        <f>""</f>
        <v/>
      </c>
      <c r="F502" t="str">
        <f>""</f>
        <v/>
      </c>
      <c r="G502" t="str">
        <f>""</f>
        <v/>
      </c>
      <c r="I502" t="str">
        <f>"SHIPPING"</f>
        <v>SHIPPING</v>
      </c>
    </row>
    <row r="503" spans="1:9" x14ac:dyDescent="0.25">
      <c r="A503" t="str">
        <f>"T3181"</f>
        <v>T3181</v>
      </c>
      <c r="B503" t="s">
        <v>115</v>
      </c>
      <c r="C503">
        <v>76246</v>
      </c>
      <c r="D503" s="2">
        <v>12500</v>
      </c>
      <c r="E503" s="1">
        <v>43213</v>
      </c>
      <c r="F503" t="str">
        <f>"201804100226"</f>
        <v>201804100226</v>
      </c>
      <c r="G503" t="str">
        <f>"FISCAL YEAR AWARD"</f>
        <v>FISCAL YEAR AWARD</v>
      </c>
      <c r="H503">
        <v>12500</v>
      </c>
      <c r="I503" t="str">
        <f>"FISCAL YEAR AWARD"</f>
        <v>FISCAL YEAR AWARD</v>
      </c>
    </row>
    <row r="504" spans="1:9" x14ac:dyDescent="0.25">
      <c r="A504" t="str">
        <f>"T9145"</f>
        <v>T9145</v>
      </c>
      <c r="B504" t="s">
        <v>116</v>
      </c>
      <c r="C504">
        <v>999999</v>
      </c>
      <c r="D504" s="2">
        <v>1425</v>
      </c>
      <c r="E504" s="1">
        <v>43200</v>
      </c>
      <c r="F504" t="str">
        <f>"201803279767"</f>
        <v>201803279767</v>
      </c>
      <c r="G504" t="str">
        <f>"20170309B/20170309C/DCPC-17-11"</f>
        <v>20170309B/20170309C/DCPC-17-11</v>
      </c>
      <c r="H504">
        <v>800</v>
      </c>
      <c r="I504" t="str">
        <f>"20170309B/20170309C/DCPC-17-11"</f>
        <v>20170309B/20170309C/DCPC-17-11</v>
      </c>
    </row>
    <row r="505" spans="1:9" x14ac:dyDescent="0.25">
      <c r="A505" t="str">
        <f>""</f>
        <v/>
      </c>
      <c r="F505" t="str">
        <f>"201804039873"</f>
        <v>201804039873</v>
      </c>
      <c r="G505" t="str">
        <f>"20170309C/DCPC-17-108/109/110"</f>
        <v>20170309C/DCPC-17-108/109/110</v>
      </c>
      <c r="H505">
        <v>625</v>
      </c>
      <c r="I505" t="str">
        <f>"20170309C/DCPC-17-108/109/110"</f>
        <v>20170309C/DCPC-17-108/109/110</v>
      </c>
    </row>
    <row r="506" spans="1:9" x14ac:dyDescent="0.25">
      <c r="A506" t="str">
        <f>"T9145"</f>
        <v>T9145</v>
      </c>
      <c r="B506" t="s">
        <v>116</v>
      </c>
      <c r="C506">
        <v>999999</v>
      </c>
      <c r="D506" s="2">
        <v>4525</v>
      </c>
      <c r="E506" s="1">
        <v>43214</v>
      </c>
      <c r="F506" t="str">
        <f>"201804100193"</f>
        <v>201804100193</v>
      </c>
      <c r="G506" t="str">
        <f>"16 065"</f>
        <v>16 065</v>
      </c>
      <c r="H506">
        <v>400</v>
      </c>
      <c r="I506" t="str">
        <f>"16 065"</f>
        <v>16 065</v>
      </c>
    </row>
    <row r="507" spans="1:9" x14ac:dyDescent="0.25">
      <c r="A507" t="str">
        <f>""</f>
        <v/>
      </c>
      <c r="F507" t="str">
        <f>"201804100194"</f>
        <v>201804100194</v>
      </c>
      <c r="G507" t="str">
        <f>"16 435 CR1 16 435 CR2 CH20170"</f>
        <v>16 435 CR1 16 435 CR2 CH20170</v>
      </c>
      <c r="H507">
        <v>800</v>
      </c>
      <c r="I507" t="str">
        <f>"16 435 CR1 16 435 CR2 CH20170"</f>
        <v>16 435 CR1 16 435 CR2 CH20170</v>
      </c>
    </row>
    <row r="508" spans="1:9" x14ac:dyDescent="0.25">
      <c r="A508" t="str">
        <f>""</f>
        <v/>
      </c>
      <c r="F508" t="str">
        <f>"201804100195"</f>
        <v>201804100195</v>
      </c>
      <c r="G508" t="str">
        <f>"15 263  16 440  02/21/18"</f>
        <v>15 263  16 440  02/21/18</v>
      </c>
      <c r="H508">
        <v>600</v>
      </c>
      <c r="I508" t="str">
        <f>"15 263  16 440  02/21/18"</f>
        <v>15 263  16 440  02/21/18</v>
      </c>
    </row>
    <row r="509" spans="1:9" x14ac:dyDescent="0.25">
      <c r="A509" t="str">
        <f>""</f>
        <v/>
      </c>
      <c r="F509" t="str">
        <f>"201804100196"</f>
        <v>201804100196</v>
      </c>
      <c r="G509" t="str">
        <f>"AC 2017 0509"</f>
        <v>AC 2017 0509</v>
      </c>
      <c r="H509">
        <v>400</v>
      </c>
      <c r="I509" t="str">
        <f>"AC 2017 0509"</f>
        <v>AC 2017 0509</v>
      </c>
    </row>
    <row r="510" spans="1:9" x14ac:dyDescent="0.25">
      <c r="A510" t="str">
        <f>""</f>
        <v/>
      </c>
      <c r="F510" t="str">
        <f>"201804120265"</f>
        <v>201804120265</v>
      </c>
      <c r="G510" t="str">
        <f>"17-18646"</f>
        <v>17-18646</v>
      </c>
      <c r="H510">
        <v>100</v>
      </c>
      <c r="I510" t="str">
        <f>"17-18646"</f>
        <v>17-18646</v>
      </c>
    </row>
    <row r="511" spans="1:9" x14ac:dyDescent="0.25">
      <c r="A511" t="str">
        <f>""</f>
        <v/>
      </c>
      <c r="F511" t="str">
        <f>"201804120266"</f>
        <v>201804120266</v>
      </c>
      <c r="G511" t="str">
        <f>"17-18672"</f>
        <v>17-18672</v>
      </c>
      <c r="H511">
        <v>100</v>
      </c>
      <c r="I511" t="str">
        <f>"17-18672"</f>
        <v>17-18672</v>
      </c>
    </row>
    <row r="512" spans="1:9" x14ac:dyDescent="0.25">
      <c r="A512" t="str">
        <f>""</f>
        <v/>
      </c>
      <c r="F512" t="str">
        <f>"201804120273"</f>
        <v>201804120273</v>
      </c>
      <c r="G512" t="str">
        <f>"J-3103/J-3120"</f>
        <v>J-3103/J-3120</v>
      </c>
      <c r="H512">
        <v>375</v>
      </c>
      <c r="I512" t="str">
        <f>"J-3103/J-3120"</f>
        <v>J-3103/J-3120</v>
      </c>
    </row>
    <row r="513" spans="1:9" x14ac:dyDescent="0.25">
      <c r="A513" t="str">
        <f>""</f>
        <v/>
      </c>
      <c r="F513" t="str">
        <f>"201804120281"</f>
        <v>201804120281</v>
      </c>
      <c r="G513" t="str">
        <f>"2017 0504"</f>
        <v>2017 0504</v>
      </c>
      <c r="H513">
        <v>250</v>
      </c>
      <c r="I513" t="str">
        <f>"2017-0504"</f>
        <v>2017-0504</v>
      </c>
    </row>
    <row r="514" spans="1:9" x14ac:dyDescent="0.25">
      <c r="A514" t="str">
        <f>""</f>
        <v/>
      </c>
      <c r="F514" t="str">
        <f>"201804120282"</f>
        <v>201804120282</v>
      </c>
      <c r="G514" t="str">
        <f>"J-3090"</f>
        <v>J-3090</v>
      </c>
      <c r="H514">
        <v>100</v>
      </c>
      <c r="I514" t="str">
        <f>"J-3090"</f>
        <v>J-3090</v>
      </c>
    </row>
    <row r="515" spans="1:9" x14ac:dyDescent="0.25">
      <c r="A515" t="str">
        <f>""</f>
        <v/>
      </c>
      <c r="F515" t="str">
        <f>"201804130310"</f>
        <v>201804130310</v>
      </c>
      <c r="G515" t="str">
        <f>"CH-20171302"</f>
        <v>CH-20171302</v>
      </c>
      <c r="H515">
        <v>400</v>
      </c>
      <c r="I515" t="str">
        <f>"CH-20171302"</f>
        <v>CH-20171302</v>
      </c>
    </row>
    <row r="516" spans="1:9" x14ac:dyDescent="0.25">
      <c r="A516" t="str">
        <f>""</f>
        <v/>
      </c>
      <c r="F516" t="str">
        <f>"201804130331"</f>
        <v>201804130331</v>
      </c>
      <c r="G516" t="str">
        <f>"I-3129"</f>
        <v>I-3129</v>
      </c>
      <c r="H516">
        <v>375</v>
      </c>
      <c r="I516" t="str">
        <f>"I-3129"</f>
        <v>I-3129</v>
      </c>
    </row>
    <row r="517" spans="1:9" x14ac:dyDescent="0.25">
      <c r="A517" t="str">
        <f>""</f>
        <v/>
      </c>
      <c r="F517" t="str">
        <f>"201804130332"</f>
        <v>201804130332</v>
      </c>
      <c r="G517" t="str">
        <f>"54 618"</f>
        <v>54 618</v>
      </c>
      <c r="H517">
        <v>250</v>
      </c>
      <c r="I517" t="str">
        <f>"54 618"</f>
        <v>54 618</v>
      </c>
    </row>
    <row r="518" spans="1:9" x14ac:dyDescent="0.25">
      <c r="A518" t="str">
        <f>""</f>
        <v/>
      </c>
      <c r="F518" t="str">
        <f>"201804130333"</f>
        <v>201804130333</v>
      </c>
      <c r="G518" t="str">
        <f>"55687 C17-0071"</f>
        <v>55687 C17-0071</v>
      </c>
      <c r="H518">
        <v>375</v>
      </c>
      <c r="I518" t="str">
        <f>"55687 C17-0071"</f>
        <v>55687 C17-0071</v>
      </c>
    </row>
    <row r="519" spans="1:9" x14ac:dyDescent="0.25">
      <c r="A519" t="str">
        <f>"002665"</f>
        <v>002665</v>
      </c>
      <c r="B519" t="s">
        <v>117</v>
      </c>
      <c r="C519">
        <v>76035</v>
      </c>
      <c r="D519" s="2">
        <v>318.94</v>
      </c>
      <c r="E519" s="1">
        <v>43199</v>
      </c>
      <c r="F519" t="str">
        <f>"201803299806"</f>
        <v>201803299806</v>
      </c>
      <c r="G519" t="str">
        <f>"423-5291"</f>
        <v>423-5291</v>
      </c>
      <c r="H519">
        <v>318.94</v>
      </c>
      <c r="I519" t="str">
        <f>"423-5291"</f>
        <v>423-5291</v>
      </c>
    </row>
    <row r="520" spans="1:9" x14ac:dyDescent="0.25">
      <c r="A520" t="str">
        <f>"001611"</f>
        <v>001611</v>
      </c>
      <c r="B520" t="s">
        <v>118</v>
      </c>
      <c r="C520">
        <v>76247</v>
      </c>
      <c r="D520" s="2">
        <v>75</v>
      </c>
      <c r="E520" s="1">
        <v>43213</v>
      </c>
      <c r="F520" t="str">
        <f>"201804160364"</f>
        <v>201804160364</v>
      </c>
      <c r="G520" t="str">
        <f>"REFUND OF 3 DRIVEWAY PERMITS"</f>
        <v>REFUND OF 3 DRIVEWAY PERMITS</v>
      </c>
      <c r="H520">
        <v>75</v>
      </c>
      <c r="I520" t="str">
        <f>"REFUND OF 3 DRIVEWAY PERMITS"</f>
        <v>REFUND OF 3 DRIVEWAY PERMITS</v>
      </c>
    </row>
    <row r="521" spans="1:9" x14ac:dyDescent="0.25">
      <c r="A521" t="str">
        <f>"005507"</f>
        <v>005507</v>
      </c>
      <c r="B521" t="s">
        <v>119</v>
      </c>
      <c r="C521">
        <v>76248</v>
      </c>
      <c r="D521" s="2">
        <v>50</v>
      </c>
      <c r="E521" s="1">
        <v>43213</v>
      </c>
      <c r="F521" t="str">
        <f>"201804120298"</f>
        <v>201804120298</v>
      </c>
      <c r="G521" t="str">
        <f>"16 395-OVERPAYMENT"</f>
        <v>16 395-OVERPAYMENT</v>
      </c>
      <c r="H521">
        <v>50</v>
      </c>
      <c r="I521" t="str">
        <f>"16 395-OVERPAYMENT"</f>
        <v>16 395-OVERPAYMENT</v>
      </c>
    </row>
    <row r="522" spans="1:9" x14ac:dyDescent="0.25">
      <c r="A522" t="str">
        <f>"004228"</f>
        <v>004228</v>
      </c>
      <c r="B522" t="s">
        <v>120</v>
      </c>
      <c r="C522">
        <v>999999</v>
      </c>
      <c r="D522" s="2">
        <v>443.09</v>
      </c>
      <c r="E522" s="1">
        <v>43200</v>
      </c>
      <c r="F522" t="str">
        <f>"201803289797"</f>
        <v>201803289797</v>
      </c>
      <c r="G522" t="str">
        <f>"REIMBURSE POSTAGE FEES"</f>
        <v>REIMBURSE POSTAGE FEES</v>
      </c>
      <c r="H522">
        <v>11.3</v>
      </c>
      <c r="I522" t="str">
        <f>"REIMBURSE POSTAGE FEES"</f>
        <v>REIMBURSE POSTAGE FEES</v>
      </c>
    </row>
    <row r="523" spans="1:9" x14ac:dyDescent="0.25">
      <c r="A523" t="str">
        <f>""</f>
        <v/>
      </c>
      <c r="F523" t="str">
        <f>"201803289798"</f>
        <v>201803289798</v>
      </c>
      <c r="G523" t="str">
        <f>"REIMBURSE MILEAGE"</f>
        <v>REIMBURSE MILEAGE</v>
      </c>
      <c r="H523">
        <v>251.79</v>
      </c>
      <c r="I523" t="str">
        <f>"REIMBURSE MILEAGE"</f>
        <v>REIMBURSE MILEAGE</v>
      </c>
    </row>
    <row r="524" spans="1:9" x14ac:dyDescent="0.25">
      <c r="A524" t="str">
        <f>""</f>
        <v/>
      </c>
      <c r="F524" t="str">
        <f>"201804039900"</f>
        <v>201804039900</v>
      </c>
      <c r="G524" t="str">
        <f>"PER DIEM-EARTH X TRADE SHOW"</f>
        <v>PER DIEM-EARTH X TRADE SHOW</v>
      </c>
      <c r="H524">
        <v>165</v>
      </c>
      <c r="I524" t="str">
        <f>"PER DIEM-EARTH X TRADE SHOW"</f>
        <v>PER DIEM-EARTH X TRADE SHOW</v>
      </c>
    </row>
    <row r="525" spans="1:9" x14ac:dyDescent="0.25">
      <c r="A525" t="str">
        <f>""</f>
        <v/>
      </c>
      <c r="F525" t="str">
        <f>"201804039901"</f>
        <v>201804039901</v>
      </c>
      <c r="G525" t="str">
        <f>"PER DIEM-ART CITY AUSTIN"</f>
        <v>PER DIEM-ART CITY AUSTIN</v>
      </c>
      <c r="H525">
        <v>15</v>
      </c>
      <c r="I525" t="str">
        <f>"PER DIEM-ART CITY AUSTIN"</f>
        <v>PER DIEM-ART CITY AUSTIN</v>
      </c>
    </row>
    <row r="526" spans="1:9" x14ac:dyDescent="0.25">
      <c r="A526" t="str">
        <f>"004228"</f>
        <v>004228</v>
      </c>
      <c r="B526" t="s">
        <v>120</v>
      </c>
      <c r="C526">
        <v>999999</v>
      </c>
      <c r="D526" s="2">
        <v>35</v>
      </c>
      <c r="E526" s="1">
        <v>43214</v>
      </c>
      <c r="F526" t="str">
        <f>"201804100200"</f>
        <v>201804100200</v>
      </c>
      <c r="G526" t="str">
        <f>"PER DIEM-TACVB MARKETING SYMP"</f>
        <v>PER DIEM-TACVB MARKETING SYMP</v>
      </c>
      <c r="H526">
        <v>35</v>
      </c>
      <c r="I526" t="str">
        <f>"PER DIEM-TACVB MARKETING SYMP"</f>
        <v>PER DIEM-TACVB MARKETING SYMP</v>
      </c>
    </row>
    <row r="527" spans="1:9" x14ac:dyDescent="0.25">
      <c r="A527" t="str">
        <f>"005120"</f>
        <v>005120</v>
      </c>
      <c r="B527" t="s">
        <v>121</v>
      </c>
      <c r="C527">
        <v>76036</v>
      </c>
      <c r="D527" s="2">
        <v>104.11</v>
      </c>
      <c r="E527" s="1">
        <v>43199</v>
      </c>
      <c r="F527" t="str">
        <f>"5010349765"</f>
        <v>5010349765</v>
      </c>
      <c r="G527" t="str">
        <f>"CUST#0011167190/PCT#1"</f>
        <v>CUST#0011167190/PCT#1</v>
      </c>
      <c r="H527">
        <v>104.11</v>
      </c>
      <c r="I527" t="str">
        <f>"CUST#0011167190/PCT#1"</f>
        <v>CUST#0011167190/PCT#1</v>
      </c>
    </row>
    <row r="528" spans="1:9" x14ac:dyDescent="0.25">
      <c r="A528" t="str">
        <f>"005132"</f>
        <v>005132</v>
      </c>
      <c r="B528" t="s">
        <v>122</v>
      </c>
      <c r="C528">
        <v>76037</v>
      </c>
      <c r="D528" s="2">
        <v>101.04</v>
      </c>
      <c r="E528" s="1">
        <v>43199</v>
      </c>
      <c r="F528" t="str">
        <f>"8403587038"</f>
        <v>8403587038</v>
      </c>
      <c r="G528" t="str">
        <f>"CUST#10377368/PCT#3"</f>
        <v>CUST#10377368/PCT#3</v>
      </c>
      <c r="H528">
        <v>101.04</v>
      </c>
      <c r="I528" t="str">
        <f>"CUST#10377368/PCT#3"</f>
        <v>CUST#10377368/PCT#3</v>
      </c>
    </row>
    <row r="529" spans="1:10" x14ac:dyDescent="0.25">
      <c r="A529" t="str">
        <f>"004728"</f>
        <v>004728</v>
      </c>
      <c r="B529" t="s">
        <v>123</v>
      </c>
      <c r="C529">
        <v>76249</v>
      </c>
      <c r="D529" s="2">
        <v>3569.08</v>
      </c>
      <c r="E529" s="1">
        <v>43213</v>
      </c>
      <c r="F529" t="str">
        <f>"201804100229"</f>
        <v>201804100229</v>
      </c>
      <c r="G529" t="str">
        <f>"ACCT#086-11381/GEN SVCS"</f>
        <v>ACCT#086-11381/GEN SVCS</v>
      </c>
      <c r="H529">
        <v>761.84</v>
      </c>
      <c r="I529" t="str">
        <f>"ACCT#086-11381/GEN SVCS"</f>
        <v>ACCT#086-11381/GEN SVCS</v>
      </c>
    </row>
    <row r="530" spans="1:10" x14ac:dyDescent="0.25">
      <c r="A530" t="str">
        <f>""</f>
        <v/>
      </c>
      <c r="F530" t="str">
        <f>"201804100230"</f>
        <v>201804100230</v>
      </c>
      <c r="G530" t="str">
        <f>"ACCT#086-11458/ANIMAL SHELTER"</f>
        <v>ACCT#086-11458/ANIMAL SHELTER</v>
      </c>
      <c r="H530">
        <v>196.19</v>
      </c>
      <c r="I530" t="str">
        <f>"ACCT#086-11458/ANIMAL SHELTER"</f>
        <v>ACCT#086-11458/ANIMAL SHELTER</v>
      </c>
    </row>
    <row r="531" spans="1:10" x14ac:dyDescent="0.25">
      <c r="A531" t="str">
        <f>""</f>
        <v/>
      </c>
      <c r="F531" t="str">
        <f>"201804110252"</f>
        <v>201804110252</v>
      </c>
      <c r="G531" t="str">
        <f>"ACCT#086-11386/PCT#4"</f>
        <v>ACCT#086-11386/PCT#4</v>
      </c>
      <c r="H531">
        <v>1087.82</v>
      </c>
      <c r="I531" t="str">
        <f>"ACCT#086-11386/PCT#4"</f>
        <v>ACCT#086-11386/PCT#4</v>
      </c>
    </row>
    <row r="532" spans="1:10" x14ac:dyDescent="0.25">
      <c r="A532" t="str">
        <f>""</f>
        <v/>
      </c>
      <c r="F532" t="str">
        <f>"201804120287"</f>
        <v>201804120287</v>
      </c>
      <c r="G532" t="str">
        <f>"ACCT#086-11375/PCT#2"</f>
        <v>ACCT#086-11375/PCT#2</v>
      </c>
      <c r="H532">
        <v>862.6</v>
      </c>
      <c r="I532" t="str">
        <f>"ACCT#086-11375/PCT#2"</f>
        <v>ACCT#086-11375/PCT#2</v>
      </c>
    </row>
    <row r="533" spans="1:10" x14ac:dyDescent="0.25">
      <c r="A533" t="str">
        <f>""</f>
        <v/>
      </c>
      <c r="F533" t="str">
        <f>"201804120290"</f>
        <v>201804120290</v>
      </c>
      <c r="G533" t="str">
        <f>"ACCT#086-11451/PCT#1"</f>
        <v>ACCT#086-11451/PCT#1</v>
      </c>
      <c r="H533">
        <v>619.07000000000005</v>
      </c>
      <c r="I533" t="str">
        <f>"ACCT#086-11451/PCT#1"</f>
        <v>ACCT#086-11451/PCT#1</v>
      </c>
    </row>
    <row r="534" spans="1:10" x14ac:dyDescent="0.25">
      <c r="A534" t="str">
        <f>""</f>
        <v/>
      </c>
      <c r="F534" t="str">
        <f>"201804120295"</f>
        <v>201804120295</v>
      </c>
      <c r="G534" t="str">
        <f>"ACCT#086-11451"</f>
        <v>ACCT#086-11451</v>
      </c>
      <c r="H534">
        <v>41.56</v>
      </c>
      <c r="I534" t="str">
        <f>"ACCT#086-11451"</f>
        <v>ACCT#086-11451</v>
      </c>
    </row>
    <row r="535" spans="1:10" x14ac:dyDescent="0.25">
      <c r="A535" t="str">
        <f>"BCO"</f>
        <v>BCO</v>
      </c>
      <c r="B535" t="s">
        <v>124</v>
      </c>
      <c r="C535">
        <v>75988</v>
      </c>
      <c r="D535" s="2">
        <v>39685.75</v>
      </c>
      <c r="E535" s="1">
        <v>43195</v>
      </c>
      <c r="F535" t="str">
        <f>"201804050001"</f>
        <v>201804050001</v>
      </c>
      <c r="G535" t="str">
        <f>"ACCT#02-2083-04 / 03292018"</f>
        <v>ACCT#02-2083-04 / 03292018</v>
      </c>
      <c r="H535">
        <v>455.46</v>
      </c>
      <c r="I535" t="str">
        <f>"ACCT#02-2083-04 / 03292018"</f>
        <v>ACCT#02-2083-04 / 03292018</v>
      </c>
    </row>
    <row r="536" spans="1:10" x14ac:dyDescent="0.25">
      <c r="A536" t="str">
        <f>""</f>
        <v/>
      </c>
      <c r="F536" t="str">
        <f>"201804050002"</f>
        <v>201804050002</v>
      </c>
      <c r="G536" t="str">
        <f>"COUNTY DEVELOPMENT CENTER"</f>
        <v>COUNTY DEVELOPMENT CENTER</v>
      </c>
      <c r="H536">
        <v>2064.2399999999998</v>
      </c>
      <c r="I536" t="str">
        <f>"COUNTY DEVELOPMENT CENTER"</f>
        <v>COUNTY DEVELOPMENT CENTER</v>
      </c>
    </row>
    <row r="537" spans="1:10" x14ac:dyDescent="0.25">
      <c r="A537" t="str">
        <f>""</f>
        <v/>
      </c>
      <c r="F537" t="str">
        <f>"201804050003"</f>
        <v>201804050003</v>
      </c>
      <c r="G537" t="str">
        <f>"LAW ENFORCEMENT CENTER"</f>
        <v>LAW ENFORCEMENT CENTER</v>
      </c>
      <c r="H537">
        <v>24102.68</v>
      </c>
      <c r="I537" t="str">
        <f>"LAW ENFORCEMENT CENTER"</f>
        <v>LAW ENFORCEMENT CENTER</v>
      </c>
    </row>
    <row r="538" spans="1:10" x14ac:dyDescent="0.25">
      <c r="A538" t="str">
        <f>""</f>
        <v/>
      </c>
      <c r="F538" t="str">
        <f>"201804050004"</f>
        <v>201804050004</v>
      </c>
      <c r="G538" t="str">
        <f>"BASTROP COUNTY COURTHOUSE"</f>
        <v>BASTROP COUNTY COURTHOUSE</v>
      </c>
      <c r="H538">
        <v>13063.37</v>
      </c>
      <c r="I538" t="str">
        <f>"BASTROP COUNTY COURTHOUSE"</f>
        <v>BASTROP COUNTY COURTHOUSE</v>
      </c>
    </row>
    <row r="539" spans="1:10" x14ac:dyDescent="0.25">
      <c r="A539" t="str">
        <f>"BCO"</f>
        <v>BCO</v>
      </c>
      <c r="B539" t="s">
        <v>124</v>
      </c>
      <c r="C539">
        <v>76038</v>
      </c>
      <c r="D539" s="2">
        <v>6.83</v>
      </c>
      <c r="E539" s="1">
        <v>43199</v>
      </c>
      <c r="F539" t="str">
        <f>"201804029843"</f>
        <v>201804029843</v>
      </c>
      <c r="G539" t="str">
        <f>"ARREST FEES"</f>
        <v>ARREST FEES</v>
      </c>
      <c r="H539">
        <v>6.83</v>
      </c>
      <c r="I539" t="str">
        <f>"ARREST FEES"</f>
        <v>ARREST FEES</v>
      </c>
    </row>
    <row r="540" spans="1:10" x14ac:dyDescent="0.25">
      <c r="A540" t="str">
        <f>"COB"</f>
        <v>COB</v>
      </c>
      <c r="B540" t="s">
        <v>124</v>
      </c>
      <c r="C540">
        <v>76250</v>
      </c>
      <c r="D540" s="2">
        <v>600</v>
      </c>
      <c r="E540" s="1">
        <v>43213</v>
      </c>
      <c r="F540" t="s">
        <v>59</v>
      </c>
      <c r="G540" t="s">
        <v>125</v>
      </c>
      <c r="H540" t="str">
        <f>"RESTITUTION-A.M. LAWRENCE"</f>
        <v>RESTITUTION-A.M. LAWRENCE</v>
      </c>
      <c r="I540" t="str">
        <f>"210-0000"</f>
        <v>210-0000</v>
      </c>
      <c r="J540">
        <v>100</v>
      </c>
    </row>
    <row r="541" spans="1:10" x14ac:dyDescent="0.25">
      <c r="A541" t="str">
        <f>""</f>
        <v/>
      </c>
      <c r="F541" t="str">
        <f>"201804100206"</f>
        <v>201804100206</v>
      </c>
      <c r="G541" t="str">
        <f>"RENTAL-PARKING LOT"</f>
        <v>RENTAL-PARKING LOT</v>
      </c>
      <c r="H541">
        <v>500</v>
      </c>
      <c r="I541" t="str">
        <f>"RENTAL-PARKING LOT"</f>
        <v>RENTAL-PARKING LOT</v>
      </c>
    </row>
    <row r="542" spans="1:10" x14ac:dyDescent="0.25">
      <c r="A542" t="str">
        <f>"ECO"</f>
        <v>ECO</v>
      </c>
      <c r="B542" t="s">
        <v>126</v>
      </c>
      <c r="C542">
        <v>76039</v>
      </c>
      <c r="D542" s="2">
        <v>42.37</v>
      </c>
      <c r="E542" s="1">
        <v>43199</v>
      </c>
      <c r="F542" t="str">
        <f>"201804029842"</f>
        <v>201804029842</v>
      </c>
      <c r="G542" t="str">
        <f>"ARREST FEES"</f>
        <v>ARREST FEES</v>
      </c>
      <c r="H542">
        <v>42.37</v>
      </c>
      <c r="I542" t="str">
        <f>"ARREST FEES"</f>
        <v>ARREST FEES</v>
      </c>
    </row>
    <row r="543" spans="1:10" x14ac:dyDescent="0.25">
      <c r="A543" t="str">
        <f>"SCO"</f>
        <v>SCO</v>
      </c>
      <c r="B543" t="s">
        <v>127</v>
      </c>
      <c r="C543">
        <v>75989</v>
      </c>
      <c r="D543" s="2">
        <v>1020.96</v>
      </c>
      <c r="E543" s="1">
        <v>43195</v>
      </c>
      <c r="F543" t="str">
        <f>"201804050012"</f>
        <v>201804050012</v>
      </c>
      <c r="G543" t="str">
        <f>"ACCT#007-0000388-000/03262018"</f>
        <v>ACCT#007-0000388-000/03262018</v>
      </c>
      <c r="H543">
        <v>372.79</v>
      </c>
      <c r="I543" t="str">
        <f>"ACCT#007-0000388-000/03262018"</f>
        <v>ACCT#007-0000388-000/03262018</v>
      </c>
    </row>
    <row r="544" spans="1:10" x14ac:dyDescent="0.25">
      <c r="A544" t="str">
        <f>""</f>
        <v/>
      </c>
      <c r="F544" t="str">
        <f>"201804050013"</f>
        <v>201804050013</v>
      </c>
      <c r="G544" t="str">
        <f>"ACCT#007-0000389-000/03262018"</f>
        <v>ACCT#007-0000389-000/03262018</v>
      </c>
      <c r="H544">
        <v>17.11</v>
      </c>
      <c r="I544" t="str">
        <f>"ACCT#007-0000389-000/03262018"</f>
        <v>ACCT#007-0000389-000/03262018</v>
      </c>
    </row>
    <row r="545" spans="1:10" x14ac:dyDescent="0.25">
      <c r="A545" t="str">
        <f>""</f>
        <v/>
      </c>
      <c r="F545" t="str">
        <f>"201804050014"</f>
        <v>201804050014</v>
      </c>
      <c r="G545" t="str">
        <f>"ACCT#044-001240-000/03262018"</f>
        <v>ACCT#044-001240-000/03262018</v>
      </c>
      <c r="H545">
        <v>242.67</v>
      </c>
      <c r="I545" t="str">
        <f>"ACCT#044-001240-000/03262018"</f>
        <v>ACCT#044-001240-000/03262018</v>
      </c>
    </row>
    <row r="546" spans="1:10" x14ac:dyDescent="0.25">
      <c r="A546" t="str">
        <f>""</f>
        <v/>
      </c>
      <c r="F546" t="str">
        <f>"201804050015"</f>
        <v>201804050015</v>
      </c>
      <c r="G546" t="str">
        <f>"ACCT#044-0001250-000/03262018"</f>
        <v>ACCT#044-0001250-000/03262018</v>
      </c>
      <c r="H546">
        <v>109.23</v>
      </c>
      <c r="I546" t="str">
        <f>"ACCT#044-0001250-000/03262018"</f>
        <v>ACCT#044-0001250-000/03262018</v>
      </c>
    </row>
    <row r="547" spans="1:10" x14ac:dyDescent="0.25">
      <c r="A547" t="str">
        <f>""</f>
        <v/>
      </c>
      <c r="F547" t="str">
        <f>"201804050016"</f>
        <v>201804050016</v>
      </c>
      <c r="G547" t="str">
        <f>"ACCT#044-0001252-000/03262018"</f>
        <v>ACCT#044-0001252-000/03262018</v>
      </c>
      <c r="H547">
        <v>7.82</v>
      </c>
      <c r="I547" t="str">
        <f>"ACCT#044-0001252-000/03262018"</f>
        <v>ACCT#044-0001252-000/03262018</v>
      </c>
    </row>
    <row r="548" spans="1:10" x14ac:dyDescent="0.25">
      <c r="A548" t="str">
        <f>""</f>
        <v/>
      </c>
      <c r="F548" t="str">
        <f>"201804050017"</f>
        <v>201804050017</v>
      </c>
      <c r="G548" t="str">
        <f>"ACCT#044-0001253-000/03262018"</f>
        <v>ACCT#044-0001253-000/03262018</v>
      </c>
      <c r="H548">
        <v>271.33999999999997</v>
      </c>
      <c r="I548" t="str">
        <f>"ACCT#044-0001253-000/03262018"</f>
        <v>ACCT#044-0001253-000/03262018</v>
      </c>
    </row>
    <row r="549" spans="1:10" x14ac:dyDescent="0.25">
      <c r="A549" t="str">
        <f>"SCO"</f>
        <v>SCO</v>
      </c>
      <c r="B549" t="s">
        <v>127</v>
      </c>
      <c r="C549">
        <v>76040</v>
      </c>
      <c r="D549" s="2">
        <v>19.12</v>
      </c>
      <c r="E549" s="1">
        <v>43199</v>
      </c>
      <c r="F549" t="str">
        <f>"201804029844"</f>
        <v>201804029844</v>
      </c>
      <c r="G549" t="str">
        <f>"ARREST FEES"</f>
        <v>ARREST FEES</v>
      </c>
      <c r="H549">
        <v>19.12</v>
      </c>
      <c r="I549" t="str">
        <f>"ARREST FEES"</f>
        <v>ARREST FEES</v>
      </c>
    </row>
    <row r="550" spans="1:10" x14ac:dyDescent="0.25">
      <c r="A550" t="str">
        <f>"CPA"</f>
        <v>CPA</v>
      </c>
      <c r="B550" t="s">
        <v>128</v>
      </c>
      <c r="C550">
        <v>76041</v>
      </c>
      <c r="D550" s="2">
        <v>87.14</v>
      </c>
      <c r="E550" s="1">
        <v>43199</v>
      </c>
      <c r="F550" t="str">
        <f>"201804049945"</f>
        <v>201804049945</v>
      </c>
      <c r="G550" t="str">
        <f>"INDIGENT HEALTH"</f>
        <v>INDIGENT HEALTH</v>
      </c>
      <c r="H550">
        <v>87.14</v>
      </c>
      <c r="I550" t="str">
        <f>"INDIGENT HEALTH"</f>
        <v>INDIGENT HEALTH</v>
      </c>
    </row>
    <row r="551" spans="1:10" x14ac:dyDescent="0.25">
      <c r="A551" t="str">
        <f>"CLINIC"</f>
        <v>CLINIC</v>
      </c>
      <c r="B551" t="s">
        <v>129</v>
      </c>
      <c r="C551">
        <v>999999</v>
      </c>
      <c r="D551" s="2">
        <v>229.53</v>
      </c>
      <c r="E551" s="1">
        <v>43200</v>
      </c>
      <c r="F551" t="str">
        <f>"201804049946"</f>
        <v>201804049946</v>
      </c>
      <c r="G551" t="str">
        <f>"INDIGENT HEALTH"</f>
        <v>INDIGENT HEALTH</v>
      </c>
      <c r="H551">
        <v>229.53</v>
      </c>
      <c r="I551" t="str">
        <f>"INDIGENT HEALTH"</f>
        <v>INDIGENT HEALTH</v>
      </c>
    </row>
    <row r="552" spans="1:10" x14ac:dyDescent="0.25">
      <c r="A552" t="str">
        <f>"CLINIC"</f>
        <v>CLINIC</v>
      </c>
      <c r="B552" t="s">
        <v>129</v>
      </c>
      <c r="C552">
        <v>999999</v>
      </c>
      <c r="D552" s="2">
        <v>150</v>
      </c>
      <c r="E552" s="1">
        <v>43214</v>
      </c>
      <c r="F552" t="str">
        <f>"201803-0"</f>
        <v>201803-0</v>
      </c>
      <c r="G552" t="str">
        <f>"INV 201803-0"</f>
        <v>INV 201803-0</v>
      </c>
      <c r="H552">
        <v>150</v>
      </c>
      <c r="I552" t="str">
        <f>"INV 201803-0"</f>
        <v>INV 201803-0</v>
      </c>
    </row>
    <row r="553" spans="1:10" x14ac:dyDescent="0.25">
      <c r="A553" t="str">
        <f>"000266"</f>
        <v>000266</v>
      </c>
      <c r="B553" t="s">
        <v>130</v>
      </c>
      <c r="C553">
        <v>76251</v>
      </c>
      <c r="D553" s="2">
        <v>12.5</v>
      </c>
      <c r="E553" s="1">
        <v>43213</v>
      </c>
      <c r="F553" t="s">
        <v>131</v>
      </c>
      <c r="G553" t="s">
        <v>132</v>
      </c>
      <c r="H553" t="str">
        <f>"RESTITUTION-K.PURCELL"</f>
        <v>RESTITUTION-K.PURCELL</v>
      </c>
      <c r="I553" t="str">
        <f>"210-0000"</f>
        <v>210-0000</v>
      </c>
      <c r="J553">
        <v>12.5</v>
      </c>
    </row>
    <row r="554" spans="1:10" x14ac:dyDescent="0.25">
      <c r="A554" t="str">
        <f>"T8530"</f>
        <v>T8530</v>
      </c>
      <c r="B554" t="s">
        <v>133</v>
      </c>
      <c r="C554">
        <v>76252</v>
      </c>
      <c r="D554" s="2">
        <v>586.41</v>
      </c>
      <c r="E554" s="1">
        <v>43213</v>
      </c>
      <c r="F554" t="str">
        <f>"0234-713922/715609"</f>
        <v>0234-713922/715609</v>
      </c>
      <c r="G554" t="str">
        <f>"INV 0234-713922"</f>
        <v>INV 0234-713922</v>
      </c>
      <c r="H554">
        <v>586.41</v>
      </c>
      <c r="I554" t="str">
        <f>"INV 0234-713922"</f>
        <v>INV 0234-713922</v>
      </c>
    </row>
    <row r="555" spans="1:10" x14ac:dyDescent="0.25">
      <c r="A555" t="str">
        <f>""</f>
        <v/>
      </c>
      <c r="F555" t="str">
        <f>""</f>
        <v/>
      </c>
      <c r="G555" t="str">
        <f>""</f>
        <v/>
      </c>
      <c r="I555" t="str">
        <f>"INV 0234-715609"</f>
        <v>INV 0234-715609</v>
      </c>
    </row>
    <row r="556" spans="1:10" x14ac:dyDescent="0.25">
      <c r="A556" t="str">
        <f>"CONTEC"</f>
        <v>CONTEC</v>
      </c>
      <c r="B556" t="s">
        <v>134</v>
      </c>
      <c r="C556">
        <v>76253</v>
      </c>
      <c r="D556" s="2">
        <v>1336.5</v>
      </c>
      <c r="E556" s="1">
        <v>43213</v>
      </c>
      <c r="F556" t="str">
        <f>"16495443"</f>
        <v>16495443</v>
      </c>
      <c r="G556" t="str">
        <f>"ACCT#434304/PCT#4"</f>
        <v>ACCT#434304/PCT#4</v>
      </c>
      <c r="H556">
        <v>1336.5</v>
      </c>
      <c r="I556" t="str">
        <f>"ACCT#434304/PCT#4"</f>
        <v>ACCT#434304/PCT#4</v>
      </c>
    </row>
    <row r="557" spans="1:10" x14ac:dyDescent="0.25">
      <c r="A557" t="str">
        <f>"003723"</f>
        <v>003723</v>
      </c>
      <c r="B557" t="s">
        <v>135</v>
      </c>
      <c r="C557">
        <v>76254</v>
      </c>
      <c r="D557" s="2">
        <v>2135</v>
      </c>
      <c r="E557" s="1">
        <v>43213</v>
      </c>
      <c r="F557" t="str">
        <f>"19639"</f>
        <v>19639</v>
      </c>
      <c r="G557" t="str">
        <f>"MATERIALS/LABOR/ANNEX"</f>
        <v>MATERIALS/LABOR/ANNEX</v>
      </c>
      <c r="H557">
        <v>1685</v>
      </c>
      <c r="I557" t="str">
        <f>"MATERIALS/LABOR"</f>
        <v>MATERIALS/LABOR</v>
      </c>
    </row>
    <row r="558" spans="1:10" x14ac:dyDescent="0.25">
      <c r="A558" t="str">
        <f>""</f>
        <v/>
      </c>
      <c r="F558" t="str">
        <f>"19694"</f>
        <v>19694</v>
      </c>
      <c r="G558" t="str">
        <f>"MATERIALS/LABOR/ANIMAL CONTROL"</f>
        <v>MATERIALS/LABOR/ANIMAL CONTROL</v>
      </c>
      <c r="H558">
        <v>450</v>
      </c>
      <c r="I558" t="str">
        <f>"MATERIALS/LABOR/ANIMAL CONTROL"</f>
        <v>MATERIALS/LABOR/ANIMAL CONTROL</v>
      </c>
    </row>
    <row r="559" spans="1:10" x14ac:dyDescent="0.25">
      <c r="A559" t="str">
        <f>"CEC"</f>
        <v>CEC</v>
      </c>
      <c r="B559" t="s">
        <v>136</v>
      </c>
      <c r="C559">
        <v>999999</v>
      </c>
      <c r="D559" s="2">
        <v>11092.3</v>
      </c>
      <c r="E559" s="1">
        <v>43200</v>
      </c>
      <c r="F559" t="str">
        <f>"IN46270"</f>
        <v>IN46270</v>
      </c>
      <c r="G559" t="str">
        <f>"ACCT#353/WAFER CONV/FREIGHT/P3"</f>
        <v>ACCT#353/WAFER CONV/FREIGHT/P3</v>
      </c>
      <c r="H559">
        <v>728.48</v>
      </c>
      <c r="I559" t="str">
        <f>"ACCT#353/WAFER CONV/FREIGHT/P3"</f>
        <v>ACCT#353/WAFER CONV/FREIGHT/P3</v>
      </c>
    </row>
    <row r="560" spans="1:10" x14ac:dyDescent="0.25">
      <c r="A560" t="str">
        <f>""</f>
        <v/>
      </c>
      <c r="F560" t="str">
        <f>"WS18078"</f>
        <v>WS18078</v>
      </c>
      <c r="G560" t="str">
        <f>"*S5307 LIST/PCT#2"</f>
        <v>*S5307 LIST/PCT#2</v>
      </c>
      <c r="H560">
        <v>9519.57</v>
      </c>
      <c r="I560" t="str">
        <f>"*S5307 LIST/PCT#2"</f>
        <v>*S5307 LIST/PCT#2</v>
      </c>
    </row>
    <row r="561" spans="1:9" x14ac:dyDescent="0.25">
      <c r="A561" t="str">
        <f>""</f>
        <v/>
      </c>
      <c r="F561" t="str">
        <f>"WS18272"</f>
        <v>WS18272</v>
      </c>
      <c r="G561" t="str">
        <f>"ACCT#353/LABOR CUST/PCT#1"</f>
        <v>ACCT#353/LABOR CUST/PCT#1</v>
      </c>
      <c r="H561">
        <v>844.25</v>
      </c>
      <c r="I561" t="str">
        <f>"ACCT#353/LABOR CUST/PCT#1"</f>
        <v>ACCT#353/LABOR CUST/PCT#1</v>
      </c>
    </row>
    <row r="562" spans="1:9" x14ac:dyDescent="0.25">
      <c r="A562" t="str">
        <f>"CEC"</f>
        <v>CEC</v>
      </c>
      <c r="B562" t="s">
        <v>136</v>
      </c>
      <c r="C562">
        <v>999999</v>
      </c>
      <c r="D562" s="2">
        <v>1380.99</v>
      </c>
      <c r="E562" s="1">
        <v>43214</v>
      </c>
      <c r="F562" t="str">
        <f>"IN46391"</f>
        <v>IN46391</v>
      </c>
      <c r="G562" t="str">
        <f>"ACCT#353/PCT#4"</f>
        <v>ACCT#353/PCT#4</v>
      </c>
      <c r="H562">
        <v>408.89</v>
      </c>
      <c r="I562" t="str">
        <f>"ACCT#353/PCT#4"</f>
        <v>ACCT#353/PCT#4</v>
      </c>
    </row>
    <row r="563" spans="1:9" x14ac:dyDescent="0.25">
      <c r="A563" t="str">
        <f>""</f>
        <v/>
      </c>
      <c r="F563" t="str">
        <f>"IN46434"</f>
        <v>IN46434</v>
      </c>
      <c r="G563" t="str">
        <f>"COMPRESSOR/PCT#1"</f>
        <v>COMPRESSOR/PCT#1</v>
      </c>
      <c r="H563">
        <v>700.3</v>
      </c>
      <c r="I563" t="str">
        <f>"COMPRESSOR/PCT#1"</f>
        <v>COMPRESSOR/PCT#1</v>
      </c>
    </row>
    <row r="564" spans="1:9" x14ac:dyDescent="0.25">
      <c r="A564" t="str">
        <f>""</f>
        <v/>
      </c>
      <c r="F564" t="str">
        <f>"IN46477"</f>
        <v>IN46477</v>
      </c>
      <c r="G564" t="str">
        <f>"FAN ASM/FREIGHT/PCT#1"</f>
        <v>FAN ASM/FREIGHT/PCT#1</v>
      </c>
      <c r="H564">
        <v>271.8</v>
      </c>
      <c r="I564" t="str">
        <f>"FAN ASM/FREIGHT/PCT#1"</f>
        <v>FAN ASM/FREIGHT/PCT#1</v>
      </c>
    </row>
    <row r="565" spans="1:9" x14ac:dyDescent="0.25">
      <c r="A565" t="str">
        <f>"004106"</f>
        <v>004106</v>
      </c>
      <c r="B565" t="s">
        <v>137</v>
      </c>
      <c r="C565">
        <v>76042</v>
      </c>
      <c r="D565" s="2">
        <v>1250</v>
      </c>
      <c r="E565" s="1">
        <v>43199</v>
      </c>
      <c r="F565" t="str">
        <f>"201804039845"</f>
        <v>201804039845</v>
      </c>
      <c r="G565" t="str">
        <f>"PSYCHOLOGICAL EVAL-C. STONE"</f>
        <v>PSYCHOLOGICAL EVAL-C. STONE</v>
      </c>
      <c r="H565">
        <v>250</v>
      </c>
      <c r="I565" t="str">
        <f>"PSYCHOLOGICAL EVAL-C. STONE"</f>
        <v>PSYCHOLOGICAL EVAL-C. STONE</v>
      </c>
    </row>
    <row r="566" spans="1:9" x14ac:dyDescent="0.25">
      <c r="A566" t="str">
        <f>""</f>
        <v/>
      </c>
      <c r="F566" t="str">
        <f>"MARCH INVOICE"</f>
        <v>MARCH INVOICE</v>
      </c>
      <c r="G566" t="str">
        <f>"MARCH INVOICE"</f>
        <v>MARCH INVOICE</v>
      </c>
      <c r="H566">
        <v>1000</v>
      </c>
      <c r="I566" t="str">
        <f>"MARCH INVOICE"</f>
        <v>MARCH INVOICE</v>
      </c>
    </row>
    <row r="567" spans="1:9" x14ac:dyDescent="0.25">
      <c r="A567" t="str">
        <f>"005436"</f>
        <v>005436</v>
      </c>
      <c r="B567" t="s">
        <v>138</v>
      </c>
      <c r="C567">
        <v>76043</v>
      </c>
      <c r="D567" s="2">
        <v>282.93</v>
      </c>
      <c r="E567" s="1">
        <v>43199</v>
      </c>
      <c r="F567" t="str">
        <f>"22236"</f>
        <v>22236</v>
      </c>
      <c r="G567" t="str">
        <f>"INV 22236"</f>
        <v>INV 22236</v>
      </c>
      <c r="H567">
        <v>282.93</v>
      </c>
      <c r="I567" t="str">
        <f>"INV 22236"</f>
        <v>INV 22236</v>
      </c>
    </row>
    <row r="568" spans="1:9" x14ac:dyDescent="0.25">
      <c r="A568" t="str">
        <f>"T7302"</f>
        <v>T7302</v>
      </c>
      <c r="B568" t="s">
        <v>139</v>
      </c>
      <c r="C568">
        <v>76255</v>
      </c>
      <c r="D568" s="2">
        <v>307.2</v>
      </c>
      <c r="E568" s="1">
        <v>43213</v>
      </c>
      <c r="F568" t="str">
        <f>"63540"</f>
        <v>63540</v>
      </c>
      <c r="G568" t="str">
        <f>"ACCT#1839/VET SVCS"</f>
        <v>ACCT#1839/VET SVCS</v>
      </c>
      <c r="H568">
        <v>307.2</v>
      </c>
      <c r="I568" t="str">
        <f>"ACCT#1839/VET SVCS"</f>
        <v>ACCT#1839/VET SVCS</v>
      </c>
    </row>
    <row r="569" spans="1:9" x14ac:dyDescent="0.25">
      <c r="A569" t="str">
        <f>"T11708"</f>
        <v>T11708</v>
      </c>
      <c r="B569" t="s">
        <v>140</v>
      </c>
      <c r="C569">
        <v>76044</v>
      </c>
      <c r="D569" s="2">
        <v>150</v>
      </c>
      <c r="E569" s="1">
        <v>43199</v>
      </c>
      <c r="F569" t="str">
        <f>"201803299824"</f>
        <v>201803299824</v>
      </c>
      <c r="G569" t="str">
        <f>"CLEANING SVCS/MAR 9 &amp; 23/PCT#2"</f>
        <v>CLEANING SVCS/MAR 9 &amp; 23/PCT#2</v>
      </c>
      <c r="H569">
        <v>150</v>
      </c>
      <c r="I569" t="str">
        <f>"CLEANING SVCS/MAR 9 &amp; 23/PCT#2"</f>
        <v>CLEANING SVCS/MAR 9 &amp; 23/PCT#2</v>
      </c>
    </row>
    <row r="570" spans="1:9" x14ac:dyDescent="0.25">
      <c r="A570" t="str">
        <f>"003136"</f>
        <v>003136</v>
      </c>
      <c r="B570" t="s">
        <v>141</v>
      </c>
      <c r="C570">
        <v>76256</v>
      </c>
      <c r="D570" s="2">
        <v>115.16</v>
      </c>
      <c r="E570" s="1">
        <v>43213</v>
      </c>
      <c r="F570" t="str">
        <f>"USL249/TUA435/091"</f>
        <v>USL249/TUA435/091</v>
      </c>
      <c r="G570" t="str">
        <f>" USL249  TUA435  TUA091"</f>
        <v xml:space="preserve"> USL249  TUA435  TUA091</v>
      </c>
      <c r="H570">
        <v>105</v>
      </c>
      <c r="I570" t="str">
        <f>"TUA091"</f>
        <v>TUA091</v>
      </c>
    </row>
    <row r="571" spans="1:9" x14ac:dyDescent="0.25">
      <c r="A571" t="str">
        <f>""</f>
        <v/>
      </c>
      <c r="F571" t="str">
        <f>""</f>
        <v/>
      </c>
      <c r="G571" t="str">
        <f>""</f>
        <v/>
      </c>
      <c r="I571" t="str">
        <f>" USL249"</f>
        <v xml:space="preserve"> USL249</v>
      </c>
    </row>
    <row r="572" spans="1:9" x14ac:dyDescent="0.25">
      <c r="A572" t="str">
        <f>""</f>
        <v/>
      </c>
      <c r="F572" t="str">
        <f>""</f>
        <v/>
      </c>
      <c r="G572" t="str">
        <f>""</f>
        <v/>
      </c>
      <c r="I572" t="str">
        <f>"TUA435"</f>
        <v>TUA435</v>
      </c>
    </row>
    <row r="573" spans="1:9" x14ac:dyDescent="0.25">
      <c r="A573" t="str">
        <f>""</f>
        <v/>
      </c>
      <c r="F573" t="str">
        <f>"WNU666"</f>
        <v>WNU666</v>
      </c>
      <c r="G573" t="str">
        <f>"TOLL FEES/LIC#1262204/PCT#4"</f>
        <v>TOLL FEES/LIC#1262204/PCT#4</v>
      </c>
      <c r="H573">
        <v>10.16</v>
      </c>
      <c r="I573" t="str">
        <f>"TOLL FEES/LIC#1262204/PCT#4"</f>
        <v>TOLL FEES/LIC#1262204/PCT#4</v>
      </c>
    </row>
    <row r="574" spans="1:9" x14ac:dyDescent="0.25">
      <c r="A574" t="str">
        <f>"T13812"</f>
        <v>T13812</v>
      </c>
      <c r="B574" t="s">
        <v>142</v>
      </c>
      <c r="C574">
        <v>76449</v>
      </c>
      <c r="D574" s="2">
        <v>32187.5</v>
      </c>
      <c r="E574" s="1">
        <v>43220</v>
      </c>
      <c r="F574" t="str">
        <f>"1163"</f>
        <v>1163</v>
      </c>
      <c r="G574" t="str">
        <f>"SITE WORK / P1"</f>
        <v>SITE WORK / P1</v>
      </c>
      <c r="H574">
        <v>32187.5</v>
      </c>
    </row>
    <row r="575" spans="1:9" x14ac:dyDescent="0.25">
      <c r="A575" t="str">
        <f>"T13812"</f>
        <v>T13812</v>
      </c>
      <c r="B575" t="s">
        <v>142</v>
      </c>
      <c r="C575">
        <v>76449</v>
      </c>
      <c r="D575" s="2">
        <v>32187.5</v>
      </c>
      <c r="E575" s="1">
        <v>43220</v>
      </c>
      <c r="F575" t="str">
        <f>"CHECK"</f>
        <v>CHECK</v>
      </c>
      <c r="G575" t="str">
        <f>""</f>
        <v/>
      </c>
      <c r="H575">
        <v>32187.5</v>
      </c>
    </row>
    <row r="576" spans="1:9" x14ac:dyDescent="0.25">
      <c r="A576" t="str">
        <f>"T13909"</f>
        <v>T13909</v>
      </c>
      <c r="B576" t="s">
        <v>143</v>
      </c>
      <c r="C576">
        <v>76045</v>
      </c>
      <c r="D576" s="2">
        <v>29150</v>
      </c>
      <c r="E576" s="1">
        <v>43199</v>
      </c>
      <c r="F576" t="str">
        <f>"1156/1161"</f>
        <v>1156/1161</v>
      </c>
      <c r="G576" t="str">
        <f>"Inv# 1156 &amp; 1161"</f>
        <v>Inv# 1156 &amp; 1161</v>
      </c>
      <c r="H576">
        <v>9800</v>
      </c>
      <c r="I576" t="str">
        <f>"Inv# 1156"</f>
        <v>Inv# 1156</v>
      </c>
    </row>
    <row r="577" spans="1:9" x14ac:dyDescent="0.25">
      <c r="A577" t="str">
        <f>""</f>
        <v/>
      </c>
      <c r="F577" t="str">
        <f>""</f>
        <v/>
      </c>
      <c r="G577" t="str">
        <f>""</f>
        <v/>
      </c>
      <c r="I577" t="str">
        <f>"Inv# 1161"</f>
        <v>Inv# 1161</v>
      </c>
    </row>
    <row r="578" spans="1:9" x14ac:dyDescent="0.25">
      <c r="A578" t="str">
        <f>""</f>
        <v/>
      </c>
      <c r="F578" t="str">
        <f>"1157/1159"</f>
        <v>1157/1159</v>
      </c>
      <c r="G578" t="str">
        <f>"Inv# 1157 &amp; 1159"</f>
        <v>Inv# 1157 &amp; 1159</v>
      </c>
      <c r="H578">
        <v>9700</v>
      </c>
      <c r="I578" t="str">
        <f>"Inv# 1157"</f>
        <v>Inv# 1157</v>
      </c>
    </row>
    <row r="579" spans="1:9" x14ac:dyDescent="0.25">
      <c r="A579" t="str">
        <f>""</f>
        <v/>
      </c>
      <c r="F579" t="str">
        <f>""</f>
        <v/>
      </c>
      <c r="G579" t="str">
        <f>""</f>
        <v/>
      </c>
      <c r="I579" t="str">
        <f>"Inv# 1159"</f>
        <v>Inv# 1159</v>
      </c>
    </row>
    <row r="580" spans="1:9" x14ac:dyDescent="0.25">
      <c r="A580" t="str">
        <f>""</f>
        <v/>
      </c>
      <c r="F580" t="str">
        <f>"1158/1160"</f>
        <v>1158/1160</v>
      </c>
      <c r="G580" t="str">
        <f>"Inv# 1158 &amp; 1160"</f>
        <v>Inv# 1158 &amp; 1160</v>
      </c>
      <c r="H580">
        <v>9650</v>
      </c>
      <c r="I580" t="str">
        <f>"Inv# 1158"</f>
        <v>Inv# 1158</v>
      </c>
    </row>
    <row r="581" spans="1:9" x14ac:dyDescent="0.25">
      <c r="A581" t="str">
        <f>""</f>
        <v/>
      </c>
      <c r="F581" t="str">
        <f>""</f>
        <v/>
      </c>
      <c r="G581" t="str">
        <f>""</f>
        <v/>
      </c>
      <c r="I581" t="str">
        <f>"Inv# 1160"</f>
        <v>Inv# 1160</v>
      </c>
    </row>
    <row r="582" spans="1:9" x14ac:dyDescent="0.25">
      <c r="A582" t="str">
        <f>"T13909"</f>
        <v>T13909</v>
      </c>
      <c r="B582" t="s">
        <v>143</v>
      </c>
      <c r="C582">
        <v>76450</v>
      </c>
      <c r="D582" s="2">
        <v>32187.5</v>
      </c>
      <c r="E582" s="1">
        <v>43220</v>
      </c>
      <c r="F582" t="str">
        <f>"1163"</f>
        <v>1163</v>
      </c>
      <c r="G582" t="str">
        <f>"SITE WORK / P1"</f>
        <v>SITE WORK / P1</v>
      </c>
      <c r="H582">
        <v>32187.5</v>
      </c>
      <c r="I582" t="str">
        <f>"SITE WORK / P1"</f>
        <v>SITE WORK / P1</v>
      </c>
    </row>
    <row r="583" spans="1:9" x14ac:dyDescent="0.25">
      <c r="A583" t="str">
        <f>"T9280"</f>
        <v>T9280</v>
      </c>
      <c r="B583" t="s">
        <v>144</v>
      </c>
      <c r="C583">
        <v>76046</v>
      </c>
      <c r="D583" s="2">
        <v>1967.51</v>
      </c>
      <c r="E583" s="1">
        <v>43199</v>
      </c>
      <c r="F583" t="str">
        <f>"YELLOW DELINEATORS"</f>
        <v>YELLOW DELINEATORS</v>
      </c>
      <c r="G583" t="str">
        <f>"Yellow Delineators"</f>
        <v>Yellow Delineators</v>
      </c>
      <c r="H583">
        <v>1967.51</v>
      </c>
      <c r="I583" t="str">
        <f>"Yellow Delineators"</f>
        <v>Yellow Delineators</v>
      </c>
    </row>
    <row r="584" spans="1:9" x14ac:dyDescent="0.25">
      <c r="A584" t="str">
        <f>""</f>
        <v/>
      </c>
      <c r="F584" t="str">
        <f>""</f>
        <v/>
      </c>
      <c r="G584" t="str">
        <f>""</f>
        <v/>
      </c>
      <c r="I584" t="str">
        <f>"Freight"</f>
        <v>Freight</v>
      </c>
    </row>
    <row r="585" spans="1:9" x14ac:dyDescent="0.25">
      <c r="A585" t="str">
        <f>"T9280"</f>
        <v>T9280</v>
      </c>
      <c r="B585" t="s">
        <v>144</v>
      </c>
      <c r="C585">
        <v>76257</v>
      </c>
      <c r="D585" s="2">
        <v>2301.0300000000002</v>
      </c>
      <c r="E585" s="1">
        <v>43213</v>
      </c>
      <c r="F585" t="str">
        <f>"302581"</f>
        <v>302581</v>
      </c>
      <c r="G585" t="str">
        <f>"CUSTOM PRODUCTS CORPORATION"</f>
        <v>CUSTOM PRODUCTS CORPORATION</v>
      </c>
      <c r="H585">
        <v>2301.0300000000002</v>
      </c>
      <c r="I585" t="str">
        <f>"RSH7725123650"</f>
        <v>RSH7725123650</v>
      </c>
    </row>
    <row r="586" spans="1:9" x14ac:dyDescent="0.25">
      <c r="A586" t="str">
        <f>""</f>
        <v/>
      </c>
      <c r="F586" t="str">
        <f>""</f>
        <v/>
      </c>
      <c r="G586" t="str">
        <f>""</f>
        <v/>
      </c>
      <c r="I586" t="str">
        <f>"BA080HWH0918SNSRD"</f>
        <v>BA080HWH0918SNSRD</v>
      </c>
    </row>
    <row r="587" spans="1:9" x14ac:dyDescent="0.25">
      <c r="A587" t="str">
        <f>""</f>
        <v/>
      </c>
      <c r="F587" t="str">
        <f>""</f>
        <v/>
      </c>
      <c r="G587" t="str">
        <f>""</f>
        <v/>
      </c>
      <c r="I587" t="str">
        <f>"RSHZA1017S"</f>
        <v>RSHZA1017S</v>
      </c>
    </row>
    <row r="588" spans="1:9" x14ac:dyDescent="0.25">
      <c r="A588" t="str">
        <f>""</f>
        <v/>
      </c>
      <c r="F588" t="str">
        <f>""</f>
        <v/>
      </c>
      <c r="G588" t="str">
        <f>""</f>
        <v/>
      </c>
      <c r="I588" t="str">
        <f>"RSH7725122450"</f>
        <v>RSH7725122450</v>
      </c>
    </row>
    <row r="589" spans="1:9" x14ac:dyDescent="0.25">
      <c r="A589" t="str">
        <f>""</f>
        <v/>
      </c>
      <c r="F589" t="str">
        <f>""</f>
        <v/>
      </c>
      <c r="G589" t="str">
        <f>""</f>
        <v/>
      </c>
      <c r="I589" t="str">
        <f>"RPOCP102"</f>
        <v>RPOCP102</v>
      </c>
    </row>
    <row r="590" spans="1:9" x14ac:dyDescent="0.25">
      <c r="A590" t="str">
        <f>""</f>
        <v/>
      </c>
      <c r="F590" t="str">
        <f>""</f>
        <v/>
      </c>
      <c r="G590" t="str">
        <f>""</f>
        <v/>
      </c>
      <c r="I590" t="str">
        <f>"Q1KFR - FREIGHT"</f>
        <v>Q1KFR - FREIGHT</v>
      </c>
    </row>
    <row r="591" spans="1:9" x14ac:dyDescent="0.25">
      <c r="A591" t="str">
        <f>"T11060"</f>
        <v>T11060</v>
      </c>
      <c r="B591" t="s">
        <v>145</v>
      </c>
      <c r="C591">
        <v>76258</v>
      </c>
      <c r="D591" s="2">
        <v>261.5</v>
      </c>
      <c r="E591" s="1">
        <v>43213</v>
      </c>
      <c r="F591" t="str">
        <f>"071553"</f>
        <v>071553</v>
      </c>
      <c r="G591" t="str">
        <f>"CUST#BC0001/GEN SVCS"</f>
        <v>CUST#BC0001/GEN SVCS</v>
      </c>
      <c r="H591">
        <v>261.5</v>
      </c>
      <c r="I591" t="str">
        <f>"CUST#BC0001/GEN SVCS"</f>
        <v>CUST#BC0001/GEN SVCS</v>
      </c>
    </row>
    <row r="592" spans="1:9" x14ac:dyDescent="0.25">
      <c r="A592" t="str">
        <f>"T7935"</f>
        <v>T7935</v>
      </c>
      <c r="B592" t="s">
        <v>146</v>
      </c>
      <c r="C592">
        <v>76047</v>
      </c>
      <c r="D592" s="2">
        <v>140.32</v>
      </c>
      <c r="E592" s="1">
        <v>43199</v>
      </c>
      <c r="F592" t="str">
        <f>"31512381-57"</f>
        <v>31512381-57</v>
      </c>
      <c r="G592" t="str">
        <f>"COPIER LEASE 032518-042418"</f>
        <v>COPIER LEASE 032518-042418</v>
      </c>
      <c r="H592">
        <v>140.32</v>
      </c>
      <c r="I592" t="str">
        <f>"COPIER LEASE 032518-042418"</f>
        <v>COPIER LEASE 032518-042418</v>
      </c>
    </row>
    <row r="593" spans="1:9" x14ac:dyDescent="0.25">
      <c r="A593" t="str">
        <f>"002754"</f>
        <v>002754</v>
      </c>
      <c r="B593" t="s">
        <v>147</v>
      </c>
      <c r="C593">
        <v>76048</v>
      </c>
      <c r="D593" s="2">
        <v>530</v>
      </c>
      <c r="E593" s="1">
        <v>43199</v>
      </c>
      <c r="F593" t="str">
        <f>"TRAINING-CONFERENC"</f>
        <v>TRAINING-CONFERENC</v>
      </c>
      <c r="G593" t="str">
        <f>"CONFERENCE A. CRIM"</f>
        <v>CONFERENCE A. CRIM</v>
      </c>
      <c r="H593">
        <v>530</v>
      </c>
      <c r="I593" t="str">
        <f>"CONFERENCE A. CRIM"</f>
        <v>CONFERENCE A. CRIM</v>
      </c>
    </row>
    <row r="594" spans="1:9" x14ac:dyDescent="0.25">
      <c r="A594" t="str">
        <f>"002352"</f>
        <v>002352</v>
      </c>
      <c r="B594" t="s">
        <v>148</v>
      </c>
      <c r="C594">
        <v>76049</v>
      </c>
      <c r="D594" s="2">
        <v>160</v>
      </c>
      <c r="E594" s="1">
        <v>43199</v>
      </c>
      <c r="F594" t="str">
        <f>"12706"</f>
        <v>12706</v>
      </c>
      <c r="G594" t="str">
        <f>"SERVICE  01/18/18"</f>
        <v>SERVICE  01/18/18</v>
      </c>
      <c r="H594">
        <v>80</v>
      </c>
      <c r="I594" t="str">
        <f>"SERVICE  01/18/18"</f>
        <v>SERVICE  01/18/18</v>
      </c>
    </row>
    <row r="595" spans="1:9" x14ac:dyDescent="0.25">
      <c r="A595" t="str">
        <f>""</f>
        <v/>
      </c>
      <c r="F595" t="str">
        <f>"12845"</f>
        <v>12845</v>
      </c>
      <c r="G595" t="str">
        <f>"SERVICE  01/30/18"</f>
        <v>SERVICE  01/30/18</v>
      </c>
      <c r="H595">
        <v>80</v>
      </c>
      <c r="I595" t="str">
        <f>"SERVICE  01/30/18"</f>
        <v>SERVICE  01/30/18</v>
      </c>
    </row>
    <row r="596" spans="1:9" x14ac:dyDescent="0.25">
      <c r="A596" t="str">
        <f>"BROOKS"</f>
        <v>BROOKS</v>
      </c>
      <c r="B596" t="s">
        <v>149</v>
      </c>
      <c r="C596">
        <v>76050</v>
      </c>
      <c r="D596" s="2">
        <v>100</v>
      </c>
      <c r="E596" s="1">
        <v>43199</v>
      </c>
      <c r="F596" t="str">
        <f>"201804039909"</f>
        <v>201804039909</v>
      </c>
      <c r="G596" t="str">
        <f>"LEGAL CONSULT SVCS-MARCH 2018"</f>
        <v>LEGAL CONSULT SVCS-MARCH 2018</v>
      </c>
      <c r="H596">
        <v>100</v>
      </c>
      <c r="I596" t="str">
        <f>"LEGAL CONSULT SVCS-MARCH 2018"</f>
        <v>LEGAL CONSULT SVCS-MARCH 2018</v>
      </c>
    </row>
    <row r="597" spans="1:9" x14ac:dyDescent="0.25">
      <c r="A597" t="str">
        <f>"003335"</f>
        <v>003335</v>
      </c>
      <c r="B597" t="s">
        <v>150</v>
      </c>
      <c r="C597">
        <v>999999</v>
      </c>
      <c r="D597" s="2">
        <v>587.5</v>
      </c>
      <c r="E597" s="1">
        <v>43200</v>
      </c>
      <c r="F597" t="str">
        <f>"201804039861"</f>
        <v>201804039861</v>
      </c>
      <c r="G597" t="str">
        <f>"17-18392"</f>
        <v>17-18392</v>
      </c>
      <c r="H597">
        <v>100</v>
      </c>
      <c r="I597" t="str">
        <f>"17-18392"</f>
        <v>17-18392</v>
      </c>
    </row>
    <row r="598" spans="1:9" x14ac:dyDescent="0.25">
      <c r="A598" t="str">
        <f>""</f>
        <v/>
      </c>
      <c r="F598" t="str">
        <f>"201804039862"</f>
        <v>201804039862</v>
      </c>
      <c r="G598" t="str">
        <f>"17-18636"</f>
        <v>17-18636</v>
      </c>
      <c r="H598">
        <v>100</v>
      </c>
      <c r="I598" t="str">
        <f>"17-18636"</f>
        <v>17-18636</v>
      </c>
    </row>
    <row r="599" spans="1:9" x14ac:dyDescent="0.25">
      <c r="A599" t="str">
        <f>""</f>
        <v/>
      </c>
      <c r="F599" t="str">
        <f>"201804039863"</f>
        <v>201804039863</v>
      </c>
      <c r="G599" t="str">
        <f>"18-18941"</f>
        <v>18-18941</v>
      </c>
      <c r="H599">
        <v>137.5</v>
      </c>
      <c r="I599" t="str">
        <f>"18-18941"</f>
        <v>18-18941</v>
      </c>
    </row>
    <row r="600" spans="1:9" x14ac:dyDescent="0.25">
      <c r="A600" t="str">
        <f>""</f>
        <v/>
      </c>
      <c r="F600" t="str">
        <f>"201804049964"</f>
        <v>201804049964</v>
      </c>
      <c r="G600" t="str">
        <f>"18-18941"</f>
        <v>18-18941</v>
      </c>
      <c r="H600">
        <v>250</v>
      </c>
      <c r="I600" t="str">
        <f>"18-18941"</f>
        <v>18-18941</v>
      </c>
    </row>
    <row r="601" spans="1:9" x14ac:dyDescent="0.25">
      <c r="A601" t="str">
        <f>"003335"</f>
        <v>003335</v>
      </c>
      <c r="B601" t="s">
        <v>150</v>
      </c>
      <c r="C601">
        <v>999999</v>
      </c>
      <c r="D601" s="2">
        <v>965</v>
      </c>
      <c r="E601" s="1">
        <v>43214</v>
      </c>
      <c r="F601" t="str">
        <f>"201804130334"</f>
        <v>201804130334</v>
      </c>
      <c r="G601" t="str">
        <f>"17-18273"</f>
        <v>17-18273</v>
      </c>
      <c r="H601">
        <v>377.5</v>
      </c>
      <c r="I601" t="str">
        <f>"17-18273"</f>
        <v>17-18273</v>
      </c>
    </row>
    <row r="602" spans="1:9" x14ac:dyDescent="0.25">
      <c r="A602" t="str">
        <f>""</f>
        <v/>
      </c>
      <c r="F602" t="str">
        <f>"201804130335"</f>
        <v>201804130335</v>
      </c>
      <c r="G602" t="str">
        <f>"17-18637"</f>
        <v>17-18637</v>
      </c>
      <c r="H602">
        <v>587.5</v>
      </c>
      <c r="I602" t="str">
        <f>"17-18637"</f>
        <v>17-18637</v>
      </c>
    </row>
    <row r="603" spans="1:9" x14ac:dyDescent="0.25">
      <c r="A603" t="str">
        <f>"004770"</f>
        <v>004770</v>
      </c>
      <c r="B603" t="s">
        <v>151</v>
      </c>
      <c r="C603">
        <v>999999</v>
      </c>
      <c r="D603" s="2">
        <v>7614.27</v>
      </c>
      <c r="E603" s="1">
        <v>43200</v>
      </c>
      <c r="F603" t="str">
        <f>"201804059994"</f>
        <v>201804059994</v>
      </c>
      <c r="G603" t="str">
        <f>"15934/CAP MURDER/MITIGATION"</f>
        <v>15934/CAP MURDER/MITIGATION</v>
      </c>
      <c r="H603">
        <v>7614.27</v>
      </c>
      <c r="I603" t="str">
        <f>"15934/CAP MURDER/MITIGATION"</f>
        <v>15934/CAP MURDER/MITIGATION</v>
      </c>
    </row>
    <row r="604" spans="1:9" x14ac:dyDescent="0.25">
      <c r="A604" t="str">
        <f>"000653"</f>
        <v>000653</v>
      </c>
      <c r="B604" t="s">
        <v>152</v>
      </c>
      <c r="C604">
        <v>76259</v>
      </c>
      <c r="D604" s="2">
        <v>496</v>
      </c>
      <c r="E604" s="1">
        <v>43213</v>
      </c>
      <c r="F604" t="str">
        <f>"AWARD PINS"</f>
        <v>AWARD PINS</v>
      </c>
      <c r="G604" t="str">
        <f>"INV 131978"</f>
        <v>INV 131978</v>
      </c>
      <c r="H604">
        <v>496</v>
      </c>
      <c r="I604" t="str">
        <f>"INV 131978"</f>
        <v>INV 131978</v>
      </c>
    </row>
    <row r="605" spans="1:9" x14ac:dyDescent="0.25">
      <c r="A605" t="str">
        <f>"DELL"</f>
        <v>DELL</v>
      </c>
      <c r="B605" t="s">
        <v>153</v>
      </c>
      <c r="C605">
        <v>76051</v>
      </c>
      <c r="D605" s="2">
        <v>769.64</v>
      </c>
      <c r="E605" s="1">
        <v>43199</v>
      </c>
      <c r="F605" t="str">
        <f>"10231537530"</f>
        <v>10231537530</v>
      </c>
      <c r="G605" t="str">
        <f>"Leon Scaife"</f>
        <v>Leon Scaife</v>
      </c>
      <c r="H605">
        <v>436.78</v>
      </c>
      <c r="I605" t="str">
        <f>"Dell 24 Monitor"</f>
        <v>Dell 24 Monitor</v>
      </c>
    </row>
    <row r="606" spans="1:9" x14ac:dyDescent="0.25">
      <c r="A606" t="str">
        <f>""</f>
        <v/>
      </c>
      <c r="F606" t="str">
        <f>"10233683996"</f>
        <v>10233683996</v>
      </c>
      <c r="G606" t="str">
        <f>"MONITOR AND KEYBOARD"</f>
        <v>MONITOR AND KEYBOARD</v>
      </c>
      <c r="H606">
        <v>332.86</v>
      </c>
      <c r="I606" t="str">
        <f>"Dell 23 Monitor"</f>
        <v>Dell 23 Monitor</v>
      </c>
    </row>
    <row r="607" spans="1:9" x14ac:dyDescent="0.25">
      <c r="A607" t="str">
        <f>""</f>
        <v/>
      </c>
      <c r="F607" t="str">
        <f>""</f>
        <v/>
      </c>
      <c r="G607" t="str">
        <f>""</f>
        <v/>
      </c>
      <c r="I607" t="str">
        <f>"LOGITECH WIRELESS"</f>
        <v>LOGITECH WIRELESS</v>
      </c>
    </row>
    <row r="608" spans="1:9" x14ac:dyDescent="0.25">
      <c r="A608" t="str">
        <f>"DELL"</f>
        <v>DELL</v>
      </c>
      <c r="B608" t="s">
        <v>153</v>
      </c>
      <c r="C608">
        <v>76260</v>
      </c>
      <c r="D608" s="2">
        <v>759.98</v>
      </c>
      <c r="E608" s="1">
        <v>43213</v>
      </c>
      <c r="F608" t="str">
        <f>"10236014517"</f>
        <v>10236014517</v>
      </c>
      <c r="G608" t="str">
        <f>"Two Monitors for Sheriff"</f>
        <v>Two Monitors for Sheriff</v>
      </c>
      <c r="H608">
        <v>759.98</v>
      </c>
      <c r="I608" t="str">
        <f>"Dell 27 Ultra Monito"</f>
        <v>Dell 27 Ultra Monito</v>
      </c>
    </row>
    <row r="609" spans="1:9" x14ac:dyDescent="0.25">
      <c r="A609" t="str">
        <f>""</f>
        <v/>
      </c>
      <c r="F609" t="str">
        <f>""</f>
        <v/>
      </c>
      <c r="G609" t="str">
        <f>""</f>
        <v/>
      </c>
      <c r="I609" t="str">
        <f>"Discount"</f>
        <v>Discount</v>
      </c>
    </row>
    <row r="610" spans="1:9" x14ac:dyDescent="0.25">
      <c r="A610" t="str">
        <f>"DENTRU"</f>
        <v>DENTRU</v>
      </c>
      <c r="B610" t="s">
        <v>154</v>
      </c>
      <c r="C610">
        <v>999999</v>
      </c>
      <c r="D610" s="2">
        <v>1685</v>
      </c>
      <c r="E610" s="1">
        <v>43200</v>
      </c>
      <c r="F610" t="str">
        <f>"BATX015242"</f>
        <v>BATX015242</v>
      </c>
      <c r="G610" t="str">
        <f>"INV BATX015242"</f>
        <v>INV BATX015242</v>
      </c>
      <c r="H610">
        <v>1685</v>
      </c>
      <c r="I610" t="str">
        <f>"INV BATX015242"</f>
        <v>INV BATX015242</v>
      </c>
    </row>
    <row r="611" spans="1:9" x14ac:dyDescent="0.25">
      <c r="A611" t="str">
        <f>"DENTRU"</f>
        <v>DENTRU</v>
      </c>
      <c r="B611" t="s">
        <v>154</v>
      </c>
      <c r="C611">
        <v>999999</v>
      </c>
      <c r="D611" s="2">
        <v>1425</v>
      </c>
      <c r="E611" s="1">
        <v>43214</v>
      </c>
      <c r="F611" t="str">
        <f>"BATX015324"</f>
        <v>BATX015324</v>
      </c>
      <c r="G611" t="str">
        <f>"INV BATX015324"</f>
        <v>INV BATX015324</v>
      </c>
      <c r="H611">
        <v>1425</v>
      </c>
      <c r="I611" t="str">
        <f>"INV BATX015324"</f>
        <v>INV BATX015324</v>
      </c>
    </row>
    <row r="612" spans="1:9" x14ac:dyDescent="0.25">
      <c r="A612" t="str">
        <f>"T5686"</f>
        <v>T5686</v>
      </c>
      <c r="B612" t="s">
        <v>155</v>
      </c>
      <c r="C612">
        <v>76261</v>
      </c>
      <c r="D612" s="2">
        <v>604.17999999999995</v>
      </c>
      <c r="E612" s="1">
        <v>43213</v>
      </c>
      <c r="F612" t="str">
        <f>"24276"</f>
        <v>24276</v>
      </c>
      <c r="G612" t="str">
        <f>"2 MASTER PADLOCK/GEN SVCS"</f>
        <v>2 MASTER PADLOCK/GEN SVCS</v>
      </c>
      <c r="H612">
        <v>53.9</v>
      </c>
      <c r="I612" t="str">
        <f>"2 MASTER PADLOCK/GEN SVCS"</f>
        <v>2 MASTER PADLOCK/GEN SVCS</v>
      </c>
    </row>
    <row r="613" spans="1:9" x14ac:dyDescent="0.25">
      <c r="A613" t="str">
        <f>""</f>
        <v/>
      </c>
      <c r="F613" t="str">
        <f>"24279"</f>
        <v>24279</v>
      </c>
      <c r="G613" t="str">
        <f>"15 DUPLICATE KEYS/GEN SVCS"</f>
        <v>15 DUPLICATE KEYS/GEN SVCS</v>
      </c>
      <c r="H613">
        <v>60</v>
      </c>
      <c r="I613" t="str">
        <f>"15 DUPLICATE KEYS/GEN SVCS"</f>
        <v>15 DUPLICATE KEYS/GEN SVCS</v>
      </c>
    </row>
    <row r="614" spans="1:9" x14ac:dyDescent="0.25">
      <c r="A614" t="str">
        <f>""</f>
        <v/>
      </c>
      <c r="F614" t="str">
        <f>"24292"</f>
        <v>24292</v>
      </c>
      <c r="G614" t="str">
        <f>"2 DUPLICATE KEYS/GEN SVCS"</f>
        <v>2 DUPLICATE KEYS/GEN SVCS</v>
      </c>
      <c r="H614">
        <v>8</v>
      </c>
      <c r="I614" t="str">
        <f>"2 DUPLICATE KEYS/GEN SVCS"</f>
        <v>2 DUPLICATE KEYS/GEN SVCS</v>
      </c>
    </row>
    <row r="615" spans="1:9" x14ac:dyDescent="0.25">
      <c r="A615" t="str">
        <f>""</f>
        <v/>
      </c>
      <c r="F615" t="str">
        <f>"24308"</f>
        <v>24308</v>
      </c>
      <c r="G615" t="str">
        <f>"30 DUPLICATE KEYS/TAGS/GEN SVC"</f>
        <v>30 DUPLICATE KEYS/TAGS/GEN SVC</v>
      </c>
      <c r="H615">
        <v>129.47999999999999</v>
      </c>
      <c r="I615" t="str">
        <f>"30 DUPLICATE KEYS/TAGS/GEN SVC"</f>
        <v>30 DUPLICATE KEYS/TAGS/GEN SVC</v>
      </c>
    </row>
    <row r="616" spans="1:9" x14ac:dyDescent="0.25">
      <c r="A616" t="str">
        <f>""</f>
        <v/>
      </c>
      <c r="F616" t="str">
        <f>"24321"</f>
        <v>24321</v>
      </c>
      <c r="G616" t="str">
        <f>"2 DUPLICATE KEYS/GEN SVCS"</f>
        <v>2 DUPLICATE KEYS/GEN SVCS</v>
      </c>
      <c r="H616">
        <v>8</v>
      </c>
      <c r="I616" t="str">
        <f>"2 DUPLICATE KEYS/GEN SVCS"</f>
        <v>2 DUPLICATE KEYS/GEN SVCS</v>
      </c>
    </row>
    <row r="617" spans="1:9" x14ac:dyDescent="0.25">
      <c r="A617" t="str">
        <f>""</f>
        <v/>
      </c>
      <c r="F617" t="str">
        <f>"24347"</f>
        <v>24347</v>
      </c>
      <c r="G617" t="str">
        <f>"3 DUPLICATE KEYS/GEN SVCS"</f>
        <v>3 DUPLICATE KEYS/GEN SVCS</v>
      </c>
      <c r="H617">
        <v>12</v>
      </c>
      <c r="I617" t="str">
        <f>"3 DUPLICATE KEYS/GEN SVCS"</f>
        <v>3 DUPLICATE KEYS/GEN SVCS</v>
      </c>
    </row>
    <row r="618" spans="1:9" x14ac:dyDescent="0.25">
      <c r="A618" t="str">
        <f>""</f>
        <v/>
      </c>
      <c r="F618" t="str">
        <f>"24349"</f>
        <v>24349</v>
      </c>
      <c r="G618" t="str">
        <f>"LOCK BOX/DUPLICATE KEY/GEN SVC"</f>
        <v>LOCK BOX/DUPLICATE KEY/GEN SVC</v>
      </c>
      <c r="H618">
        <v>21.5</v>
      </c>
      <c r="I618" t="str">
        <f>"LOCK BOX/DUPLICATE KEY/GEN SVC"</f>
        <v>LOCK BOX/DUPLICATE KEY/GEN SVC</v>
      </c>
    </row>
    <row r="619" spans="1:9" x14ac:dyDescent="0.25">
      <c r="A619" t="str">
        <f>""</f>
        <v/>
      </c>
      <c r="F619" t="str">
        <f>"24361/24366"</f>
        <v>24361/24366</v>
      </c>
      <c r="G619" t="str">
        <f>"INV 24361 &amp; 24366"</f>
        <v>INV 24361 &amp; 24366</v>
      </c>
      <c r="H619">
        <v>24</v>
      </c>
      <c r="I619" t="str">
        <f>"INV 24361"</f>
        <v>INV 24361</v>
      </c>
    </row>
    <row r="620" spans="1:9" x14ac:dyDescent="0.25">
      <c r="A620" t="str">
        <f>""</f>
        <v/>
      </c>
      <c r="F620" t="str">
        <f>""</f>
        <v/>
      </c>
      <c r="G620" t="str">
        <f>""</f>
        <v/>
      </c>
      <c r="I620" t="str">
        <f>"INV 24366"</f>
        <v>INV 24366</v>
      </c>
    </row>
    <row r="621" spans="1:9" x14ac:dyDescent="0.25">
      <c r="A621" t="str">
        <f>""</f>
        <v/>
      </c>
      <c r="F621" t="str">
        <f>"24363"</f>
        <v>24363</v>
      </c>
      <c r="G621" t="str">
        <f>"DUPLICATE KEYS/GEN SVCS"</f>
        <v>DUPLICATE KEYS/GEN SVCS</v>
      </c>
      <c r="H621">
        <v>247.3</v>
      </c>
      <c r="I621" t="str">
        <f>"DUPLICATE KEYS/GEN SVCS"</f>
        <v>DUPLICATE KEYS/GEN SVCS</v>
      </c>
    </row>
    <row r="622" spans="1:9" x14ac:dyDescent="0.25">
      <c r="A622" t="str">
        <f>""</f>
        <v/>
      </c>
      <c r="F622" t="str">
        <f>"24391"</f>
        <v>24391</v>
      </c>
      <c r="G622" t="str">
        <f>"INV 24391"</f>
        <v>INV 24391</v>
      </c>
      <c r="H622">
        <v>40</v>
      </c>
      <c r="I622" t="str">
        <f>"INV 24391"</f>
        <v>INV 24391</v>
      </c>
    </row>
    <row r="623" spans="1:9" x14ac:dyDescent="0.25">
      <c r="A623" t="str">
        <f>"000573"</f>
        <v>000573</v>
      </c>
      <c r="B623" t="s">
        <v>156</v>
      </c>
      <c r="C623">
        <v>76262</v>
      </c>
      <c r="D623" s="2">
        <v>444.92</v>
      </c>
      <c r="E623" s="1">
        <v>43213</v>
      </c>
      <c r="F623" t="str">
        <f>"MASONARY DOOR KIT"</f>
        <v>MASONARY DOOR KIT</v>
      </c>
      <c r="G623" t="str">
        <f>"Masonary Door Kit"</f>
        <v>Masonary Door Kit</v>
      </c>
      <c r="H623">
        <v>444.92</v>
      </c>
      <c r="I623" t="str">
        <f>"Masonary Door Kit"</f>
        <v>Masonary Door Kit</v>
      </c>
    </row>
    <row r="624" spans="1:9" x14ac:dyDescent="0.25">
      <c r="A624" t="str">
        <f>"DISCOU"</f>
        <v>DISCOU</v>
      </c>
      <c r="B624" t="s">
        <v>157</v>
      </c>
      <c r="C624">
        <v>76052</v>
      </c>
      <c r="D624" s="2">
        <v>424.75</v>
      </c>
      <c r="E624" s="1">
        <v>43199</v>
      </c>
      <c r="F624" t="str">
        <f>"1572"</f>
        <v>1572</v>
      </c>
      <c r="G624" t="str">
        <f>"INV 1572"</f>
        <v>INV 1572</v>
      </c>
      <c r="H624">
        <v>424.75</v>
      </c>
      <c r="I624" t="str">
        <f>"INV 1572"</f>
        <v>INV 1572</v>
      </c>
    </row>
    <row r="625" spans="1:9" x14ac:dyDescent="0.25">
      <c r="A625" t="str">
        <f>"002218"</f>
        <v>002218</v>
      </c>
      <c r="B625" t="s">
        <v>158</v>
      </c>
      <c r="C625">
        <v>76053</v>
      </c>
      <c r="D625" s="2">
        <v>67.16</v>
      </c>
      <c r="E625" s="1">
        <v>43199</v>
      </c>
      <c r="F625" t="str">
        <f>"201803279763"</f>
        <v>201803279763</v>
      </c>
      <c r="G625" t="str">
        <f>"REIMBURSE JURY LUNCH"</f>
        <v>REIMBURSE JURY LUNCH</v>
      </c>
      <c r="H625">
        <v>67.16</v>
      </c>
      <c r="I625" t="str">
        <f>"REIMBURSE JURY LUNCH"</f>
        <v>REIMBURSE JURY LUNCH</v>
      </c>
    </row>
    <row r="626" spans="1:9" x14ac:dyDescent="0.25">
      <c r="A626" t="str">
        <f>"002218"</f>
        <v>002218</v>
      </c>
      <c r="B626" t="s">
        <v>158</v>
      </c>
      <c r="C626">
        <v>76263</v>
      </c>
      <c r="D626" s="2">
        <v>70</v>
      </c>
      <c r="E626" s="1">
        <v>43213</v>
      </c>
      <c r="F626" t="str">
        <f>"201804180397"</f>
        <v>201804180397</v>
      </c>
      <c r="G626" t="str">
        <f>"TRAVEL ADVANCE-PER DIEM"</f>
        <v>TRAVEL ADVANCE-PER DIEM</v>
      </c>
      <c r="H626">
        <v>70</v>
      </c>
      <c r="I626" t="str">
        <f>"TRAVEL ADVANCE-PER DIEM"</f>
        <v>TRAVEL ADVANCE-PER DIEM</v>
      </c>
    </row>
    <row r="627" spans="1:9" x14ac:dyDescent="0.25">
      <c r="A627" t="str">
        <f>"T9323"</f>
        <v>T9323</v>
      </c>
      <c r="B627" t="s">
        <v>159</v>
      </c>
      <c r="C627">
        <v>999999</v>
      </c>
      <c r="D627" s="2">
        <v>6836.5</v>
      </c>
      <c r="E627" s="1">
        <v>43200</v>
      </c>
      <c r="F627" t="str">
        <f>"201803279777"</f>
        <v>201803279777</v>
      </c>
      <c r="G627" t="str">
        <f>"412287-6"</f>
        <v>412287-6</v>
      </c>
      <c r="H627">
        <v>400</v>
      </c>
      <c r="I627" t="str">
        <f>"412287-6"</f>
        <v>412287-6</v>
      </c>
    </row>
    <row r="628" spans="1:9" x14ac:dyDescent="0.25">
      <c r="A628" t="str">
        <f>""</f>
        <v/>
      </c>
      <c r="F628" t="str">
        <f>"201803289792"</f>
        <v>201803289792</v>
      </c>
      <c r="G628" t="str">
        <f>"16063"</f>
        <v>16063</v>
      </c>
      <c r="H628">
        <v>1000</v>
      </c>
      <c r="I628" t="str">
        <f>"16063"</f>
        <v>16063</v>
      </c>
    </row>
    <row r="629" spans="1:9" x14ac:dyDescent="0.25">
      <c r="A629" t="str">
        <f>""</f>
        <v/>
      </c>
      <c r="F629" t="str">
        <f>"201803299807"</f>
        <v>201803299807</v>
      </c>
      <c r="G629" t="str">
        <f>"14925"</f>
        <v>14925</v>
      </c>
      <c r="H629">
        <v>400</v>
      </c>
      <c r="I629" t="str">
        <f>"14925"</f>
        <v>14925</v>
      </c>
    </row>
    <row r="630" spans="1:9" x14ac:dyDescent="0.25">
      <c r="A630" t="str">
        <f>""</f>
        <v/>
      </c>
      <c r="F630" t="str">
        <f>"201803299808"</f>
        <v>201803299808</v>
      </c>
      <c r="G630" t="str">
        <f>"16474/16475"</f>
        <v>16474/16475</v>
      </c>
      <c r="H630">
        <v>600</v>
      </c>
      <c r="I630" t="str">
        <f>"16474/16475"</f>
        <v>16474/16475</v>
      </c>
    </row>
    <row r="631" spans="1:9" x14ac:dyDescent="0.25">
      <c r="A631" t="str">
        <f>""</f>
        <v/>
      </c>
      <c r="F631" t="str">
        <f>"201803299809"</f>
        <v>201803299809</v>
      </c>
      <c r="G631" t="str">
        <f>"14400/302092018A"</f>
        <v>14400/302092018A</v>
      </c>
      <c r="H631">
        <v>600</v>
      </c>
      <c r="I631" t="str">
        <f>"14400/302092018A"</f>
        <v>14400/302092018A</v>
      </c>
    </row>
    <row r="632" spans="1:9" x14ac:dyDescent="0.25">
      <c r="A632" t="str">
        <f>""</f>
        <v/>
      </c>
      <c r="F632" t="str">
        <f>"201803299810"</f>
        <v>201803299810</v>
      </c>
      <c r="G632" t="str">
        <f>"16473"</f>
        <v>16473</v>
      </c>
      <c r="H632">
        <v>400</v>
      </c>
      <c r="I632" t="str">
        <f>"16473"</f>
        <v>16473</v>
      </c>
    </row>
    <row r="633" spans="1:9" x14ac:dyDescent="0.25">
      <c r="A633" t="str">
        <f>""</f>
        <v/>
      </c>
      <c r="F633" t="str">
        <f>"201804029835"</f>
        <v>201804029835</v>
      </c>
      <c r="G633" t="str">
        <f>"NO CAUSE # LISTED-P. FLORES"</f>
        <v>NO CAUSE # LISTED-P. FLORES</v>
      </c>
      <c r="H633">
        <v>150</v>
      </c>
      <c r="I633" t="str">
        <f>"NO CAUSE # LISTED-P. FLORES"</f>
        <v>NO CAUSE # LISTED-P. FLORES</v>
      </c>
    </row>
    <row r="634" spans="1:9" x14ac:dyDescent="0.25">
      <c r="A634" t="str">
        <f>""</f>
        <v/>
      </c>
      <c r="F634" t="str">
        <f>"201804039855"</f>
        <v>201804039855</v>
      </c>
      <c r="G634" t="str">
        <f>"14-18317"</f>
        <v>14-18317</v>
      </c>
      <c r="H634">
        <v>287</v>
      </c>
      <c r="I634" t="str">
        <f>"14-18317"</f>
        <v>14-18317</v>
      </c>
    </row>
    <row r="635" spans="1:9" x14ac:dyDescent="0.25">
      <c r="A635" t="str">
        <f>""</f>
        <v/>
      </c>
      <c r="F635" t="str">
        <f>"201804039858"</f>
        <v>201804039858</v>
      </c>
      <c r="G635" t="str">
        <f>"17-18119"</f>
        <v>17-18119</v>
      </c>
      <c r="H635">
        <v>637.5</v>
      </c>
      <c r="I635" t="str">
        <f>"17-18119"</f>
        <v>17-18119</v>
      </c>
    </row>
    <row r="636" spans="1:9" x14ac:dyDescent="0.25">
      <c r="A636" t="str">
        <f>""</f>
        <v/>
      </c>
      <c r="F636" t="str">
        <f>"201804039864"</f>
        <v>201804039864</v>
      </c>
      <c r="G636" t="str">
        <f>"17-18617"</f>
        <v>17-18617</v>
      </c>
      <c r="H636">
        <v>187</v>
      </c>
      <c r="I636" t="str">
        <f>"17-18617"</f>
        <v>17-18617</v>
      </c>
    </row>
    <row r="637" spans="1:9" x14ac:dyDescent="0.25">
      <c r="A637" t="str">
        <f>""</f>
        <v/>
      </c>
      <c r="F637" t="str">
        <f>"201804039865"</f>
        <v>201804039865</v>
      </c>
      <c r="G637" t="str">
        <f>"18-18924"</f>
        <v>18-18924</v>
      </c>
      <c r="H637">
        <v>325</v>
      </c>
      <c r="I637" t="str">
        <f>"18-18924"</f>
        <v>18-18924</v>
      </c>
    </row>
    <row r="638" spans="1:9" x14ac:dyDescent="0.25">
      <c r="A638" t="str">
        <f>""</f>
        <v/>
      </c>
      <c r="F638" t="str">
        <f>"201804039866"</f>
        <v>201804039866</v>
      </c>
      <c r="G638" t="str">
        <f>"005785"</f>
        <v>005785</v>
      </c>
      <c r="H638">
        <v>100</v>
      </c>
      <c r="I638" t="str">
        <f>"005785"</f>
        <v>005785</v>
      </c>
    </row>
    <row r="639" spans="1:9" x14ac:dyDescent="0.25">
      <c r="A639" t="str">
        <f>""</f>
        <v/>
      </c>
      <c r="F639" t="str">
        <f>"201804039894"</f>
        <v>201804039894</v>
      </c>
      <c r="G639" t="str">
        <f>"55899  412287-7"</f>
        <v>55899  412287-7</v>
      </c>
      <c r="H639">
        <v>375</v>
      </c>
      <c r="I639" t="str">
        <f>"55899  412287-7"</f>
        <v>55899  412287-7</v>
      </c>
    </row>
    <row r="640" spans="1:9" x14ac:dyDescent="0.25">
      <c r="A640" t="str">
        <f>""</f>
        <v/>
      </c>
      <c r="F640" t="str">
        <f>"201804039895"</f>
        <v>201804039895</v>
      </c>
      <c r="G640" t="str">
        <f>"53648"</f>
        <v>53648</v>
      </c>
      <c r="H640">
        <v>250</v>
      </c>
      <c r="I640" t="str">
        <f>"53648"</f>
        <v>53648</v>
      </c>
    </row>
    <row r="641" spans="1:9" x14ac:dyDescent="0.25">
      <c r="A641" t="str">
        <f>""</f>
        <v/>
      </c>
      <c r="F641" t="str">
        <f>"201804039896"</f>
        <v>201804039896</v>
      </c>
      <c r="G641" t="str">
        <f>"55704"</f>
        <v>55704</v>
      </c>
      <c r="H641">
        <v>250</v>
      </c>
      <c r="I641" t="str">
        <f>"55704"</f>
        <v>55704</v>
      </c>
    </row>
    <row r="642" spans="1:9" x14ac:dyDescent="0.25">
      <c r="A642" t="str">
        <f>""</f>
        <v/>
      </c>
      <c r="F642" t="str">
        <f>"201804049972"</f>
        <v>201804049972</v>
      </c>
      <c r="G642" t="str">
        <f>"55810"</f>
        <v>55810</v>
      </c>
      <c r="H642">
        <v>250</v>
      </c>
      <c r="I642" t="str">
        <f>"55810"</f>
        <v>55810</v>
      </c>
    </row>
    <row r="643" spans="1:9" x14ac:dyDescent="0.25">
      <c r="A643" t="str">
        <f>""</f>
        <v/>
      </c>
      <c r="F643" t="str">
        <f>"201804049973"</f>
        <v>201804049973</v>
      </c>
      <c r="G643" t="str">
        <f>"55773  1JP91217E"</f>
        <v>55773  1JP91217E</v>
      </c>
      <c r="H643">
        <v>375</v>
      </c>
      <c r="I643" t="str">
        <f>"55773  1JP91217E"</f>
        <v>55773  1JP91217E</v>
      </c>
    </row>
    <row r="644" spans="1:9" x14ac:dyDescent="0.25">
      <c r="A644" t="str">
        <f>""</f>
        <v/>
      </c>
      <c r="F644" t="str">
        <f>"201804049974"</f>
        <v>201804049974</v>
      </c>
      <c r="G644" t="str">
        <f>"302092018B"</f>
        <v>302092018B</v>
      </c>
      <c r="H644">
        <v>250</v>
      </c>
      <c r="I644" t="str">
        <f>"302092018B"</f>
        <v>302092018B</v>
      </c>
    </row>
    <row r="645" spans="1:9" x14ac:dyDescent="0.25">
      <c r="A645" t="str">
        <f>"T9323"</f>
        <v>T9323</v>
      </c>
      <c r="B645" t="s">
        <v>159</v>
      </c>
      <c r="C645">
        <v>999999</v>
      </c>
      <c r="D645" s="2">
        <v>2525</v>
      </c>
      <c r="E645" s="1">
        <v>43214</v>
      </c>
      <c r="F645" t="str">
        <f>"201804100189"</f>
        <v>201804100189</v>
      </c>
      <c r="G645" t="str">
        <f>"14520  02/21/18"</f>
        <v>14520  02/21/18</v>
      </c>
      <c r="H645">
        <v>400</v>
      </c>
      <c r="I645" t="str">
        <f>"14520  02/21/18"</f>
        <v>14520  02/21/18</v>
      </c>
    </row>
    <row r="646" spans="1:9" x14ac:dyDescent="0.25">
      <c r="A646" t="str">
        <f>""</f>
        <v/>
      </c>
      <c r="F646" t="str">
        <f>"201804130311"</f>
        <v>201804130311</v>
      </c>
      <c r="G646" t="str">
        <f>"16354"</f>
        <v>16354</v>
      </c>
      <c r="H646">
        <v>400</v>
      </c>
      <c r="I646" t="str">
        <f>"16354"</f>
        <v>16354</v>
      </c>
    </row>
    <row r="647" spans="1:9" x14ac:dyDescent="0.25">
      <c r="A647" t="str">
        <f>""</f>
        <v/>
      </c>
      <c r="F647" t="str">
        <f>"201804130312"</f>
        <v>201804130312</v>
      </c>
      <c r="G647" t="str">
        <f>"16321-CT.1  16321-CT.2"</f>
        <v>16321-CT.1  16321-CT.2</v>
      </c>
      <c r="H647">
        <v>600</v>
      </c>
      <c r="I647" t="str">
        <f>"16321-CT.1  16321-CT.2"</f>
        <v>16321-CT.1  16321-CT.2</v>
      </c>
    </row>
    <row r="648" spans="1:9" x14ac:dyDescent="0.25">
      <c r="A648" t="str">
        <f>""</f>
        <v/>
      </c>
      <c r="F648" t="str">
        <f>"201804130350"</f>
        <v>201804130350</v>
      </c>
      <c r="G648" t="str">
        <f>"54910/1JP82316Y/Y2/1JP828316H"</f>
        <v>54910/1JP82316Y/Y2/1JP828316H</v>
      </c>
      <c r="H648">
        <v>625</v>
      </c>
      <c r="I648" t="str">
        <f>"54910/1JP82316Y/Y2/1JP828316H"</f>
        <v>54910/1JP82316Y/Y2/1JP828316H</v>
      </c>
    </row>
    <row r="649" spans="1:9" x14ac:dyDescent="0.25">
      <c r="A649" t="str">
        <f>""</f>
        <v/>
      </c>
      <c r="F649" t="str">
        <f>"201804130357"</f>
        <v>201804130357</v>
      </c>
      <c r="G649" t="str">
        <f>"55928"</f>
        <v>55928</v>
      </c>
      <c r="H649">
        <v>250</v>
      </c>
      <c r="I649" t="str">
        <f>"55928"</f>
        <v>55928</v>
      </c>
    </row>
    <row r="650" spans="1:9" x14ac:dyDescent="0.25">
      <c r="A650" t="str">
        <f>""</f>
        <v/>
      </c>
      <c r="F650" t="str">
        <f>"201804130358"</f>
        <v>201804130358</v>
      </c>
      <c r="G650" t="str">
        <f>"55935"</f>
        <v>55935</v>
      </c>
      <c r="H650">
        <v>250</v>
      </c>
      <c r="I650" t="str">
        <f>"55935"</f>
        <v>55935</v>
      </c>
    </row>
    <row r="651" spans="1:9" x14ac:dyDescent="0.25">
      <c r="A651" t="str">
        <f>"DURAN"</f>
        <v>DURAN</v>
      </c>
      <c r="B651" t="s">
        <v>160</v>
      </c>
      <c r="C651">
        <v>76264</v>
      </c>
      <c r="D651" s="2">
        <v>3892</v>
      </c>
      <c r="E651" s="1">
        <v>43213</v>
      </c>
      <c r="F651" t="str">
        <f>"15-542"</f>
        <v>15-542</v>
      </c>
      <c r="G651" t="str">
        <f>"2-12 YD OVERSIZE ROCK/PCT#3"</f>
        <v>2-12 YD OVERSIZE ROCK/PCT#3</v>
      </c>
      <c r="H651">
        <v>3892</v>
      </c>
      <c r="I651" t="str">
        <f>"2-12 YD OVERSIZE ROCK/PCT#3"</f>
        <v>2-12 YD OVERSIZE ROCK/PCT#3</v>
      </c>
    </row>
    <row r="652" spans="1:9" x14ac:dyDescent="0.25">
      <c r="A652" t="str">
        <f>"ECOLAB"</f>
        <v>ECOLAB</v>
      </c>
      <c r="B652" t="s">
        <v>161</v>
      </c>
      <c r="C652">
        <v>999999</v>
      </c>
      <c r="D652" s="2">
        <v>2225.09</v>
      </c>
      <c r="E652" s="1">
        <v>43214</v>
      </c>
      <c r="F652" t="str">
        <f>"9039439"</f>
        <v>9039439</v>
      </c>
      <c r="G652" t="str">
        <f>"INV 9039439"</f>
        <v>INV 9039439</v>
      </c>
      <c r="H652">
        <v>941.76</v>
      </c>
      <c r="I652" t="str">
        <f>"INV 9039439"</f>
        <v>INV 9039439</v>
      </c>
    </row>
    <row r="653" spans="1:9" x14ac:dyDescent="0.25">
      <c r="A653" t="str">
        <f>""</f>
        <v/>
      </c>
      <c r="F653" t="str">
        <f>"9039440"</f>
        <v>9039440</v>
      </c>
      <c r="G653" t="str">
        <f>"INV 9039440"</f>
        <v>INV 9039440</v>
      </c>
      <c r="H653">
        <v>1283.33</v>
      </c>
      <c r="I653" t="str">
        <f>"INV 9039440"</f>
        <v>INV 9039440</v>
      </c>
    </row>
    <row r="654" spans="1:9" x14ac:dyDescent="0.25">
      <c r="A654" t="str">
        <f>"T6190"</f>
        <v>T6190</v>
      </c>
      <c r="B654" t="s">
        <v>162</v>
      </c>
      <c r="C654">
        <v>76054</v>
      </c>
      <c r="D654" s="2">
        <v>183.75</v>
      </c>
      <c r="E654" s="1">
        <v>43199</v>
      </c>
      <c r="F654" t="str">
        <f>"1033630"</f>
        <v>1033630</v>
      </c>
      <c r="G654" t="str">
        <f>"ACCT#B06875/ORD#1133574/ELECT"</f>
        <v>ACCT#B06875/ORD#1133574/ELECT</v>
      </c>
      <c r="H654">
        <v>110.25</v>
      </c>
      <c r="I654" t="str">
        <f>"ACCT#B06875/ORD#1133574/ELECT"</f>
        <v>ACCT#B06875/ORD#1133574/ELECT</v>
      </c>
    </row>
    <row r="655" spans="1:9" x14ac:dyDescent="0.25">
      <c r="A655" t="str">
        <f>""</f>
        <v/>
      </c>
      <c r="F655" t="str">
        <f>"1033631"</f>
        <v>1033631</v>
      </c>
      <c r="G655" t="str">
        <f>"ACCT#B06875/ORD#1133575/ELECT"</f>
        <v>ACCT#B06875/ORD#1133575/ELECT</v>
      </c>
      <c r="H655">
        <v>73.5</v>
      </c>
      <c r="I655" t="str">
        <f>"ACCT#B06875/ORD#1133575/ELECT"</f>
        <v>ACCT#B06875/ORD#1133575/ELECT</v>
      </c>
    </row>
    <row r="656" spans="1:9" x14ac:dyDescent="0.25">
      <c r="A656" t="str">
        <f>"T6190"</f>
        <v>T6190</v>
      </c>
      <c r="B656" t="s">
        <v>162</v>
      </c>
      <c r="C656">
        <v>76265</v>
      </c>
      <c r="D656" s="2">
        <v>7454.86</v>
      </c>
      <c r="E656" s="1">
        <v>43213</v>
      </c>
      <c r="F656" t="str">
        <f>"1037850"</f>
        <v>1037850</v>
      </c>
      <c r="G656" t="str">
        <f>"ACCT#B06875/ORD#1137604/ELECT"</f>
        <v>ACCT#B06875/ORD#1137604/ELECT</v>
      </c>
      <c r="H656">
        <v>2502.02</v>
      </c>
      <c r="I656" t="str">
        <f>"ACCT#B06875/ORD#1137604/ELECT"</f>
        <v>ACCT#B06875/ORD#1137604/ELECT</v>
      </c>
    </row>
    <row r="657" spans="1:9" x14ac:dyDescent="0.25">
      <c r="A657" t="str">
        <f>""</f>
        <v/>
      </c>
      <c r="F657" t="str">
        <f>"1037851"</f>
        <v>1037851</v>
      </c>
      <c r="G657" t="str">
        <f>"ACCT#B06875/ORD#1137605/ELECT"</f>
        <v>ACCT#B06875/ORD#1137605/ELECT</v>
      </c>
      <c r="H657">
        <v>36.75</v>
      </c>
      <c r="I657" t="str">
        <f>"ACCT#B06875/ORD#1137605/ELECT"</f>
        <v>ACCT#B06875/ORD#1137605/ELECT</v>
      </c>
    </row>
    <row r="658" spans="1:9" x14ac:dyDescent="0.25">
      <c r="A658" t="str">
        <f>""</f>
        <v/>
      </c>
      <c r="F658" t="str">
        <f>"1037852"</f>
        <v>1037852</v>
      </c>
      <c r="G658" t="str">
        <f>"ACCT#B06875/ORD#1137605/ELECT"</f>
        <v>ACCT#B06875/ORD#1137605/ELECT</v>
      </c>
      <c r="H658">
        <v>1159.78</v>
      </c>
      <c r="I658" t="str">
        <f>"ACCT#B06875/ORD#1137605/ELECT"</f>
        <v>ACCT#B06875/ORD#1137605/ELECT</v>
      </c>
    </row>
    <row r="659" spans="1:9" x14ac:dyDescent="0.25">
      <c r="A659" t="str">
        <f>""</f>
        <v/>
      </c>
      <c r="F659" t="str">
        <f>"1037853"</f>
        <v>1037853</v>
      </c>
      <c r="G659" t="str">
        <f>"ACCT#B06875/ORD#1137607/ELECT"</f>
        <v>ACCT#B06875/ORD#1137607/ELECT</v>
      </c>
      <c r="H659">
        <v>1159.78</v>
      </c>
      <c r="I659" t="str">
        <f>"ACCT#B06875/ORD#1137607/ELECT"</f>
        <v>ACCT#B06875/ORD#1137607/ELECT</v>
      </c>
    </row>
    <row r="660" spans="1:9" x14ac:dyDescent="0.25">
      <c r="A660" t="str">
        <f>""</f>
        <v/>
      </c>
      <c r="F660" t="str">
        <f>"1037854"</f>
        <v>1037854</v>
      </c>
      <c r="G660" t="str">
        <f>"ACCT#B06875/ORD#1137609/ELECT"</f>
        <v>ACCT#B06875/ORD#1137609/ELECT</v>
      </c>
      <c r="H660">
        <v>2559.7800000000002</v>
      </c>
      <c r="I660" t="str">
        <f>"ACCT#B06875/ORD#1137609/ELECT"</f>
        <v>ACCT#B06875/ORD#1137609/ELECT</v>
      </c>
    </row>
    <row r="661" spans="1:9" x14ac:dyDescent="0.25">
      <c r="A661" t="str">
        <f>""</f>
        <v/>
      </c>
      <c r="F661" t="str">
        <f>"1037858"</f>
        <v>1037858</v>
      </c>
      <c r="G661" t="str">
        <f>"ACCT#B06875/ORD#1137615/ELECT"</f>
        <v>ACCT#B06875/ORD#1137615/ELECT</v>
      </c>
      <c r="H661">
        <v>36.75</v>
      </c>
      <c r="I661" t="str">
        <f>"ACCT#B06875/ORD#1137615/ELECT"</f>
        <v>ACCT#B06875/ORD#1137615/ELECT</v>
      </c>
    </row>
    <row r="662" spans="1:9" x14ac:dyDescent="0.25">
      <c r="A662" t="str">
        <f>"EU"</f>
        <v>EU</v>
      </c>
      <c r="B662" t="s">
        <v>163</v>
      </c>
      <c r="C662">
        <v>75990</v>
      </c>
      <c r="D662" s="2">
        <v>1212.6400000000001</v>
      </c>
      <c r="E662" s="1">
        <v>43195</v>
      </c>
      <c r="F662" t="str">
        <f>"201804050005"</f>
        <v>201804050005</v>
      </c>
      <c r="G662" t="str">
        <f>"ACCT#007-0008410-002/03312018"</f>
        <v>ACCT#007-0008410-002/03312018</v>
      </c>
      <c r="H662">
        <v>146.62</v>
      </c>
      <c r="I662" t="str">
        <f>"ACCT#007-0008410-002/03312018"</f>
        <v>ACCT#007-0008410-002/03312018</v>
      </c>
    </row>
    <row r="663" spans="1:9" x14ac:dyDescent="0.25">
      <c r="A663" t="str">
        <f>""</f>
        <v/>
      </c>
      <c r="F663" t="str">
        <f>"201804050006"</f>
        <v>201804050006</v>
      </c>
      <c r="G663" t="str">
        <f>"ACCT#007-0011501-000/03312018"</f>
        <v>ACCT#007-0011501-000/03312018</v>
      </c>
      <c r="H663">
        <v>98.2</v>
      </c>
      <c r="I663" t="str">
        <f>"ACCT#007-0011501-000/03312018"</f>
        <v>ACCT#007-0011501-000/03312018</v>
      </c>
    </row>
    <row r="664" spans="1:9" x14ac:dyDescent="0.25">
      <c r="A664" t="str">
        <f>""</f>
        <v/>
      </c>
      <c r="F664" t="str">
        <f>"201804050007"</f>
        <v>201804050007</v>
      </c>
      <c r="G664" t="str">
        <f>"ACCT#007-0011510-000/03312018"</f>
        <v>ACCT#007-0011510-000/03312018</v>
      </c>
      <c r="H664">
        <v>222.55</v>
      </c>
      <c r="I664" t="str">
        <f>"ACCT#007-0011510-000/03312018"</f>
        <v>ACCT#007-0011510-000/03312018</v>
      </c>
    </row>
    <row r="665" spans="1:9" x14ac:dyDescent="0.25">
      <c r="A665" t="str">
        <f>""</f>
        <v/>
      </c>
      <c r="F665" t="str">
        <f>"201804050008"</f>
        <v>201804050008</v>
      </c>
      <c r="G665" t="str">
        <f>"ACCT#007-0011530-000/03312018"</f>
        <v>ACCT#007-0011530-000/03312018</v>
      </c>
      <c r="H665">
        <v>94.09</v>
      </c>
      <c r="I665" t="str">
        <f>"ACCT#007-0011530-000/03312018"</f>
        <v>ACCT#007-0011530-000/03312018</v>
      </c>
    </row>
    <row r="666" spans="1:9" x14ac:dyDescent="0.25">
      <c r="A666" t="str">
        <f>""</f>
        <v/>
      </c>
      <c r="F666" t="str">
        <f>"201804050009"</f>
        <v>201804050009</v>
      </c>
      <c r="G666" t="str">
        <f>"ACCT#007-0011534-001/03312018"</f>
        <v>ACCT#007-0011534-001/03312018</v>
      </c>
      <c r="H666">
        <v>145.81</v>
      </c>
      <c r="I666" t="str">
        <f>"ACCT#007-0011534-001/03312018"</f>
        <v>ACCT#007-0011534-001/03312018</v>
      </c>
    </row>
    <row r="667" spans="1:9" x14ac:dyDescent="0.25">
      <c r="A667" t="str">
        <f>""</f>
        <v/>
      </c>
      <c r="F667" t="str">
        <f>"201804050010"</f>
        <v>201804050010</v>
      </c>
      <c r="G667" t="str">
        <f>"ACCT#007-0011535-000/03312018"</f>
        <v>ACCT#007-0011535-000/03312018</v>
      </c>
      <c r="H667">
        <v>399.03</v>
      </c>
      <c r="I667" t="str">
        <f>"ACCT#007-0011535-000/03312018"</f>
        <v>ACCT#007-0011535-000/03312018</v>
      </c>
    </row>
    <row r="668" spans="1:9" x14ac:dyDescent="0.25">
      <c r="A668" t="str">
        <f>""</f>
        <v/>
      </c>
      <c r="F668" t="str">
        <f>"201804050011"</f>
        <v>201804050011</v>
      </c>
      <c r="G668" t="str">
        <f>"ACCT#007-0011544-001/03312018"</f>
        <v>ACCT#007-0011544-001/03312018</v>
      </c>
      <c r="H668">
        <v>106.34</v>
      </c>
      <c r="I668" t="str">
        <f>"ACCT#007-0011544-001/03312018"</f>
        <v>ACCT#007-0011544-001/03312018</v>
      </c>
    </row>
    <row r="669" spans="1:9" x14ac:dyDescent="0.25">
      <c r="A669" t="str">
        <f>"003027"</f>
        <v>003027</v>
      </c>
      <c r="B669" t="s">
        <v>164</v>
      </c>
      <c r="C669">
        <v>76055</v>
      </c>
      <c r="D669" s="2">
        <v>1611.1</v>
      </c>
      <c r="E669" s="1">
        <v>43199</v>
      </c>
      <c r="F669" t="str">
        <f>"145-16202-01"</f>
        <v>145-16202-01</v>
      </c>
      <c r="G669" t="str">
        <f>"ACCT#0888336/GEN SVCS"</f>
        <v>ACCT#0888336/GEN SVCS</v>
      </c>
      <c r="H669">
        <v>47.19</v>
      </c>
      <c r="I669" t="str">
        <f>"ACCT#0888336/GEN SVCS"</f>
        <v>ACCT#0888336/GEN SVCS</v>
      </c>
    </row>
    <row r="670" spans="1:9" x14ac:dyDescent="0.25">
      <c r="A670" t="str">
        <f>""</f>
        <v/>
      </c>
      <c r="F670" t="str">
        <f>"145-16423-01"</f>
        <v>145-16423-01</v>
      </c>
      <c r="G670" t="str">
        <f>"ACCT#0888336/GEN SVCS"</f>
        <v>ACCT#0888336/GEN SVCS</v>
      </c>
      <c r="H670">
        <v>55.18</v>
      </c>
      <c r="I670" t="str">
        <f>"ACCT#0888336/GEN SVCS"</f>
        <v>ACCT#0888336/GEN SVCS</v>
      </c>
    </row>
    <row r="671" spans="1:9" x14ac:dyDescent="0.25">
      <c r="A671" t="str">
        <f>""</f>
        <v/>
      </c>
      <c r="F671" t="str">
        <f>"1458-16203-01"</f>
        <v>1458-16203-01</v>
      </c>
      <c r="G671" t="str">
        <f>"ACCT#0888336/LIGHTS"</f>
        <v>ACCT#0888336/LIGHTS</v>
      </c>
      <c r="H671">
        <v>404.68</v>
      </c>
      <c r="I671" t="str">
        <f>"ACCT#0888336/LIGHTS"</f>
        <v>ACCT#0888336/LIGHTS</v>
      </c>
    </row>
    <row r="672" spans="1:9" x14ac:dyDescent="0.25">
      <c r="A672" t="str">
        <f>""</f>
        <v/>
      </c>
      <c r="F672" t="str">
        <f>"LED15T8-48GC-840"</f>
        <v>LED15T8-48GC-840</v>
      </c>
      <c r="G672" t="str">
        <f>"Elliott Electric"</f>
        <v>Elliott Electric</v>
      </c>
      <c r="H672">
        <v>1104.05</v>
      </c>
      <c r="I672" t="str">
        <f>"LED15T8-48GC-840"</f>
        <v>LED15T8-48GC-840</v>
      </c>
    </row>
    <row r="673" spans="1:9" x14ac:dyDescent="0.25">
      <c r="A673" t="str">
        <f>""</f>
        <v/>
      </c>
      <c r="F673" t="str">
        <f>""</f>
        <v/>
      </c>
      <c r="G673" t="str">
        <f>""</f>
        <v/>
      </c>
      <c r="I673" t="str">
        <f>"KTSOCKET8UT4W"</f>
        <v>KTSOCKET8UT4W</v>
      </c>
    </row>
    <row r="674" spans="1:9" x14ac:dyDescent="0.25">
      <c r="A674" t="str">
        <f>"003027"</f>
        <v>003027</v>
      </c>
      <c r="B674" t="s">
        <v>164</v>
      </c>
      <c r="C674">
        <v>76266</v>
      </c>
      <c r="D674" s="2">
        <v>122.45</v>
      </c>
      <c r="E674" s="1">
        <v>43213</v>
      </c>
      <c r="F674" t="str">
        <f>"145-16591-01"</f>
        <v>145-16591-01</v>
      </c>
      <c r="G674" t="str">
        <f>"ACCT#0888336/ANIMAL SHELTER"</f>
        <v>ACCT#0888336/ANIMAL SHELTER</v>
      </c>
      <c r="H674">
        <v>85.62</v>
      </c>
      <c r="I674" t="str">
        <f>"ACCT#0888336/ANIMAL SHELTER"</f>
        <v>ACCT#0888336/ANIMAL SHELTER</v>
      </c>
    </row>
    <row r="675" spans="1:9" x14ac:dyDescent="0.25">
      <c r="A675" t="str">
        <f>""</f>
        <v/>
      </c>
      <c r="F675" t="str">
        <f>"145-16910-01"</f>
        <v>145-16910-01</v>
      </c>
      <c r="G675" t="str">
        <f>"ACCT#0888336/GEN SVCS"</f>
        <v>ACCT#0888336/GEN SVCS</v>
      </c>
      <c r="H675">
        <v>36.83</v>
      </c>
      <c r="I675" t="str">
        <f>"ACCT#0888336/GEN SVCS"</f>
        <v>ACCT#0888336/GEN SVCS</v>
      </c>
    </row>
    <row r="676" spans="1:9" x14ac:dyDescent="0.25">
      <c r="A676" t="str">
        <f>"005218"</f>
        <v>005218</v>
      </c>
      <c r="B676" t="s">
        <v>165</v>
      </c>
      <c r="C676">
        <v>999999</v>
      </c>
      <c r="D676" s="2">
        <v>343.98</v>
      </c>
      <c r="E676" s="1">
        <v>43214</v>
      </c>
      <c r="F676" t="str">
        <f>"201804100190"</f>
        <v>201804100190</v>
      </c>
      <c r="G676" t="str">
        <f>"423-4459"</f>
        <v>423-4459</v>
      </c>
      <c r="H676">
        <v>193.98</v>
      </c>
      <c r="I676" t="str">
        <f>"423-4459"</f>
        <v>423-4459</v>
      </c>
    </row>
    <row r="677" spans="1:9" x14ac:dyDescent="0.25">
      <c r="A677" t="str">
        <f>""</f>
        <v/>
      </c>
      <c r="F677" t="str">
        <f>"201804120255"</f>
        <v>201804120255</v>
      </c>
      <c r="G677" t="str">
        <f>"NO CAUSE # LISTED/INTERPRETING"</f>
        <v>NO CAUSE # LISTED/INTERPRETING</v>
      </c>
      <c r="H677">
        <v>150</v>
      </c>
      <c r="I677" t="str">
        <f>"NO CAUSE # LISTED/INTERPRETING"</f>
        <v>NO CAUSE # LISTED/INTERPRETING</v>
      </c>
    </row>
    <row r="678" spans="1:9" x14ac:dyDescent="0.25">
      <c r="A678" t="str">
        <f>"T10729"</f>
        <v>T10729</v>
      </c>
      <c r="B678" t="s">
        <v>166</v>
      </c>
      <c r="C678">
        <v>76056</v>
      </c>
      <c r="D678" s="2">
        <v>21285.85</v>
      </c>
      <c r="E678" s="1">
        <v>43199</v>
      </c>
      <c r="F678" t="str">
        <f>"93434075"</f>
        <v>93434075</v>
      </c>
      <c r="G678" t="str">
        <f>"Inv# 93434075"</f>
        <v>Inv# 93434075</v>
      </c>
      <c r="H678">
        <v>21285.85</v>
      </c>
      <c r="I678" t="str">
        <f>"IT"</f>
        <v>IT</v>
      </c>
    </row>
    <row r="679" spans="1:9" x14ac:dyDescent="0.25">
      <c r="A679" t="str">
        <f>""</f>
        <v/>
      </c>
      <c r="F679" t="str">
        <f>""</f>
        <v/>
      </c>
      <c r="G679" t="str">
        <f>""</f>
        <v/>
      </c>
      <c r="I679" t="str">
        <f>"Engineer"</f>
        <v>Engineer</v>
      </c>
    </row>
    <row r="680" spans="1:9" x14ac:dyDescent="0.25">
      <c r="A680" t="str">
        <f>""</f>
        <v/>
      </c>
      <c r="F680" t="str">
        <f>""</f>
        <v/>
      </c>
      <c r="G680" t="str">
        <f>""</f>
        <v/>
      </c>
      <c r="I680" t="str">
        <f>"Sanitation"</f>
        <v>Sanitation</v>
      </c>
    </row>
    <row r="681" spans="1:9" x14ac:dyDescent="0.25">
      <c r="A681" t="str">
        <f>""</f>
        <v/>
      </c>
      <c r="F681" t="str">
        <f>""</f>
        <v/>
      </c>
      <c r="G681" t="str">
        <f>""</f>
        <v/>
      </c>
      <c r="I681" t="str">
        <f>"Habitat"</f>
        <v>Habitat</v>
      </c>
    </row>
    <row r="682" spans="1:9" x14ac:dyDescent="0.25">
      <c r="A682" t="str">
        <f>""</f>
        <v/>
      </c>
      <c r="F682" t="str">
        <f>""</f>
        <v/>
      </c>
      <c r="G682" t="str">
        <f>""</f>
        <v/>
      </c>
      <c r="I682" t="str">
        <f>"GIS"</f>
        <v>GIS</v>
      </c>
    </row>
    <row r="683" spans="1:9" x14ac:dyDescent="0.25">
      <c r="A683" t="str">
        <f>""</f>
        <v/>
      </c>
      <c r="F683" t="str">
        <f>""</f>
        <v/>
      </c>
      <c r="G683" t="str">
        <f>""</f>
        <v/>
      </c>
      <c r="I683" t="str">
        <f>"Pct 2"</f>
        <v>Pct 2</v>
      </c>
    </row>
    <row r="684" spans="1:9" x14ac:dyDescent="0.25">
      <c r="A684" t="str">
        <f>"T10729"</f>
        <v>T10729</v>
      </c>
      <c r="B684" t="s">
        <v>166</v>
      </c>
      <c r="C684">
        <v>76267</v>
      </c>
      <c r="D684" s="2">
        <v>2075.4499999999998</v>
      </c>
      <c r="E684" s="1">
        <v>43213</v>
      </c>
      <c r="F684" t="str">
        <f>"20526930"</f>
        <v>20526930</v>
      </c>
      <c r="G684" t="str">
        <f>"Customer# 263426"</f>
        <v>Customer# 263426</v>
      </c>
      <c r="H684">
        <v>2075.4499999999998</v>
      </c>
      <c r="I684" t="str">
        <f>"Material# 93194"</f>
        <v>Material# 93194</v>
      </c>
    </row>
    <row r="685" spans="1:9" x14ac:dyDescent="0.25">
      <c r="A685" t="str">
        <f>"005198"</f>
        <v>005198</v>
      </c>
      <c r="B685" t="s">
        <v>167</v>
      </c>
      <c r="C685">
        <v>76057</v>
      </c>
      <c r="D685" s="2">
        <v>27.8</v>
      </c>
      <c r="E685" s="1">
        <v>43199</v>
      </c>
      <c r="F685" t="str">
        <f>"201804039938"</f>
        <v>201804039938</v>
      </c>
      <c r="G685" t="str">
        <f>"MILEAGE REIMBURSEMENT"</f>
        <v>MILEAGE REIMBURSEMENT</v>
      </c>
      <c r="H685">
        <v>27.8</v>
      </c>
      <c r="I685" t="str">
        <f>"MILEAGE REIMBURSEMENT"</f>
        <v>MILEAGE REIMBURSEMENT</v>
      </c>
    </row>
    <row r="686" spans="1:9" x14ac:dyDescent="0.25">
      <c r="A686" t="str">
        <f>"T2788"</f>
        <v>T2788</v>
      </c>
      <c r="B686" t="s">
        <v>168</v>
      </c>
      <c r="C686">
        <v>999999</v>
      </c>
      <c r="D686" s="2">
        <v>536</v>
      </c>
      <c r="E686" s="1">
        <v>43200</v>
      </c>
      <c r="F686" t="str">
        <f>"3417039"</f>
        <v>3417039</v>
      </c>
      <c r="G686" t="str">
        <f>"ACCT#00405/PCT#3"</f>
        <v>ACCT#00405/PCT#3</v>
      </c>
      <c r="H686">
        <v>536</v>
      </c>
      <c r="I686" t="str">
        <f>"ACCT#00405/PCT#3"</f>
        <v>ACCT#00405/PCT#3</v>
      </c>
    </row>
    <row r="687" spans="1:9" x14ac:dyDescent="0.25">
      <c r="A687" t="str">
        <f>"000488"</f>
        <v>000488</v>
      </c>
      <c r="B687" t="s">
        <v>169</v>
      </c>
      <c r="C687">
        <v>76268</v>
      </c>
      <c r="D687" s="2">
        <v>117.53</v>
      </c>
      <c r="E687" s="1">
        <v>43213</v>
      </c>
      <c r="F687" t="str">
        <f>"5005884"</f>
        <v>5005884</v>
      </c>
      <c r="G687" t="str">
        <f>"Landscaping Items"</f>
        <v>Landscaping Items</v>
      </c>
      <c r="H687">
        <v>117.53</v>
      </c>
      <c r="I687" t="str">
        <f>"Landscaping Items"</f>
        <v>Landscaping Items</v>
      </c>
    </row>
    <row r="688" spans="1:9" x14ac:dyDescent="0.25">
      <c r="A688" t="str">
        <f>"FCC"</f>
        <v>FCC</v>
      </c>
      <c r="B688" t="s">
        <v>170</v>
      </c>
      <c r="C688">
        <v>76058</v>
      </c>
      <c r="D688" s="2">
        <v>16017.43</v>
      </c>
      <c r="E688" s="1">
        <v>43199</v>
      </c>
      <c r="F688" t="str">
        <f>"201804059991"</f>
        <v>201804059991</v>
      </c>
      <c r="G688" t="str">
        <f>"GRANT REIMBURS/2014-WE-AX-0053"</f>
        <v>GRANT REIMBURS/2014-WE-AX-0053</v>
      </c>
      <c r="H688">
        <v>16017.43</v>
      </c>
      <c r="I688" t="str">
        <f>"GRANT REIMBURS/2014-WE-AX-0053"</f>
        <v>GRANT REIMBURS/2014-WE-AX-0053</v>
      </c>
    </row>
    <row r="689" spans="1:10" x14ac:dyDescent="0.25">
      <c r="A689" t="str">
        <f>"002412"</f>
        <v>002412</v>
      </c>
      <c r="B689" t="s">
        <v>171</v>
      </c>
      <c r="C689">
        <v>76269</v>
      </c>
      <c r="D689" s="2">
        <v>100</v>
      </c>
      <c r="E689" s="1">
        <v>43213</v>
      </c>
      <c r="F689" t="s">
        <v>63</v>
      </c>
      <c r="G689" t="s">
        <v>64</v>
      </c>
      <c r="H689" t="str">
        <f>"SERVICE  02/13/18"</f>
        <v>SERVICE  02/13/18</v>
      </c>
      <c r="I689" t="str">
        <f>"995-4110"</f>
        <v>995-4110</v>
      </c>
      <c r="J689">
        <v>100</v>
      </c>
    </row>
    <row r="690" spans="1:10" x14ac:dyDescent="0.25">
      <c r="A690" t="str">
        <f>"000700"</f>
        <v>000700</v>
      </c>
      <c r="B690" t="s">
        <v>172</v>
      </c>
      <c r="C690">
        <v>76270</v>
      </c>
      <c r="D690" s="2">
        <v>16.399999999999999</v>
      </c>
      <c r="E690" s="1">
        <v>43213</v>
      </c>
      <c r="F690" t="str">
        <f>"201804170389"</f>
        <v>201804170389</v>
      </c>
      <c r="G690" t="str">
        <f>"E CYLINDER/ANIMAL SHELTER"</f>
        <v>E CYLINDER/ANIMAL SHELTER</v>
      </c>
      <c r="H690">
        <v>16.399999999999999</v>
      </c>
      <c r="I690" t="str">
        <f>"E CYLINDER/ANIMAL SHELTER"</f>
        <v>E CYLINDER/ANIMAL SHELTER</v>
      </c>
    </row>
    <row r="691" spans="1:10" x14ac:dyDescent="0.25">
      <c r="A691" t="str">
        <f>"T526"</f>
        <v>T526</v>
      </c>
      <c r="B691" t="s">
        <v>173</v>
      </c>
      <c r="C691">
        <v>76059</v>
      </c>
      <c r="D691" s="2">
        <v>28.57</v>
      </c>
      <c r="E691" s="1">
        <v>43199</v>
      </c>
      <c r="F691" t="str">
        <f>"6-118-74533"</f>
        <v>6-118-74533</v>
      </c>
      <c r="G691" t="str">
        <f>"ACCT#1230-5243-9/TAX OFFICE"</f>
        <v>ACCT#1230-5243-9/TAX OFFICE</v>
      </c>
      <c r="H691">
        <v>28.57</v>
      </c>
      <c r="I691" t="str">
        <f>"ACCT#1230-5243-9/TAX OFFICE"</f>
        <v>ACCT#1230-5243-9/TAX OFFICE</v>
      </c>
    </row>
    <row r="692" spans="1:10" x14ac:dyDescent="0.25">
      <c r="A692" t="str">
        <f>"T526"</f>
        <v>T526</v>
      </c>
      <c r="B692" t="s">
        <v>173</v>
      </c>
      <c r="C692">
        <v>76271</v>
      </c>
      <c r="D692" s="2">
        <v>60.72</v>
      </c>
      <c r="E692" s="1">
        <v>43213</v>
      </c>
      <c r="F692" t="str">
        <f>"6-141-49024"</f>
        <v>6-141-49024</v>
      </c>
      <c r="G692" t="str">
        <f>"ACCT#4702-9210-5/AUDITOR'S OFF"</f>
        <v>ACCT#4702-9210-5/AUDITOR'S OFF</v>
      </c>
      <c r="H692">
        <v>60.72</v>
      </c>
      <c r="I692" t="str">
        <f>"ACCT#4702-9210-5/AUDITOR'S OFF"</f>
        <v>ACCT#4702-9210-5/AUDITOR'S OFF</v>
      </c>
    </row>
    <row r="693" spans="1:10" x14ac:dyDescent="0.25">
      <c r="A693" t="str">
        <f>"T9733"</f>
        <v>T9733</v>
      </c>
      <c r="B693" t="s">
        <v>174</v>
      </c>
      <c r="C693">
        <v>76272</v>
      </c>
      <c r="D693" s="2">
        <v>62.5</v>
      </c>
      <c r="E693" s="1">
        <v>43213</v>
      </c>
      <c r="F693" t="s">
        <v>131</v>
      </c>
      <c r="G693" t="s">
        <v>175</v>
      </c>
      <c r="H693" t="str">
        <f>"RESTITUTION-F. GREER JR"</f>
        <v>RESTITUTION-F. GREER JR</v>
      </c>
      <c r="I693" t="str">
        <f>"210-0000"</f>
        <v>210-0000</v>
      </c>
      <c r="J693">
        <v>50</v>
      </c>
    </row>
    <row r="694" spans="1:10" x14ac:dyDescent="0.25">
      <c r="A694" t="str">
        <f>""</f>
        <v/>
      </c>
      <c r="F694" t="s">
        <v>176</v>
      </c>
      <c r="G694" t="s">
        <v>177</v>
      </c>
      <c r="H694" t="str">
        <f>"RESTITUTION-K.PURCELL"</f>
        <v>RESTITUTION-K.PURCELL</v>
      </c>
      <c r="I694" t="str">
        <f>"210-0000"</f>
        <v>210-0000</v>
      </c>
      <c r="J694">
        <v>12.5</v>
      </c>
    </row>
    <row r="695" spans="1:10" x14ac:dyDescent="0.25">
      <c r="A695" t="str">
        <f>"004691"</f>
        <v>004691</v>
      </c>
      <c r="B695" t="s">
        <v>178</v>
      </c>
      <c r="C695">
        <v>76060</v>
      </c>
      <c r="D695" s="2">
        <v>12267.67</v>
      </c>
      <c r="E695" s="1">
        <v>43199</v>
      </c>
      <c r="F695" t="str">
        <f>"NP52831594"</f>
        <v>NP52831594</v>
      </c>
      <c r="G695" t="str">
        <f>"INV NP52831594"</f>
        <v>INV NP52831594</v>
      </c>
      <c r="H695">
        <v>12267.67</v>
      </c>
      <c r="I695" t="str">
        <f>"INV NP52831594"</f>
        <v>INV NP52831594</v>
      </c>
    </row>
    <row r="696" spans="1:10" x14ac:dyDescent="0.25">
      <c r="A696" t="str">
        <f>"004691"</f>
        <v>004691</v>
      </c>
      <c r="B696" t="s">
        <v>178</v>
      </c>
      <c r="C696">
        <v>76273</v>
      </c>
      <c r="D696" s="2">
        <v>16143.56</v>
      </c>
      <c r="E696" s="1">
        <v>43213</v>
      </c>
      <c r="F696" t="str">
        <f>"NP52977744"</f>
        <v>NP52977744</v>
      </c>
      <c r="G696" t="str">
        <f>"Stmt# NP52977744"</f>
        <v>Stmt# NP52977744</v>
      </c>
      <c r="H696">
        <v>719.17</v>
      </c>
      <c r="I696" t="str">
        <f>"IT"</f>
        <v>IT</v>
      </c>
    </row>
    <row r="697" spans="1:10" x14ac:dyDescent="0.25">
      <c r="A697" t="str">
        <f>""</f>
        <v/>
      </c>
      <c r="F697" t="str">
        <f>""</f>
        <v/>
      </c>
      <c r="G697" t="str">
        <f>""</f>
        <v/>
      </c>
      <c r="I697" t="str">
        <f>"General Services"</f>
        <v>General Services</v>
      </c>
    </row>
    <row r="698" spans="1:10" x14ac:dyDescent="0.25">
      <c r="A698" t="str">
        <f>""</f>
        <v/>
      </c>
      <c r="F698" t="str">
        <f>""</f>
        <v/>
      </c>
      <c r="G698" t="str">
        <f>""</f>
        <v/>
      </c>
      <c r="I698" t="str">
        <f>"Sign Shop"</f>
        <v>Sign Shop</v>
      </c>
    </row>
    <row r="699" spans="1:10" x14ac:dyDescent="0.25">
      <c r="A699" t="str">
        <f>""</f>
        <v/>
      </c>
      <c r="F699" t="str">
        <f>""</f>
        <v/>
      </c>
      <c r="G699" t="str">
        <f>""</f>
        <v/>
      </c>
      <c r="I699" t="str">
        <f>"Animal"</f>
        <v>Animal</v>
      </c>
    </row>
    <row r="700" spans="1:10" x14ac:dyDescent="0.25">
      <c r="A700" t="str">
        <f>""</f>
        <v/>
      </c>
      <c r="F700" t="str">
        <f>""</f>
        <v/>
      </c>
      <c r="G700" t="str">
        <f>""</f>
        <v/>
      </c>
      <c r="I700" t="str">
        <f>"AG"</f>
        <v>AG</v>
      </c>
    </row>
    <row r="701" spans="1:10" x14ac:dyDescent="0.25">
      <c r="A701" t="str">
        <f>""</f>
        <v/>
      </c>
      <c r="F701" t="str">
        <f>""</f>
        <v/>
      </c>
      <c r="G701" t="str">
        <f>""</f>
        <v/>
      </c>
      <c r="I701" t="str">
        <f>"Pct 1"</f>
        <v>Pct 1</v>
      </c>
    </row>
    <row r="702" spans="1:10" x14ac:dyDescent="0.25">
      <c r="A702" t="str">
        <f>""</f>
        <v/>
      </c>
      <c r="F702" t="str">
        <f>""</f>
        <v/>
      </c>
      <c r="G702" t="str">
        <f>""</f>
        <v/>
      </c>
      <c r="I702" t="str">
        <f>"Pct 2"</f>
        <v>Pct 2</v>
      </c>
    </row>
    <row r="703" spans="1:10" x14ac:dyDescent="0.25">
      <c r="A703" t="str">
        <f>""</f>
        <v/>
      </c>
      <c r="F703" t="str">
        <f>"NP52977912"</f>
        <v>NP52977912</v>
      </c>
      <c r="G703" t="str">
        <f>"INV NP52977912"</f>
        <v>INV NP52977912</v>
      </c>
      <c r="H703">
        <v>13034.68</v>
      </c>
      <c r="I703" t="str">
        <f>"INV NP52977912"</f>
        <v>INV NP52977912</v>
      </c>
    </row>
    <row r="704" spans="1:10" x14ac:dyDescent="0.25">
      <c r="A704" t="str">
        <f>""</f>
        <v/>
      </c>
      <c r="F704" t="str">
        <f>"NP52977940  04/02"</f>
        <v>NP52977940  04/02</v>
      </c>
      <c r="G704" t="str">
        <f>"Stmt# NP52977940"</f>
        <v>Stmt# NP52977940</v>
      </c>
      <c r="H704">
        <v>641.24</v>
      </c>
      <c r="I704" t="str">
        <f>"Payment"</f>
        <v>Payment</v>
      </c>
    </row>
    <row r="705" spans="1:10" x14ac:dyDescent="0.25">
      <c r="A705" t="str">
        <f>""</f>
        <v/>
      </c>
      <c r="F705" t="str">
        <f>"NP53054712 4/16/18"</f>
        <v>NP53054712 4/16/18</v>
      </c>
      <c r="G705" t="str">
        <f>"Stmt# NP53054712"</f>
        <v>Stmt# NP53054712</v>
      </c>
      <c r="H705">
        <v>1168.71</v>
      </c>
      <c r="I705" t="str">
        <f>"Purchasing"</f>
        <v>Purchasing</v>
      </c>
    </row>
    <row r="706" spans="1:10" x14ac:dyDescent="0.25">
      <c r="A706" t="str">
        <f>""</f>
        <v/>
      </c>
      <c r="F706" t="str">
        <f>""</f>
        <v/>
      </c>
      <c r="G706" t="str">
        <f>""</f>
        <v/>
      </c>
      <c r="I706" t="str">
        <f>"IT"</f>
        <v>IT</v>
      </c>
    </row>
    <row r="707" spans="1:10" x14ac:dyDescent="0.25">
      <c r="A707" t="str">
        <f>""</f>
        <v/>
      </c>
      <c r="F707" t="str">
        <f>""</f>
        <v/>
      </c>
      <c r="G707" t="str">
        <f>""</f>
        <v/>
      </c>
      <c r="I707" t="str">
        <f>"General Services"</f>
        <v>General Services</v>
      </c>
    </row>
    <row r="708" spans="1:10" x14ac:dyDescent="0.25">
      <c r="A708" t="str">
        <f>""</f>
        <v/>
      </c>
      <c r="F708" t="str">
        <f>""</f>
        <v/>
      </c>
      <c r="G708" t="str">
        <f>""</f>
        <v/>
      </c>
      <c r="I708" t="str">
        <f>"Sign Shop"</f>
        <v>Sign Shop</v>
      </c>
    </row>
    <row r="709" spans="1:10" x14ac:dyDescent="0.25">
      <c r="A709" t="str">
        <f>""</f>
        <v/>
      </c>
      <c r="F709" t="str">
        <f>""</f>
        <v/>
      </c>
      <c r="G709" t="str">
        <f>""</f>
        <v/>
      </c>
      <c r="I709" t="str">
        <f>"Animal Control"</f>
        <v>Animal Control</v>
      </c>
    </row>
    <row r="710" spans="1:10" x14ac:dyDescent="0.25">
      <c r="A710" t="str">
        <f>""</f>
        <v/>
      </c>
      <c r="F710" t="str">
        <f>""</f>
        <v/>
      </c>
      <c r="G710" t="str">
        <f>""</f>
        <v/>
      </c>
      <c r="I710" t="str">
        <f>"Habitat"</f>
        <v>Habitat</v>
      </c>
    </row>
    <row r="711" spans="1:10" x14ac:dyDescent="0.25">
      <c r="A711" t="str">
        <f>""</f>
        <v/>
      </c>
      <c r="F711" t="str">
        <f>""</f>
        <v/>
      </c>
      <c r="G711" t="str">
        <f>""</f>
        <v/>
      </c>
      <c r="I711" t="str">
        <f>"Ag"</f>
        <v>Ag</v>
      </c>
    </row>
    <row r="712" spans="1:10" x14ac:dyDescent="0.25">
      <c r="A712" t="str">
        <f>""</f>
        <v/>
      </c>
      <c r="F712" t="str">
        <f>"NP53054905 04/16"</f>
        <v>NP53054905 04/16</v>
      </c>
      <c r="G712" t="str">
        <f>"Stmt# NP53054905"</f>
        <v>Stmt# NP53054905</v>
      </c>
      <c r="H712">
        <v>579.76</v>
      </c>
      <c r="I712" t="str">
        <f>"Payment"</f>
        <v>Payment</v>
      </c>
    </row>
    <row r="713" spans="1:10" x14ac:dyDescent="0.25">
      <c r="A713" t="str">
        <f>"T5062"</f>
        <v>T5062</v>
      </c>
      <c r="B713" t="s">
        <v>179</v>
      </c>
      <c r="C713">
        <v>76061</v>
      </c>
      <c r="D713" s="2">
        <v>2431.08</v>
      </c>
      <c r="E713" s="1">
        <v>43199</v>
      </c>
      <c r="F713" t="str">
        <f>"93011367"</f>
        <v>93011367</v>
      </c>
      <c r="G713" t="str">
        <f>"ACCT#80975-001/PCT#3"</f>
        <v>ACCT#80975-001/PCT#3</v>
      </c>
      <c r="H713">
        <v>273.47000000000003</v>
      </c>
      <c r="I713" t="str">
        <f>"ACCT#80975-001/PCT#3"</f>
        <v>ACCT#80975-001/PCT#3</v>
      </c>
    </row>
    <row r="714" spans="1:10" x14ac:dyDescent="0.25">
      <c r="A714" t="str">
        <f>""</f>
        <v/>
      </c>
      <c r="F714" t="str">
        <f>"93201961"</f>
        <v>93201961</v>
      </c>
      <c r="G714" t="str">
        <f>"ACCT#80975/PCT#2"</f>
        <v>ACCT#80975/PCT#2</v>
      </c>
      <c r="H714">
        <v>1435.74</v>
      </c>
      <c r="I714" t="str">
        <f>"ACCT#80975/PCT#2"</f>
        <v>ACCT#80975/PCT#2</v>
      </c>
    </row>
    <row r="715" spans="1:10" x14ac:dyDescent="0.25">
      <c r="A715" t="str">
        <f>""</f>
        <v/>
      </c>
      <c r="F715" t="str">
        <f>"93231326"</f>
        <v>93231326</v>
      </c>
      <c r="G715" t="str">
        <f>"ACCT#80975/PCT#2"</f>
        <v>ACCT#80975/PCT#2</v>
      </c>
      <c r="H715">
        <v>721.87</v>
      </c>
      <c r="I715" t="str">
        <f>"ACCT#80975/PCT#2"</f>
        <v>ACCT#80975/PCT#2</v>
      </c>
    </row>
    <row r="716" spans="1:10" x14ac:dyDescent="0.25">
      <c r="A716" t="str">
        <f>"T5062"</f>
        <v>T5062</v>
      </c>
      <c r="B716" t="s">
        <v>179</v>
      </c>
      <c r="C716">
        <v>76274</v>
      </c>
      <c r="D716" s="2">
        <v>213.71</v>
      </c>
      <c r="E716" s="1">
        <v>43213</v>
      </c>
      <c r="F716" t="str">
        <f>"93381069"</f>
        <v>93381069</v>
      </c>
      <c r="G716" t="str">
        <f>"PARTS/PCT#4"</f>
        <v>PARTS/PCT#4</v>
      </c>
      <c r="H716">
        <v>191.87</v>
      </c>
      <c r="I716" t="str">
        <f>"PARTS/PCT#4"</f>
        <v>PARTS/PCT#4</v>
      </c>
    </row>
    <row r="717" spans="1:10" x14ac:dyDescent="0.25">
      <c r="A717" t="str">
        <f>""</f>
        <v/>
      </c>
      <c r="F717" t="str">
        <f>"93521088"</f>
        <v>93521088</v>
      </c>
      <c r="G717" t="str">
        <f>"ACCT#80975/PCT#2"</f>
        <v>ACCT#80975/PCT#2</v>
      </c>
      <c r="H717">
        <v>21.84</v>
      </c>
      <c r="I717" t="str">
        <f>"ACCT#80975/PCT#2"</f>
        <v>ACCT#80975/PCT#2</v>
      </c>
    </row>
    <row r="718" spans="1:10" x14ac:dyDescent="0.25">
      <c r="A718" t="str">
        <f>"005501"</f>
        <v>005501</v>
      </c>
      <c r="B718" t="s">
        <v>180</v>
      </c>
      <c r="C718">
        <v>76275</v>
      </c>
      <c r="D718" s="2">
        <v>50</v>
      </c>
      <c r="E718" s="1">
        <v>43213</v>
      </c>
      <c r="F718" t="s">
        <v>20</v>
      </c>
      <c r="G718" t="s">
        <v>181</v>
      </c>
      <c r="H718" t="str">
        <f>"RESTITUTION-D.CORKILL 02/28/18"</f>
        <v>RESTITUTION-D.CORKILL 02/28/18</v>
      </c>
      <c r="I718" t="str">
        <f>"210-0000"</f>
        <v>210-0000</v>
      </c>
      <c r="J718">
        <v>50</v>
      </c>
    </row>
    <row r="719" spans="1:10" x14ac:dyDescent="0.25">
      <c r="A719" t="str">
        <f>"FLS"</f>
        <v>FLS</v>
      </c>
      <c r="B719" t="s">
        <v>182</v>
      </c>
      <c r="C719">
        <v>999999</v>
      </c>
      <c r="D719" s="2">
        <v>4537.5</v>
      </c>
      <c r="E719" s="1">
        <v>43200</v>
      </c>
      <c r="F719" t="str">
        <f>"201803299811"</f>
        <v>201803299811</v>
      </c>
      <c r="G719" t="str">
        <f>"UNINDICTED"</f>
        <v>UNINDICTED</v>
      </c>
      <c r="H719">
        <v>400</v>
      </c>
      <c r="I719" t="str">
        <f>"UNINDICTED"</f>
        <v>UNINDICTED</v>
      </c>
    </row>
    <row r="720" spans="1:10" x14ac:dyDescent="0.25">
      <c r="A720" t="str">
        <f>""</f>
        <v/>
      </c>
      <c r="F720" t="str">
        <f>"201803299812"</f>
        <v>201803299812</v>
      </c>
      <c r="G720" t="str">
        <f>"16 288"</f>
        <v>16 288</v>
      </c>
      <c r="H720">
        <v>1837.5</v>
      </c>
      <c r="I720" t="str">
        <f>"16 288"</f>
        <v>16 288</v>
      </c>
    </row>
    <row r="721" spans="1:9" x14ac:dyDescent="0.25">
      <c r="A721" t="str">
        <f>""</f>
        <v/>
      </c>
      <c r="F721" t="str">
        <f>"201803299813"</f>
        <v>201803299813</v>
      </c>
      <c r="G721" t="str">
        <f>"16 394"</f>
        <v>16 394</v>
      </c>
      <c r="H721">
        <v>400</v>
      </c>
      <c r="I721" t="str">
        <f>"16 394"</f>
        <v>16 394</v>
      </c>
    </row>
    <row r="722" spans="1:9" x14ac:dyDescent="0.25">
      <c r="A722" t="str">
        <f>""</f>
        <v/>
      </c>
      <c r="F722" t="str">
        <f>"201804039876"</f>
        <v>201804039876</v>
      </c>
      <c r="G722" t="str">
        <f>"55 074"</f>
        <v>55 074</v>
      </c>
      <c r="H722">
        <v>250</v>
      </c>
      <c r="I722" t="str">
        <f>"55 074"</f>
        <v>55 074</v>
      </c>
    </row>
    <row r="723" spans="1:9" x14ac:dyDescent="0.25">
      <c r="A723" t="str">
        <f>""</f>
        <v/>
      </c>
      <c r="F723" t="str">
        <f>"201804039878"</f>
        <v>201804039878</v>
      </c>
      <c r="G723" t="str">
        <f>"55 271  55 272"</f>
        <v>55 271  55 272</v>
      </c>
      <c r="H723">
        <v>375</v>
      </c>
      <c r="I723" t="str">
        <f>"55 271  55 272"</f>
        <v>55 271  55 272</v>
      </c>
    </row>
    <row r="724" spans="1:9" x14ac:dyDescent="0.25">
      <c r="A724" t="str">
        <f>""</f>
        <v/>
      </c>
      <c r="F724" t="str">
        <f>"201804039880"</f>
        <v>201804039880</v>
      </c>
      <c r="G724" t="str">
        <f>"54 731  54 732"</f>
        <v>54 731  54 732</v>
      </c>
      <c r="H724">
        <v>375</v>
      </c>
      <c r="I724" t="str">
        <f>"54 731  54 732"</f>
        <v>54 731  54 732</v>
      </c>
    </row>
    <row r="725" spans="1:9" x14ac:dyDescent="0.25">
      <c r="A725" t="str">
        <f>""</f>
        <v/>
      </c>
      <c r="F725" t="str">
        <f>"201804039887"</f>
        <v>201804039887</v>
      </c>
      <c r="G725" t="str">
        <f>"55 322"</f>
        <v>55 322</v>
      </c>
      <c r="H725">
        <v>250</v>
      </c>
      <c r="I725" t="str">
        <f>"55 322"</f>
        <v>55 322</v>
      </c>
    </row>
    <row r="726" spans="1:9" x14ac:dyDescent="0.25">
      <c r="A726" t="str">
        <f>""</f>
        <v/>
      </c>
      <c r="F726" t="str">
        <f>"201804039888"</f>
        <v>201804039888</v>
      </c>
      <c r="G726" t="str">
        <f>"55 873"</f>
        <v>55 873</v>
      </c>
      <c r="H726">
        <v>250</v>
      </c>
      <c r="I726" t="str">
        <f>"55 873"</f>
        <v>55 873</v>
      </c>
    </row>
    <row r="727" spans="1:9" x14ac:dyDescent="0.25">
      <c r="A727" t="str">
        <f>""</f>
        <v/>
      </c>
      <c r="F727" t="str">
        <f>"201804049984"</f>
        <v>201804049984</v>
      </c>
      <c r="G727" t="str">
        <f>"N/A-ASSAULT FAMILY HOUSE/IMPED"</f>
        <v>N/A-ASSAULT FAMILY HOUSE/IMPED</v>
      </c>
      <c r="H727">
        <v>400</v>
      </c>
      <c r="I727" t="str">
        <f>"N/A-ASSAULT FAMILY HOUSE/IMPED"</f>
        <v>N/A-ASSAULT FAMILY HOUSE/IMPED</v>
      </c>
    </row>
    <row r="728" spans="1:9" x14ac:dyDescent="0.25">
      <c r="A728" t="str">
        <f>"FLS"</f>
        <v>FLS</v>
      </c>
      <c r="B728" t="s">
        <v>182</v>
      </c>
      <c r="C728">
        <v>999999</v>
      </c>
      <c r="D728" s="2">
        <v>750</v>
      </c>
      <c r="E728" s="1">
        <v>43214</v>
      </c>
      <c r="F728" t="str">
        <f>"201804120274"</f>
        <v>201804120274</v>
      </c>
      <c r="G728" t="str">
        <f>"N/A-POM-SCHOOL ZONE"</f>
        <v>N/A-POM-SCHOOL ZONE</v>
      </c>
      <c r="H728">
        <v>100</v>
      </c>
      <c r="I728" t="str">
        <f>"N/A-POM-SCHOOL ZONE"</f>
        <v>N/A-POM-SCHOOL ZONE</v>
      </c>
    </row>
    <row r="729" spans="1:9" x14ac:dyDescent="0.25">
      <c r="A729" t="str">
        <f>""</f>
        <v/>
      </c>
      <c r="F729" t="str">
        <f>"201804130308"</f>
        <v>201804130308</v>
      </c>
      <c r="G729" t="str">
        <f>"14 973"</f>
        <v>14 973</v>
      </c>
      <c r="H729">
        <v>400</v>
      </c>
      <c r="I729" t="str">
        <f>"14 973"</f>
        <v>14 973</v>
      </c>
    </row>
    <row r="730" spans="1:9" x14ac:dyDescent="0.25">
      <c r="A730" t="str">
        <f>""</f>
        <v/>
      </c>
      <c r="F730" t="str">
        <f>"201804130346"</f>
        <v>201804130346</v>
      </c>
      <c r="G730" t="str">
        <f>"55 063"</f>
        <v>55 063</v>
      </c>
      <c r="H730">
        <v>250</v>
      </c>
      <c r="I730" t="str">
        <f>"55 063"</f>
        <v>55 063</v>
      </c>
    </row>
    <row r="731" spans="1:9" x14ac:dyDescent="0.25">
      <c r="A731" t="str">
        <f>"PPLAN"</f>
        <v>PPLAN</v>
      </c>
      <c r="B731" t="s">
        <v>183</v>
      </c>
      <c r="C731">
        <v>76062</v>
      </c>
      <c r="D731" s="2">
        <v>524.34</v>
      </c>
      <c r="E731" s="1">
        <v>43199</v>
      </c>
      <c r="F731" t="str">
        <f>"201804039847"</f>
        <v>201804039847</v>
      </c>
      <c r="G731" t="str">
        <f>"ACCT#8850283308/PCT#3"</f>
        <v>ACCT#8850283308/PCT#3</v>
      </c>
      <c r="H731">
        <v>264.33</v>
      </c>
      <c r="I731" t="str">
        <f>"ACCT#8850283308/PCT#3"</f>
        <v>ACCT#8850283308/PCT#3</v>
      </c>
    </row>
    <row r="732" spans="1:9" x14ac:dyDescent="0.25">
      <c r="A732" t="str">
        <f>""</f>
        <v/>
      </c>
      <c r="F732" t="str">
        <f>"201804039848"</f>
        <v>201804039848</v>
      </c>
      <c r="G732" t="str">
        <f>"ACCT#8850283308/PCT#1"</f>
        <v>ACCT#8850283308/PCT#1</v>
      </c>
      <c r="H732">
        <v>260.01</v>
      </c>
      <c r="I732" t="str">
        <f>"ACCT#8850283308/PCT#1"</f>
        <v>ACCT#8850283308/PCT#1</v>
      </c>
    </row>
    <row r="733" spans="1:9" x14ac:dyDescent="0.25">
      <c r="A733" t="str">
        <f>"PPLAN"</f>
        <v>PPLAN</v>
      </c>
      <c r="B733" t="s">
        <v>183</v>
      </c>
      <c r="C733">
        <v>76276</v>
      </c>
      <c r="D733" s="2">
        <v>17548.650000000001</v>
      </c>
      <c r="E733" s="1">
        <v>43213</v>
      </c>
      <c r="F733" t="str">
        <f>"P62664"</f>
        <v>P62664</v>
      </c>
      <c r="G733" t="str">
        <f>"ACCT#7205008/ORD#183253/PCT#1"</f>
        <v>ACCT#7205008/ORD#183253/PCT#1</v>
      </c>
      <c r="H733">
        <v>167.04</v>
      </c>
      <c r="I733" t="str">
        <f>"ACCT#7205008/ORD#183253/PCT#1"</f>
        <v>ACCT#7205008/ORD#183253/PCT#1</v>
      </c>
    </row>
    <row r="734" spans="1:9" x14ac:dyDescent="0.25">
      <c r="A734" t="str">
        <f>""</f>
        <v/>
      </c>
      <c r="F734" t="str">
        <f>"R76287"</f>
        <v>R76287</v>
      </c>
      <c r="G734" t="str">
        <f>"ACCT#7205007/PCT#2"</f>
        <v>ACCT#7205007/PCT#2</v>
      </c>
      <c r="H734">
        <v>1908.64</v>
      </c>
      <c r="I734" t="str">
        <f>"ACCT#7205007/PCT#2"</f>
        <v>ACCT#7205007/PCT#2</v>
      </c>
    </row>
    <row r="735" spans="1:9" x14ac:dyDescent="0.25">
      <c r="A735" t="str">
        <f>""</f>
        <v/>
      </c>
      <c r="F735" t="str">
        <f>"W9425B"</f>
        <v>W9425B</v>
      </c>
      <c r="G735" t="str">
        <f>"ACCT#8850283308"</f>
        <v>ACCT#8850283308</v>
      </c>
      <c r="H735">
        <v>3375.02</v>
      </c>
      <c r="I735" t="str">
        <f>"ACCT#8850283308"</f>
        <v>ACCT#8850283308</v>
      </c>
    </row>
    <row r="736" spans="1:9" x14ac:dyDescent="0.25">
      <c r="A736" t="str">
        <f>""</f>
        <v/>
      </c>
      <c r="F736" t="str">
        <f>"W9425B P2"</f>
        <v>W9425B P2</v>
      </c>
      <c r="G736" t="str">
        <f>"ACCT#8850283308/PCT#2"</f>
        <v>ACCT#8850283308/PCT#2</v>
      </c>
      <c r="H736">
        <v>3375.03</v>
      </c>
      <c r="I736" t="str">
        <f>"ACCT#8850283308/PCT#2"</f>
        <v>ACCT#8850283308/PCT#2</v>
      </c>
    </row>
    <row r="737" spans="1:9" x14ac:dyDescent="0.25">
      <c r="A737" t="str">
        <f>""</f>
        <v/>
      </c>
      <c r="F737" t="str">
        <f>"W9425B P3"</f>
        <v>W9425B P3</v>
      </c>
      <c r="G737" t="str">
        <f>"ACCT#8850283308/PCT#3"</f>
        <v>ACCT#8850283308/PCT#3</v>
      </c>
      <c r="H737">
        <v>3375.03</v>
      </c>
      <c r="I737" t="str">
        <f>"ACCT#8850283308/PCT#3"</f>
        <v>ACCT#8850283308/PCT#3</v>
      </c>
    </row>
    <row r="738" spans="1:9" x14ac:dyDescent="0.25">
      <c r="A738" t="str">
        <f>""</f>
        <v/>
      </c>
      <c r="F738" t="str">
        <f>"W9425B P4"</f>
        <v>W9425B P4</v>
      </c>
      <c r="G738" t="str">
        <f>"ACCT#8850283308/PCT#4"</f>
        <v>ACCT#8850283308/PCT#4</v>
      </c>
      <c r="H738">
        <v>3375.02</v>
      </c>
      <c r="I738" t="str">
        <f>"ACCT#8850283308/PCT#4"</f>
        <v>ACCT#8850283308/PCT#4</v>
      </c>
    </row>
    <row r="739" spans="1:9" x14ac:dyDescent="0.25">
      <c r="A739" t="str">
        <f>""</f>
        <v/>
      </c>
      <c r="F739" t="str">
        <f>"W9518B"</f>
        <v>W9518B</v>
      </c>
      <c r="G739" t="str">
        <f>"ACCT#8850283308/PCT#1"</f>
        <v>ACCT#8850283308/PCT#1</v>
      </c>
      <c r="H739">
        <v>493.21</v>
      </c>
      <c r="I739" t="str">
        <f>"ACCT#8850283308/PCT#1"</f>
        <v>ACCT#8850283308/PCT#1</v>
      </c>
    </row>
    <row r="740" spans="1:9" x14ac:dyDescent="0.25">
      <c r="A740" t="str">
        <f>""</f>
        <v/>
      </c>
      <c r="F740" t="str">
        <f>"W9518B P2"</f>
        <v>W9518B P2</v>
      </c>
      <c r="G740" t="str">
        <f>"ACCT#8850283308/PCT#2"</f>
        <v>ACCT#8850283308/PCT#2</v>
      </c>
      <c r="H740">
        <v>493.22</v>
      </c>
      <c r="I740" t="str">
        <f>"ACCT#8850283308/PCT#2"</f>
        <v>ACCT#8850283308/PCT#2</v>
      </c>
    </row>
    <row r="741" spans="1:9" x14ac:dyDescent="0.25">
      <c r="A741" t="str">
        <f>""</f>
        <v/>
      </c>
      <c r="F741" t="str">
        <f>"W9518B P3"</f>
        <v>W9518B P3</v>
      </c>
      <c r="G741" t="str">
        <f>"ACCT#8850283308/PCT#3"</f>
        <v>ACCT#8850283308/PCT#3</v>
      </c>
      <c r="H741">
        <v>493.22</v>
      </c>
      <c r="I741" t="str">
        <f>"ACCT#8850283308/PCT#3"</f>
        <v>ACCT#8850283308/PCT#3</v>
      </c>
    </row>
    <row r="742" spans="1:9" x14ac:dyDescent="0.25">
      <c r="A742" t="str">
        <f>""</f>
        <v/>
      </c>
      <c r="F742" t="str">
        <f>"W9518B P4"</f>
        <v>W9518B P4</v>
      </c>
      <c r="G742" t="str">
        <f>"ACCT#8850283308/PCT#4"</f>
        <v>ACCT#8850283308/PCT#4</v>
      </c>
      <c r="H742">
        <v>493.22</v>
      </c>
      <c r="I742" t="str">
        <f>"ACCT#8850283308/PCT#4"</f>
        <v>ACCT#8850283308/PCT#4</v>
      </c>
    </row>
    <row r="743" spans="1:9" x14ac:dyDescent="0.25">
      <c r="A743" t="str">
        <f>"AT&amp;EI"</f>
        <v>AT&amp;EI</v>
      </c>
      <c r="B743" t="s">
        <v>184</v>
      </c>
      <c r="C743">
        <v>76063</v>
      </c>
      <c r="D743" s="2">
        <v>108050.71</v>
      </c>
      <c r="E743" s="1">
        <v>43199</v>
      </c>
      <c r="F743" t="str">
        <f>"2018 FREIGHTLINER"</f>
        <v>2018 FREIGHTLINER</v>
      </c>
      <c r="G743" t="str">
        <f>"AUSTIN TRUCK &amp; EQUIP LTD"</f>
        <v>AUSTIN TRUCK &amp; EQUIP LTD</v>
      </c>
      <c r="H743">
        <v>107907</v>
      </c>
      <c r="I743" t="str">
        <f>"2018 Freightliner"</f>
        <v>2018 Freightliner</v>
      </c>
    </row>
    <row r="744" spans="1:9" x14ac:dyDescent="0.25">
      <c r="A744" t="str">
        <f>""</f>
        <v/>
      </c>
      <c r="F744" t="str">
        <f>"AP365042"</f>
        <v>AP365042</v>
      </c>
      <c r="G744" t="str">
        <f>"ACCT#3325/PARTS/PCT#2"</f>
        <v>ACCT#3325/PARTS/PCT#2</v>
      </c>
      <c r="H744">
        <v>41.51</v>
      </c>
      <c r="I744" t="str">
        <f>"ACCT#3325/PARTS/PCT#2"</f>
        <v>ACCT#3325/PARTS/PCT#2</v>
      </c>
    </row>
    <row r="745" spans="1:9" x14ac:dyDescent="0.25">
      <c r="A745" t="str">
        <f>""</f>
        <v/>
      </c>
      <c r="F745" t="str">
        <f>"AP365512"</f>
        <v>AP365512</v>
      </c>
      <c r="G745" t="str">
        <f>"ACCT#3325/PARTS/PCT#2"</f>
        <v>ACCT#3325/PARTS/PCT#2</v>
      </c>
      <c r="H745">
        <v>56.18</v>
      </c>
      <c r="I745" t="str">
        <f>"ACCT#3325/PARTS/PCT#2"</f>
        <v>ACCT#3325/PARTS/PCT#2</v>
      </c>
    </row>
    <row r="746" spans="1:9" x14ac:dyDescent="0.25">
      <c r="A746" t="str">
        <f>""</f>
        <v/>
      </c>
      <c r="F746" t="str">
        <f>"AP365724"</f>
        <v>AP365724</v>
      </c>
      <c r="G746" t="str">
        <f>"ACCT#3325/MODULE/PCT#2"</f>
        <v>ACCT#3325/MODULE/PCT#2</v>
      </c>
      <c r="H746">
        <v>37.21</v>
      </c>
      <c r="I746" t="str">
        <f>"ACCT#3325/MODULE/PCT#2"</f>
        <v>ACCT#3325/MODULE/PCT#2</v>
      </c>
    </row>
    <row r="747" spans="1:9" x14ac:dyDescent="0.25">
      <c r="A747" t="str">
        <f>""</f>
        <v/>
      </c>
      <c r="F747" t="str">
        <f>"AP365818"</f>
        <v>AP365818</v>
      </c>
      <c r="G747" t="str">
        <f>"ACCT#3325/SWITCH BRK/PCT#2"</f>
        <v>ACCT#3325/SWITCH BRK/PCT#2</v>
      </c>
      <c r="H747">
        <v>8.81</v>
      </c>
      <c r="I747" t="str">
        <f>"ACCT#3325/SWITCH BRK/PCT#2"</f>
        <v>ACCT#3325/SWITCH BRK/PCT#2</v>
      </c>
    </row>
    <row r="748" spans="1:9" x14ac:dyDescent="0.25">
      <c r="A748" t="str">
        <f>"AT&amp;EI"</f>
        <v>AT&amp;EI</v>
      </c>
      <c r="B748" t="s">
        <v>184</v>
      </c>
      <c r="C748">
        <v>76277</v>
      </c>
      <c r="D748" s="2">
        <v>11.38</v>
      </c>
      <c r="E748" s="1">
        <v>43213</v>
      </c>
      <c r="F748" t="str">
        <f>"AP366197"</f>
        <v>AP366197</v>
      </c>
      <c r="G748" t="str">
        <f>"ACCT#3326/PCT#4"</f>
        <v>ACCT#3326/PCT#4</v>
      </c>
      <c r="H748">
        <v>11.38</v>
      </c>
      <c r="I748" t="str">
        <f>"ACCT#3326/PCT#4"</f>
        <v>ACCT#3326/PCT#4</v>
      </c>
    </row>
    <row r="749" spans="1:9" x14ac:dyDescent="0.25">
      <c r="A749" t="str">
        <f>"G&amp;C"</f>
        <v>G&amp;C</v>
      </c>
      <c r="B749" t="s">
        <v>185</v>
      </c>
      <c r="C749">
        <v>999999</v>
      </c>
      <c r="D749" s="2">
        <v>170.76</v>
      </c>
      <c r="E749" s="1">
        <v>43214</v>
      </c>
      <c r="F749" t="str">
        <f>"GC 104768"</f>
        <v>GC 104768</v>
      </c>
      <c r="G749" t="str">
        <f>"INV GC 104768"</f>
        <v>INV GC 104768</v>
      </c>
      <c r="H749">
        <v>40.96</v>
      </c>
      <c r="I749" t="str">
        <f>"INV GC 104768"</f>
        <v>INV GC 104768</v>
      </c>
    </row>
    <row r="750" spans="1:9" x14ac:dyDescent="0.25">
      <c r="A750" t="str">
        <f>""</f>
        <v/>
      </c>
      <c r="F750" t="str">
        <f>"GC 104769"</f>
        <v>GC 104769</v>
      </c>
      <c r="G750" t="str">
        <f>"INV GC 104769"</f>
        <v>INV GC 104769</v>
      </c>
      <c r="H750">
        <v>40.96</v>
      </c>
      <c r="I750" t="str">
        <f>"INV GC 104769"</f>
        <v>INV GC 104769</v>
      </c>
    </row>
    <row r="751" spans="1:9" x14ac:dyDescent="0.25">
      <c r="A751" t="str">
        <f>""</f>
        <v/>
      </c>
      <c r="F751" t="str">
        <f>"GC 105026"</f>
        <v>GC 105026</v>
      </c>
      <c r="G751" t="str">
        <f>"INV GC 105026"</f>
        <v>INV GC 105026</v>
      </c>
      <c r="H751">
        <v>47.88</v>
      </c>
      <c r="I751" t="str">
        <f>"INV GC 105026"</f>
        <v>INV GC 105026</v>
      </c>
    </row>
    <row r="752" spans="1:9" x14ac:dyDescent="0.25">
      <c r="A752" t="str">
        <f>""</f>
        <v/>
      </c>
      <c r="F752" t="str">
        <f>"GC 105060"</f>
        <v>GC 105060</v>
      </c>
      <c r="G752" t="str">
        <f>"INV GC 105060"</f>
        <v>INV GC 105060</v>
      </c>
      <c r="H752">
        <v>40.96</v>
      </c>
      <c r="I752" t="str">
        <f>"INV GC 105060"</f>
        <v>INV GC 105060</v>
      </c>
    </row>
    <row r="753" spans="1:9" x14ac:dyDescent="0.25">
      <c r="A753" t="str">
        <f>"002605"</f>
        <v>002605</v>
      </c>
      <c r="B753" t="s">
        <v>186</v>
      </c>
      <c r="C753">
        <v>76278</v>
      </c>
      <c r="D753" s="2">
        <v>352.97</v>
      </c>
      <c r="E753" s="1">
        <v>43213</v>
      </c>
      <c r="F753" t="str">
        <f>"201804130323"</f>
        <v>201804130323</v>
      </c>
      <c r="G753" t="str">
        <f>"CUST#2179855/PCT#3"</f>
        <v>CUST#2179855/PCT#3</v>
      </c>
      <c r="H753">
        <v>352.97</v>
      </c>
      <c r="I753" t="str">
        <f>"CUST#2179855/PCT#3"</f>
        <v>CUST#2179855/PCT#3</v>
      </c>
    </row>
    <row r="754" spans="1:9" x14ac:dyDescent="0.25">
      <c r="A754" t="str">
        <f>"T5794"</f>
        <v>T5794</v>
      </c>
      <c r="B754" t="s">
        <v>187</v>
      </c>
      <c r="C754">
        <v>999999</v>
      </c>
      <c r="D754" s="2">
        <v>93.27</v>
      </c>
      <c r="E754" s="1">
        <v>43200</v>
      </c>
      <c r="F754" t="str">
        <f>"N52115"</f>
        <v>N52115</v>
      </c>
      <c r="G754" t="str">
        <f>"INV N52115"</f>
        <v>INV N52115</v>
      </c>
      <c r="H754">
        <v>93.27</v>
      </c>
      <c r="I754" t="str">
        <f>"INV N52115"</f>
        <v>INV N52115</v>
      </c>
    </row>
    <row r="755" spans="1:9" x14ac:dyDescent="0.25">
      <c r="A755" t="str">
        <f>"004048"</f>
        <v>004048</v>
      </c>
      <c r="B755" t="s">
        <v>188</v>
      </c>
      <c r="C755">
        <v>76064</v>
      </c>
      <c r="D755" s="2">
        <v>390</v>
      </c>
      <c r="E755" s="1">
        <v>43199</v>
      </c>
      <c r="F755" t="str">
        <f>"201803299803"</f>
        <v>201803299803</v>
      </c>
      <c r="G755" t="str">
        <f>"REG FOR GCAT CONFER-J. LUCERO"</f>
        <v>REG FOR GCAT CONFER-J. LUCERO</v>
      </c>
      <c r="H755">
        <v>195</v>
      </c>
      <c r="I755" t="str">
        <f>"REG FOR GCAT CONFER-J. LUCERO"</f>
        <v>REG FOR GCAT CONFER-J. LUCERO</v>
      </c>
    </row>
    <row r="756" spans="1:9" x14ac:dyDescent="0.25">
      <c r="A756" t="str">
        <f>""</f>
        <v/>
      </c>
      <c r="F756" t="str">
        <f>"201803299804"</f>
        <v>201803299804</v>
      </c>
      <c r="G756" t="str">
        <f>"REG FOR GCAT CONFER-M.BORREGO"</f>
        <v>REG FOR GCAT CONFER-M.BORREGO</v>
      </c>
      <c r="H756">
        <v>195</v>
      </c>
      <c r="I756" t="str">
        <f>"REG FOR GCAT CONFER-M.BORREGO"</f>
        <v>REG FOR GCAT CONFER-M.BORREGO</v>
      </c>
    </row>
    <row r="757" spans="1:9" x14ac:dyDescent="0.25">
      <c r="A757" t="str">
        <f>"GCR"</f>
        <v>GCR</v>
      </c>
      <c r="B757" t="s">
        <v>189</v>
      </c>
      <c r="C757">
        <v>76279</v>
      </c>
      <c r="D757" s="2">
        <v>444.8</v>
      </c>
      <c r="E757" s="1">
        <v>43213</v>
      </c>
      <c r="F757" t="str">
        <f>"625-98556"</f>
        <v>625-98556</v>
      </c>
      <c r="G757" t="str">
        <f>"CUST#535538/ORD#101853/PCT#2"</f>
        <v>CUST#535538/ORD#101853/PCT#2</v>
      </c>
      <c r="H757">
        <v>444.8</v>
      </c>
      <c r="I757" t="str">
        <f>"CUST#535538/ORD#101853/PCT#2"</f>
        <v>CUST#535538/ORD#101853/PCT#2</v>
      </c>
    </row>
    <row r="758" spans="1:9" x14ac:dyDescent="0.25">
      <c r="A758" t="str">
        <f>"002712"</f>
        <v>002712</v>
      </c>
      <c r="B758" t="s">
        <v>190</v>
      </c>
      <c r="C758">
        <v>76280</v>
      </c>
      <c r="D758" s="2">
        <v>531.41999999999996</v>
      </c>
      <c r="E758" s="1">
        <v>43213</v>
      </c>
      <c r="F758" t="str">
        <f>"170150"</f>
        <v>170150</v>
      </c>
      <c r="G758" t="str">
        <f>"ORDER#170150/PCT#2"</f>
        <v>ORDER#170150/PCT#2</v>
      </c>
      <c r="H758">
        <v>531.41999999999996</v>
      </c>
      <c r="I758" t="str">
        <f>"ORDER#170150/PCT#2"</f>
        <v>ORDER#170150/PCT#2</v>
      </c>
    </row>
    <row r="759" spans="1:9" x14ac:dyDescent="0.25">
      <c r="A759" t="str">
        <f>"004256"</f>
        <v>004256</v>
      </c>
      <c r="B759" t="s">
        <v>191</v>
      </c>
      <c r="C759">
        <v>76281</v>
      </c>
      <c r="D759" s="2">
        <v>6987.19</v>
      </c>
      <c r="E759" s="1">
        <v>43213</v>
      </c>
      <c r="F759" t="str">
        <f>"TRAILER FOR GEN SV"</f>
        <v>TRAILER FOR GEN SV</v>
      </c>
      <c r="G759" t="str">
        <f>"7'xL6'x3' Trailer"</f>
        <v>7'xL6'x3' Trailer</v>
      </c>
      <c r="H759">
        <v>6987.19</v>
      </c>
      <c r="I759" t="str">
        <f>"7'xL6'x3' Trailer"</f>
        <v>7'xL6'x3' Trailer</v>
      </c>
    </row>
    <row r="760" spans="1:9" x14ac:dyDescent="0.25">
      <c r="A760" t="str">
        <f>""</f>
        <v/>
      </c>
      <c r="F760" t="str">
        <f>""</f>
        <v/>
      </c>
      <c r="G760" t="str">
        <f>""</f>
        <v/>
      </c>
      <c r="I760" t="str">
        <f>"Temp Tag"</f>
        <v>Temp Tag</v>
      </c>
    </row>
    <row r="761" spans="1:9" x14ac:dyDescent="0.25">
      <c r="A761" t="str">
        <f>""</f>
        <v/>
      </c>
      <c r="F761" t="str">
        <f>""</f>
        <v/>
      </c>
      <c r="G761" t="str">
        <f>""</f>
        <v/>
      </c>
      <c r="I761" t="str">
        <f>"Doc Prep"</f>
        <v>Doc Prep</v>
      </c>
    </row>
    <row r="762" spans="1:9" x14ac:dyDescent="0.25">
      <c r="A762" t="str">
        <f>""</f>
        <v/>
      </c>
      <c r="F762" t="str">
        <f>""</f>
        <v/>
      </c>
      <c r="G762" t="str">
        <f>""</f>
        <v/>
      </c>
      <c r="I762" t="str">
        <f>"Inventory Tax"</f>
        <v>Inventory Tax</v>
      </c>
    </row>
    <row r="763" spans="1:9" x14ac:dyDescent="0.25">
      <c r="A763" t="str">
        <f>""</f>
        <v/>
      </c>
      <c r="F763" t="str">
        <f>""</f>
        <v/>
      </c>
      <c r="G763" t="str">
        <f>""</f>
        <v/>
      </c>
      <c r="I763" t="str">
        <f>"Hitch"</f>
        <v>Hitch</v>
      </c>
    </row>
    <row r="764" spans="1:9" x14ac:dyDescent="0.25">
      <c r="A764" t="str">
        <f>"T10301"</f>
        <v>T10301</v>
      </c>
      <c r="B764" t="s">
        <v>192</v>
      </c>
      <c r="C764">
        <v>76065</v>
      </c>
      <c r="D764" s="2">
        <v>10607.91</v>
      </c>
      <c r="E764" s="1">
        <v>43199</v>
      </c>
      <c r="F764" t="str">
        <f>"2"</f>
        <v>2</v>
      </c>
      <c r="G764" t="str">
        <f>"MITIGATION SVCS/CAUSE#15 914"</f>
        <v>MITIGATION SVCS/CAUSE#15 914</v>
      </c>
      <c r="H764">
        <v>10607.91</v>
      </c>
      <c r="I764" t="str">
        <f>"MITIGATION SVCS/CAUSE#15 914"</f>
        <v>MITIGATION SVCS/CAUSE#15 914</v>
      </c>
    </row>
    <row r="765" spans="1:9" x14ac:dyDescent="0.25">
      <c r="A765" t="str">
        <f>"004353"</f>
        <v>004353</v>
      </c>
      <c r="B765" t="s">
        <v>193</v>
      </c>
      <c r="C765">
        <v>76066</v>
      </c>
      <c r="D765" s="2">
        <v>1200</v>
      </c>
      <c r="E765" s="1">
        <v>43199</v>
      </c>
      <c r="F765" t="str">
        <f>"1015"</f>
        <v>1015</v>
      </c>
      <c r="G765" t="str">
        <f>"TRANSPORT-R.JACKSON"</f>
        <v>TRANSPORT-R.JACKSON</v>
      </c>
      <c r="H765">
        <v>500</v>
      </c>
      <c r="I765" t="str">
        <f>"TRANSPORT-R.JACKSON"</f>
        <v>TRANSPORT-R.JACKSON</v>
      </c>
    </row>
    <row r="766" spans="1:9" x14ac:dyDescent="0.25">
      <c r="A766" t="str">
        <f>""</f>
        <v/>
      </c>
      <c r="F766" t="str">
        <f>"1016"</f>
        <v>1016</v>
      </c>
      <c r="G766" t="str">
        <f>"TRANSPORT-A. SLIDER"</f>
        <v>TRANSPORT-A. SLIDER</v>
      </c>
      <c r="H766">
        <v>350</v>
      </c>
      <c r="I766" t="str">
        <f>"TRANSPORT-A. SLIDER"</f>
        <v>TRANSPORT-A. SLIDER</v>
      </c>
    </row>
    <row r="767" spans="1:9" x14ac:dyDescent="0.25">
      <c r="A767" t="str">
        <f>""</f>
        <v/>
      </c>
      <c r="F767" t="str">
        <f>"1065"</f>
        <v>1065</v>
      </c>
      <c r="G767" t="str">
        <f>"TRANSPORT-M. SANCHEZ-ROSARTO"</f>
        <v>TRANSPORT-M. SANCHEZ-ROSARTO</v>
      </c>
      <c r="H767">
        <v>350</v>
      </c>
      <c r="I767" t="str">
        <f>"TRANSPORT-M. SANCHEZ-ROSARTO"</f>
        <v>TRANSPORT-M. SANCHEZ-ROSARTO</v>
      </c>
    </row>
    <row r="768" spans="1:9" x14ac:dyDescent="0.25">
      <c r="A768" t="str">
        <f>"T12726"</f>
        <v>T12726</v>
      </c>
      <c r="B768" t="s">
        <v>194</v>
      </c>
      <c r="C768">
        <v>76282</v>
      </c>
      <c r="D768" s="2">
        <v>595</v>
      </c>
      <c r="E768" s="1">
        <v>43213</v>
      </c>
      <c r="F768" t="str">
        <f>"0142134  03/27/18"</f>
        <v>0142134  03/27/18</v>
      </c>
      <c r="G768" t="str">
        <f>"MEMBER#'S:300142135/300180980"</f>
        <v>MEMBER#'S:300142135/300180980</v>
      </c>
      <c r="H768">
        <v>595</v>
      </c>
      <c r="I768" t="str">
        <f>"MEMBER#'S:300142135/300180980"</f>
        <v>MEMBER#'S:300142135/300180980</v>
      </c>
    </row>
    <row r="769" spans="1:9" x14ac:dyDescent="0.25">
      <c r="A769" t="str">
        <f>"005439"</f>
        <v>005439</v>
      </c>
      <c r="B769" t="s">
        <v>195</v>
      </c>
      <c r="C769">
        <v>76283</v>
      </c>
      <c r="D769" s="2">
        <v>937.37</v>
      </c>
      <c r="E769" s="1">
        <v>43213</v>
      </c>
      <c r="F769" t="str">
        <f>"0309241"</f>
        <v>0309241</v>
      </c>
      <c r="G769" t="str">
        <f>"JOB#009036/RECORDING PAPER"</f>
        <v>JOB#009036/RECORDING PAPER</v>
      </c>
      <c r="H769">
        <v>520.41999999999996</v>
      </c>
      <c r="I769" t="str">
        <f>"JOB#009036/RECORDING PAPER"</f>
        <v>JOB#009036/RECORDING PAPER</v>
      </c>
    </row>
    <row r="770" spans="1:9" x14ac:dyDescent="0.25">
      <c r="A770" t="str">
        <f>""</f>
        <v/>
      </c>
      <c r="F770" t="str">
        <f>"0309242"</f>
        <v>0309242</v>
      </c>
      <c r="G770" t="str">
        <f>"JOB#009035/MARRIAGE LICENSE"</f>
        <v>JOB#009035/MARRIAGE LICENSE</v>
      </c>
      <c r="H770">
        <v>416.95</v>
      </c>
      <c r="I770" t="str">
        <f>"JOB#009035/MARRIAGE LICENSE"</f>
        <v>JOB#009035/MARRIAGE LICENSE</v>
      </c>
    </row>
    <row r="771" spans="1:9" x14ac:dyDescent="0.25">
      <c r="A771" t="str">
        <f>"005467"</f>
        <v>005467</v>
      </c>
      <c r="B771" t="s">
        <v>196</v>
      </c>
      <c r="C771">
        <v>999999</v>
      </c>
      <c r="D771" s="2">
        <v>140</v>
      </c>
      <c r="E771" s="1">
        <v>43200</v>
      </c>
      <c r="F771" t="str">
        <f>"1500"</f>
        <v>1500</v>
      </c>
      <c r="G771" t="str">
        <f>"WHEELER PITTOSPORUM"</f>
        <v>WHEELER PITTOSPORUM</v>
      </c>
      <c r="H771">
        <v>140</v>
      </c>
      <c r="I771" t="str">
        <f>"WHEELER PITTOSPORUM"</f>
        <v>WHEELER PITTOSPORUM</v>
      </c>
    </row>
    <row r="772" spans="1:9" x14ac:dyDescent="0.25">
      <c r="A772" t="str">
        <f>"002141"</f>
        <v>002141</v>
      </c>
      <c r="B772" t="s">
        <v>197</v>
      </c>
      <c r="C772">
        <v>76067</v>
      </c>
      <c r="D772" s="2">
        <v>2246.6</v>
      </c>
      <c r="E772" s="1">
        <v>43199</v>
      </c>
      <c r="F772" t="str">
        <f>"202159"</f>
        <v>202159</v>
      </c>
      <c r="G772" t="str">
        <f>"Batteries - IT"</f>
        <v>Batteries - IT</v>
      </c>
      <c r="H772">
        <v>2246.6</v>
      </c>
      <c r="I772" t="str">
        <f>"58AGPS-12-9-F2"</f>
        <v>58AGPS-12-9-F2</v>
      </c>
    </row>
    <row r="773" spans="1:9" x14ac:dyDescent="0.25">
      <c r="A773" t="str">
        <f>""</f>
        <v/>
      </c>
      <c r="F773" t="str">
        <f>""</f>
        <v/>
      </c>
      <c r="G773" t="str">
        <f>""</f>
        <v/>
      </c>
      <c r="I773" t="str">
        <f>"82SM-FELABOR-FX"</f>
        <v>82SM-FELABOR-FX</v>
      </c>
    </row>
    <row r="774" spans="1:9" x14ac:dyDescent="0.25">
      <c r="A774" t="str">
        <f>""</f>
        <v/>
      </c>
      <c r="F774" t="str">
        <f>""</f>
        <v/>
      </c>
      <c r="G774" t="str">
        <f>""</f>
        <v/>
      </c>
      <c r="I774" t="str">
        <f>"Shipping"</f>
        <v>Shipping</v>
      </c>
    </row>
    <row r="775" spans="1:9" x14ac:dyDescent="0.25">
      <c r="A775" t="str">
        <f>"GTDI"</f>
        <v>GTDI</v>
      </c>
      <c r="B775" t="s">
        <v>198</v>
      </c>
      <c r="C775">
        <v>76068</v>
      </c>
      <c r="D775" s="2">
        <v>2569.7800000000002</v>
      </c>
      <c r="E775" s="1">
        <v>43199</v>
      </c>
      <c r="F775" t="str">
        <f>"AMMUNITION"</f>
        <v>AMMUNITION</v>
      </c>
      <c r="G775" t="str">
        <f>"INV0654640"</f>
        <v>INV0654640</v>
      </c>
      <c r="H775">
        <v>2563.6</v>
      </c>
      <c r="I775" t="str">
        <f>"CCI-53652-BX"</f>
        <v>CCI-53652-BX</v>
      </c>
    </row>
    <row r="776" spans="1:9" x14ac:dyDescent="0.25">
      <c r="A776" t="str">
        <f>""</f>
        <v/>
      </c>
      <c r="F776" t="str">
        <f>""</f>
        <v/>
      </c>
      <c r="G776" t="str">
        <f>""</f>
        <v/>
      </c>
      <c r="I776" t="str">
        <f>"FOF-FF9B2-BX"</f>
        <v>FOF-FF9B2-BX</v>
      </c>
    </row>
    <row r="777" spans="1:9" x14ac:dyDescent="0.25">
      <c r="A777" t="str">
        <f>""</f>
        <v/>
      </c>
      <c r="F777" t="str">
        <f>""</f>
        <v/>
      </c>
      <c r="G777" t="str">
        <f>""</f>
        <v/>
      </c>
      <c r="I777" t="str">
        <f>"FOF-FF556B1-BX"</f>
        <v>FOF-FF556B1-BX</v>
      </c>
    </row>
    <row r="778" spans="1:9" x14ac:dyDescent="0.25">
      <c r="A778" t="str">
        <f>""</f>
        <v/>
      </c>
      <c r="F778" t="str">
        <f>"INV0646085"</f>
        <v>INV0646085</v>
      </c>
      <c r="G778" t="str">
        <f>"INV0646085"</f>
        <v>INV0646085</v>
      </c>
      <c r="H778">
        <v>6.18</v>
      </c>
      <c r="I778" t="str">
        <f>"INV0646085"</f>
        <v>INV0646085</v>
      </c>
    </row>
    <row r="779" spans="1:9" x14ac:dyDescent="0.25">
      <c r="A779" t="str">
        <f>"T3667"</f>
        <v>T3667</v>
      </c>
      <c r="B779" t="s">
        <v>199</v>
      </c>
      <c r="C779">
        <v>76069</v>
      </c>
      <c r="D779" s="2">
        <v>4390.71</v>
      </c>
      <c r="E779" s="1">
        <v>43199</v>
      </c>
      <c r="F779" t="str">
        <f>"1457481/1457480/14"</f>
        <v>1457481/1457480/14</v>
      </c>
      <c r="G779" t="str">
        <f>"INV 1457480"</f>
        <v>INV 1457480</v>
      </c>
      <c r="H779">
        <v>1992.77</v>
      </c>
      <c r="I779" t="str">
        <f>"INV 1457481"</f>
        <v>INV 1457481</v>
      </c>
    </row>
    <row r="780" spans="1:9" x14ac:dyDescent="0.25">
      <c r="A780" t="str">
        <f>""</f>
        <v/>
      </c>
      <c r="F780" t="str">
        <f>""</f>
        <v/>
      </c>
      <c r="G780" t="str">
        <f>""</f>
        <v/>
      </c>
      <c r="I780" t="str">
        <f>"INV 1457480"</f>
        <v>INV 1457480</v>
      </c>
    </row>
    <row r="781" spans="1:9" x14ac:dyDescent="0.25">
      <c r="A781" t="str">
        <f>""</f>
        <v/>
      </c>
      <c r="F781" t="str">
        <f>""</f>
        <v/>
      </c>
      <c r="G781" t="str">
        <f>""</f>
        <v/>
      </c>
      <c r="I781" t="str">
        <f>"INV 1461238"</f>
        <v>INV 1461238</v>
      </c>
    </row>
    <row r="782" spans="1:9" x14ac:dyDescent="0.25">
      <c r="A782" t="str">
        <f>""</f>
        <v/>
      </c>
      <c r="F782" t="str">
        <f>"1471992"</f>
        <v>1471992</v>
      </c>
      <c r="G782" t="str">
        <f>"CUST#0007014928/ORD#L77P3/01"</f>
        <v>CUST#0007014928/ORD#L77P3/01</v>
      </c>
      <c r="H782">
        <v>42.28</v>
      </c>
      <c r="I782" t="str">
        <f>"CUST#0007014928/ORD#L77P3/01"</f>
        <v>CUST#0007014928/ORD#L77P3/01</v>
      </c>
    </row>
    <row r="783" spans="1:9" x14ac:dyDescent="0.25">
      <c r="A783" t="str">
        <f>""</f>
        <v/>
      </c>
      <c r="F783" t="str">
        <f>"1472002"</f>
        <v>1472002</v>
      </c>
      <c r="G783" t="str">
        <f>"CUST#0007014928/ORD#L88P1"</f>
        <v>CUST#0007014928/ORD#L88P1</v>
      </c>
      <c r="H783">
        <v>174.06</v>
      </c>
      <c r="I783" t="str">
        <f>"CUST#0007014928/ORD#L88P1"</f>
        <v>CUST#0007014928/ORD#L88P1</v>
      </c>
    </row>
    <row r="784" spans="1:9" x14ac:dyDescent="0.25">
      <c r="A784" t="str">
        <f>""</f>
        <v/>
      </c>
      <c r="F784" t="str">
        <f>"1475802"</f>
        <v>1475802</v>
      </c>
      <c r="G784" t="str">
        <f>"INV 1475802"</f>
        <v>INV 1475802</v>
      </c>
      <c r="H784">
        <v>2181.6</v>
      </c>
      <c r="I784" t="str">
        <f>"INV 1475802"</f>
        <v>INV 1475802</v>
      </c>
    </row>
    <row r="785" spans="1:10" x14ac:dyDescent="0.25">
      <c r="A785" t="str">
        <f>"T3667"</f>
        <v>T3667</v>
      </c>
      <c r="B785" t="s">
        <v>199</v>
      </c>
      <c r="C785">
        <v>76284</v>
      </c>
      <c r="D785" s="2">
        <v>270.42</v>
      </c>
      <c r="E785" s="1">
        <v>43213</v>
      </c>
      <c r="F785" t="str">
        <f>"1483026"</f>
        <v>1483026</v>
      </c>
      <c r="G785" t="str">
        <f>"CUST#0007014928/GEN SVCS"</f>
        <v>CUST#0007014928/GEN SVCS</v>
      </c>
      <c r="H785">
        <v>41.67</v>
      </c>
      <c r="I785" t="str">
        <f>"CUST#0007014928/GEN SVCS"</f>
        <v>CUST#0007014928/GEN SVCS</v>
      </c>
    </row>
    <row r="786" spans="1:10" x14ac:dyDescent="0.25">
      <c r="A786" t="str">
        <f>""</f>
        <v/>
      </c>
      <c r="F786" t="str">
        <f>"1483027/1485663"</f>
        <v>1483027/1485663</v>
      </c>
      <c r="G786" t="str">
        <f>"INV 1483027"</f>
        <v>INV 1483027</v>
      </c>
      <c r="H786">
        <v>174</v>
      </c>
      <c r="I786" t="str">
        <f>"INV 1483027"</f>
        <v>INV 1483027</v>
      </c>
    </row>
    <row r="787" spans="1:10" x14ac:dyDescent="0.25">
      <c r="A787" t="str">
        <f>""</f>
        <v/>
      </c>
      <c r="F787" t="str">
        <f>""</f>
        <v/>
      </c>
      <c r="G787" t="str">
        <f>""</f>
        <v/>
      </c>
      <c r="I787" t="str">
        <f>"INV 1485663"</f>
        <v>INV 1485663</v>
      </c>
    </row>
    <row r="788" spans="1:10" x14ac:dyDescent="0.25">
      <c r="A788" t="str">
        <f>""</f>
        <v/>
      </c>
      <c r="F788" t="str">
        <f>"1483038"</f>
        <v>1483038</v>
      </c>
      <c r="G788" t="str">
        <f>"CUST#0007014928/GEN SVCS"</f>
        <v>CUST#0007014928/GEN SVCS</v>
      </c>
      <c r="H788">
        <v>54.75</v>
      </c>
      <c r="I788" t="str">
        <f>"CUST#0007014928/GEN SVCS"</f>
        <v>CUST#0007014928/GEN SVCS</v>
      </c>
    </row>
    <row r="789" spans="1:10" x14ac:dyDescent="0.25">
      <c r="A789" t="str">
        <f>"T14120"</f>
        <v>T14120</v>
      </c>
      <c r="B789" t="s">
        <v>200</v>
      </c>
      <c r="C789">
        <v>999999</v>
      </c>
      <c r="D789" s="2">
        <v>50</v>
      </c>
      <c r="E789" s="1">
        <v>43200</v>
      </c>
      <c r="F789" t="str">
        <f>"429177"</f>
        <v>429177</v>
      </c>
      <c r="G789" t="str">
        <f>"ACCT#55026/PCT#4"</f>
        <v>ACCT#55026/PCT#4</v>
      </c>
      <c r="H789">
        <v>50</v>
      </c>
      <c r="I789" t="str">
        <f>"ACCT#55026/PCT#4"</f>
        <v>ACCT#55026/PCT#4</v>
      </c>
    </row>
    <row r="790" spans="1:10" x14ac:dyDescent="0.25">
      <c r="A790" t="str">
        <f>"T13876"</f>
        <v>T13876</v>
      </c>
      <c r="B790" t="s">
        <v>201</v>
      </c>
      <c r="C790">
        <v>76285</v>
      </c>
      <c r="D790" s="2">
        <v>2532.4899999999998</v>
      </c>
      <c r="E790" s="1">
        <v>43213</v>
      </c>
      <c r="F790" t="str">
        <f>"00010866"</f>
        <v>00010866</v>
      </c>
      <c r="G790" t="str">
        <f>"PROJ#033387.001/ENGINEERING SV"</f>
        <v>PROJ#033387.001/ENGINEERING SV</v>
      </c>
      <c r="H790">
        <v>533.74</v>
      </c>
      <c r="I790" t="str">
        <f>"PROJ#033387.001/ENGINEERING SV"</f>
        <v>PROJ#033387.001/ENGINEERING SV</v>
      </c>
    </row>
    <row r="791" spans="1:10" x14ac:dyDescent="0.25">
      <c r="A791" t="str">
        <f>""</f>
        <v/>
      </c>
      <c r="F791" t="str">
        <f>"00010867"</f>
        <v>00010867</v>
      </c>
      <c r="G791" t="str">
        <f>"PROJ#033387.002"</f>
        <v>PROJ#033387.002</v>
      </c>
      <c r="H791">
        <v>1998.75</v>
      </c>
      <c r="I791" t="str">
        <f>"PROJ#033387.002"</f>
        <v>PROJ#033387.002</v>
      </c>
    </row>
    <row r="792" spans="1:10" x14ac:dyDescent="0.25">
      <c r="A792" t="str">
        <f>"002862"</f>
        <v>002862</v>
      </c>
      <c r="B792" t="s">
        <v>202</v>
      </c>
      <c r="C792">
        <v>76286</v>
      </c>
      <c r="D792" s="2">
        <v>300</v>
      </c>
      <c r="E792" s="1">
        <v>43213</v>
      </c>
      <c r="F792" t="str">
        <f>"2999"</f>
        <v>2999</v>
      </c>
      <c r="G792" t="str">
        <f>"Card Reader"</f>
        <v>Card Reader</v>
      </c>
      <c r="H792">
        <v>300</v>
      </c>
      <c r="I792" t="str">
        <f>"ID TECH"</f>
        <v>ID TECH</v>
      </c>
    </row>
    <row r="793" spans="1:10" x14ac:dyDescent="0.25">
      <c r="A793" t="str">
        <f>"005207"</f>
        <v>005207</v>
      </c>
      <c r="B793" t="s">
        <v>203</v>
      </c>
      <c r="C793">
        <v>76070</v>
      </c>
      <c r="D793" s="2">
        <v>127.7</v>
      </c>
      <c r="E793" s="1">
        <v>43199</v>
      </c>
      <c r="F793" t="str">
        <f>"201804029841"</f>
        <v>201804029841</v>
      </c>
      <c r="G793" t="str">
        <f>"MILEAGE REIMBURSEMENT/PCT#2"</f>
        <v>MILEAGE REIMBURSEMENT/PCT#2</v>
      </c>
      <c r="H793">
        <v>127.7</v>
      </c>
      <c r="I793" t="str">
        <f>"MILEAGE REIMBURSEMENT/PCT#2"</f>
        <v>MILEAGE REIMBURSEMENT/PCT#2</v>
      </c>
    </row>
    <row r="794" spans="1:10" x14ac:dyDescent="0.25">
      <c r="A794" t="str">
        <f>"005522"</f>
        <v>005522</v>
      </c>
      <c r="B794" t="s">
        <v>204</v>
      </c>
      <c r="C794">
        <v>76287</v>
      </c>
      <c r="D794" s="2">
        <v>549.99</v>
      </c>
      <c r="E794" s="1">
        <v>43213</v>
      </c>
      <c r="F794" t="str">
        <f>"201804190405"</f>
        <v>201804190405</v>
      </c>
      <c r="G794" t="str">
        <f>"REIMBURSEMENT-CANOE"</f>
        <v>REIMBURSEMENT-CANOE</v>
      </c>
      <c r="H794">
        <v>549.99</v>
      </c>
      <c r="I794" t="str">
        <f>"REIMBURSEMENT-CANOE"</f>
        <v>REIMBURSEMENT-CANOE</v>
      </c>
    </row>
    <row r="795" spans="1:10" x14ac:dyDescent="0.25">
      <c r="A795" t="str">
        <f>"003170"</f>
        <v>003170</v>
      </c>
      <c r="B795" t="s">
        <v>205</v>
      </c>
      <c r="C795">
        <v>76071</v>
      </c>
      <c r="D795" s="2">
        <v>150</v>
      </c>
      <c r="E795" s="1">
        <v>43199</v>
      </c>
      <c r="F795" t="str">
        <f>"12510"</f>
        <v>12510</v>
      </c>
      <c r="G795" t="str">
        <f>"SERVICE FEE  12/08/17"</f>
        <v>SERVICE FEE  12/08/17</v>
      </c>
      <c r="H795">
        <v>150</v>
      </c>
      <c r="I795" t="str">
        <f>"SERVICE FEE  12/08/17"</f>
        <v>SERVICE FEE  12/08/17</v>
      </c>
    </row>
    <row r="796" spans="1:10" x14ac:dyDescent="0.25">
      <c r="A796" t="str">
        <f>"003170"</f>
        <v>003170</v>
      </c>
      <c r="B796" t="s">
        <v>205</v>
      </c>
      <c r="C796">
        <v>76288</v>
      </c>
      <c r="D796" s="2">
        <v>600</v>
      </c>
      <c r="E796" s="1">
        <v>43213</v>
      </c>
      <c r="F796" t="s">
        <v>63</v>
      </c>
      <c r="G796" t="s">
        <v>64</v>
      </c>
      <c r="H796" t="str">
        <f>"SERVICE  02/13/18"</f>
        <v>SERVICE  02/13/18</v>
      </c>
      <c r="I796" t="str">
        <f>"995-4110"</f>
        <v>995-4110</v>
      </c>
      <c r="J796">
        <v>150</v>
      </c>
    </row>
    <row r="797" spans="1:10" x14ac:dyDescent="0.25">
      <c r="A797" t="str">
        <f>""</f>
        <v/>
      </c>
      <c r="F797" t="str">
        <f>"12380"</f>
        <v>12380</v>
      </c>
      <c r="G797" t="str">
        <f>"SERVICE  12/08/17"</f>
        <v>SERVICE  12/08/17</v>
      </c>
      <c r="H797">
        <v>300</v>
      </c>
      <c r="I797" t="str">
        <f>"SERVICE  12/08/17"</f>
        <v>SERVICE  12/08/17</v>
      </c>
    </row>
    <row r="798" spans="1:10" x14ac:dyDescent="0.25">
      <c r="A798" t="str">
        <f>""</f>
        <v/>
      </c>
      <c r="F798" t="str">
        <f>"12536"</f>
        <v>12536</v>
      </c>
      <c r="G798" t="str">
        <f>"SERVICE  12/08/17"</f>
        <v>SERVICE  12/08/17</v>
      </c>
      <c r="H798">
        <v>150</v>
      </c>
      <c r="I798" t="str">
        <f>"SERVICE  12/08/17"</f>
        <v>SERVICE  12/08/17</v>
      </c>
    </row>
    <row r="799" spans="1:10" x14ac:dyDescent="0.25">
      <c r="A799" t="str">
        <f>"002470"</f>
        <v>002470</v>
      </c>
      <c r="B799" t="s">
        <v>206</v>
      </c>
      <c r="C799">
        <v>76072</v>
      </c>
      <c r="D799" s="2">
        <v>75</v>
      </c>
      <c r="E799" s="1">
        <v>43199</v>
      </c>
      <c r="F799" t="str">
        <f>"12827"</f>
        <v>12827</v>
      </c>
      <c r="G799" t="str">
        <f>"SERVICE  01/29/18"</f>
        <v>SERVICE  01/29/18</v>
      </c>
      <c r="H799">
        <v>75</v>
      </c>
      <c r="I799" t="str">
        <f>"SERVICE  01/29/18"</f>
        <v>SERVICE  01/29/18</v>
      </c>
    </row>
    <row r="800" spans="1:10" x14ac:dyDescent="0.25">
      <c r="A800" t="str">
        <f>"003787"</f>
        <v>003787</v>
      </c>
      <c r="B800" t="s">
        <v>207</v>
      </c>
      <c r="C800">
        <v>76073</v>
      </c>
      <c r="D800" s="2">
        <v>75</v>
      </c>
      <c r="E800" s="1">
        <v>43199</v>
      </c>
      <c r="F800" t="s">
        <v>59</v>
      </c>
      <c r="G800" t="s">
        <v>61</v>
      </c>
      <c r="H800" t="str">
        <f>"SERVICE  02/08/18"</f>
        <v>SERVICE  02/08/18</v>
      </c>
      <c r="I800" t="str">
        <f>"995-4110"</f>
        <v>995-4110</v>
      </c>
      <c r="J800">
        <v>75</v>
      </c>
    </row>
    <row r="801" spans="1:10" x14ac:dyDescent="0.25">
      <c r="A801" t="str">
        <f>"001798"</f>
        <v>001798</v>
      </c>
      <c r="B801" t="s">
        <v>208</v>
      </c>
      <c r="C801">
        <v>76289</v>
      </c>
      <c r="D801" s="2">
        <v>775.99</v>
      </c>
      <c r="E801" s="1">
        <v>43213</v>
      </c>
      <c r="F801" t="str">
        <f>"55280"</f>
        <v>55280</v>
      </c>
      <c r="G801" t="str">
        <f>"Cordless PTT"</f>
        <v>Cordless PTT</v>
      </c>
      <c r="H801">
        <v>775.99</v>
      </c>
      <c r="I801" t="str">
        <f>"CA12CD-S-92900-01"</f>
        <v>CA12CD-S-92900-01</v>
      </c>
    </row>
    <row r="802" spans="1:10" x14ac:dyDescent="0.25">
      <c r="A802" t="str">
        <f>""</f>
        <v/>
      </c>
      <c r="F802" t="str">
        <f>""</f>
        <v/>
      </c>
      <c r="G802" t="str">
        <f>""</f>
        <v/>
      </c>
      <c r="I802" t="str">
        <f>"CA12CD BATTERY"</f>
        <v>CA12CD BATTERY</v>
      </c>
    </row>
    <row r="803" spans="1:10" x14ac:dyDescent="0.25">
      <c r="A803" t="str">
        <f>""</f>
        <v/>
      </c>
      <c r="F803" t="str">
        <f>""</f>
        <v/>
      </c>
      <c r="G803" t="str">
        <f>""</f>
        <v/>
      </c>
      <c r="I803" t="str">
        <f>"HW710 ENCOREPRO"</f>
        <v>HW710 ENCOREPRO</v>
      </c>
    </row>
    <row r="804" spans="1:10" x14ac:dyDescent="0.25">
      <c r="A804" t="str">
        <f>""</f>
        <v/>
      </c>
      <c r="F804" t="str">
        <f>""</f>
        <v/>
      </c>
      <c r="G804" t="str">
        <f>""</f>
        <v/>
      </c>
      <c r="I804" t="str">
        <f>"FREIGHT"</f>
        <v>FREIGHT</v>
      </c>
    </row>
    <row r="805" spans="1:10" x14ac:dyDescent="0.25">
      <c r="A805" t="str">
        <f>"005510"</f>
        <v>005510</v>
      </c>
      <c r="B805" t="s">
        <v>209</v>
      </c>
      <c r="C805">
        <v>76290</v>
      </c>
      <c r="D805" s="2">
        <v>417.83</v>
      </c>
      <c r="E805" s="1">
        <v>43213</v>
      </c>
      <c r="F805" t="str">
        <f>"91696"</f>
        <v>91696</v>
      </c>
      <c r="G805" t="str">
        <f>"CLIENT ID#45236/VET SVCS"</f>
        <v>CLIENT ID#45236/VET SVCS</v>
      </c>
      <c r="H805">
        <v>417.83</v>
      </c>
      <c r="I805" t="str">
        <f>"CLIENT ID#45236/VET SVCS"</f>
        <v>CLIENT ID#45236/VET SVCS</v>
      </c>
    </row>
    <row r="806" spans="1:10" x14ac:dyDescent="0.25">
      <c r="A806" t="str">
        <f>"005221"</f>
        <v>005221</v>
      </c>
      <c r="B806" t="s">
        <v>210</v>
      </c>
      <c r="C806">
        <v>76074</v>
      </c>
      <c r="D806" s="2">
        <v>6483.96</v>
      </c>
      <c r="E806" s="1">
        <v>43199</v>
      </c>
      <c r="F806" t="str">
        <f>"22603"</f>
        <v>22603</v>
      </c>
      <c r="G806" t="str">
        <f>"ACCT#954/RIP RAP/PCT#2"</f>
        <v>ACCT#954/RIP RAP/PCT#2</v>
      </c>
      <c r="H806">
        <v>6483.96</v>
      </c>
      <c r="I806" t="str">
        <f>"ACCT#954/RIP RAP/PCT#2"</f>
        <v>ACCT#954/RIP RAP/PCT#2</v>
      </c>
    </row>
    <row r="807" spans="1:10" x14ac:dyDescent="0.25">
      <c r="A807" t="str">
        <f>"004937"</f>
        <v>004937</v>
      </c>
      <c r="B807" t="s">
        <v>211</v>
      </c>
      <c r="C807">
        <v>76291</v>
      </c>
      <c r="D807" s="2">
        <v>7.45</v>
      </c>
      <c r="E807" s="1">
        <v>43213</v>
      </c>
      <c r="F807" t="s">
        <v>57</v>
      </c>
      <c r="G807" t="s">
        <v>212</v>
      </c>
      <c r="H807" t="str">
        <f>"RESTITUTION-R. WRIGHT 02/22/18"</f>
        <v>RESTITUTION-R. WRIGHT 02/22/18</v>
      </c>
      <c r="I807" t="str">
        <f>"210-0000"</f>
        <v>210-0000</v>
      </c>
      <c r="J807">
        <v>7.45</v>
      </c>
    </row>
    <row r="808" spans="1:10" x14ac:dyDescent="0.25">
      <c r="A808" t="str">
        <f>"004624"</f>
        <v>004624</v>
      </c>
      <c r="B808" t="s">
        <v>213</v>
      </c>
      <c r="C808">
        <v>76292</v>
      </c>
      <c r="D808" s="2">
        <v>100</v>
      </c>
      <c r="E808" s="1">
        <v>43213</v>
      </c>
      <c r="F808" t="s">
        <v>57</v>
      </c>
      <c r="G808" t="s">
        <v>214</v>
      </c>
      <c r="H808" t="str">
        <f>"RESTITUTION-M. FELTS"</f>
        <v>RESTITUTION-M. FELTS</v>
      </c>
      <c r="I808" t="str">
        <f>"210-0000"</f>
        <v>210-0000</v>
      </c>
      <c r="J808">
        <v>100</v>
      </c>
    </row>
    <row r="809" spans="1:10" x14ac:dyDescent="0.25">
      <c r="A809" t="str">
        <f>"004351"</f>
        <v>004351</v>
      </c>
      <c r="B809" t="s">
        <v>215</v>
      </c>
      <c r="C809">
        <v>76293</v>
      </c>
      <c r="D809" s="2">
        <v>323.73</v>
      </c>
      <c r="E809" s="1">
        <v>43213</v>
      </c>
      <c r="F809" t="str">
        <f>"201804120292"</f>
        <v>201804120292</v>
      </c>
      <c r="G809" t="str">
        <f>"MILEAGE REIMBURSEMENT-JAN2018"</f>
        <v>MILEAGE REIMBURSEMENT-JAN2018</v>
      </c>
      <c r="H809">
        <v>77.39</v>
      </c>
      <c r="I809" t="str">
        <f>"MILEAGE REIMBURSEMENT"</f>
        <v>MILEAGE REIMBURSEMENT</v>
      </c>
    </row>
    <row r="810" spans="1:10" x14ac:dyDescent="0.25">
      <c r="A810" t="str">
        <f>""</f>
        <v/>
      </c>
      <c r="F810" t="str">
        <f>"201804120293"</f>
        <v>201804120293</v>
      </c>
      <c r="G810" t="str">
        <f>"MILEAGE REIMBURSEMENT-FEB2018"</f>
        <v>MILEAGE REIMBURSEMENT-FEB2018</v>
      </c>
      <c r="H810">
        <v>79.569999999999993</v>
      </c>
      <c r="I810" t="str">
        <f>"MILEAGE REIMBURSEMENT-FEB2018"</f>
        <v>MILEAGE REIMBURSEMENT-FEB2018</v>
      </c>
    </row>
    <row r="811" spans="1:10" x14ac:dyDescent="0.25">
      <c r="A811" t="str">
        <f>""</f>
        <v/>
      </c>
      <c r="F811" t="str">
        <f>"201804120294"</f>
        <v>201804120294</v>
      </c>
      <c r="G811" t="str">
        <f>"MILEAGE REIMBURSEMENT-MARCH'18"</f>
        <v>MILEAGE REIMBURSEMENT-MARCH'18</v>
      </c>
      <c r="H811">
        <v>166.77</v>
      </c>
      <c r="I811" t="str">
        <f>"MILEAGE REIMBURSEMENT-MARCH'18"</f>
        <v>MILEAGE REIMBURSEMENT-MARCH'18</v>
      </c>
    </row>
    <row r="812" spans="1:10" x14ac:dyDescent="0.25">
      <c r="A812" t="str">
        <f>"HPC"</f>
        <v>HPC</v>
      </c>
      <c r="B812" t="s">
        <v>216</v>
      </c>
      <c r="C812">
        <v>999999</v>
      </c>
      <c r="D812" s="2">
        <v>650</v>
      </c>
      <c r="E812" s="1">
        <v>43214</v>
      </c>
      <c r="F812" t="str">
        <f>"APRIL 2018 PEST CO"</f>
        <v>APRIL 2018 PEST CO</v>
      </c>
      <c r="G812" t="str">
        <f>"BASCOM L HODGES JR"</f>
        <v>BASCOM L HODGES JR</v>
      </c>
      <c r="H812">
        <v>650</v>
      </c>
      <c r="I812" t="str">
        <f>""</f>
        <v/>
      </c>
    </row>
    <row r="813" spans="1:10" x14ac:dyDescent="0.25">
      <c r="A813" t="str">
        <f>"ECKEL"</f>
        <v>ECKEL</v>
      </c>
      <c r="B813" t="s">
        <v>217</v>
      </c>
      <c r="C813">
        <v>76075</v>
      </c>
      <c r="D813" s="2">
        <v>750</v>
      </c>
      <c r="E813" s="1">
        <v>43199</v>
      </c>
      <c r="F813" t="str">
        <f>"201804039874"</f>
        <v>201804039874</v>
      </c>
      <c r="G813" t="str">
        <f>"55 918"</f>
        <v>55 918</v>
      </c>
      <c r="H813">
        <v>250</v>
      </c>
      <c r="I813" t="str">
        <f>"55 918"</f>
        <v>55 918</v>
      </c>
    </row>
    <row r="814" spans="1:10" x14ac:dyDescent="0.25">
      <c r="A814" t="str">
        <f>""</f>
        <v/>
      </c>
      <c r="F814" t="str">
        <f>"201804039875"</f>
        <v>201804039875</v>
      </c>
      <c r="G814" t="str">
        <f>"55921"</f>
        <v>55921</v>
      </c>
      <c r="H814">
        <v>250</v>
      </c>
      <c r="I814" t="str">
        <f>"55921"</f>
        <v>55921</v>
      </c>
    </row>
    <row r="815" spans="1:10" x14ac:dyDescent="0.25">
      <c r="A815" t="str">
        <f>""</f>
        <v/>
      </c>
      <c r="F815" t="str">
        <f>"201804049979"</f>
        <v>201804049979</v>
      </c>
      <c r="G815" t="str">
        <f>"55 550"</f>
        <v>55 550</v>
      </c>
      <c r="H815">
        <v>250</v>
      </c>
      <c r="I815" t="str">
        <f>"55 550"</f>
        <v>55 550</v>
      </c>
    </row>
    <row r="816" spans="1:10" x14ac:dyDescent="0.25">
      <c r="A816" t="str">
        <f>"ECKEL"</f>
        <v>ECKEL</v>
      </c>
      <c r="B816" t="s">
        <v>217</v>
      </c>
      <c r="C816">
        <v>76294</v>
      </c>
      <c r="D816" s="2">
        <v>692.5</v>
      </c>
      <c r="E816" s="1">
        <v>43213</v>
      </c>
      <c r="F816" t="str">
        <f>"201804120270"</f>
        <v>201804120270</v>
      </c>
      <c r="G816" t="str">
        <f>"17-18672"</f>
        <v>17-18672</v>
      </c>
      <c r="H816">
        <v>130</v>
      </c>
      <c r="I816" t="str">
        <f>"17-18672"</f>
        <v>17-18672</v>
      </c>
    </row>
    <row r="817" spans="1:9" x14ac:dyDescent="0.25">
      <c r="A817" t="str">
        <f>""</f>
        <v/>
      </c>
      <c r="F817" t="str">
        <f>"201804120271"</f>
        <v>201804120271</v>
      </c>
      <c r="G817" t="str">
        <f>"17-18637"</f>
        <v>17-18637</v>
      </c>
      <c r="H817">
        <v>212.5</v>
      </c>
      <c r="I817" t="str">
        <f>"17-18637"</f>
        <v>17-18637</v>
      </c>
    </row>
    <row r="818" spans="1:9" x14ac:dyDescent="0.25">
      <c r="A818" t="str">
        <f>""</f>
        <v/>
      </c>
      <c r="F818" t="str">
        <f>"201804120272"</f>
        <v>201804120272</v>
      </c>
      <c r="G818" t="str">
        <f>"17-18635"</f>
        <v>17-18635</v>
      </c>
      <c r="H818">
        <v>100</v>
      </c>
      <c r="I818" t="str">
        <f>"17-18635"</f>
        <v>17-18635</v>
      </c>
    </row>
    <row r="819" spans="1:9" x14ac:dyDescent="0.25">
      <c r="A819" t="str">
        <f>""</f>
        <v/>
      </c>
      <c r="F819" t="str">
        <f>"201804120278"</f>
        <v>201804120278</v>
      </c>
      <c r="G819" t="str">
        <f>"55961"</f>
        <v>55961</v>
      </c>
      <c r="H819">
        <v>250</v>
      </c>
      <c r="I819" t="str">
        <f>"55961"</f>
        <v>55961</v>
      </c>
    </row>
    <row r="820" spans="1:9" x14ac:dyDescent="0.25">
      <c r="A820" t="str">
        <f>"005519"</f>
        <v>005519</v>
      </c>
      <c r="B820" t="s">
        <v>218</v>
      </c>
      <c r="C820">
        <v>76295</v>
      </c>
      <c r="D820" s="2">
        <v>142.6</v>
      </c>
      <c r="E820" s="1">
        <v>43213</v>
      </c>
      <c r="F820" t="str">
        <f>"201804180399"</f>
        <v>201804180399</v>
      </c>
      <c r="G820" t="str">
        <f>"DONNA THOMPSON 05/14-05/16"</f>
        <v>DONNA THOMPSON 05/14-05/16</v>
      </c>
      <c r="H820">
        <v>142.6</v>
      </c>
      <c r="I820" t="str">
        <f>"DONNA THOMPSON 05/14-05/16"</f>
        <v>DONNA THOMPSON 05/14-05/16</v>
      </c>
    </row>
    <row r="821" spans="1:9" x14ac:dyDescent="0.25">
      <c r="A821" t="str">
        <f>"005491"</f>
        <v>005491</v>
      </c>
      <c r="B821" t="s">
        <v>219</v>
      </c>
      <c r="C821">
        <v>76076</v>
      </c>
      <c r="D821" s="2">
        <v>155</v>
      </c>
      <c r="E821" s="1">
        <v>43199</v>
      </c>
      <c r="F821" t="str">
        <f>"PER DIEM-TRAINING"</f>
        <v>PER DIEM-TRAINING</v>
      </c>
      <c r="G821" t="str">
        <f>"PER DIEM"</f>
        <v>PER DIEM</v>
      </c>
      <c r="H821">
        <v>155</v>
      </c>
      <c r="I821" t="str">
        <f>"PER DIEM"</f>
        <v>PER DIEM</v>
      </c>
    </row>
    <row r="822" spans="1:9" x14ac:dyDescent="0.25">
      <c r="A822" t="str">
        <f>"HM"</f>
        <v>HM</v>
      </c>
      <c r="B822" t="s">
        <v>220</v>
      </c>
      <c r="C822">
        <v>76077</v>
      </c>
      <c r="D822" s="2">
        <v>4396.34</v>
      </c>
      <c r="E822" s="1">
        <v>43199</v>
      </c>
      <c r="F822" t="str">
        <f>"PIKP0074628"</f>
        <v>PIKP0074628</v>
      </c>
      <c r="G822" t="str">
        <f>"CUST#0129200/IT#TV275491/PCT#4"</f>
        <v>CUST#0129200/IT#TV275491/PCT#4</v>
      </c>
      <c r="H822">
        <v>13.25</v>
      </c>
      <c r="I822" t="str">
        <f>"CUST#0129200/IT#TV275491/PCT#4"</f>
        <v>CUST#0129200/IT#TV275491/PCT#4</v>
      </c>
    </row>
    <row r="823" spans="1:9" x14ac:dyDescent="0.25">
      <c r="A823" t="str">
        <f>""</f>
        <v/>
      </c>
      <c r="F823" t="str">
        <f>"WIMA0102815"</f>
        <v>WIMA0102815</v>
      </c>
      <c r="G823" t="str">
        <f>"CUST#0129100/PCT#2"</f>
        <v>CUST#0129100/PCT#2</v>
      </c>
      <c r="H823">
        <v>4383.09</v>
      </c>
      <c r="I823" t="str">
        <f>"CUST#0129100/PCT#2"</f>
        <v>CUST#0129100/PCT#2</v>
      </c>
    </row>
    <row r="824" spans="1:9" x14ac:dyDescent="0.25">
      <c r="A824" t="str">
        <f>"HM"</f>
        <v>HM</v>
      </c>
      <c r="B824" t="s">
        <v>220</v>
      </c>
      <c r="C824">
        <v>76296</v>
      </c>
      <c r="D824" s="2">
        <v>89.01</v>
      </c>
      <c r="E824" s="1">
        <v>43213</v>
      </c>
      <c r="F824" t="str">
        <f>"PIMP0270410"</f>
        <v>PIMP0270410</v>
      </c>
      <c r="G824" t="str">
        <f>"CUST#0129200/PCT#4"</f>
        <v>CUST#0129200/PCT#4</v>
      </c>
      <c r="H824">
        <v>27.76</v>
      </c>
      <c r="I824" t="str">
        <f>"CUST#0129200/PCT#4"</f>
        <v>CUST#0129200/PCT#4</v>
      </c>
    </row>
    <row r="825" spans="1:9" x14ac:dyDescent="0.25">
      <c r="A825" t="str">
        <f>""</f>
        <v/>
      </c>
      <c r="F825" t="str">
        <f>"PIMP0270420"</f>
        <v>PIMP0270420</v>
      </c>
      <c r="G825" t="str">
        <f>"CUST#0129050/ELEMENT/PCT#1"</f>
        <v>CUST#0129050/ELEMENT/PCT#1</v>
      </c>
      <c r="H825">
        <v>61.25</v>
      </c>
      <c r="I825" t="str">
        <f>"CUST#0129050/ELEMENT/PCT#1"</f>
        <v>CUST#0129050/ELEMENT/PCT#1</v>
      </c>
    </row>
    <row r="826" spans="1:9" x14ac:dyDescent="0.25">
      <c r="A826" t="str">
        <f>"003653"</f>
        <v>003653</v>
      </c>
      <c r="B826" t="s">
        <v>221</v>
      </c>
      <c r="C826">
        <v>76196</v>
      </c>
      <c r="D826" s="2">
        <v>1787.81</v>
      </c>
      <c r="E826" s="1">
        <v>43203</v>
      </c>
      <c r="F826" t="str">
        <f>"S1804020002-00033"</f>
        <v>S1804020002-00033</v>
      </c>
      <c r="G826" t="str">
        <f>"ACCT# 100402264 / 04/02/2018"</f>
        <v>ACCT# 100402264 / 04/02/2018</v>
      </c>
      <c r="H826">
        <v>1787.81</v>
      </c>
      <c r="I826" t="str">
        <f>"ACCT# 100402264 / 04/02/2018"</f>
        <v>ACCT# 100402264 / 04/02/2018</v>
      </c>
    </row>
    <row r="827" spans="1:9" x14ac:dyDescent="0.25">
      <c r="A827" t="str">
        <f>""</f>
        <v/>
      </c>
      <c r="F827" t="str">
        <f>""</f>
        <v/>
      </c>
      <c r="G827" t="str">
        <f>""</f>
        <v/>
      </c>
      <c r="I827" t="str">
        <f>"ACCT# 100402264 / 04/02/2018"</f>
        <v>ACCT# 100402264 / 04/02/2018</v>
      </c>
    </row>
    <row r="828" spans="1:9" x14ac:dyDescent="0.25">
      <c r="A828" t="str">
        <f>""</f>
        <v/>
      </c>
      <c r="F828" t="str">
        <f>""</f>
        <v/>
      </c>
      <c r="G828" t="str">
        <f>""</f>
        <v/>
      </c>
      <c r="I828" t="str">
        <f>"ACCT# 100402264 / 04/02/2018"</f>
        <v>ACCT# 100402264 / 04/02/2018</v>
      </c>
    </row>
    <row r="829" spans="1:9" x14ac:dyDescent="0.25">
      <c r="A829" t="str">
        <f>"003545"</f>
        <v>003545</v>
      </c>
      <c r="B829" t="s">
        <v>222</v>
      </c>
      <c r="C829">
        <v>76297</v>
      </c>
      <c r="D829" s="2">
        <v>265</v>
      </c>
      <c r="E829" s="1">
        <v>43213</v>
      </c>
      <c r="F829" t="str">
        <f>"171352"</f>
        <v>171352</v>
      </c>
      <c r="G829" t="str">
        <f>"CYL REPAIR/PCT#3"</f>
        <v>CYL REPAIR/PCT#3</v>
      </c>
      <c r="H829">
        <v>265</v>
      </c>
      <c r="I829" t="str">
        <f>"CYL REPAIR/PCT#3"</f>
        <v>CYL REPAIR/PCT#3</v>
      </c>
    </row>
    <row r="830" spans="1:9" x14ac:dyDescent="0.25">
      <c r="A830" t="str">
        <f>"000045"</f>
        <v>000045</v>
      </c>
      <c r="B830" t="s">
        <v>223</v>
      </c>
      <c r="C830">
        <v>76078</v>
      </c>
      <c r="D830" s="2">
        <v>588</v>
      </c>
      <c r="E830" s="1">
        <v>43199</v>
      </c>
      <c r="F830" t="str">
        <f>"W1679700"</f>
        <v>W1679700</v>
      </c>
      <c r="G830" t="str">
        <f>"INV W1679700"</f>
        <v>INV W1679700</v>
      </c>
      <c r="H830">
        <v>588</v>
      </c>
      <c r="I830" t="str">
        <f>"INV W1679700"</f>
        <v>INV W1679700</v>
      </c>
    </row>
    <row r="831" spans="1:9" x14ac:dyDescent="0.25">
      <c r="A831" t="str">
        <f>"000693"</f>
        <v>000693</v>
      </c>
      <c r="B831" t="s">
        <v>224</v>
      </c>
      <c r="C831">
        <v>76079</v>
      </c>
      <c r="D831" s="2">
        <v>756</v>
      </c>
      <c r="E831" s="1">
        <v>43199</v>
      </c>
      <c r="F831" t="str">
        <f>"30286682554"</f>
        <v>30286682554</v>
      </c>
      <c r="G831" t="str">
        <f>"ACCT#187947/ANIMAL CONTROL"</f>
        <v>ACCT#187947/ANIMAL CONTROL</v>
      </c>
      <c r="H831">
        <v>630</v>
      </c>
      <c r="I831" t="str">
        <f>"ACCT#187947/ANIMAL CONTROL"</f>
        <v>ACCT#187947/ANIMAL CONTROL</v>
      </c>
    </row>
    <row r="832" spans="1:9" x14ac:dyDescent="0.25">
      <c r="A832" t="str">
        <f>""</f>
        <v/>
      </c>
      <c r="F832" t="str">
        <f>"3028682552"</f>
        <v>3028682552</v>
      </c>
      <c r="G832" t="str">
        <f>"ACCT#187947/ANIMAL CONTROL"</f>
        <v>ACCT#187947/ANIMAL CONTROL</v>
      </c>
      <c r="H832">
        <v>126</v>
      </c>
      <c r="I832" t="str">
        <f>"ACCT#187947/ANIMAL CONTROL"</f>
        <v>ACCT#187947/ANIMAL CONTROL</v>
      </c>
    </row>
    <row r="833" spans="1:10" x14ac:dyDescent="0.25">
      <c r="A833" t="str">
        <f>"T11576"</f>
        <v>T11576</v>
      </c>
      <c r="B833" t="s">
        <v>225</v>
      </c>
      <c r="C833">
        <v>999999</v>
      </c>
      <c r="D833" s="2">
        <v>2430</v>
      </c>
      <c r="E833" s="1">
        <v>43200</v>
      </c>
      <c r="F833" t="str">
        <f>"65752"</f>
        <v>65752</v>
      </c>
      <c r="G833" t="str">
        <f>"INDIGENT HEALTH - MAY 2018"</f>
        <v>INDIGENT HEALTH - MAY 2018</v>
      </c>
      <c r="H833">
        <v>2430</v>
      </c>
      <c r="I833" t="str">
        <f>"INDIGENT HEALTH - MAY 2018"</f>
        <v>INDIGENT HEALTH - MAY 2018</v>
      </c>
    </row>
    <row r="834" spans="1:10" x14ac:dyDescent="0.25">
      <c r="A834" t="str">
        <f>""</f>
        <v/>
      </c>
      <c r="F834" t="str">
        <f>""</f>
        <v/>
      </c>
      <c r="G834" t="str">
        <f>""</f>
        <v/>
      </c>
      <c r="I834" t="str">
        <f>"INDIGENT HEALTH - MAY 2018"</f>
        <v>INDIGENT HEALTH - MAY 2018</v>
      </c>
    </row>
    <row r="835" spans="1:10" x14ac:dyDescent="0.25">
      <c r="A835" t="str">
        <f>"004993"</f>
        <v>004993</v>
      </c>
      <c r="B835" t="s">
        <v>226</v>
      </c>
      <c r="C835">
        <v>76080</v>
      </c>
      <c r="D835" s="2">
        <v>214.93</v>
      </c>
      <c r="E835" s="1">
        <v>43199</v>
      </c>
      <c r="F835" t="str">
        <f>"150697A"</f>
        <v>150697A</v>
      </c>
      <c r="G835" t="str">
        <f>"CUST#31226/LABELS/TAPE"</f>
        <v>CUST#31226/LABELS/TAPE</v>
      </c>
      <c r="H835">
        <v>214.93</v>
      </c>
      <c r="I835" t="str">
        <f>"CUST#31226/LABELS/TAPE"</f>
        <v>CUST#31226/LABELS/TAPE</v>
      </c>
    </row>
    <row r="836" spans="1:10" x14ac:dyDescent="0.25">
      <c r="A836" t="str">
        <f>"IRON"</f>
        <v>IRON</v>
      </c>
      <c r="B836" t="s">
        <v>227</v>
      </c>
      <c r="C836">
        <v>76081</v>
      </c>
      <c r="D836" s="2">
        <v>66.12</v>
      </c>
      <c r="E836" s="1">
        <v>43199</v>
      </c>
      <c r="F836" t="str">
        <f>"PXX7460"</f>
        <v>PXX7460</v>
      </c>
      <c r="G836" t="str">
        <f>"ACCT # AX773 / COUNTY CLERK"</f>
        <v>ACCT # AX773 / COUNTY CLERK</v>
      </c>
      <c r="H836">
        <v>66.12</v>
      </c>
      <c r="I836" t="str">
        <f>"ACCT # AX773 / COUNTY CLERK"</f>
        <v>ACCT # AX773 / COUNTY CLERK</v>
      </c>
    </row>
    <row r="837" spans="1:10" x14ac:dyDescent="0.25">
      <c r="A837" t="str">
        <f>"005494"</f>
        <v>005494</v>
      </c>
      <c r="B837" t="s">
        <v>228</v>
      </c>
      <c r="C837">
        <v>76298</v>
      </c>
      <c r="D837" s="2">
        <v>90</v>
      </c>
      <c r="E837" s="1">
        <v>43213</v>
      </c>
      <c r="F837" t="str">
        <f>"201804100203"</f>
        <v>201804100203</v>
      </c>
      <c r="G837" t="str">
        <f>"PER DIEM"</f>
        <v>PER DIEM</v>
      </c>
      <c r="H837">
        <v>90</v>
      </c>
      <c r="I837" t="str">
        <f>"PER DIEM"</f>
        <v>PER DIEM</v>
      </c>
    </row>
    <row r="838" spans="1:10" x14ac:dyDescent="0.25">
      <c r="A838" t="str">
        <f>"JEG"</f>
        <v>JEG</v>
      </c>
      <c r="B838" t="s">
        <v>229</v>
      </c>
      <c r="C838">
        <v>76299</v>
      </c>
      <c r="D838" s="2">
        <v>150</v>
      </c>
      <c r="E838" s="1">
        <v>43213</v>
      </c>
      <c r="F838" t="str">
        <f>"201804160371"</f>
        <v>201804160371</v>
      </c>
      <c r="G838" t="str">
        <f>"SUBDIVISION REVIEW FEE REFUND"</f>
        <v>SUBDIVISION REVIEW FEE REFUND</v>
      </c>
      <c r="H838">
        <v>150</v>
      </c>
      <c r="I838" t="str">
        <f>"SUBDIVISION REVIEW FEE REFUND"</f>
        <v>SUBDIVISION REVIEW FEE REFUND</v>
      </c>
    </row>
    <row r="839" spans="1:10" x14ac:dyDescent="0.25">
      <c r="A839" t="str">
        <f>"JOB"</f>
        <v>JOB</v>
      </c>
      <c r="B839" t="s">
        <v>230</v>
      </c>
      <c r="C839">
        <v>76083</v>
      </c>
      <c r="D839" s="2">
        <v>500</v>
      </c>
      <c r="E839" s="1">
        <v>43199</v>
      </c>
      <c r="F839" t="str">
        <f>"201804039868"</f>
        <v>201804039868</v>
      </c>
      <c r="G839" t="str">
        <f>"55 844"</f>
        <v>55 844</v>
      </c>
      <c r="H839">
        <v>250</v>
      </c>
      <c r="I839" t="str">
        <f>"55 844"</f>
        <v>55 844</v>
      </c>
    </row>
    <row r="840" spans="1:10" x14ac:dyDescent="0.25">
      <c r="A840" t="str">
        <f>""</f>
        <v/>
      </c>
      <c r="F840" t="str">
        <f>"201804039869"</f>
        <v>201804039869</v>
      </c>
      <c r="G840" t="str">
        <f>"55 529"</f>
        <v>55 529</v>
      </c>
      <c r="H840">
        <v>250</v>
      </c>
      <c r="I840" t="str">
        <f>"55 529"</f>
        <v>55 529</v>
      </c>
    </row>
    <row r="841" spans="1:10" x14ac:dyDescent="0.25">
      <c r="A841" t="str">
        <f>"JOB"</f>
        <v>JOB</v>
      </c>
      <c r="B841" t="s">
        <v>230</v>
      </c>
      <c r="C841">
        <v>76300</v>
      </c>
      <c r="D841" s="2">
        <v>625</v>
      </c>
      <c r="E841" s="1">
        <v>43213</v>
      </c>
      <c r="F841" t="str">
        <f>"201804120280"</f>
        <v>201804120280</v>
      </c>
      <c r="G841" t="str">
        <f>"55 379 55 502 55 378 55 377"</f>
        <v>55 379 55 502 55 378 55 377</v>
      </c>
      <c r="H841">
        <v>625</v>
      </c>
      <c r="I841" t="str">
        <f>"55 379 55 502 55 378 55 377"</f>
        <v>55 379 55 502 55 378 55 377</v>
      </c>
    </row>
    <row r="842" spans="1:10" x14ac:dyDescent="0.25">
      <c r="A842" t="str">
        <f>"004314"</f>
        <v>004314</v>
      </c>
      <c r="B842" t="s">
        <v>231</v>
      </c>
      <c r="C842">
        <v>76084</v>
      </c>
      <c r="D842" s="2">
        <v>175</v>
      </c>
      <c r="E842" s="1">
        <v>43199</v>
      </c>
      <c r="F842" t="str">
        <f>"201803279750"</f>
        <v>201803279750</v>
      </c>
      <c r="G842" t="str">
        <f>"FERAL HOGS"</f>
        <v>FERAL HOGS</v>
      </c>
      <c r="H842">
        <v>175</v>
      </c>
      <c r="I842" t="str">
        <f>"FERAL HOGS"</f>
        <v>FERAL HOGS</v>
      </c>
    </row>
    <row r="843" spans="1:10" x14ac:dyDescent="0.25">
      <c r="A843" t="str">
        <f>"T7860"</f>
        <v>T7860</v>
      </c>
      <c r="B843" t="s">
        <v>232</v>
      </c>
      <c r="C843">
        <v>999999</v>
      </c>
      <c r="D843" s="2">
        <v>1300</v>
      </c>
      <c r="E843" s="1">
        <v>43200</v>
      </c>
      <c r="F843" t="s">
        <v>57</v>
      </c>
      <c r="G843" t="s">
        <v>58</v>
      </c>
      <c r="H843" t="str">
        <f>"AD LITEM FEE  02/12/18"</f>
        <v>AD LITEM FEE  02/12/18</v>
      </c>
      <c r="I843" t="str">
        <f>"995-4110"</f>
        <v>995-4110</v>
      </c>
      <c r="J843">
        <v>150</v>
      </c>
    </row>
    <row r="844" spans="1:10" x14ac:dyDescent="0.25">
      <c r="A844" t="str">
        <f>""</f>
        <v/>
      </c>
      <c r="F844" t="str">
        <f>"12502"</f>
        <v>12502</v>
      </c>
      <c r="G844" t="str">
        <f>"AD LITEM FEE 12/08/17"</f>
        <v>AD LITEM FEE 12/08/17</v>
      </c>
      <c r="H844">
        <v>150</v>
      </c>
      <c r="I844" t="str">
        <f>"AD LITEM FEE 12/08/17"</f>
        <v>AD LITEM FEE 12/08/17</v>
      </c>
    </row>
    <row r="845" spans="1:10" x14ac:dyDescent="0.25">
      <c r="A845" t="str">
        <f>""</f>
        <v/>
      </c>
      <c r="F845" t="str">
        <f>"12510"</f>
        <v>12510</v>
      </c>
      <c r="G845" t="str">
        <f>"AD LITEM FEE  12/08/17"</f>
        <v>AD LITEM FEE  12/08/17</v>
      </c>
      <c r="H845">
        <v>150</v>
      </c>
      <c r="I845" t="str">
        <f>"AD LITEM FEE  12/08/17"</f>
        <v>AD LITEM FEE  12/08/17</v>
      </c>
    </row>
    <row r="846" spans="1:10" x14ac:dyDescent="0.25">
      <c r="A846" t="str">
        <f>""</f>
        <v/>
      </c>
      <c r="F846" t="str">
        <f>"201803279783"</f>
        <v>201803279783</v>
      </c>
      <c r="G846" t="str">
        <f>"15-17088"</f>
        <v>15-17088</v>
      </c>
      <c r="H846">
        <v>100</v>
      </c>
      <c r="I846" t="str">
        <f>"15-17088"</f>
        <v>15-17088</v>
      </c>
    </row>
    <row r="847" spans="1:10" x14ac:dyDescent="0.25">
      <c r="A847" t="str">
        <f>""</f>
        <v/>
      </c>
      <c r="F847" t="str">
        <f>"201804039881"</f>
        <v>201804039881</v>
      </c>
      <c r="G847" t="str">
        <f>"55 697"</f>
        <v>55 697</v>
      </c>
      <c r="H847">
        <v>250</v>
      </c>
      <c r="I847" t="str">
        <f>"55 697"</f>
        <v>55 697</v>
      </c>
    </row>
    <row r="848" spans="1:10" x14ac:dyDescent="0.25">
      <c r="A848" t="str">
        <f>""</f>
        <v/>
      </c>
      <c r="F848" t="str">
        <f>"201804039882"</f>
        <v>201804039882</v>
      </c>
      <c r="G848" t="str">
        <f>"55 445"</f>
        <v>55 445</v>
      </c>
      <c r="H848">
        <v>250</v>
      </c>
      <c r="I848" t="str">
        <f>"55 445"</f>
        <v>55 445</v>
      </c>
    </row>
    <row r="849" spans="1:10" x14ac:dyDescent="0.25">
      <c r="A849" t="str">
        <f>""</f>
        <v/>
      </c>
      <c r="F849" t="str">
        <f>"201804049975"</f>
        <v>201804049975</v>
      </c>
      <c r="G849" t="str">
        <f>"55 490"</f>
        <v>55 490</v>
      </c>
      <c r="H849">
        <v>250</v>
      </c>
      <c r="I849" t="str">
        <f>"55 490"</f>
        <v>55 490</v>
      </c>
    </row>
    <row r="850" spans="1:10" x14ac:dyDescent="0.25">
      <c r="A850" t="str">
        <f>"T7860"</f>
        <v>T7860</v>
      </c>
      <c r="B850" t="s">
        <v>232</v>
      </c>
      <c r="C850">
        <v>999999</v>
      </c>
      <c r="D850" s="2">
        <v>2250</v>
      </c>
      <c r="E850" s="1">
        <v>43214</v>
      </c>
      <c r="F850" t="s">
        <v>63</v>
      </c>
      <c r="G850" t="s">
        <v>64</v>
      </c>
      <c r="H850" t="str">
        <f>"AD LITEM FEE  02/13/18"</f>
        <v>AD LITEM FEE  02/13/18</v>
      </c>
      <c r="I850" t="str">
        <f>"995-4110"</f>
        <v>995-4110</v>
      </c>
      <c r="J850">
        <v>150</v>
      </c>
    </row>
    <row r="851" spans="1:10" x14ac:dyDescent="0.25">
      <c r="A851" t="str">
        <f>""</f>
        <v/>
      </c>
      <c r="F851" t="str">
        <f>"12101"</f>
        <v>12101</v>
      </c>
      <c r="G851" t="str">
        <f>"AD LITEM FEE  02/16/18"</f>
        <v>AD LITEM FEE  02/16/18</v>
      </c>
      <c r="H851">
        <v>150</v>
      </c>
      <c r="I851" t="str">
        <f>"AD LITEM FEE  02/16/18"</f>
        <v>AD LITEM FEE  02/16/18</v>
      </c>
    </row>
    <row r="852" spans="1:10" x14ac:dyDescent="0.25">
      <c r="A852" t="str">
        <f>""</f>
        <v/>
      </c>
      <c r="F852" t="str">
        <f>"12380"</f>
        <v>12380</v>
      </c>
      <c r="G852" t="str">
        <f>"SERVICE  12/08/17"</f>
        <v>SERVICE  12/08/17</v>
      </c>
      <c r="H852">
        <v>150</v>
      </c>
      <c r="I852" t="str">
        <f>"SERVICE  12/08/17"</f>
        <v>SERVICE  12/08/17</v>
      </c>
    </row>
    <row r="853" spans="1:10" x14ac:dyDescent="0.25">
      <c r="A853" t="str">
        <f>""</f>
        <v/>
      </c>
      <c r="F853" t="str">
        <f>"12536"</f>
        <v>12536</v>
      </c>
      <c r="G853" t="str">
        <f t="shared" ref="G853:G858" si="11">"AD LITEM FEE  12/08/17"</f>
        <v>AD LITEM FEE  12/08/17</v>
      </c>
      <c r="H853">
        <v>150</v>
      </c>
      <c r="I853" t="str">
        <f t="shared" ref="I853:I858" si="12">"AD LITEM FEE  12/08/17"</f>
        <v>AD LITEM FEE  12/08/17</v>
      </c>
    </row>
    <row r="854" spans="1:10" x14ac:dyDescent="0.25">
      <c r="A854" t="str">
        <f>""</f>
        <v/>
      </c>
      <c r="F854" t="str">
        <f>"12559"</f>
        <v>12559</v>
      </c>
      <c r="G854" t="str">
        <f t="shared" si="11"/>
        <v>AD LITEM FEE  12/08/17</v>
      </c>
      <c r="H854">
        <v>150</v>
      </c>
      <c r="I854" t="str">
        <f t="shared" si="12"/>
        <v>AD LITEM FEE  12/08/17</v>
      </c>
    </row>
    <row r="855" spans="1:10" x14ac:dyDescent="0.25">
      <c r="A855" t="str">
        <f>""</f>
        <v/>
      </c>
      <c r="F855" t="str">
        <f>"12581"</f>
        <v>12581</v>
      </c>
      <c r="G855" t="str">
        <f t="shared" si="11"/>
        <v>AD LITEM FEE  12/08/17</v>
      </c>
      <c r="H855">
        <v>150</v>
      </c>
      <c r="I855" t="str">
        <f t="shared" si="12"/>
        <v>AD LITEM FEE  12/08/17</v>
      </c>
    </row>
    <row r="856" spans="1:10" x14ac:dyDescent="0.25">
      <c r="A856" t="str">
        <f>""</f>
        <v/>
      </c>
      <c r="F856" t="str">
        <f>"12605"</f>
        <v>12605</v>
      </c>
      <c r="G856" t="str">
        <f t="shared" si="11"/>
        <v>AD LITEM FEE  12/08/17</v>
      </c>
      <c r="H856">
        <v>150</v>
      </c>
      <c r="I856" t="str">
        <f t="shared" si="12"/>
        <v>AD LITEM FEE  12/08/17</v>
      </c>
    </row>
    <row r="857" spans="1:10" x14ac:dyDescent="0.25">
      <c r="A857" t="str">
        <f>""</f>
        <v/>
      </c>
      <c r="F857" t="str">
        <f>"12640"</f>
        <v>12640</v>
      </c>
      <c r="G857" t="str">
        <f t="shared" si="11"/>
        <v>AD LITEM FEE  12/08/17</v>
      </c>
      <c r="H857">
        <v>150</v>
      </c>
      <c r="I857" t="str">
        <f t="shared" si="12"/>
        <v>AD LITEM FEE  12/08/17</v>
      </c>
    </row>
    <row r="858" spans="1:10" x14ac:dyDescent="0.25">
      <c r="A858" t="str">
        <f>""</f>
        <v/>
      </c>
      <c r="F858" t="str">
        <f>"12691"</f>
        <v>12691</v>
      </c>
      <c r="G858" t="str">
        <f t="shared" si="11"/>
        <v>AD LITEM FEE  12/08/17</v>
      </c>
      <c r="H858">
        <v>150</v>
      </c>
      <c r="I858" t="str">
        <f t="shared" si="12"/>
        <v>AD LITEM FEE  12/08/17</v>
      </c>
    </row>
    <row r="859" spans="1:10" x14ac:dyDescent="0.25">
      <c r="A859" t="str">
        <f>""</f>
        <v/>
      </c>
      <c r="F859" t="str">
        <f>"201804120262"</f>
        <v>201804120262</v>
      </c>
      <c r="G859" t="str">
        <f>"18-18974"</f>
        <v>18-18974</v>
      </c>
      <c r="H859">
        <v>100</v>
      </c>
      <c r="I859" t="str">
        <f>"18-18974"</f>
        <v>18-18974</v>
      </c>
    </row>
    <row r="860" spans="1:10" x14ac:dyDescent="0.25">
      <c r="A860" t="str">
        <f>""</f>
        <v/>
      </c>
      <c r="F860" t="str">
        <f>"201804120263"</f>
        <v>201804120263</v>
      </c>
      <c r="G860" t="str">
        <f>"17-18461"</f>
        <v>17-18461</v>
      </c>
      <c r="H860">
        <v>100</v>
      </c>
      <c r="I860" t="str">
        <f>"17-18461"</f>
        <v>17-18461</v>
      </c>
    </row>
    <row r="861" spans="1:10" x14ac:dyDescent="0.25">
      <c r="A861" t="str">
        <f>""</f>
        <v/>
      </c>
      <c r="F861" t="str">
        <f>"201804120264"</f>
        <v>201804120264</v>
      </c>
      <c r="G861" t="str">
        <f>"17-18669"</f>
        <v>17-18669</v>
      </c>
      <c r="H861">
        <v>100</v>
      </c>
      <c r="I861" t="str">
        <f>"17-18669"</f>
        <v>17-18669</v>
      </c>
    </row>
    <row r="862" spans="1:10" x14ac:dyDescent="0.25">
      <c r="A862" t="str">
        <f>""</f>
        <v/>
      </c>
      <c r="F862" t="str">
        <f>"201804120275"</f>
        <v>201804120275</v>
      </c>
      <c r="G862" t="str">
        <f>"JUVENILE DETENTION HEARING"</f>
        <v>JUVENILE DETENTION HEARING</v>
      </c>
      <c r="H862">
        <v>100</v>
      </c>
      <c r="I862" t="str">
        <f>"JUVENILE DETENTION HEARING"</f>
        <v>JUVENILE DETENTION HEARING</v>
      </c>
    </row>
    <row r="863" spans="1:10" x14ac:dyDescent="0.25">
      <c r="A863" t="str">
        <f>""</f>
        <v/>
      </c>
      <c r="F863" t="str">
        <f>"201804120276"</f>
        <v>201804120276</v>
      </c>
      <c r="G863" t="str">
        <f>"J-3081"</f>
        <v>J-3081</v>
      </c>
      <c r="H863">
        <v>250</v>
      </c>
      <c r="I863" t="str">
        <f>"J-3081"</f>
        <v>J-3081</v>
      </c>
    </row>
    <row r="864" spans="1:10" x14ac:dyDescent="0.25">
      <c r="A864" t="str">
        <f>""</f>
        <v/>
      </c>
      <c r="F864" t="str">
        <f>"201804120277"</f>
        <v>201804120277</v>
      </c>
      <c r="G864" t="str">
        <f>"55 814"</f>
        <v>55 814</v>
      </c>
      <c r="H864">
        <v>250</v>
      </c>
      <c r="I864" t="str">
        <f>"55 814"</f>
        <v>55 814</v>
      </c>
    </row>
    <row r="865" spans="1:10" x14ac:dyDescent="0.25">
      <c r="A865" t="str">
        <f>"004891"</f>
        <v>004891</v>
      </c>
      <c r="B865" t="s">
        <v>233</v>
      </c>
      <c r="C865">
        <v>76301</v>
      </c>
      <c r="D865" s="2">
        <v>50</v>
      </c>
      <c r="E865" s="1">
        <v>43213</v>
      </c>
      <c r="F865" t="s">
        <v>176</v>
      </c>
      <c r="G865" t="s">
        <v>234</v>
      </c>
      <c r="H865" t="str">
        <f>"RESTITUTION-M. ALMS"</f>
        <v>RESTITUTION-M. ALMS</v>
      </c>
      <c r="I865" t="str">
        <f>"210-0000"</f>
        <v>210-0000</v>
      </c>
      <c r="J865">
        <v>50</v>
      </c>
    </row>
    <row r="866" spans="1:10" x14ac:dyDescent="0.25">
      <c r="A866" t="str">
        <f>"T14062"</f>
        <v>T14062</v>
      </c>
      <c r="B866" t="s">
        <v>235</v>
      </c>
      <c r="C866">
        <v>76085</v>
      </c>
      <c r="D866" s="2">
        <v>2027</v>
      </c>
      <c r="E866" s="1">
        <v>43199</v>
      </c>
      <c r="F866" t="str">
        <f>"1050"</f>
        <v>1050</v>
      </c>
      <c r="G866" t="str">
        <f>"INV 1050 / UNIT 1496"</f>
        <v>INV 1050 / UNIT 1496</v>
      </c>
      <c r="H866">
        <v>2027</v>
      </c>
      <c r="I866" t="str">
        <f>"INV 1050 / UNIT 1496"</f>
        <v>INV 1050 / UNIT 1496</v>
      </c>
    </row>
    <row r="867" spans="1:10" x14ac:dyDescent="0.25">
      <c r="A867" t="str">
        <f>"004572"</f>
        <v>004572</v>
      </c>
      <c r="B867" t="s">
        <v>236</v>
      </c>
      <c r="C867">
        <v>76082</v>
      </c>
      <c r="D867" s="2">
        <v>203.97</v>
      </c>
      <c r="E867" s="1">
        <v>43199</v>
      </c>
      <c r="F867" t="str">
        <f>"EN1223S"</f>
        <v>EN1223S</v>
      </c>
      <c r="G867" t="str">
        <f>"Panic Buttons"</f>
        <v>Panic Buttons</v>
      </c>
      <c r="H867">
        <v>203.97</v>
      </c>
      <c r="I867" t="str">
        <f>"inovonics EN1223S Si"</f>
        <v>inovonics EN1223S Si</v>
      </c>
    </row>
    <row r="868" spans="1:10" x14ac:dyDescent="0.25">
      <c r="A868" t="str">
        <f>"003848"</f>
        <v>003848</v>
      </c>
      <c r="B868" t="s">
        <v>237</v>
      </c>
      <c r="C868">
        <v>999999</v>
      </c>
      <c r="D868" s="2">
        <v>400</v>
      </c>
      <c r="E868" s="1">
        <v>43200</v>
      </c>
      <c r="F868" t="str">
        <f>"201803279768"</f>
        <v>201803279768</v>
      </c>
      <c r="G868" t="str">
        <f>"20170265A"</f>
        <v>20170265A</v>
      </c>
      <c r="H868">
        <v>400</v>
      </c>
      <c r="I868" t="str">
        <f>"20170265A"</f>
        <v>20170265A</v>
      </c>
    </row>
    <row r="869" spans="1:10" x14ac:dyDescent="0.25">
      <c r="A869" t="str">
        <f>"003848"</f>
        <v>003848</v>
      </c>
      <c r="B869" t="s">
        <v>237</v>
      </c>
      <c r="C869">
        <v>999999</v>
      </c>
      <c r="D869" s="2">
        <v>400</v>
      </c>
      <c r="E869" s="1">
        <v>43214</v>
      </c>
      <c r="F869" t="str">
        <f>"201804130320"</f>
        <v>201804130320</v>
      </c>
      <c r="G869" t="str">
        <f>"16 417"</f>
        <v>16 417</v>
      </c>
      <c r="H869">
        <v>400</v>
      </c>
      <c r="I869" t="str">
        <f>"16 417"</f>
        <v>16 417</v>
      </c>
    </row>
    <row r="870" spans="1:10" x14ac:dyDescent="0.25">
      <c r="A870" t="str">
        <f>"003698"</f>
        <v>003698</v>
      </c>
      <c r="B870" t="s">
        <v>238</v>
      </c>
      <c r="C870">
        <v>76302</v>
      </c>
      <c r="D870" s="2">
        <v>8144.05</v>
      </c>
      <c r="E870" s="1">
        <v>43213</v>
      </c>
      <c r="F870" t="str">
        <f>"05414143"</f>
        <v>05414143</v>
      </c>
      <c r="G870" t="str">
        <f>"John Deere Z920M Mower"</f>
        <v>John Deere Z920M Mower</v>
      </c>
      <c r="H870">
        <v>8144.05</v>
      </c>
      <c r="I870" t="str">
        <f>"John Deere Z920M Mower"</f>
        <v>John Deere Z920M Mower</v>
      </c>
    </row>
    <row r="871" spans="1:10" x14ac:dyDescent="0.25">
      <c r="A871" t="str">
        <f>""</f>
        <v/>
      </c>
      <c r="F871" t="str">
        <f>""</f>
        <v/>
      </c>
      <c r="G871" t="str">
        <f>""</f>
        <v/>
      </c>
      <c r="I871" t="str">
        <f>"Comfort Seat"</f>
        <v>Comfort Seat</v>
      </c>
    </row>
    <row r="872" spans="1:10" x14ac:dyDescent="0.25">
      <c r="A872" t="str">
        <f>""</f>
        <v/>
      </c>
      <c r="F872" t="str">
        <f>""</f>
        <v/>
      </c>
      <c r="G872" t="str">
        <f>""</f>
        <v/>
      </c>
      <c r="I872" t="str">
        <f>"Hitch Kit"</f>
        <v>Hitch Kit</v>
      </c>
    </row>
    <row r="873" spans="1:10" x14ac:dyDescent="0.25">
      <c r="A873" t="str">
        <f>""</f>
        <v/>
      </c>
      <c r="F873" t="str">
        <f>""</f>
        <v/>
      </c>
      <c r="G873" t="str">
        <f>""</f>
        <v/>
      </c>
      <c r="I873" t="str">
        <f>"Mulch Kit"</f>
        <v>Mulch Kit</v>
      </c>
    </row>
    <row r="874" spans="1:10" x14ac:dyDescent="0.25">
      <c r="A874" t="str">
        <f>"001889"</f>
        <v>001889</v>
      </c>
      <c r="B874" t="s">
        <v>239</v>
      </c>
      <c r="C874">
        <v>999999</v>
      </c>
      <c r="D874" s="2">
        <v>400</v>
      </c>
      <c r="E874" s="1">
        <v>43214</v>
      </c>
      <c r="F874" t="str">
        <f>"1804"</f>
        <v>1804</v>
      </c>
      <c r="G874" t="str">
        <f>"MOWING MAINTENANCE"</f>
        <v>MOWING MAINTENANCE</v>
      </c>
      <c r="H874">
        <v>400</v>
      </c>
      <c r="I874" t="str">
        <f>"MOWING MAINTENANCE"</f>
        <v>MOWING MAINTENANCE</v>
      </c>
    </row>
    <row r="875" spans="1:10" x14ac:dyDescent="0.25">
      <c r="A875" t="str">
        <f>"T14548"</f>
        <v>T14548</v>
      </c>
      <c r="B875" t="s">
        <v>240</v>
      </c>
      <c r="C875">
        <v>999999</v>
      </c>
      <c r="D875" s="2">
        <v>3500</v>
      </c>
      <c r="E875" s="1">
        <v>43200</v>
      </c>
      <c r="F875" t="str">
        <f>"201803279769"</f>
        <v>201803279769</v>
      </c>
      <c r="G875" t="str">
        <f>"02-0702-1"</f>
        <v>02-0702-1</v>
      </c>
      <c r="H875">
        <v>400</v>
      </c>
      <c r="I875" t="str">
        <f>"02-0702-1"</f>
        <v>02-0702-1</v>
      </c>
    </row>
    <row r="876" spans="1:10" x14ac:dyDescent="0.25">
      <c r="A876" t="str">
        <f>""</f>
        <v/>
      </c>
      <c r="F876" t="str">
        <f>"201803279770"</f>
        <v>201803279770</v>
      </c>
      <c r="G876" t="str">
        <f>"15-17088"</f>
        <v>15-17088</v>
      </c>
      <c r="H876">
        <v>100</v>
      </c>
      <c r="I876" t="str">
        <f>"15-17088"</f>
        <v>15-17088</v>
      </c>
    </row>
    <row r="877" spans="1:10" x14ac:dyDescent="0.25">
      <c r="A877" t="str">
        <f>""</f>
        <v/>
      </c>
      <c r="F877" t="str">
        <f>"201803279771"</f>
        <v>201803279771</v>
      </c>
      <c r="G877" t="str">
        <f>"423-2898"</f>
        <v>423-2898</v>
      </c>
      <c r="H877">
        <v>75</v>
      </c>
      <c r="I877" t="str">
        <f>"423-2898"</f>
        <v>423-2898</v>
      </c>
    </row>
    <row r="878" spans="1:10" x14ac:dyDescent="0.25">
      <c r="A878" t="str">
        <f>""</f>
        <v/>
      </c>
      <c r="F878" t="str">
        <f>"201803279772"</f>
        <v>201803279772</v>
      </c>
      <c r="G878" t="str">
        <f>"AC-2016-1231"</f>
        <v>AC-2016-1231</v>
      </c>
      <c r="H878">
        <v>150</v>
      </c>
      <c r="I878" t="str">
        <f>"AC-2016-1231"</f>
        <v>AC-2016-1231</v>
      </c>
    </row>
    <row r="879" spans="1:10" x14ac:dyDescent="0.25">
      <c r="A879" t="str">
        <f>""</f>
        <v/>
      </c>
      <c r="F879" t="str">
        <f>"201803279773"</f>
        <v>201803279773</v>
      </c>
      <c r="G879" t="str">
        <f>"16461"</f>
        <v>16461</v>
      </c>
      <c r="H879">
        <v>400</v>
      </c>
      <c r="I879" t="str">
        <f>"16461"</f>
        <v>16461</v>
      </c>
    </row>
    <row r="880" spans="1:10" x14ac:dyDescent="0.25">
      <c r="A880" t="str">
        <f>""</f>
        <v/>
      </c>
      <c r="F880" t="str">
        <f>"201803279774"</f>
        <v>201803279774</v>
      </c>
      <c r="G880" t="str">
        <f>"16115"</f>
        <v>16115</v>
      </c>
      <c r="H880">
        <v>400</v>
      </c>
      <c r="I880" t="str">
        <f>"16115"</f>
        <v>16115</v>
      </c>
    </row>
    <row r="881" spans="1:9" x14ac:dyDescent="0.25">
      <c r="A881" t="str">
        <f>""</f>
        <v/>
      </c>
      <c r="F881" t="str">
        <f>"201803279775"</f>
        <v>201803279775</v>
      </c>
      <c r="G881" t="str">
        <f>"16409/20170139C"</f>
        <v>16409/20170139C</v>
      </c>
      <c r="H881">
        <v>600</v>
      </c>
      <c r="I881" t="str">
        <f>"16409/20170139C"</f>
        <v>16409/20170139C</v>
      </c>
    </row>
    <row r="882" spans="1:9" x14ac:dyDescent="0.25">
      <c r="A882" t="str">
        <f>""</f>
        <v/>
      </c>
      <c r="F882" t="str">
        <f>"201803299814"</f>
        <v>201803299814</v>
      </c>
      <c r="G882" t="str">
        <f>"307062017C"</f>
        <v>307062017C</v>
      </c>
      <c r="H882">
        <v>150</v>
      </c>
      <c r="I882" t="str">
        <f>"307062017C"</f>
        <v>307062017C</v>
      </c>
    </row>
    <row r="883" spans="1:9" x14ac:dyDescent="0.25">
      <c r="A883" t="str">
        <f>""</f>
        <v/>
      </c>
      <c r="F883" t="str">
        <f>"201804039891"</f>
        <v>201804039891</v>
      </c>
      <c r="G883" t="str">
        <f>"55917"</f>
        <v>55917</v>
      </c>
      <c r="H883">
        <v>250</v>
      </c>
      <c r="I883" t="str">
        <f>"55917"</f>
        <v>55917</v>
      </c>
    </row>
    <row r="884" spans="1:9" x14ac:dyDescent="0.25">
      <c r="A884" t="str">
        <f>""</f>
        <v/>
      </c>
      <c r="F884" t="str">
        <f>"201804039892"</f>
        <v>201804039892</v>
      </c>
      <c r="G884" t="str">
        <f>"08063535  02-0404-1"</f>
        <v>08063535  02-0404-1</v>
      </c>
      <c r="H884">
        <v>375</v>
      </c>
      <c r="I884" t="str">
        <f>"08063535  02-0404-1"</f>
        <v>08063535  02-0404-1</v>
      </c>
    </row>
    <row r="885" spans="1:9" x14ac:dyDescent="0.25">
      <c r="A885" t="str">
        <f>""</f>
        <v/>
      </c>
      <c r="F885" t="str">
        <f>"201804039893"</f>
        <v>201804039893</v>
      </c>
      <c r="G885" t="str">
        <f>"55482"</f>
        <v>55482</v>
      </c>
      <c r="H885">
        <v>250</v>
      </c>
      <c r="I885" t="str">
        <f>"55482"</f>
        <v>55482</v>
      </c>
    </row>
    <row r="886" spans="1:9" x14ac:dyDescent="0.25">
      <c r="A886" t="str">
        <f>""</f>
        <v/>
      </c>
      <c r="F886" t="str">
        <f>"201804049967"</f>
        <v>201804049967</v>
      </c>
      <c r="G886" t="str">
        <f>"18-18943"</f>
        <v>18-18943</v>
      </c>
      <c r="H886">
        <v>100</v>
      </c>
      <c r="I886" t="str">
        <f>"18-18943"</f>
        <v>18-18943</v>
      </c>
    </row>
    <row r="887" spans="1:9" x14ac:dyDescent="0.25">
      <c r="A887" t="str">
        <f>""</f>
        <v/>
      </c>
      <c r="F887" t="str">
        <f>"201804049977"</f>
        <v>201804049977</v>
      </c>
      <c r="G887" t="str">
        <f>"55902"</f>
        <v>55902</v>
      </c>
      <c r="H887">
        <v>250</v>
      </c>
      <c r="I887" t="str">
        <f>"55902"</f>
        <v>55902</v>
      </c>
    </row>
    <row r="888" spans="1:9" x14ac:dyDescent="0.25">
      <c r="A888" t="str">
        <f>"T14548"</f>
        <v>T14548</v>
      </c>
      <c r="B888" t="s">
        <v>240</v>
      </c>
      <c r="C888">
        <v>999999</v>
      </c>
      <c r="D888" s="2">
        <v>3250</v>
      </c>
      <c r="E888" s="1">
        <v>43214</v>
      </c>
      <c r="F888" t="str">
        <f>"201804130314"</f>
        <v>201804130314</v>
      </c>
      <c r="G888" t="str">
        <f>"16381"</f>
        <v>16381</v>
      </c>
      <c r="H888">
        <v>400</v>
      </c>
      <c r="I888" t="str">
        <f>"16381"</f>
        <v>16381</v>
      </c>
    </row>
    <row r="889" spans="1:9" x14ac:dyDescent="0.25">
      <c r="A889" t="str">
        <f>""</f>
        <v/>
      </c>
      <c r="F889" t="str">
        <f>"201804130315"</f>
        <v>201804130315</v>
      </c>
      <c r="G889" t="str">
        <f>"CH-20170902-B"</f>
        <v>CH-20170902-B</v>
      </c>
      <c r="H889">
        <v>400</v>
      </c>
      <c r="I889" t="str">
        <f>"CH-20170902-B"</f>
        <v>CH-20170902-B</v>
      </c>
    </row>
    <row r="890" spans="1:9" x14ac:dyDescent="0.25">
      <c r="A890" t="str">
        <f>""</f>
        <v/>
      </c>
      <c r="F890" t="str">
        <f>"201804130316"</f>
        <v>201804130316</v>
      </c>
      <c r="G890" t="str">
        <f>"1JP42417A"</f>
        <v>1JP42417A</v>
      </c>
      <c r="H890">
        <v>400</v>
      </c>
      <c r="I890" t="str">
        <f>"1JP42417A"</f>
        <v>1JP42417A</v>
      </c>
    </row>
    <row r="891" spans="1:9" x14ac:dyDescent="0.25">
      <c r="A891" t="str">
        <f>""</f>
        <v/>
      </c>
      <c r="F891" t="str">
        <f>"201804130317"</f>
        <v>201804130317</v>
      </c>
      <c r="G891" t="str">
        <f>"U/T NO ARREST"</f>
        <v>U/T NO ARREST</v>
      </c>
      <c r="H891">
        <v>900</v>
      </c>
      <c r="I891" t="str">
        <f>"U/T NO ARREST"</f>
        <v>U/T NO ARREST</v>
      </c>
    </row>
    <row r="892" spans="1:9" x14ac:dyDescent="0.25">
      <c r="A892" t="str">
        <f>""</f>
        <v/>
      </c>
      <c r="F892" t="str">
        <f>"201804130318"</f>
        <v>201804130318</v>
      </c>
      <c r="G892" t="str">
        <f>"423-5644  423-5645"</f>
        <v>423-5644  423-5645</v>
      </c>
      <c r="H892">
        <v>200</v>
      </c>
      <c r="I892" t="str">
        <f>"423-5644  423-5645"</f>
        <v>423-5644  423-5645</v>
      </c>
    </row>
    <row r="893" spans="1:9" x14ac:dyDescent="0.25">
      <c r="A893" t="str">
        <f>""</f>
        <v/>
      </c>
      <c r="F893" t="str">
        <f>"201804130319"</f>
        <v>201804130319</v>
      </c>
      <c r="G893" t="str">
        <f>"423-5641  423-5642"</f>
        <v>423-5641  423-5642</v>
      </c>
      <c r="H893">
        <v>200</v>
      </c>
      <c r="I893" t="str">
        <f>"423-5641  423-5642"</f>
        <v>423-5641  423-5642</v>
      </c>
    </row>
    <row r="894" spans="1:9" x14ac:dyDescent="0.25">
      <c r="A894" t="str">
        <f>""</f>
        <v/>
      </c>
      <c r="F894" t="str">
        <f>"201804130343"</f>
        <v>201804130343</v>
      </c>
      <c r="G894" t="str">
        <f>"AC20170331F  AC20170331H"</f>
        <v>AC20170331F  AC20170331H</v>
      </c>
      <c r="H894">
        <v>250</v>
      </c>
      <c r="I894" t="str">
        <f>"AC20170331F  AC20170331H"</f>
        <v>AC20170331F  AC20170331H</v>
      </c>
    </row>
    <row r="895" spans="1:9" x14ac:dyDescent="0.25">
      <c r="A895" t="str">
        <f>""</f>
        <v/>
      </c>
      <c r="F895" t="str">
        <f>"201804130344"</f>
        <v>201804130344</v>
      </c>
      <c r="G895" t="str">
        <f>"54742"</f>
        <v>54742</v>
      </c>
      <c r="H895">
        <v>250</v>
      </c>
      <c r="I895" t="str">
        <f>"54742"</f>
        <v>54742</v>
      </c>
    </row>
    <row r="896" spans="1:9" x14ac:dyDescent="0.25">
      <c r="A896" t="str">
        <f>""</f>
        <v/>
      </c>
      <c r="F896" t="str">
        <f>"201804130345"</f>
        <v>201804130345</v>
      </c>
      <c r="G896" t="str">
        <f>"55143"</f>
        <v>55143</v>
      </c>
      <c r="H896">
        <v>250</v>
      </c>
      <c r="I896" t="str">
        <f>"55143"</f>
        <v>55143</v>
      </c>
    </row>
    <row r="897" spans="1:10" x14ac:dyDescent="0.25">
      <c r="A897" t="str">
        <f>"004892"</f>
        <v>004892</v>
      </c>
      <c r="B897" t="s">
        <v>241</v>
      </c>
      <c r="C897">
        <v>76303</v>
      </c>
      <c r="D897" s="2">
        <v>25</v>
      </c>
      <c r="E897" s="1">
        <v>43213</v>
      </c>
      <c r="F897" t="s">
        <v>242</v>
      </c>
      <c r="G897" t="s">
        <v>243</v>
      </c>
      <c r="H897" t="str">
        <f>"RESTITUTION-J. HOFFMAN"</f>
        <v>RESTITUTION-J. HOFFMAN</v>
      </c>
      <c r="I897" t="str">
        <f>"210-0000"</f>
        <v>210-0000</v>
      </c>
      <c r="J897">
        <v>25</v>
      </c>
    </row>
    <row r="898" spans="1:10" x14ac:dyDescent="0.25">
      <c r="A898" t="str">
        <f>"003677"</f>
        <v>003677</v>
      </c>
      <c r="B898" t="s">
        <v>244</v>
      </c>
      <c r="C898">
        <v>76304</v>
      </c>
      <c r="D898" s="2">
        <v>25</v>
      </c>
      <c r="E898" s="1">
        <v>43213</v>
      </c>
      <c r="F898" t="s">
        <v>57</v>
      </c>
      <c r="G898" t="s">
        <v>245</v>
      </c>
      <c r="H898" t="str">
        <f>"RESTITUTION-D. SPURK"</f>
        <v>RESTITUTION-D. SPURK</v>
      </c>
      <c r="I898" t="str">
        <f>"210-0000"</f>
        <v>210-0000</v>
      </c>
      <c r="J898">
        <v>25</v>
      </c>
    </row>
    <row r="899" spans="1:10" x14ac:dyDescent="0.25">
      <c r="A899" t="str">
        <f>"003760"</f>
        <v>003760</v>
      </c>
      <c r="B899" t="s">
        <v>246</v>
      </c>
      <c r="C899">
        <v>76086</v>
      </c>
      <c r="D899" s="2">
        <v>150</v>
      </c>
      <c r="E899" s="1">
        <v>43199</v>
      </c>
      <c r="F899" t="str">
        <f>"201804039920"</f>
        <v>201804039920</v>
      </c>
      <c r="G899" t="str">
        <f>"PER DIEM-TYLER CONFERENCE"</f>
        <v>PER DIEM-TYLER CONFERENCE</v>
      </c>
      <c r="H899">
        <v>150</v>
      </c>
      <c r="I899" t="str">
        <f>"PER DIEM-TYLER CONFERENCE"</f>
        <v>PER DIEM-TYLER CONFERENCE</v>
      </c>
    </row>
    <row r="900" spans="1:10" x14ac:dyDescent="0.25">
      <c r="A900" t="str">
        <f>"KMPC"</f>
        <v>KMPC</v>
      </c>
      <c r="B900" t="s">
        <v>247</v>
      </c>
      <c r="C900">
        <v>76305</v>
      </c>
      <c r="D900" s="2">
        <v>75.94</v>
      </c>
      <c r="E900" s="1">
        <v>43213</v>
      </c>
      <c r="F900" t="str">
        <f>"152000000135878"</f>
        <v>152000000135878</v>
      </c>
      <c r="G900" t="str">
        <f>"ACCT#1520-BA2437"</f>
        <v>ACCT#1520-BA2437</v>
      </c>
      <c r="H900">
        <v>75.94</v>
      </c>
      <c r="I900" t="str">
        <f>"ACCT#1520-BA2437"</f>
        <v>ACCT#1520-BA2437</v>
      </c>
    </row>
    <row r="901" spans="1:10" x14ac:dyDescent="0.25">
      <c r="A901" t="str">
        <f>"T12139"</f>
        <v>T12139</v>
      </c>
      <c r="B901" t="s">
        <v>248</v>
      </c>
      <c r="C901">
        <v>76087</v>
      </c>
      <c r="D901" s="2">
        <v>315</v>
      </c>
      <c r="E901" s="1">
        <v>43199</v>
      </c>
      <c r="F901" t="str">
        <f>"336535"</f>
        <v>336535</v>
      </c>
      <c r="G901" t="str">
        <f>"TRASH PICKUP / PCT #1"</f>
        <v>TRASH PICKUP / PCT #1</v>
      </c>
      <c r="H901">
        <v>315</v>
      </c>
      <c r="I901" t="str">
        <f>"TRASH PICKUP / PCT #1"</f>
        <v>TRASH PICKUP / PCT #1</v>
      </c>
    </row>
    <row r="902" spans="1:10" x14ac:dyDescent="0.25">
      <c r="A902" t="str">
        <f>"KBTRI"</f>
        <v>KBTRI</v>
      </c>
      <c r="B902" t="s">
        <v>249</v>
      </c>
      <c r="C902">
        <v>76088</v>
      </c>
      <c r="D902" s="2">
        <v>2617</v>
      </c>
      <c r="E902" s="1">
        <v>43199</v>
      </c>
      <c r="F902" t="str">
        <f>"53  03/27/18"</f>
        <v>53  03/27/18</v>
      </c>
      <c r="G902" t="str">
        <f>"TOWER RENT"</f>
        <v>TOWER RENT</v>
      </c>
      <c r="H902">
        <v>2617</v>
      </c>
      <c r="I902" t="str">
        <f>"TOWER RENT"</f>
        <v>TOWER RENT</v>
      </c>
    </row>
    <row r="903" spans="1:10" x14ac:dyDescent="0.25">
      <c r="A903" t="str">
        <f>"000162"</f>
        <v>000162</v>
      </c>
      <c r="B903" t="s">
        <v>250</v>
      </c>
      <c r="C903">
        <v>76089</v>
      </c>
      <c r="D903" s="2">
        <v>841.85</v>
      </c>
      <c r="E903" s="1">
        <v>43199</v>
      </c>
      <c r="F903" t="str">
        <f>"201804039913"</f>
        <v>201804039913</v>
      </c>
      <c r="G903" t="str">
        <f>"REIMBURSE-MEALS/HOTEL/MILEAGE"</f>
        <v>REIMBURSE-MEALS/HOTEL/MILEAGE</v>
      </c>
      <c r="H903">
        <v>841.85</v>
      </c>
      <c r="I903" t="str">
        <f>"REIMBURSE-MEALS/HOTEL/MILEAGE"</f>
        <v>REIMBURSE-MEALS/HOTEL/MILEAGE</v>
      </c>
    </row>
    <row r="904" spans="1:10" x14ac:dyDescent="0.25">
      <c r="A904" t="str">
        <f>"003916"</f>
        <v>003916</v>
      </c>
      <c r="B904" t="s">
        <v>251</v>
      </c>
      <c r="C904">
        <v>76306</v>
      </c>
      <c r="D904" s="2">
        <v>99</v>
      </c>
      <c r="E904" s="1">
        <v>43213</v>
      </c>
      <c r="F904" t="str">
        <f>"264624"</f>
        <v>264624</v>
      </c>
      <c r="G904" t="str">
        <f>"ORD#1269-9884/GEN SVCS"</f>
        <v>ORD#1269-9884/GEN SVCS</v>
      </c>
      <c r="H904">
        <v>99</v>
      </c>
      <c r="I904" t="str">
        <f>"ORD#1269-9884/GEN SVCS"</f>
        <v>ORD#1269-9884/GEN SVCS</v>
      </c>
    </row>
    <row r="905" spans="1:10" x14ac:dyDescent="0.25">
      <c r="A905" t="str">
        <f>"T9229"</f>
        <v>T9229</v>
      </c>
      <c r="B905" t="s">
        <v>252</v>
      </c>
      <c r="C905">
        <v>76307</v>
      </c>
      <c r="D905" s="2">
        <v>542.55999999999995</v>
      </c>
      <c r="E905" s="1">
        <v>43213</v>
      </c>
      <c r="F905" t="str">
        <f>"201804170382"</f>
        <v>201804170382</v>
      </c>
      <c r="G905" t="str">
        <f>"REIMBURSE-MILEAGE/FOOD/LODGING"</f>
        <v>REIMBURSE-MILEAGE/FOOD/LODGING</v>
      </c>
      <c r="H905">
        <v>542.55999999999995</v>
      </c>
      <c r="I905" t="str">
        <f>"REIMBURSE-MILEAGE/FOOD/LODGING"</f>
        <v>REIMBURSE-MILEAGE/FOOD/LODGING</v>
      </c>
    </row>
    <row r="906" spans="1:10" x14ac:dyDescent="0.25">
      <c r="A906" t="str">
        <f>"004130"</f>
        <v>004130</v>
      </c>
      <c r="B906" t="s">
        <v>253</v>
      </c>
      <c r="C906">
        <v>76090</v>
      </c>
      <c r="D906" s="2">
        <v>85</v>
      </c>
      <c r="E906" s="1">
        <v>43199</v>
      </c>
      <c r="F906" t="str">
        <f>"FOCS142226"</f>
        <v>FOCS142226</v>
      </c>
      <c r="G906" t="str">
        <f>"INV F0CS142226 /UNIT 1670"</f>
        <v>INV F0CS142226 /UNIT 1670</v>
      </c>
      <c r="H906">
        <v>85</v>
      </c>
      <c r="I906" t="str">
        <f>"INV F0CS142226 /UNIT 1670"</f>
        <v>INV F0CS142226 /UNIT 1670</v>
      </c>
    </row>
    <row r="907" spans="1:10" x14ac:dyDescent="0.25">
      <c r="A907" t="str">
        <f>"005489"</f>
        <v>005489</v>
      </c>
      <c r="B907" t="s">
        <v>254</v>
      </c>
      <c r="C907">
        <v>76091</v>
      </c>
      <c r="D907" s="2">
        <v>1026.6199999999999</v>
      </c>
      <c r="E907" s="1">
        <v>43199</v>
      </c>
      <c r="F907" t="str">
        <f>"201804039924"</f>
        <v>201804039924</v>
      </c>
      <c r="G907" t="str">
        <f>"LODGING-K. LYYTINEN"</f>
        <v>LODGING-K. LYYTINEN</v>
      </c>
      <c r="H907">
        <v>1026.6199999999999</v>
      </c>
      <c r="I907" t="str">
        <f>"LODGING-K. LYYTINEN"</f>
        <v>LODGING-K. LYYTINEN</v>
      </c>
    </row>
    <row r="908" spans="1:10" x14ac:dyDescent="0.25">
      <c r="A908" t="str">
        <f>"001722"</f>
        <v>001722</v>
      </c>
      <c r="B908" t="s">
        <v>255</v>
      </c>
      <c r="C908">
        <v>76092</v>
      </c>
      <c r="D908" s="2">
        <v>1982.8</v>
      </c>
      <c r="E908" s="1">
        <v>43199</v>
      </c>
      <c r="F908" t="str">
        <f>"03214881/03283288"</f>
        <v>03214881/03283288</v>
      </c>
      <c r="G908" t="str">
        <f>"INV 03214881"</f>
        <v>INV 03214881</v>
      </c>
      <c r="H908">
        <v>1982.8</v>
      </c>
      <c r="I908" t="str">
        <f>"INV 03214881"</f>
        <v>INV 03214881</v>
      </c>
    </row>
    <row r="909" spans="1:10" x14ac:dyDescent="0.25">
      <c r="A909" t="str">
        <f>""</f>
        <v/>
      </c>
      <c r="F909" t="str">
        <f>""</f>
        <v/>
      </c>
      <c r="G909" t="str">
        <f>""</f>
        <v/>
      </c>
      <c r="I909" t="str">
        <f>"INV 03283288"</f>
        <v>INV 03283288</v>
      </c>
    </row>
    <row r="910" spans="1:10" x14ac:dyDescent="0.25">
      <c r="A910" t="str">
        <f>"001722"</f>
        <v>001722</v>
      </c>
      <c r="B910" t="s">
        <v>255</v>
      </c>
      <c r="C910">
        <v>76308</v>
      </c>
      <c r="D910" s="2">
        <v>2179.85</v>
      </c>
      <c r="E910" s="1">
        <v>43213</v>
      </c>
      <c r="F910" t="str">
        <f>"04040519/04118979"</f>
        <v>04040519/04118979</v>
      </c>
      <c r="G910" t="str">
        <f>"INV 04040519"</f>
        <v>INV 04040519</v>
      </c>
      <c r="H910">
        <v>2179.85</v>
      </c>
      <c r="I910" t="str">
        <f>"INV 04040519"</f>
        <v>INV 04040519</v>
      </c>
    </row>
    <row r="911" spans="1:10" x14ac:dyDescent="0.25">
      <c r="A911" t="str">
        <f>""</f>
        <v/>
      </c>
      <c r="F911" t="str">
        <f>""</f>
        <v/>
      </c>
      <c r="G911" t="str">
        <f>""</f>
        <v/>
      </c>
      <c r="I911" t="str">
        <f>"INV 04118979"</f>
        <v>INV 04118979</v>
      </c>
    </row>
    <row r="912" spans="1:10" x14ac:dyDescent="0.25">
      <c r="A912" t="str">
        <f>"005481"</f>
        <v>005481</v>
      </c>
      <c r="B912" t="s">
        <v>256</v>
      </c>
      <c r="C912">
        <v>76093</v>
      </c>
      <c r="D912" s="2">
        <v>103.04</v>
      </c>
      <c r="E912" s="1">
        <v>43199</v>
      </c>
      <c r="F912" t="str">
        <f>"201803279766"</f>
        <v>201803279766</v>
      </c>
      <c r="G912" t="str">
        <f>"MILEAGE REIMBURSEMENT"</f>
        <v>MILEAGE REIMBURSEMENT</v>
      </c>
      <c r="H912">
        <v>103.04</v>
      </c>
      <c r="I912" t="str">
        <f>"MILEAGE REIMBURSEMENT"</f>
        <v>MILEAGE REIMBURSEMENT</v>
      </c>
    </row>
    <row r="913" spans="1:9" x14ac:dyDescent="0.25">
      <c r="A913" t="str">
        <f>"002420"</f>
        <v>002420</v>
      </c>
      <c r="B913" t="s">
        <v>257</v>
      </c>
      <c r="C913">
        <v>999999</v>
      </c>
      <c r="D913" s="2">
        <v>1352.5</v>
      </c>
      <c r="E913" s="1">
        <v>43200</v>
      </c>
      <c r="F913" t="str">
        <f>"201804029829"</f>
        <v>201804029829</v>
      </c>
      <c r="G913" t="str">
        <f>"423-2783  12/20/17-02/20/18"</f>
        <v>423-2783  12/20/17-02/20/18</v>
      </c>
      <c r="H913">
        <v>392.5</v>
      </c>
      <c r="I913" t="str">
        <f>"423-2783  12/20/17-02/20/18"</f>
        <v>423-2783  12/20/17-02/20/18</v>
      </c>
    </row>
    <row r="914" spans="1:9" x14ac:dyDescent="0.25">
      <c r="A914" t="str">
        <f>""</f>
        <v/>
      </c>
      <c r="F914" t="str">
        <f>"201804029830"</f>
        <v>201804029830</v>
      </c>
      <c r="G914" t="str">
        <f>"423-2403  12/20/17-02/20/18"</f>
        <v>423-2403  12/20/17-02/20/18</v>
      </c>
      <c r="H914">
        <v>400</v>
      </c>
      <c r="I914" t="str">
        <f>"423-2403  12/20/17-02/20/18"</f>
        <v>423-2403  12/20/17-02/20/18</v>
      </c>
    </row>
    <row r="915" spans="1:9" x14ac:dyDescent="0.25">
      <c r="A915" t="str">
        <f>""</f>
        <v/>
      </c>
      <c r="F915" t="str">
        <f>"201804029831"</f>
        <v>201804029831</v>
      </c>
      <c r="G915" t="str">
        <f>"423-1015  12/20/17-02/20/18"</f>
        <v>423-1015  12/20/17-02/20/18</v>
      </c>
      <c r="H915">
        <v>30</v>
      </c>
      <c r="I915" t="str">
        <f>"423-1015  12/20/17-02/20/18"</f>
        <v>423-1015  12/20/17-02/20/18</v>
      </c>
    </row>
    <row r="916" spans="1:9" x14ac:dyDescent="0.25">
      <c r="A916" t="str">
        <f>""</f>
        <v/>
      </c>
      <c r="F916" t="str">
        <f>"201804029832"</f>
        <v>201804029832</v>
      </c>
      <c r="G916" t="str">
        <f>"423-4575  12/20/17-02/20/18"</f>
        <v>423-4575  12/20/17-02/20/18</v>
      </c>
      <c r="H916">
        <v>175</v>
      </c>
      <c r="I916" t="str">
        <f>"423-4575  12/20/17-02/20/18"</f>
        <v>423-4575  12/20/17-02/20/18</v>
      </c>
    </row>
    <row r="917" spans="1:9" x14ac:dyDescent="0.25">
      <c r="A917" t="str">
        <f>""</f>
        <v/>
      </c>
      <c r="F917" t="str">
        <f>"201804049982"</f>
        <v>201804049982</v>
      </c>
      <c r="G917" t="str">
        <f>"423-2783"</f>
        <v>423-2783</v>
      </c>
      <c r="H917">
        <v>82.5</v>
      </c>
      <c r="I917" t="str">
        <f>"423-2783"</f>
        <v>423-2783</v>
      </c>
    </row>
    <row r="918" spans="1:9" x14ac:dyDescent="0.25">
      <c r="A918" t="str">
        <f>""</f>
        <v/>
      </c>
      <c r="F918" t="str">
        <f>"201804049983"</f>
        <v>201804049983</v>
      </c>
      <c r="G918" t="str">
        <f>"423-1015"</f>
        <v>423-1015</v>
      </c>
      <c r="H918">
        <v>272.5</v>
      </c>
      <c r="I918" t="str">
        <f>"423-1015"</f>
        <v>423-1015</v>
      </c>
    </row>
    <row r="919" spans="1:9" x14ac:dyDescent="0.25">
      <c r="A919" t="str">
        <f>"002420"</f>
        <v>002420</v>
      </c>
      <c r="B919" t="s">
        <v>257</v>
      </c>
      <c r="C919">
        <v>999999</v>
      </c>
      <c r="D919" s="2">
        <v>3180</v>
      </c>
      <c r="E919" s="1">
        <v>43214</v>
      </c>
      <c r="F919" t="str">
        <f>"201804100178"</f>
        <v>201804100178</v>
      </c>
      <c r="G919" t="str">
        <f>"12-14967"</f>
        <v>12-14967</v>
      </c>
      <c r="H919">
        <v>257.5</v>
      </c>
      <c r="I919" t="str">
        <f>"12-14967"</f>
        <v>12-14967</v>
      </c>
    </row>
    <row r="920" spans="1:9" x14ac:dyDescent="0.25">
      <c r="A920" t="str">
        <f>""</f>
        <v/>
      </c>
      <c r="F920" t="str">
        <f>"201804100179"</f>
        <v>201804100179</v>
      </c>
      <c r="G920" t="str">
        <f>"17-18765"</f>
        <v>17-18765</v>
      </c>
      <c r="H920">
        <v>247.5</v>
      </c>
      <c r="I920" t="str">
        <f>"17-18765"</f>
        <v>17-18765</v>
      </c>
    </row>
    <row r="921" spans="1:9" x14ac:dyDescent="0.25">
      <c r="A921" t="str">
        <f>""</f>
        <v/>
      </c>
      <c r="F921" t="str">
        <f>"201804100180"</f>
        <v>201804100180</v>
      </c>
      <c r="G921" t="str">
        <f>"17-18576"</f>
        <v>17-18576</v>
      </c>
      <c r="H921">
        <v>122.5</v>
      </c>
      <c r="I921" t="str">
        <f>"17-18576"</f>
        <v>17-18576</v>
      </c>
    </row>
    <row r="922" spans="1:9" x14ac:dyDescent="0.25">
      <c r="A922" t="str">
        <f>""</f>
        <v/>
      </c>
      <c r="F922" t="str">
        <f>"201804100181"</f>
        <v>201804100181</v>
      </c>
      <c r="G922" t="str">
        <f>"00-6295"</f>
        <v>00-6295</v>
      </c>
      <c r="H922">
        <v>197.5</v>
      </c>
      <c r="I922" t="str">
        <f>"00-6295"</f>
        <v>00-6295</v>
      </c>
    </row>
    <row r="923" spans="1:9" x14ac:dyDescent="0.25">
      <c r="A923" t="str">
        <f>""</f>
        <v/>
      </c>
      <c r="F923" t="str">
        <f>"201804100182"</f>
        <v>201804100182</v>
      </c>
      <c r="G923" t="str">
        <f>"17-18615"</f>
        <v>17-18615</v>
      </c>
      <c r="H923">
        <v>182.5</v>
      </c>
      <c r="I923" t="str">
        <f>"17-18615"</f>
        <v>17-18615</v>
      </c>
    </row>
    <row r="924" spans="1:9" x14ac:dyDescent="0.25">
      <c r="A924" t="str">
        <f>""</f>
        <v/>
      </c>
      <c r="F924" t="str">
        <f>"201804100183"</f>
        <v>201804100183</v>
      </c>
      <c r="G924" t="str">
        <f>"04-9415"</f>
        <v>04-9415</v>
      </c>
      <c r="H924">
        <v>205</v>
      </c>
      <c r="I924" t="str">
        <f>"04-9415"</f>
        <v>04-9415</v>
      </c>
    </row>
    <row r="925" spans="1:9" x14ac:dyDescent="0.25">
      <c r="A925" t="str">
        <f>""</f>
        <v/>
      </c>
      <c r="F925" t="str">
        <f>"201804100184"</f>
        <v>201804100184</v>
      </c>
      <c r="G925" t="str">
        <f>"16-17944"</f>
        <v>16-17944</v>
      </c>
      <c r="H925">
        <v>75</v>
      </c>
      <c r="I925" t="str">
        <f>"16-17944"</f>
        <v>16-17944</v>
      </c>
    </row>
    <row r="926" spans="1:9" x14ac:dyDescent="0.25">
      <c r="A926" t="str">
        <f>""</f>
        <v/>
      </c>
      <c r="F926" t="str">
        <f>"201804100185"</f>
        <v>201804100185</v>
      </c>
      <c r="G926" t="str">
        <f>"14-16754"</f>
        <v>14-16754</v>
      </c>
      <c r="H926">
        <v>210</v>
      </c>
      <c r="I926" t="str">
        <f>"14-16754"</f>
        <v>14-16754</v>
      </c>
    </row>
    <row r="927" spans="1:9" x14ac:dyDescent="0.25">
      <c r="A927" t="str">
        <f>""</f>
        <v/>
      </c>
      <c r="F927" t="str">
        <f>"201804100186"</f>
        <v>201804100186</v>
      </c>
      <c r="G927" t="str">
        <f>"18-18824"</f>
        <v>18-18824</v>
      </c>
      <c r="H927">
        <v>145</v>
      </c>
      <c r="I927" t="str">
        <f>"18-18824"</f>
        <v>18-18824</v>
      </c>
    </row>
    <row r="928" spans="1:9" x14ac:dyDescent="0.25">
      <c r="A928" t="str">
        <f>""</f>
        <v/>
      </c>
      <c r="F928" t="str">
        <f>"201804100187"</f>
        <v>201804100187</v>
      </c>
      <c r="G928" t="str">
        <f>"17-18493"</f>
        <v>17-18493</v>
      </c>
      <c r="H928">
        <v>540</v>
      </c>
      <c r="I928" t="str">
        <f>"17-18493"</f>
        <v>17-18493</v>
      </c>
    </row>
    <row r="929" spans="1:9" x14ac:dyDescent="0.25">
      <c r="A929" t="str">
        <f>""</f>
        <v/>
      </c>
      <c r="F929" t="str">
        <f>"201804100188"</f>
        <v>201804100188</v>
      </c>
      <c r="G929" t="str">
        <f>"17-18525"</f>
        <v>17-18525</v>
      </c>
      <c r="H929">
        <v>997.5</v>
      </c>
      <c r="I929" t="str">
        <f>"17-18525"</f>
        <v>17-18525</v>
      </c>
    </row>
    <row r="930" spans="1:9" x14ac:dyDescent="0.25">
      <c r="A930" t="str">
        <f>"T1795"</f>
        <v>T1795</v>
      </c>
      <c r="B930" t="s">
        <v>258</v>
      </c>
      <c r="C930">
        <v>76094</v>
      </c>
      <c r="D930" s="2">
        <v>1665</v>
      </c>
      <c r="E930" s="1">
        <v>43199</v>
      </c>
      <c r="F930" t="str">
        <f>"063718015a"</f>
        <v>063718015a</v>
      </c>
      <c r="G930" t="str">
        <f>"REGISTRATION FEE - B SNEED"</f>
        <v>REGISTRATION FEE - B SNEED</v>
      </c>
      <c r="H930">
        <v>295</v>
      </c>
      <c r="I930" t="str">
        <f>"REGISTRATION FEE - B SNEED"</f>
        <v>REGISTRATION FEE - B SNEED</v>
      </c>
    </row>
    <row r="931" spans="1:9" x14ac:dyDescent="0.25">
      <c r="A931" t="str">
        <f>""</f>
        <v/>
      </c>
      <c r="F931" t="str">
        <f>"241518014"</f>
        <v>241518014</v>
      </c>
      <c r="G931" t="str">
        <f>"REGISTRATION FEE - R ETHEREDGE"</f>
        <v>REGISTRATION FEE - R ETHEREDGE</v>
      </c>
      <c r="H931">
        <v>195</v>
      </c>
      <c r="I931" t="str">
        <f>"REGISTRATION FEE - R ETHEREDGE"</f>
        <v>REGISTRATION FEE - R ETHEREDGE</v>
      </c>
    </row>
    <row r="932" spans="1:9" x14ac:dyDescent="0.25">
      <c r="A932" t="str">
        <f>""</f>
        <v/>
      </c>
      <c r="F932" t="str">
        <f>"241618014"</f>
        <v>241618014</v>
      </c>
      <c r="G932" t="str">
        <f>"REGISTRATION FEE - V FUENTES"</f>
        <v>REGISTRATION FEE - V FUENTES</v>
      </c>
      <c r="H932">
        <v>195</v>
      </c>
      <c r="I932" t="str">
        <f>"REGISTRATION FEE - V FUENTES"</f>
        <v>REGISTRATION FEE - V FUENTES</v>
      </c>
    </row>
    <row r="933" spans="1:9" x14ac:dyDescent="0.25">
      <c r="A933" t="str">
        <f>""</f>
        <v/>
      </c>
      <c r="F933" t="str">
        <f>"241718014"</f>
        <v>241718014</v>
      </c>
      <c r="G933" t="str">
        <f>"REGISTRATION FEE - A QUINLEY"</f>
        <v>REGISTRATION FEE - A QUINLEY</v>
      </c>
      <c r="H933">
        <v>195</v>
      </c>
      <c r="I933" t="str">
        <f>"REGISTRATION FEE - A QUINLEY"</f>
        <v>REGISTRATION FEE - A QUINLEY</v>
      </c>
    </row>
    <row r="934" spans="1:9" x14ac:dyDescent="0.25">
      <c r="A934" t="str">
        <f>""</f>
        <v/>
      </c>
      <c r="F934" t="str">
        <f>"241818014"</f>
        <v>241818014</v>
      </c>
      <c r="G934" t="str">
        <f>"REGISTRATION FEE - D BLAKE"</f>
        <v>REGISTRATION FEE - D BLAKE</v>
      </c>
      <c r="H934">
        <v>195</v>
      </c>
      <c r="I934" t="str">
        <f>"REGISTRATION FEE - D BLAKE"</f>
        <v>REGISTRATION FEE - D BLAKE</v>
      </c>
    </row>
    <row r="935" spans="1:9" x14ac:dyDescent="0.25">
      <c r="A935" t="str">
        <f>""</f>
        <v/>
      </c>
      <c r="F935" t="str">
        <f>"545618015"</f>
        <v>545618015</v>
      </c>
      <c r="G935" t="str">
        <f>"REGISTRATION FEE- J PACHECO"</f>
        <v>REGISTRATION FEE- J PACHECO</v>
      </c>
      <c r="H935">
        <v>295</v>
      </c>
      <c r="I935" t="str">
        <f>"REGISTRATION FEE- J PACHECO"</f>
        <v>REGISTRATION FEE- J PACHECO</v>
      </c>
    </row>
    <row r="936" spans="1:9" x14ac:dyDescent="0.25">
      <c r="A936" t="str">
        <f>""</f>
        <v/>
      </c>
      <c r="F936" t="str">
        <f>"681118015"</f>
        <v>681118015</v>
      </c>
      <c r="G936" t="str">
        <f>"REGISTRATION FEE - M KINCAID"</f>
        <v>REGISTRATION FEE - M KINCAID</v>
      </c>
      <c r="H936">
        <v>295</v>
      </c>
      <c r="I936" t="str">
        <f>"REGISTRATION FEE - M KINCAID"</f>
        <v>REGISTRATION FEE - M KINCAID</v>
      </c>
    </row>
    <row r="937" spans="1:9" x14ac:dyDescent="0.25">
      <c r="A937" t="str">
        <f>"T1795"</f>
        <v>T1795</v>
      </c>
      <c r="B937" t="s">
        <v>258</v>
      </c>
      <c r="C937">
        <v>76309</v>
      </c>
      <c r="D937" s="2">
        <v>635</v>
      </c>
      <c r="E937" s="1">
        <v>43213</v>
      </c>
      <c r="F937" t="str">
        <f>"063717027"</f>
        <v>063717027</v>
      </c>
      <c r="G937" t="str">
        <f>"REGISTRATION-B.SNEED"</f>
        <v>REGISTRATION-B.SNEED</v>
      </c>
      <c r="H937">
        <v>265</v>
      </c>
      <c r="I937" t="str">
        <f>"REGISTRATION-B.SNEED"</f>
        <v>REGISTRATION-B.SNEED</v>
      </c>
    </row>
    <row r="938" spans="1:9" x14ac:dyDescent="0.25">
      <c r="A938" t="str">
        <f>""</f>
        <v/>
      </c>
      <c r="F938" t="str">
        <f>"243118015"</f>
        <v>243118015</v>
      </c>
      <c r="G938" t="str">
        <f>"REGISTRATION-S. COOPER"</f>
        <v>REGISTRATION-S. COOPER</v>
      </c>
      <c r="H938">
        <v>295</v>
      </c>
      <c r="I938" t="str">
        <f>"REGISTRATION-S. COOPER"</f>
        <v>REGISTRATION-S. COOPER</v>
      </c>
    </row>
    <row r="939" spans="1:9" x14ac:dyDescent="0.25">
      <c r="A939" t="str">
        <f>""</f>
        <v/>
      </c>
      <c r="F939" t="str">
        <f>"243118016"</f>
        <v>243118016</v>
      </c>
      <c r="G939" t="str">
        <f>"REGISTRATION-S. COOPER"</f>
        <v>REGISTRATION-S. COOPER</v>
      </c>
      <c r="H939">
        <v>75</v>
      </c>
      <c r="I939" t="str">
        <f>"REGISTRATION-S. COOPER"</f>
        <v>REGISTRATION-S. COOPER</v>
      </c>
    </row>
    <row r="940" spans="1:9" x14ac:dyDescent="0.25">
      <c r="A940" t="str">
        <f>"T11826"</f>
        <v>T11826</v>
      </c>
      <c r="B940" t="s">
        <v>259</v>
      </c>
      <c r="C940">
        <v>76095</v>
      </c>
      <c r="D940" s="2">
        <v>170</v>
      </c>
      <c r="E940" s="1">
        <v>43199</v>
      </c>
      <c r="F940" t="str">
        <f>"201804029833"</f>
        <v>201804029833</v>
      </c>
      <c r="G940" t="str">
        <f>"TIRE SVCS/PCT#4"</f>
        <v>TIRE SVCS/PCT#4</v>
      </c>
      <c r="H940">
        <v>170</v>
      </c>
      <c r="I940" t="str">
        <f>"TIRE SVCS/PCT#4"</f>
        <v>TIRE SVCS/PCT#4</v>
      </c>
    </row>
    <row r="941" spans="1:9" x14ac:dyDescent="0.25">
      <c r="A941" t="str">
        <f>"T9279"</f>
        <v>T9279</v>
      </c>
      <c r="B941" t="s">
        <v>260</v>
      </c>
      <c r="C941">
        <v>75991</v>
      </c>
      <c r="D941" s="2">
        <v>244.05</v>
      </c>
      <c r="E941" s="1">
        <v>43195</v>
      </c>
      <c r="F941" t="str">
        <f>"201804050018"</f>
        <v>201804050018</v>
      </c>
      <c r="G941" t="str">
        <f>"ACCT#1-09-00072-02 / 03232018"</f>
        <v>ACCT#1-09-00072-02 / 03232018</v>
      </c>
      <c r="H941">
        <v>193.8</v>
      </c>
      <c r="I941" t="str">
        <f>"ACCT#1-09-00072-02 / 03232018"</f>
        <v>ACCT#1-09-00072-02 / 03232018</v>
      </c>
    </row>
    <row r="942" spans="1:9" x14ac:dyDescent="0.25">
      <c r="A942" t="str">
        <f>""</f>
        <v/>
      </c>
      <c r="F942" t="str">
        <f>"201804050019"</f>
        <v>201804050019</v>
      </c>
      <c r="G942" t="str">
        <f>"ACCT#3-09-00175-03 / 03232018"</f>
        <v>ACCT#3-09-00175-03 / 03232018</v>
      </c>
      <c r="H942">
        <v>50.25</v>
      </c>
      <c r="I942" t="str">
        <f>"ACCT#3-09-00175-03 / 03232018"</f>
        <v>ACCT#3-09-00175-03 / 03232018</v>
      </c>
    </row>
    <row r="943" spans="1:9" x14ac:dyDescent="0.25">
      <c r="A943" t="str">
        <f>"001530"</f>
        <v>001530</v>
      </c>
      <c r="B943" t="s">
        <v>261</v>
      </c>
      <c r="C943">
        <v>76096</v>
      </c>
      <c r="D943" s="2">
        <v>50</v>
      </c>
      <c r="E943" s="1">
        <v>43199</v>
      </c>
      <c r="F943" t="str">
        <f>"1211621-20180331"</f>
        <v>1211621-20180331</v>
      </c>
      <c r="G943" t="str">
        <f>"BILLING ID:1211621/HEALTH SVCS"</f>
        <v>BILLING ID:1211621/HEALTH SVCS</v>
      </c>
      <c r="H943">
        <v>50</v>
      </c>
      <c r="I943" t="str">
        <f>"BILLING ID:1211621/HEALTH SVCS"</f>
        <v>BILLING ID:1211621/HEALTH SVCS</v>
      </c>
    </row>
    <row r="944" spans="1:9" x14ac:dyDescent="0.25">
      <c r="A944" t="str">
        <f>"001530"</f>
        <v>001530</v>
      </c>
      <c r="B944" t="s">
        <v>261</v>
      </c>
      <c r="C944">
        <v>76310</v>
      </c>
      <c r="D944" s="2">
        <v>625.45000000000005</v>
      </c>
      <c r="E944" s="1">
        <v>43213</v>
      </c>
      <c r="F944" t="str">
        <f>"1361725-20180331"</f>
        <v>1361725-20180331</v>
      </c>
      <c r="G944" t="str">
        <f>"BILLING ID:1361725/INDIGENT HL"</f>
        <v>BILLING ID:1361725/INDIGENT HL</v>
      </c>
      <c r="H944">
        <v>120.65</v>
      </c>
      <c r="I944" t="str">
        <f>"BILLING ID:1361725/INDIGENT HL"</f>
        <v>BILLING ID:1361725/INDIGENT HL</v>
      </c>
    </row>
    <row r="945" spans="1:9" x14ac:dyDescent="0.25">
      <c r="A945" t="str">
        <f>""</f>
        <v/>
      </c>
      <c r="F945" t="str">
        <f>"1394645-20180331"</f>
        <v>1394645-20180331</v>
      </c>
      <c r="G945" t="str">
        <f>"BILLING ID:1394645/CNTY CLERK"</f>
        <v>BILLING ID:1394645/CNTY CLERK</v>
      </c>
      <c r="H945">
        <v>50</v>
      </c>
      <c r="I945" t="str">
        <f>"BILLING ID:1394645/CNTY CLERK"</f>
        <v>BILLING ID:1394645/CNTY CLERK</v>
      </c>
    </row>
    <row r="946" spans="1:9" x14ac:dyDescent="0.25">
      <c r="A946" t="str">
        <f>""</f>
        <v/>
      </c>
      <c r="F946" t="str">
        <f>"1420944-20180331"</f>
        <v>1420944-20180331</v>
      </c>
      <c r="G946" t="str">
        <f>"BILLING ID:1420944/SHERIIFF"</f>
        <v>BILLING ID:1420944/SHERIIFF</v>
      </c>
      <c r="H946">
        <v>304.8</v>
      </c>
      <c r="I946" t="str">
        <f>"BILLING ID:1420944/SHERIIFF"</f>
        <v>BILLING ID:1420944/SHERIIFF</v>
      </c>
    </row>
    <row r="947" spans="1:9" x14ac:dyDescent="0.25">
      <c r="A947" t="str">
        <f>""</f>
        <v/>
      </c>
      <c r="F947" t="str">
        <f>"1489870-20180331"</f>
        <v>1489870-20180331</v>
      </c>
      <c r="G947" t="str">
        <f>"BILLING ID:1489870/DIST CLERK"</f>
        <v>BILLING ID:1489870/DIST CLERK</v>
      </c>
      <c r="H947">
        <v>150</v>
      </c>
      <c r="I947" t="str">
        <f>"BILLING ID:1489870/DIST CLERK"</f>
        <v>BILLING ID:1489870/DIST CLERK</v>
      </c>
    </row>
    <row r="948" spans="1:9" x14ac:dyDescent="0.25">
      <c r="A948" t="str">
        <f>"000684"</f>
        <v>000684</v>
      </c>
      <c r="B948" t="s">
        <v>262</v>
      </c>
      <c r="C948">
        <v>76097</v>
      </c>
      <c r="D948" s="2">
        <v>907.02</v>
      </c>
      <c r="E948" s="1">
        <v>43199</v>
      </c>
      <c r="F948" t="str">
        <f>"1320687"</f>
        <v>1320687</v>
      </c>
      <c r="G948" t="str">
        <f>"ACCT#15717/TIRE SVCS"</f>
        <v>ACCT#15717/TIRE SVCS</v>
      </c>
      <c r="H948">
        <v>907.02</v>
      </c>
      <c r="I948" t="str">
        <f>"ACCT#15717/TIRE SVCS"</f>
        <v>ACCT#15717/TIRE SVCS</v>
      </c>
    </row>
    <row r="949" spans="1:9" x14ac:dyDescent="0.25">
      <c r="A949" t="str">
        <f>"T11113"</f>
        <v>T11113</v>
      </c>
      <c r="B949" t="s">
        <v>263</v>
      </c>
      <c r="C949">
        <v>999999</v>
      </c>
      <c r="D949" s="2">
        <v>125.5</v>
      </c>
      <c r="E949" s="1">
        <v>43200</v>
      </c>
      <c r="F949" t="str">
        <f>"201803299799"</f>
        <v>201803299799</v>
      </c>
      <c r="G949" t="str">
        <f>"REGISTRATIONS/2007 FRHTS/PCT4"</f>
        <v>REGISTRATIONS/2007 FRHTS/PCT4</v>
      </c>
      <c r="H949">
        <v>44</v>
      </c>
      <c r="I949" t="str">
        <f>"REGISTRATIONS/2007 FRHTS/PCT4"</f>
        <v>REGISTRATIONS/2007 FRHTS/PCT4</v>
      </c>
    </row>
    <row r="950" spans="1:9" x14ac:dyDescent="0.25">
      <c r="A950" t="str">
        <f>""</f>
        <v/>
      </c>
      <c r="F950" t="str">
        <f>"201804029827"</f>
        <v>201804029827</v>
      </c>
      <c r="G950" t="str">
        <f>"REGISTRATION 2015 FORD/AC"</f>
        <v>REGISTRATION 2015 FORD/AC</v>
      </c>
      <c r="H950">
        <v>7.5</v>
      </c>
      <c r="I950" t="str">
        <f>"REGISTRATION 2015 FORD/AC"</f>
        <v>REGISTRATION 2015 FORD/AC</v>
      </c>
    </row>
    <row r="951" spans="1:9" x14ac:dyDescent="0.25">
      <c r="A951" t="str">
        <f>""</f>
        <v/>
      </c>
      <c r="F951" t="str">
        <f>"201804029839"</f>
        <v>201804029839</v>
      </c>
      <c r="G951" t="str">
        <f>"2018 BIG TX REG/GEN SVS"</f>
        <v>2018 BIG TX REG/GEN SVS</v>
      </c>
      <c r="H951">
        <v>7.5</v>
      </c>
      <c r="I951" t="str">
        <f>"2018 BIG TX REG/GEN SVS"</f>
        <v>2018 BIG TX REG/GEN SVS</v>
      </c>
    </row>
    <row r="952" spans="1:9" x14ac:dyDescent="0.25">
      <c r="A952" t="str">
        <f>""</f>
        <v/>
      </c>
      <c r="F952" t="str">
        <f>"201804049987"</f>
        <v>201804049987</v>
      </c>
      <c r="G952" t="str">
        <f>"TITLE TRANSFERS-SHERIFF'S OFF"</f>
        <v>TITLE TRANSFERS-SHERIFF'S OFF</v>
      </c>
      <c r="H952">
        <v>22.5</v>
      </c>
      <c r="I952" t="str">
        <f>"TITLE TRANSFERS-SHERIFF'S OFF"</f>
        <v>TITLE TRANSFERS-SHERIFF'S OFF</v>
      </c>
    </row>
    <row r="953" spans="1:9" x14ac:dyDescent="0.25">
      <c r="A953" t="str">
        <f>""</f>
        <v/>
      </c>
      <c r="F953" t="str">
        <f>"201804049988"</f>
        <v>201804049988</v>
      </c>
      <c r="G953" t="str">
        <f>"2018 &amp; 2019 FRHT TITLE TRANSFE"</f>
        <v>2018 &amp; 2019 FRHT TITLE TRANSFE</v>
      </c>
      <c r="H953">
        <v>44</v>
      </c>
      <c r="I953" t="str">
        <f>"2018 &amp; 2019 FRHT TITLE TRANSFE"</f>
        <v>2018 &amp; 2019 FRHT TITLE TRANSFE</v>
      </c>
    </row>
    <row r="954" spans="1:9" x14ac:dyDescent="0.25">
      <c r="A954" t="str">
        <f>"T11113"</f>
        <v>T11113</v>
      </c>
      <c r="B954" t="s">
        <v>263</v>
      </c>
      <c r="C954">
        <v>999999</v>
      </c>
      <c r="D954" s="2">
        <v>89</v>
      </c>
      <c r="E954" s="1">
        <v>43214</v>
      </c>
      <c r="F954" t="str">
        <f>"201804160366"</f>
        <v>201804160366</v>
      </c>
      <c r="G954" t="str">
        <f>"VEHICLE REGISTRATIONS-GEN SVCS"</f>
        <v>VEHICLE REGISTRATIONS-GEN SVCS</v>
      </c>
      <c r="H954">
        <v>15</v>
      </c>
      <c r="I954" t="str">
        <f>"VEHICLE REGISTRATIONS-GEN SVCS"</f>
        <v>VEHICLE REGISTRATIONS-GEN SVCS</v>
      </c>
    </row>
    <row r="955" spans="1:9" x14ac:dyDescent="0.25">
      <c r="A955" t="str">
        <f>""</f>
        <v/>
      </c>
      <c r="F955" t="str">
        <f>"201804160367"</f>
        <v>201804160367</v>
      </c>
      <c r="G955" t="str">
        <f>"2004 FRHT/1984 INTL/PCT#3"</f>
        <v>2004 FRHT/1984 INTL/PCT#3</v>
      </c>
      <c r="H955">
        <v>44</v>
      </c>
      <c r="I955" t="str">
        <f>"VEH REGIST/2004 FRHT/PCT#3"</f>
        <v>VEH REGIST/2004 FRHT/PCT#3</v>
      </c>
    </row>
    <row r="956" spans="1:9" x14ac:dyDescent="0.25">
      <c r="A956" t="str">
        <f>""</f>
        <v/>
      </c>
      <c r="F956" t="str">
        <f>"201804170390"</f>
        <v>201804170390</v>
      </c>
      <c r="G956" t="str">
        <f>"REGISTRATIONS-SHERIFF'S OFFICE"</f>
        <v>REGISTRATIONS-SHERIFF'S OFFICE</v>
      </c>
      <c r="H956">
        <v>30</v>
      </c>
      <c r="I956" t="str">
        <f>"REGISTRATIONS-SHERIFF'S OFFICE"</f>
        <v>REGISTRATIONS-SHERIFF'S OFFICE</v>
      </c>
    </row>
    <row r="957" spans="1:9" x14ac:dyDescent="0.25">
      <c r="A957" t="str">
        <f>"005366"</f>
        <v>005366</v>
      </c>
      <c r="B957" t="s">
        <v>264</v>
      </c>
      <c r="C957">
        <v>76098</v>
      </c>
      <c r="D957" s="2">
        <v>30</v>
      </c>
      <c r="E957" s="1">
        <v>43199</v>
      </c>
      <c r="F957" t="str">
        <f>"201803279751"</f>
        <v>201803279751</v>
      </c>
      <c r="G957" t="str">
        <f>"FERAL HOGS"</f>
        <v>FERAL HOGS</v>
      </c>
      <c r="H957">
        <v>30</v>
      </c>
      <c r="I957" t="str">
        <f>"FERAL HOGS"</f>
        <v>FERAL HOGS</v>
      </c>
    </row>
    <row r="958" spans="1:9" x14ac:dyDescent="0.25">
      <c r="A958" t="str">
        <f>"T12652"</f>
        <v>T12652</v>
      </c>
      <c r="B958" t="s">
        <v>265</v>
      </c>
      <c r="C958">
        <v>76099</v>
      </c>
      <c r="D958" s="2">
        <v>3480</v>
      </c>
      <c r="E958" s="1">
        <v>43199</v>
      </c>
      <c r="F958" t="str">
        <f>"201804039856"</f>
        <v>201804039856</v>
      </c>
      <c r="G958" t="str">
        <f>"16-17765"</f>
        <v>16-17765</v>
      </c>
      <c r="H958">
        <v>2880</v>
      </c>
      <c r="I958" t="str">
        <f>"16-17765"</f>
        <v>16-17765</v>
      </c>
    </row>
    <row r="959" spans="1:9" x14ac:dyDescent="0.25">
      <c r="A959" t="str">
        <f>""</f>
        <v/>
      </c>
      <c r="F959" t="str">
        <f>"201804049969"</f>
        <v>201804049969</v>
      </c>
      <c r="G959" t="str">
        <f>"55 073"</f>
        <v>55 073</v>
      </c>
      <c r="H959">
        <v>250</v>
      </c>
      <c r="I959" t="str">
        <f>"55 073"</f>
        <v>55 073</v>
      </c>
    </row>
    <row r="960" spans="1:9" x14ac:dyDescent="0.25">
      <c r="A960" t="str">
        <f>""</f>
        <v/>
      </c>
      <c r="F960" t="str">
        <f>"201804049970"</f>
        <v>201804049970</v>
      </c>
      <c r="G960" t="str">
        <f>"55 471"</f>
        <v>55 471</v>
      </c>
      <c r="H960">
        <v>250</v>
      </c>
      <c r="I960" t="str">
        <f>"55 471"</f>
        <v>55 471</v>
      </c>
    </row>
    <row r="961" spans="1:9" x14ac:dyDescent="0.25">
      <c r="A961" t="str">
        <f>""</f>
        <v/>
      </c>
      <c r="F961" t="str">
        <f>"201804049971"</f>
        <v>201804049971</v>
      </c>
      <c r="G961" t="str">
        <f>"14-16390"</f>
        <v>14-16390</v>
      </c>
      <c r="H961">
        <v>100</v>
      </c>
      <c r="I961" t="str">
        <f>"14-16390"</f>
        <v>14-16390</v>
      </c>
    </row>
    <row r="962" spans="1:9" x14ac:dyDescent="0.25">
      <c r="A962" t="str">
        <f>"T12652"</f>
        <v>T12652</v>
      </c>
      <c r="B962" t="s">
        <v>265</v>
      </c>
      <c r="C962">
        <v>76311</v>
      </c>
      <c r="D962" s="2">
        <v>787.5</v>
      </c>
      <c r="E962" s="1">
        <v>43213</v>
      </c>
      <c r="F962" t="str">
        <f>"201804100191"</f>
        <v>201804100191</v>
      </c>
      <c r="G962" t="str">
        <f>"423-3068"</f>
        <v>423-3068</v>
      </c>
      <c r="H962">
        <v>100</v>
      </c>
      <c r="I962" t="str">
        <f>"423-3068"</f>
        <v>423-3068</v>
      </c>
    </row>
    <row r="963" spans="1:9" x14ac:dyDescent="0.25">
      <c r="A963" t="str">
        <f>""</f>
        <v/>
      </c>
      <c r="F963" t="str">
        <f>"201804130349"</f>
        <v>201804130349</v>
      </c>
      <c r="G963" t="str">
        <f>"15 17513"</f>
        <v>15 17513</v>
      </c>
      <c r="H963">
        <v>437.5</v>
      </c>
      <c r="I963" t="str">
        <f>"15 17513"</f>
        <v>15 17513</v>
      </c>
    </row>
    <row r="964" spans="1:9" x14ac:dyDescent="0.25">
      <c r="A964" t="str">
        <f>""</f>
        <v/>
      </c>
      <c r="F964" t="str">
        <f>"201804130360"</f>
        <v>201804130360</v>
      </c>
      <c r="G964" t="str">
        <f>"55 535"</f>
        <v>55 535</v>
      </c>
      <c r="H964">
        <v>250</v>
      </c>
      <c r="I964" t="str">
        <f>"55 535"</f>
        <v>55 535</v>
      </c>
    </row>
    <row r="965" spans="1:9" x14ac:dyDescent="0.25">
      <c r="A965" t="str">
        <f>"002598"</f>
        <v>002598</v>
      </c>
      <c r="B965" t="s">
        <v>266</v>
      </c>
      <c r="C965">
        <v>76312</v>
      </c>
      <c r="D965" s="2">
        <v>430.6</v>
      </c>
      <c r="E965" s="1">
        <v>43213</v>
      </c>
      <c r="F965" t="str">
        <f>"96492"</f>
        <v>96492</v>
      </c>
      <c r="G965" t="str">
        <f>"ORD#W3*187375/PCT#1"</f>
        <v>ORD#W3*187375/PCT#1</v>
      </c>
      <c r="H965">
        <v>430.6</v>
      </c>
      <c r="I965" t="str">
        <f>"ORD#W3*187375/PCT#1"</f>
        <v>ORD#W3*187375/PCT#1</v>
      </c>
    </row>
    <row r="966" spans="1:9" x14ac:dyDescent="0.25">
      <c r="A966" t="str">
        <f>"004109"</f>
        <v>004109</v>
      </c>
      <c r="B966" t="s">
        <v>267</v>
      </c>
      <c r="C966">
        <v>76100</v>
      </c>
      <c r="D966" s="2">
        <v>79.62</v>
      </c>
      <c r="E966" s="1">
        <v>43199</v>
      </c>
      <c r="F966" t="str">
        <f>"201804049947"</f>
        <v>201804049947</v>
      </c>
      <c r="G966" t="str">
        <f>"INDIGENT HEALTH"</f>
        <v>INDIGENT HEALTH</v>
      </c>
      <c r="H966">
        <v>79.62</v>
      </c>
      <c r="I966" t="str">
        <f>"INDIGENT HEALTH"</f>
        <v>INDIGENT HEALTH</v>
      </c>
    </row>
    <row r="967" spans="1:9" x14ac:dyDescent="0.25">
      <c r="A967" t="str">
        <f>"005452"</f>
        <v>005452</v>
      </c>
      <c r="B967" t="s">
        <v>268</v>
      </c>
      <c r="C967">
        <v>76101</v>
      </c>
      <c r="D967" s="2">
        <v>435.5</v>
      </c>
      <c r="E967" s="1">
        <v>43199</v>
      </c>
      <c r="F967" t="str">
        <f>"201804039906"</f>
        <v>201804039906</v>
      </c>
      <c r="G967" t="str">
        <f>"TRASH REMOVAL/04/02-04/06/PCT4"</f>
        <v>TRASH REMOVAL/04/02-04/06/PCT4</v>
      </c>
      <c r="H967">
        <v>221</v>
      </c>
      <c r="I967" t="str">
        <f>"TRASH REMOVAL/04/02-04/06/PCT4"</f>
        <v>TRASH REMOVAL/04/02-04/06/PCT4</v>
      </c>
    </row>
    <row r="968" spans="1:9" x14ac:dyDescent="0.25">
      <c r="A968" t="str">
        <f>""</f>
        <v/>
      </c>
      <c r="F968" t="str">
        <f>"201804039907"</f>
        <v>201804039907</v>
      </c>
      <c r="G968" t="str">
        <f>"TRASH REMOVAL/03/26-03/30/PCT4"</f>
        <v>TRASH REMOVAL/03/26-03/30/PCT4</v>
      </c>
      <c r="H968">
        <v>214.5</v>
      </c>
      <c r="I968" t="str">
        <f>"TRASH REMOVAL/03/26-03/30/PCT4"</f>
        <v>TRASH REMOVAL/03/26-03/30/PCT4</v>
      </c>
    </row>
    <row r="969" spans="1:9" x14ac:dyDescent="0.25">
      <c r="A969" t="str">
        <f>"005452"</f>
        <v>005452</v>
      </c>
      <c r="B969" t="s">
        <v>268</v>
      </c>
      <c r="C969">
        <v>76313</v>
      </c>
      <c r="D969" s="2">
        <v>656.5</v>
      </c>
      <c r="E969" s="1">
        <v>43213</v>
      </c>
      <c r="F969" t="str">
        <f>"201804160376"</f>
        <v>201804160376</v>
      </c>
      <c r="G969" t="str">
        <f>"TRASH REMOVAL/4/9-4/20/PCT#4"</f>
        <v>TRASH REMOVAL/4/9-4/20/PCT#4</v>
      </c>
      <c r="H969">
        <v>656.5</v>
      </c>
      <c r="I969" t="str">
        <f>"TRASH REMOVAL/4/9-4/20/PCT#4"</f>
        <v>TRASH REMOVAL/4/9-4/20/PCT#4</v>
      </c>
    </row>
    <row r="970" spans="1:9" x14ac:dyDescent="0.25">
      <c r="A970" t="str">
        <f>"005517"</f>
        <v>005517</v>
      </c>
      <c r="B970" t="s">
        <v>269</v>
      </c>
      <c r="C970">
        <v>76314</v>
      </c>
      <c r="D970" s="2">
        <v>39.31</v>
      </c>
      <c r="E970" s="1">
        <v>43213</v>
      </c>
      <c r="F970" t="str">
        <f>"MILEAGE REIMBURSEM"</f>
        <v>MILEAGE REIMBURSEM</v>
      </c>
      <c r="G970" t="str">
        <f>"LOREN SPENCER"</f>
        <v>LOREN SPENCER</v>
      </c>
      <c r="H970">
        <v>39.31</v>
      </c>
      <c r="I970" t="str">
        <f>""</f>
        <v/>
      </c>
    </row>
    <row r="971" spans="1:9" x14ac:dyDescent="0.25">
      <c r="A971" t="str">
        <f>"T13085"</f>
        <v>T13085</v>
      </c>
      <c r="B971" t="s">
        <v>270</v>
      </c>
      <c r="C971">
        <v>999999</v>
      </c>
      <c r="D971" s="2">
        <v>485</v>
      </c>
      <c r="E971" s="1">
        <v>43200</v>
      </c>
      <c r="F971" t="str">
        <f>"10-000141"</f>
        <v>10-000141</v>
      </c>
      <c r="G971" t="str">
        <f>"INV 10-000141"</f>
        <v>INV 10-000141</v>
      </c>
      <c r="H971">
        <v>485</v>
      </c>
      <c r="I971" t="str">
        <f>"INV 10-000141"</f>
        <v>INV 10-000141</v>
      </c>
    </row>
    <row r="972" spans="1:9" x14ac:dyDescent="0.25">
      <c r="A972" t="str">
        <f>"005041"</f>
        <v>005041</v>
      </c>
      <c r="B972" t="s">
        <v>271</v>
      </c>
      <c r="C972">
        <v>76315</v>
      </c>
      <c r="D972" s="2">
        <v>3379.6</v>
      </c>
      <c r="E972" s="1">
        <v>43213</v>
      </c>
      <c r="F972" t="str">
        <f>"BC - M48657-2"</f>
        <v>BC - M48657-2</v>
      </c>
      <c r="G972" t="str">
        <f>"VEHICLE REPAIRS/PCT#3"</f>
        <v>VEHICLE REPAIRS/PCT#3</v>
      </c>
      <c r="H972">
        <v>3379.6</v>
      </c>
      <c r="I972" t="str">
        <f>"VEHICLE REPAIRS/PCT#3"</f>
        <v>VEHICLE REPAIRS/PCT#3</v>
      </c>
    </row>
    <row r="973" spans="1:9" x14ac:dyDescent="0.25">
      <c r="A973" t="str">
        <f>"000888"</f>
        <v>000888</v>
      </c>
      <c r="B973" t="s">
        <v>272</v>
      </c>
      <c r="C973">
        <v>76102</v>
      </c>
      <c r="D973" s="2">
        <v>2156.4</v>
      </c>
      <c r="E973" s="1">
        <v>43199</v>
      </c>
      <c r="F973" t="str">
        <f>"ACCT#9906938692"</f>
        <v>ACCT#9906938692</v>
      </c>
      <c r="G973" t="str">
        <f>"Acct# 9906938692"</f>
        <v>Acct# 9906938692</v>
      </c>
      <c r="H973">
        <v>2156.4</v>
      </c>
      <c r="I973" t="str">
        <f>"Inv# 0074419"</f>
        <v>Inv# 0074419</v>
      </c>
    </row>
    <row r="974" spans="1:9" x14ac:dyDescent="0.25">
      <c r="A974" t="str">
        <f>""</f>
        <v/>
      </c>
      <c r="F974" t="str">
        <f>""</f>
        <v/>
      </c>
      <c r="G974" t="str">
        <f>""</f>
        <v/>
      </c>
      <c r="I974" t="str">
        <f>"Inv# 909196"</f>
        <v>Inv# 909196</v>
      </c>
    </row>
    <row r="975" spans="1:9" x14ac:dyDescent="0.25">
      <c r="A975" t="str">
        <f>""</f>
        <v/>
      </c>
      <c r="F975" t="str">
        <f>""</f>
        <v/>
      </c>
      <c r="G975" t="str">
        <f>""</f>
        <v/>
      </c>
      <c r="I975" t="str">
        <f>"Inv# 909488"</f>
        <v>Inv# 909488</v>
      </c>
    </row>
    <row r="976" spans="1:9" x14ac:dyDescent="0.25">
      <c r="A976" t="str">
        <f>""</f>
        <v/>
      </c>
      <c r="F976" t="str">
        <f>""</f>
        <v/>
      </c>
      <c r="G976" t="str">
        <f>""</f>
        <v/>
      </c>
      <c r="I976" t="str">
        <f>"Inv# 909744"</f>
        <v>Inv# 909744</v>
      </c>
    </row>
    <row r="977" spans="1:9" x14ac:dyDescent="0.25">
      <c r="A977" t="str">
        <f>""</f>
        <v/>
      </c>
      <c r="F977" t="str">
        <f>""</f>
        <v/>
      </c>
      <c r="G977" t="str">
        <f>""</f>
        <v/>
      </c>
      <c r="I977" t="str">
        <f>"Inv# 910815"</f>
        <v>Inv# 910815</v>
      </c>
    </row>
    <row r="978" spans="1:9" x14ac:dyDescent="0.25">
      <c r="A978" t="str">
        <f>""</f>
        <v/>
      </c>
      <c r="F978" t="str">
        <f>""</f>
        <v/>
      </c>
      <c r="G978" t="str">
        <f>""</f>
        <v/>
      </c>
      <c r="I978" t="str">
        <f>"Inv# 913925"</f>
        <v>Inv# 913925</v>
      </c>
    </row>
    <row r="979" spans="1:9" x14ac:dyDescent="0.25">
      <c r="A979" t="str">
        <f>""</f>
        <v/>
      </c>
      <c r="F979" t="str">
        <f>""</f>
        <v/>
      </c>
      <c r="G979" t="str">
        <f>""</f>
        <v/>
      </c>
      <c r="I979" t="str">
        <f>"Inv# 910976"</f>
        <v>Inv# 910976</v>
      </c>
    </row>
    <row r="980" spans="1:9" x14ac:dyDescent="0.25">
      <c r="A980" t="str">
        <f>""</f>
        <v/>
      </c>
      <c r="F980" t="str">
        <f>""</f>
        <v/>
      </c>
      <c r="G980" t="str">
        <f>""</f>
        <v/>
      </c>
      <c r="I980" t="str">
        <f>"Inv# 912197"</f>
        <v>Inv# 912197</v>
      </c>
    </row>
    <row r="981" spans="1:9" x14ac:dyDescent="0.25">
      <c r="A981" t="str">
        <f>""</f>
        <v/>
      </c>
      <c r="F981" t="str">
        <f>""</f>
        <v/>
      </c>
      <c r="G981" t="str">
        <f>""</f>
        <v/>
      </c>
      <c r="I981" t="str">
        <f>"Inv# 917639"</f>
        <v>Inv# 917639</v>
      </c>
    </row>
    <row r="982" spans="1:9" x14ac:dyDescent="0.25">
      <c r="A982" t="str">
        <f>""</f>
        <v/>
      </c>
      <c r="F982" t="str">
        <f>""</f>
        <v/>
      </c>
      <c r="G982" t="str">
        <f>""</f>
        <v/>
      </c>
      <c r="I982" t="str">
        <f>"Inv# 914296"</f>
        <v>Inv# 914296</v>
      </c>
    </row>
    <row r="983" spans="1:9" x14ac:dyDescent="0.25">
      <c r="A983" t="str">
        <f>""</f>
        <v/>
      </c>
      <c r="F983" t="str">
        <f>""</f>
        <v/>
      </c>
      <c r="G983" t="str">
        <f>""</f>
        <v/>
      </c>
      <c r="I983" t="str">
        <f>"Inv# 914550"</f>
        <v>Inv# 914550</v>
      </c>
    </row>
    <row r="984" spans="1:9" x14ac:dyDescent="0.25">
      <c r="A984" t="str">
        <f>""</f>
        <v/>
      </c>
      <c r="F984" t="str">
        <f>""</f>
        <v/>
      </c>
      <c r="G984" t="str">
        <f>""</f>
        <v/>
      </c>
      <c r="I984" t="str">
        <f>"Inv# 913125"</f>
        <v>Inv# 913125</v>
      </c>
    </row>
    <row r="985" spans="1:9" x14ac:dyDescent="0.25">
      <c r="A985" t="str">
        <f>""</f>
        <v/>
      </c>
      <c r="F985" t="str">
        <f>""</f>
        <v/>
      </c>
      <c r="G985" t="str">
        <f>""</f>
        <v/>
      </c>
      <c r="I985" t="str">
        <f>"Inv# 901119"</f>
        <v>Inv# 901119</v>
      </c>
    </row>
    <row r="986" spans="1:9" x14ac:dyDescent="0.25">
      <c r="A986" t="str">
        <f>""</f>
        <v/>
      </c>
      <c r="F986" t="str">
        <f>""</f>
        <v/>
      </c>
      <c r="G986" t="str">
        <f>""</f>
        <v/>
      </c>
      <c r="I986" t="str">
        <f>"Inv# 910330"</f>
        <v>Inv# 910330</v>
      </c>
    </row>
    <row r="987" spans="1:9" x14ac:dyDescent="0.25">
      <c r="A987" t="str">
        <f>""</f>
        <v/>
      </c>
      <c r="F987" t="str">
        <f>""</f>
        <v/>
      </c>
      <c r="G987" t="str">
        <f>""</f>
        <v/>
      </c>
      <c r="I987" t="str">
        <f>"Inv# 913407"</f>
        <v>Inv# 913407</v>
      </c>
    </row>
    <row r="988" spans="1:9" x14ac:dyDescent="0.25">
      <c r="A988" t="str">
        <f>""</f>
        <v/>
      </c>
      <c r="F988" t="str">
        <f>""</f>
        <v/>
      </c>
      <c r="G988" t="str">
        <f>""</f>
        <v/>
      </c>
      <c r="I988" t="str">
        <f>"Inv# 914248"</f>
        <v>Inv# 914248</v>
      </c>
    </row>
    <row r="989" spans="1:9" x14ac:dyDescent="0.25">
      <c r="A989" t="str">
        <f>""</f>
        <v/>
      </c>
      <c r="F989" t="str">
        <f>""</f>
        <v/>
      </c>
      <c r="G989" t="str">
        <f>""</f>
        <v/>
      </c>
      <c r="I989" t="str">
        <f>"Inv# 914252"</f>
        <v>Inv# 914252</v>
      </c>
    </row>
    <row r="990" spans="1:9" x14ac:dyDescent="0.25">
      <c r="A990" t="str">
        <f>""</f>
        <v/>
      </c>
      <c r="F990" t="str">
        <f>""</f>
        <v/>
      </c>
      <c r="G990" t="str">
        <f>""</f>
        <v/>
      </c>
      <c r="I990" t="str">
        <f>"Inv# 910618"</f>
        <v>Inv# 910618</v>
      </c>
    </row>
    <row r="991" spans="1:9" x14ac:dyDescent="0.25">
      <c r="A991" t="str">
        <f>""</f>
        <v/>
      </c>
      <c r="F991" t="str">
        <f>""</f>
        <v/>
      </c>
      <c r="G991" t="str">
        <f>""</f>
        <v/>
      </c>
      <c r="I991" t="str">
        <f>"Inv# 915981"</f>
        <v>Inv# 915981</v>
      </c>
    </row>
    <row r="992" spans="1:9" x14ac:dyDescent="0.25">
      <c r="A992" t="str">
        <f>""</f>
        <v/>
      </c>
      <c r="F992" t="str">
        <f>""</f>
        <v/>
      </c>
      <c r="G992" t="str">
        <f>""</f>
        <v/>
      </c>
      <c r="I992" t="str">
        <f>"Inv# 909673"</f>
        <v>Inv# 909673</v>
      </c>
    </row>
    <row r="993" spans="1:9" x14ac:dyDescent="0.25">
      <c r="A993" t="str">
        <f>""</f>
        <v/>
      </c>
      <c r="F993" t="str">
        <f>""</f>
        <v/>
      </c>
      <c r="G993" t="str">
        <f>""</f>
        <v/>
      </c>
      <c r="I993" t="str">
        <f>"Inv# 910857"</f>
        <v>Inv# 910857</v>
      </c>
    </row>
    <row r="994" spans="1:9" x14ac:dyDescent="0.25">
      <c r="A994" t="str">
        <f>""</f>
        <v/>
      </c>
      <c r="F994" t="str">
        <f>""</f>
        <v/>
      </c>
      <c r="G994" t="str">
        <f>""</f>
        <v/>
      </c>
      <c r="I994" t="str">
        <f>"Inv# 914377"</f>
        <v>Inv# 914377</v>
      </c>
    </row>
    <row r="995" spans="1:9" x14ac:dyDescent="0.25">
      <c r="A995" t="str">
        <f>""</f>
        <v/>
      </c>
      <c r="F995" t="str">
        <f>""</f>
        <v/>
      </c>
      <c r="G995" t="str">
        <f>""</f>
        <v/>
      </c>
      <c r="I995" t="str">
        <f>"Inv# 910005"</f>
        <v>Inv# 910005</v>
      </c>
    </row>
    <row r="996" spans="1:9" x14ac:dyDescent="0.25">
      <c r="A996" t="str">
        <f>""</f>
        <v/>
      </c>
      <c r="F996" t="str">
        <f>""</f>
        <v/>
      </c>
      <c r="G996" t="str">
        <f>""</f>
        <v/>
      </c>
      <c r="I996" t="str">
        <f>"Inv# 917227"</f>
        <v>Inv# 917227</v>
      </c>
    </row>
    <row r="997" spans="1:9" x14ac:dyDescent="0.25">
      <c r="A997" t="str">
        <f>""</f>
        <v/>
      </c>
      <c r="F997" t="str">
        <f>""</f>
        <v/>
      </c>
      <c r="G997" t="str">
        <f>""</f>
        <v/>
      </c>
      <c r="I997" t="str">
        <f>"Inv# 910438"</f>
        <v>Inv# 910438</v>
      </c>
    </row>
    <row r="998" spans="1:9" x14ac:dyDescent="0.25">
      <c r="A998" t="str">
        <f>""</f>
        <v/>
      </c>
      <c r="F998" t="str">
        <f>""</f>
        <v/>
      </c>
      <c r="G998" t="str">
        <f>""</f>
        <v/>
      </c>
      <c r="I998" t="str">
        <f>"Inv# 912681"</f>
        <v>Inv# 912681</v>
      </c>
    </row>
    <row r="999" spans="1:9" x14ac:dyDescent="0.25">
      <c r="A999" t="str">
        <f>""</f>
        <v/>
      </c>
      <c r="F999" t="str">
        <f>""</f>
        <v/>
      </c>
      <c r="G999" t="str">
        <f>""</f>
        <v/>
      </c>
      <c r="I999" t="str">
        <f>"Inv# 915003"</f>
        <v>Inv# 915003</v>
      </c>
    </row>
    <row r="1000" spans="1:9" x14ac:dyDescent="0.25">
      <c r="A1000" t="str">
        <f>""</f>
        <v/>
      </c>
      <c r="F1000" t="str">
        <f>""</f>
        <v/>
      </c>
      <c r="G1000" t="str">
        <f>""</f>
        <v/>
      </c>
      <c r="I1000" t="str">
        <f>"Inv# 910874"</f>
        <v>Inv# 910874</v>
      </c>
    </row>
    <row r="1001" spans="1:9" x14ac:dyDescent="0.25">
      <c r="A1001" t="str">
        <f>""</f>
        <v/>
      </c>
      <c r="F1001" t="str">
        <f>""</f>
        <v/>
      </c>
      <c r="G1001" t="str">
        <f>""</f>
        <v/>
      </c>
      <c r="I1001" t="str">
        <f>"Inv# 979423"</f>
        <v>Inv# 979423</v>
      </c>
    </row>
    <row r="1002" spans="1:9" x14ac:dyDescent="0.25">
      <c r="A1002" t="str">
        <f>""</f>
        <v/>
      </c>
      <c r="F1002" t="str">
        <f>""</f>
        <v/>
      </c>
      <c r="G1002" t="str">
        <f>""</f>
        <v/>
      </c>
      <c r="I1002" t="str">
        <f>"Finance charge"</f>
        <v>Finance charge</v>
      </c>
    </row>
    <row r="1003" spans="1:9" x14ac:dyDescent="0.25">
      <c r="A1003" t="str">
        <f>"000888"</f>
        <v>000888</v>
      </c>
      <c r="B1003" t="s">
        <v>272</v>
      </c>
      <c r="C1003">
        <v>76316</v>
      </c>
      <c r="D1003" s="2">
        <v>628.36</v>
      </c>
      <c r="E1003" s="1">
        <v>43213</v>
      </c>
      <c r="F1003" t="str">
        <f>"99006938692 04/02"</f>
        <v>99006938692 04/02</v>
      </c>
      <c r="G1003" t="str">
        <f>"Acct# 99006938692"</f>
        <v>Acct# 99006938692</v>
      </c>
      <c r="H1003">
        <v>628.36</v>
      </c>
      <c r="I1003" t="str">
        <f>"Inv# 914066"</f>
        <v>Inv# 914066</v>
      </c>
    </row>
    <row r="1004" spans="1:9" x14ac:dyDescent="0.25">
      <c r="A1004" t="str">
        <f>""</f>
        <v/>
      </c>
      <c r="F1004" t="str">
        <f>""</f>
        <v/>
      </c>
      <c r="G1004" t="str">
        <f>""</f>
        <v/>
      </c>
      <c r="I1004" t="str">
        <f>"Inv# 913611"</f>
        <v>Inv# 913611</v>
      </c>
    </row>
    <row r="1005" spans="1:9" x14ac:dyDescent="0.25">
      <c r="A1005" t="str">
        <f>""</f>
        <v/>
      </c>
      <c r="F1005" t="str">
        <f>""</f>
        <v/>
      </c>
      <c r="G1005" t="str">
        <f>""</f>
        <v/>
      </c>
      <c r="I1005" t="str">
        <f>"Inv# 901321"</f>
        <v>Inv# 901321</v>
      </c>
    </row>
    <row r="1006" spans="1:9" x14ac:dyDescent="0.25">
      <c r="A1006" t="str">
        <f>""</f>
        <v/>
      </c>
      <c r="F1006" t="str">
        <f>""</f>
        <v/>
      </c>
      <c r="G1006" t="str">
        <f>""</f>
        <v/>
      </c>
      <c r="I1006" t="str">
        <f>"Inv# 901119"</f>
        <v>Inv# 901119</v>
      </c>
    </row>
    <row r="1007" spans="1:9" x14ac:dyDescent="0.25">
      <c r="A1007" t="str">
        <f>""</f>
        <v/>
      </c>
      <c r="F1007" t="str">
        <f>""</f>
        <v/>
      </c>
      <c r="G1007" t="str">
        <f>""</f>
        <v/>
      </c>
      <c r="I1007" t="str">
        <f>"Inv# 913036"</f>
        <v>Inv# 913036</v>
      </c>
    </row>
    <row r="1008" spans="1:9" x14ac:dyDescent="0.25">
      <c r="A1008" t="str">
        <f>""</f>
        <v/>
      </c>
      <c r="F1008" t="str">
        <f>""</f>
        <v/>
      </c>
      <c r="G1008" t="str">
        <f>""</f>
        <v/>
      </c>
      <c r="I1008" t="str">
        <f>"Inv# 913037"</f>
        <v>Inv# 913037</v>
      </c>
    </row>
    <row r="1009" spans="1:9" x14ac:dyDescent="0.25">
      <c r="A1009" t="str">
        <f>""</f>
        <v/>
      </c>
      <c r="F1009" t="str">
        <f>""</f>
        <v/>
      </c>
      <c r="G1009" t="str">
        <f>""</f>
        <v/>
      </c>
      <c r="I1009" t="str">
        <f>"Inv# 914641"</f>
        <v>Inv# 914641</v>
      </c>
    </row>
    <row r="1010" spans="1:9" x14ac:dyDescent="0.25">
      <c r="A1010" t="str">
        <f>""</f>
        <v/>
      </c>
      <c r="F1010" t="str">
        <f>""</f>
        <v/>
      </c>
      <c r="G1010" t="str">
        <f>""</f>
        <v/>
      </c>
      <c r="I1010" t="str">
        <f>"Inv# 914662"</f>
        <v>Inv# 914662</v>
      </c>
    </row>
    <row r="1011" spans="1:9" x14ac:dyDescent="0.25">
      <c r="A1011" t="str">
        <f>""</f>
        <v/>
      </c>
      <c r="F1011" t="str">
        <f>""</f>
        <v/>
      </c>
      <c r="G1011" t="str">
        <f>""</f>
        <v/>
      </c>
      <c r="I1011" t="str">
        <f>"Inv# 910420"</f>
        <v>Inv# 910420</v>
      </c>
    </row>
    <row r="1012" spans="1:9" x14ac:dyDescent="0.25">
      <c r="A1012" t="str">
        <f>""</f>
        <v/>
      </c>
      <c r="F1012" t="str">
        <f>""</f>
        <v/>
      </c>
      <c r="G1012" t="str">
        <f>""</f>
        <v/>
      </c>
      <c r="I1012" t="str">
        <f>"Inv# 910601"</f>
        <v>Inv# 910601</v>
      </c>
    </row>
    <row r="1013" spans="1:9" x14ac:dyDescent="0.25">
      <c r="A1013" t="str">
        <f>""</f>
        <v/>
      </c>
      <c r="F1013" t="str">
        <f>""</f>
        <v/>
      </c>
      <c r="G1013" t="str">
        <f>""</f>
        <v/>
      </c>
      <c r="I1013" t="str">
        <f>"Inv# 915091"</f>
        <v>Inv# 915091</v>
      </c>
    </row>
    <row r="1014" spans="1:9" x14ac:dyDescent="0.25">
      <c r="A1014" t="str">
        <f>""</f>
        <v/>
      </c>
      <c r="F1014" t="str">
        <f>""</f>
        <v/>
      </c>
      <c r="G1014" t="str">
        <f>""</f>
        <v/>
      </c>
      <c r="I1014" t="str">
        <f>"Inv# 917417"</f>
        <v>Inv# 917417</v>
      </c>
    </row>
    <row r="1015" spans="1:9" x14ac:dyDescent="0.25">
      <c r="A1015" t="str">
        <f>""</f>
        <v/>
      </c>
      <c r="F1015" t="str">
        <f>""</f>
        <v/>
      </c>
      <c r="G1015" t="str">
        <f>""</f>
        <v/>
      </c>
      <c r="I1015" t="str">
        <f>"Inv# 917418"</f>
        <v>Inv# 917418</v>
      </c>
    </row>
    <row r="1016" spans="1:9" x14ac:dyDescent="0.25">
      <c r="A1016" t="str">
        <f>""</f>
        <v/>
      </c>
      <c r="F1016" t="str">
        <f>""</f>
        <v/>
      </c>
      <c r="G1016" t="str">
        <f>""</f>
        <v/>
      </c>
      <c r="I1016" t="str">
        <f>"Inv# 909538"</f>
        <v>Inv# 909538</v>
      </c>
    </row>
    <row r="1017" spans="1:9" x14ac:dyDescent="0.25">
      <c r="A1017" t="str">
        <f>""</f>
        <v/>
      </c>
      <c r="F1017" t="str">
        <f>""</f>
        <v/>
      </c>
      <c r="G1017" t="str">
        <f>""</f>
        <v/>
      </c>
      <c r="I1017" t="str">
        <f>"Inv# 914102"</f>
        <v>Inv# 914102</v>
      </c>
    </row>
    <row r="1018" spans="1:9" x14ac:dyDescent="0.25">
      <c r="A1018" t="str">
        <f>""</f>
        <v/>
      </c>
      <c r="F1018" t="str">
        <f>""</f>
        <v/>
      </c>
      <c r="G1018" t="str">
        <f>""</f>
        <v/>
      </c>
      <c r="I1018" t="str">
        <f>"Inv# 913338"</f>
        <v>Inv# 913338</v>
      </c>
    </row>
    <row r="1019" spans="1:9" x14ac:dyDescent="0.25">
      <c r="A1019" t="str">
        <f>""</f>
        <v/>
      </c>
      <c r="F1019" t="str">
        <f>""</f>
        <v/>
      </c>
      <c r="G1019" t="str">
        <f>""</f>
        <v/>
      </c>
      <c r="I1019" t="str">
        <f>"Inv# 910824"</f>
        <v>Inv# 910824</v>
      </c>
    </row>
    <row r="1020" spans="1:9" x14ac:dyDescent="0.25">
      <c r="A1020" t="str">
        <f>""</f>
        <v/>
      </c>
      <c r="F1020" t="str">
        <f>""</f>
        <v/>
      </c>
      <c r="G1020" t="str">
        <f>""</f>
        <v/>
      </c>
      <c r="I1020" t="str">
        <f>"Inv# 902477"</f>
        <v>Inv# 902477</v>
      </c>
    </row>
    <row r="1021" spans="1:9" x14ac:dyDescent="0.25">
      <c r="A1021" t="str">
        <f>""</f>
        <v/>
      </c>
      <c r="F1021" t="str">
        <f>""</f>
        <v/>
      </c>
      <c r="G1021" t="str">
        <f>""</f>
        <v/>
      </c>
      <c r="I1021" t="str">
        <f>"Inv# 909354"</f>
        <v>Inv# 909354</v>
      </c>
    </row>
    <row r="1022" spans="1:9" x14ac:dyDescent="0.25">
      <c r="A1022" t="str">
        <f>""</f>
        <v/>
      </c>
      <c r="F1022" t="str">
        <f>""</f>
        <v/>
      </c>
      <c r="G1022" t="str">
        <f>""</f>
        <v/>
      </c>
      <c r="I1022" t="str">
        <f>"Inv# 915032"</f>
        <v>Inv# 915032</v>
      </c>
    </row>
    <row r="1023" spans="1:9" x14ac:dyDescent="0.25">
      <c r="A1023" t="str">
        <f>"005484"</f>
        <v>005484</v>
      </c>
      <c r="B1023" t="s">
        <v>273</v>
      </c>
      <c r="C1023">
        <v>76103</v>
      </c>
      <c r="D1023" s="2">
        <v>1263.96</v>
      </c>
      <c r="E1023" s="1">
        <v>43199</v>
      </c>
      <c r="F1023" t="str">
        <f>"1"</f>
        <v>1</v>
      </c>
      <c r="G1023" t="str">
        <f>"MIT SVCS 02/06-03/15/15 915"</f>
        <v>MIT SVCS 02/06-03/15/15 915</v>
      </c>
      <c r="H1023">
        <v>1263.96</v>
      </c>
      <c r="I1023" t="str">
        <f>"MIT SVCS/02/06-03/15/15 915"</f>
        <v>MIT SVCS/02/06-03/15/15 915</v>
      </c>
    </row>
    <row r="1024" spans="1:9" x14ac:dyDescent="0.25">
      <c r="A1024" t="str">
        <f>"000031"</f>
        <v>000031</v>
      </c>
      <c r="B1024" t="s">
        <v>274</v>
      </c>
      <c r="C1024">
        <v>76104</v>
      </c>
      <c r="D1024" s="2">
        <v>280</v>
      </c>
      <c r="E1024" s="1">
        <v>43199</v>
      </c>
      <c r="F1024" t="str">
        <f>"0068594"</f>
        <v>0068594</v>
      </c>
      <c r="G1024" t="str">
        <f>"ACCT#4301300/SUPPLY ORDER"</f>
        <v>ACCT#4301300/SUPPLY ORDER</v>
      </c>
      <c r="H1024">
        <v>280</v>
      </c>
      <c r="I1024" t="str">
        <f>"ACCT#4301300/SUPPLY ORDER"</f>
        <v>ACCT#4301300/SUPPLY ORDER</v>
      </c>
    </row>
    <row r="1025" spans="1:9" x14ac:dyDescent="0.25">
      <c r="A1025" t="str">
        <f>"000031"</f>
        <v>000031</v>
      </c>
      <c r="B1025" t="s">
        <v>274</v>
      </c>
      <c r="C1025">
        <v>76317</v>
      </c>
      <c r="D1025" s="2">
        <v>40143.339999999997</v>
      </c>
      <c r="E1025" s="1">
        <v>43213</v>
      </c>
      <c r="F1025" t="str">
        <f>"INVC057841"</f>
        <v>INVC057841</v>
      </c>
      <c r="G1025" t="str">
        <f>"ACCT#4301300/COUNTY CLERK"</f>
        <v>ACCT#4301300/COUNTY CLERK</v>
      </c>
      <c r="H1025">
        <v>40143.339999999997</v>
      </c>
      <c r="I1025" t="str">
        <f>"ACCT#4301300/COUNTY CLERK"</f>
        <v>ACCT#4301300/COUNTY CLERK</v>
      </c>
    </row>
    <row r="1026" spans="1:9" x14ac:dyDescent="0.25">
      <c r="A1026" t="str">
        <f>"005173"</f>
        <v>005173</v>
      </c>
      <c r="B1026" t="s">
        <v>275</v>
      </c>
      <c r="C1026">
        <v>76318</v>
      </c>
      <c r="D1026" s="2">
        <v>3767</v>
      </c>
      <c r="E1026" s="1">
        <v>43213</v>
      </c>
      <c r="F1026" t="str">
        <f>"17-1002-1005-0"</f>
        <v>17-1002-1005-0</v>
      </c>
      <c r="G1026" t="str">
        <f>"16 001"</f>
        <v>16 001</v>
      </c>
      <c r="H1026">
        <v>3767</v>
      </c>
      <c r="I1026" t="str">
        <f>"16 001"</f>
        <v>16 001</v>
      </c>
    </row>
    <row r="1027" spans="1:9" x14ac:dyDescent="0.25">
      <c r="A1027" t="str">
        <f>"003981"</f>
        <v>003981</v>
      </c>
      <c r="B1027" t="s">
        <v>276</v>
      </c>
      <c r="C1027">
        <v>76105</v>
      </c>
      <c r="D1027" s="2">
        <v>194.69</v>
      </c>
      <c r="E1027" s="1">
        <v>43199</v>
      </c>
      <c r="F1027" t="str">
        <f>"201803299816"</f>
        <v>201803299816</v>
      </c>
      <c r="G1027" t="str">
        <f>"CRIMINAL 3282018"</f>
        <v>CRIMINAL 3282018</v>
      </c>
      <c r="H1027">
        <v>194.69</v>
      </c>
      <c r="I1027" t="str">
        <f>"CRIMINAL 3282018"</f>
        <v>CRIMINAL 3282018</v>
      </c>
    </row>
    <row r="1028" spans="1:9" x14ac:dyDescent="0.25">
      <c r="A1028" t="str">
        <f>"003981"</f>
        <v>003981</v>
      </c>
      <c r="B1028" t="s">
        <v>276</v>
      </c>
      <c r="C1028">
        <v>76319</v>
      </c>
      <c r="D1028" s="2">
        <v>239.69</v>
      </c>
      <c r="E1028" s="1">
        <v>43213</v>
      </c>
      <c r="F1028" t="str">
        <f>"201804120260"</f>
        <v>201804120260</v>
      </c>
      <c r="G1028" t="str">
        <f>"NO CAUSE # LISTED/04/05/18"</f>
        <v>NO CAUSE # LISTED/04/05/18</v>
      </c>
      <c r="H1028">
        <v>239.69</v>
      </c>
      <c r="I1028" t="str">
        <f>"NO CAUSE # LISTED/04/05/18"</f>
        <v>NO CAUSE # LISTED/04/05/18</v>
      </c>
    </row>
    <row r="1029" spans="1:9" x14ac:dyDescent="0.25">
      <c r="A1029" t="str">
        <f>"MARIA"</f>
        <v>MARIA</v>
      </c>
      <c r="B1029" t="s">
        <v>277</v>
      </c>
      <c r="C1029">
        <v>999999</v>
      </c>
      <c r="D1029" s="2">
        <v>1317.67</v>
      </c>
      <c r="E1029" s="1">
        <v>43200</v>
      </c>
      <c r="F1029" t="str">
        <f>"201803279778"</f>
        <v>201803279778</v>
      </c>
      <c r="G1029" t="str">
        <f>"CRIMINAL DC 03/21/18"</f>
        <v>CRIMINAL DC 03/21/18</v>
      </c>
      <c r="H1029">
        <v>228.79</v>
      </c>
      <c r="I1029" t="str">
        <f>"CRIMINAL DC 03/21/18"</f>
        <v>CRIMINAL DC 03/21/18</v>
      </c>
    </row>
    <row r="1030" spans="1:9" x14ac:dyDescent="0.25">
      <c r="A1030" t="str">
        <f>""</f>
        <v/>
      </c>
      <c r="F1030" t="str">
        <f>"201803299815"</f>
        <v>201803299815</v>
      </c>
      <c r="G1030" t="str">
        <f>"CRIMINAL DC 3/26/18"</f>
        <v>CRIMINAL DC 3/26/18</v>
      </c>
      <c r="H1030">
        <v>133.79</v>
      </c>
      <c r="I1030" t="str">
        <f>"CRIMINAL DC 3/26/18"</f>
        <v>CRIMINAL DC 3/26/18</v>
      </c>
    </row>
    <row r="1031" spans="1:9" x14ac:dyDescent="0.25">
      <c r="A1031" t="str">
        <f>""</f>
        <v/>
      </c>
      <c r="F1031" t="str">
        <f>"201804039852"</f>
        <v>201804039852</v>
      </c>
      <c r="G1031" t="str">
        <f>"17-18119"</f>
        <v>17-18119</v>
      </c>
      <c r="H1031">
        <v>433.79</v>
      </c>
      <c r="I1031" t="str">
        <f>"17-18119"</f>
        <v>17-18119</v>
      </c>
    </row>
    <row r="1032" spans="1:9" x14ac:dyDescent="0.25">
      <c r="A1032" t="str">
        <f>""</f>
        <v/>
      </c>
      <c r="F1032" t="str">
        <f>"201804039853"</f>
        <v>201804039853</v>
      </c>
      <c r="G1032" t="str">
        <f>"CRIMINAL CCL 3/26/18"</f>
        <v>CRIMINAL CCL 3/26/18</v>
      </c>
      <c r="H1032">
        <v>153.79</v>
      </c>
      <c r="I1032" t="str">
        <f>"CRIMINAL CCL 3/26/18"</f>
        <v>CRIMINAL CCL 3/26/18</v>
      </c>
    </row>
    <row r="1033" spans="1:9" x14ac:dyDescent="0.25">
      <c r="A1033" t="str">
        <f>""</f>
        <v/>
      </c>
      <c r="F1033" t="str">
        <f>"201804039854"</f>
        <v>201804039854</v>
      </c>
      <c r="G1033" t="str">
        <f>"CRIMINAL CCL 3/22/18"</f>
        <v>CRIMINAL CCL 3/22/18</v>
      </c>
      <c r="H1033">
        <v>183.72</v>
      </c>
      <c r="I1033" t="str">
        <f>"CRIMINAL CCL 3/22/18"</f>
        <v>CRIMINAL CCL 3/22/18</v>
      </c>
    </row>
    <row r="1034" spans="1:9" x14ac:dyDescent="0.25">
      <c r="A1034" t="str">
        <f>""</f>
        <v/>
      </c>
      <c r="F1034" t="str">
        <f>"201804049965"</f>
        <v>201804049965</v>
      </c>
      <c r="G1034" t="str">
        <f>"CRIMINAL CCL  03/29/18"</f>
        <v>CRIMINAL CCL  03/29/18</v>
      </c>
      <c r="H1034">
        <v>183.79</v>
      </c>
      <c r="I1034" t="str">
        <f>"CRIMINAL CCL  03/29/18"</f>
        <v>CRIMINAL CCL  03/29/18</v>
      </c>
    </row>
    <row r="1035" spans="1:9" x14ac:dyDescent="0.25">
      <c r="A1035" t="str">
        <f>"MARIA"</f>
        <v>MARIA</v>
      </c>
      <c r="B1035" t="s">
        <v>277</v>
      </c>
      <c r="C1035">
        <v>999999</v>
      </c>
      <c r="D1035" s="2">
        <v>794.54</v>
      </c>
      <c r="E1035" s="1">
        <v>43214</v>
      </c>
      <c r="F1035" t="str">
        <f>"201804120261"</f>
        <v>201804120261</v>
      </c>
      <c r="G1035" t="str">
        <f>"18-18905"</f>
        <v>18-18905</v>
      </c>
      <c r="H1035">
        <v>183.79</v>
      </c>
      <c r="I1035" t="str">
        <f>"18-18905"</f>
        <v>18-18905</v>
      </c>
    </row>
    <row r="1036" spans="1:9" x14ac:dyDescent="0.25">
      <c r="A1036" t="str">
        <f>""</f>
        <v/>
      </c>
      <c r="F1036" t="str">
        <f>"201804130306"</f>
        <v>201804130306</v>
      </c>
      <c r="G1036" t="str">
        <f>"CRIMINAL DC 2/21/18"</f>
        <v>CRIMINAL DC 2/21/18</v>
      </c>
      <c r="H1036">
        <v>228.17</v>
      </c>
      <c r="I1036" t="str">
        <f>"CRIMINAL DC 2/21/18"</f>
        <v>CRIMINAL DC 2/21/18</v>
      </c>
    </row>
    <row r="1037" spans="1:9" x14ac:dyDescent="0.25">
      <c r="A1037" t="str">
        <f>""</f>
        <v/>
      </c>
      <c r="F1037" t="str">
        <f>"201804130307"</f>
        <v>201804130307</v>
      </c>
      <c r="G1037" t="str">
        <f>"CRIMINAL DC  04/11/18"</f>
        <v>CRIMINAL DC  04/11/18</v>
      </c>
      <c r="H1037">
        <v>228.79</v>
      </c>
      <c r="I1037" t="str">
        <f>"CRIMINAL DC  04/11/18"</f>
        <v>CRIMINAL DC  04/11/18</v>
      </c>
    </row>
    <row r="1038" spans="1:9" x14ac:dyDescent="0.25">
      <c r="A1038" t="str">
        <f>""</f>
        <v/>
      </c>
      <c r="F1038" t="str">
        <f>"201804130347"</f>
        <v>201804130347</v>
      </c>
      <c r="G1038" t="str">
        <f>"CRIMINAL CCL 4/12/18"</f>
        <v>CRIMINAL CCL 4/12/18</v>
      </c>
      <c r="H1038">
        <v>153.79</v>
      </c>
      <c r="I1038" t="str">
        <f>"CRIMINAL CCL 4/12/18"</f>
        <v>CRIMINAL CCL 4/12/18</v>
      </c>
    </row>
    <row r="1039" spans="1:9" x14ac:dyDescent="0.25">
      <c r="A1039" t="str">
        <f>"002325"</f>
        <v>002325</v>
      </c>
      <c r="B1039" t="s">
        <v>278</v>
      </c>
      <c r="C1039">
        <v>999999</v>
      </c>
      <c r="D1039" s="2">
        <v>287.29000000000002</v>
      </c>
      <c r="E1039" s="1">
        <v>43214</v>
      </c>
      <c r="F1039" t="str">
        <f>"201804100202"</f>
        <v>201804100202</v>
      </c>
      <c r="G1039" t="str">
        <f>"PER DIEM/MILEAGE EXPENSES"</f>
        <v>PER DIEM/MILEAGE EXPENSES</v>
      </c>
      <c r="H1039">
        <v>287.29000000000002</v>
      </c>
      <c r="I1039" t="str">
        <f>"PER DIEM/MILEAGE EXPENSES"</f>
        <v>PER DIEM/MILEAGE EXPENSES</v>
      </c>
    </row>
    <row r="1040" spans="1:9" x14ac:dyDescent="0.25">
      <c r="A1040" t="str">
        <f>""</f>
        <v/>
      </c>
      <c r="F1040" t="str">
        <f>""</f>
        <v/>
      </c>
      <c r="G1040" t="str">
        <f>""</f>
        <v/>
      </c>
      <c r="I1040" t="str">
        <f>"PER DIEM/MILEAGE EXPENSES"</f>
        <v>PER DIEM/MILEAGE EXPENSES</v>
      </c>
    </row>
    <row r="1041" spans="1:10" x14ac:dyDescent="0.25">
      <c r="A1041" t="str">
        <f>"001017"</f>
        <v>001017</v>
      </c>
      <c r="B1041" t="s">
        <v>279</v>
      </c>
      <c r="C1041">
        <v>76106</v>
      </c>
      <c r="D1041" s="2">
        <v>49.59</v>
      </c>
      <c r="E1041" s="1">
        <v>43199</v>
      </c>
      <c r="F1041" t="str">
        <f>"201804039915"</f>
        <v>201804039915</v>
      </c>
      <c r="G1041" t="str">
        <f>"REIMBURSE MILEAGE"</f>
        <v>REIMBURSE MILEAGE</v>
      </c>
      <c r="H1041">
        <v>49.59</v>
      </c>
      <c r="I1041" t="str">
        <f>"REIMBURSE MILEAGE"</f>
        <v>REIMBURSE MILEAGE</v>
      </c>
    </row>
    <row r="1042" spans="1:10" x14ac:dyDescent="0.25">
      <c r="A1042" t="str">
        <f>"001017"</f>
        <v>001017</v>
      </c>
      <c r="B1042" t="s">
        <v>279</v>
      </c>
      <c r="C1042">
        <v>76320</v>
      </c>
      <c r="D1042" s="2">
        <v>65.400000000000006</v>
      </c>
      <c r="E1042" s="1">
        <v>43213</v>
      </c>
      <c r="F1042" t="str">
        <f>"201804170379"</f>
        <v>201804170379</v>
      </c>
      <c r="G1042" t="str">
        <f>"MILEAGE REIMBURSEMENT"</f>
        <v>MILEAGE REIMBURSEMENT</v>
      </c>
      <c r="H1042">
        <v>65.400000000000006</v>
      </c>
      <c r="I1042" t="str">
        <f>"MILEAGE REIMBURSEMENT"</f>
        <v>MILEAGE REIMBURSEMENT</v>
      </c>
    </row>
    <row r="1043" spans="1:10" x14ac:dyDescent="0.25">
      <c r="A1043" t="str">
        <f>"002282"</f>
        <v>002282</v>
      </c>
      <c r="B1043" t="s">
        <v>280</v>
      </c>
      <c r="C1043">
        <v>76321</v>
      </c>
      <c r="D1043" s="2">
        <v>4050</v>
      </c>
      <c r="E1043" s="1">
        <v>43213</v>
      </c>
      <c r="F1043" t="str">
        <f>"201804170387"</f>
        <v>201804170387</v>
      </c>
      <c r="G1043" t="str">
        <f>"VETERINARY SVCS-MARCH 2018"</f>
        <v>VETERINARY SVCS-MARCH 2018</v>
      </c>
      <c r="H1043">
        <v>4050</v>
      </c>
      <c r="I1043" t="str">
        <f>"VETERINARY SVCS-MARCH 2018"</f>
        <v>VETERINARY SVCS-MARCH 2018</v>
      </c>
    </row>
    <row r="1044" spans="1:10" x14ac:dyDescent="0.25">
      <c r="A1044" t="str">
        <f>"005497"</f>
        <v>005497</v>
      </c>
      <c r="B1044" t="s">
        <v>281</v>
      </c>
      <c r="C1044">
        <v>76107</v>
      </c>
      <c r="D1044" s="2">
        <v>6318.18</v>
      </c>
      <c r="E1044" s="1">
        <v>43199</v>
      </c>
      <c r="F1044" t="str">
        <f>"10401"</f>
        <v>10401</v>
      </c>
      <c r="G1044" t="str">
        <f>"PHONE CALL .60 HR"</f>
        <v>PHONE CALL .60 HR</v>
      </c>
      <c r="H1044">
        <v>216</v>
      </c>
      <c r="I1044" t="str">
        <f>"PHONE CALL .60 HR"</f>
        <v>PHONE CALL .60 HR</v>
      </c>
    </row>
    <row r="1045" spans="1:10" x14ac:dyDescent="0.25">
      <c r="A1045" t="str">
        <f>""</f>
        <v/>
      </c>
      <c r="F1045" t="str">
        <f>"10428"</f>
        <v>10428</v>
      </c>
      <c r="G1045" t="str">
        <f>"TRAVEL/MEETING/REVIEW/EXPS"</f>
        <v>TRAVEL/MEETING/REVIEW/EXPS</v>
      </c>
      <c r="H1045">
        <v>6102.18</v>
      </c>
      <c r="I1045" t="str">
        <f>"TRAVEL/MEETING/REVIEW/EXPS"</f>
        <v>TRAVEL/MEETING/REVIEW/EXPS</v>
      </c>
    </row>
    <row r="1046" spans="1:10" x14ac:dyDescent="0.25">
      <c r="A1046" t="str">
        <f>"T13936"</f>
        <v>T13936</v>
      </c>
      <c r="B1046" t="s">
        <v>282</v>
      </c>
      <c r="C1046">
        <v>76108</v>
      </c>
      <c r="D1046" s="2">
        <v>1004.53</v>
      </c>
      <c r="E1046" s="1">
        <v>43199</v>
      </c>
      <c r="F1046" t="str">
        <f>"201804049948"</f>
        <v>201804049948</v>
      </c>
      <c r="G1046" t="str">
        <f>"INDIGENT HEALTH"</f>
        <v>INDIGENT HEALTH</v>
      </c>
      <c r="H1046">
        <v>1004.53</v>
      </c>
      <c r="I1046" t="str">
        <f>"INDIGENT HEALTH"</f>
        <v>INDIGENT HEALTH</v>
      </c>
    </row>
    <row r="1047" spans="1:10" x14ac:dyDescent="0.25">
      <c r="A1047" t="str">
        <f>""</f>
        <v/>
      </c>
      <c r="F1047" t="str">
        <f>""</f>
        <v/>
      </c>
      <c r="G1047" t="str">
        <f>""</f>
        <v/>
      </c>
      <c r="I1047" t="str">
        <f>"INDIGENT HEALTH"</f>
        <v>INDIGENT HEALTH</v>
      </c>
    </row>
    <row r="1048" spans="1:10" x14ac:dyDescent="0.25">
      <c r="A1048" t="str">
        <f>"005513"</f>
        <v>005513</v>
      </c>
      <c r="B1048" t="s">
        <v>283</v>
      </c>
      <c r="C1048">
        <v>76322</v>
      </c>
      <c r="D1048" s="2">
        <v>225</v>
      </c>
      <c r="E1048" s="1">
        <v>43213</v>
      </c>
      <c r="F1048" t="str">
        <f>"TRAINING-A.GONZALE"</f>
        <v>TRAINING-A.GONZALE</v>
      </c>
      <c r="G1048" t="str">
        <f>"TRAINING"</f>
        <v>TRAINING</v>
      </c>
      <c r="H1048">
        <v>225</v>
      </c>
      <c r="I1048" t="str">
        <f>"TRAINING"</f>
        <v>TRAINING</v>
      </c>
    </row>
    <row r="1049" spans="1:10" x14ac:dyDescent="0.25">
      <c r="A1049" t="str">
        <f>"004144"</f>
        <v>004144</v>
      </c>
      <c r="B1049" t="s">
        <v>284</v>
      </c>
      <c r="C1049">
        <v>999999</v>
      </c>
      <c r="D1049" s="2">
        <v>406.25</v>
      </c>
      <c r="E1049" s="1">
        <v>43200</v>
      </c>
      <c r="F1049" t="str">
        <f>"201804039857"</f>
        <v>201804039857</v>
      </c>
      <c r="G1049" t="str">
        <f>"07-11943"</f>
        <v>07-11943</v>
      </c>
      <c r="H1049">
        <v>406.25</v>
      </c>
      <c r="I1049" t="str">
        <f>"07-11943"</f>
        <v>07-11943</v>
      </c>
    </row>
    <row r="1050" spans="1:10" x14ac:dyDescent="0.25">
      <c r="A1050" t="str">
        <f>"TRIGA"</f>
        <v>TRIGA</v>
      </c>
      <c r="B1050" t="s">
        <v>285</v>
      </c>
      <c r="C1050">
        <v>76109</v>
      </c>
      <c r="D1050" s="2">
        <v>283.61</v>
      </c>
      <c r="E1050" s="1">
        <v>43199</v>
      </c>
      <c r="F1050" t="str">
        <f>"17270404"</f>
        <v>17270404</v>
      </c>
      <c r="G1050" t="str">
        <f>"ACCT#S9549/PCT#1"</f>
        <v>ACCT#S9549/PCT#1</v>
      </c>
      <c r="H1050">
        <v>283.61</v>
      </c>
      <c r="I1050" t="str">
        <f>"ACCT#S9549/PCT#1"</f>
        <v>ACCT#S9549/PCT#1</v>
      </c>
    </row>
    <row r="1051" spans="1:10" x14ac:dyDescent="0.25">
      <c r="A1051" t="str">
        <f>"TRIGA"</f>
        <v>TRIGA</v>
      </c>
      <c r="B1051" t="s">
        <v>285</v>
      </c>
      <c r="C1051">
        <v>76323</v>
      </c>
      <c r="D1051" s="2">
        <v>280.54000000000002</v>
      </c>
      <c r="E1051" s="1">
        <v>43213</v>
      </c>
      <c r="F1051" t="str">
        <f>"17315946"</f>
        <v>17315946</v>
      </c>
      <c r="G1051" t="str">
        <f>"CUST#41472/PCT#1"</f>
        <v>CUST#41472/PCT#1</v>
      </c>
      <c r="H1051">
        <v>22.23</v>
      </c>
      <c r="I1051" t="str">
        <f>"CUST#41472/PCT#1"</f>
        <v>CUST#41472/PCT#1</v>
      </c>
    </row>
    <row r="1052" spans="1:10" x14ac:dyDescent="0.25">
      <c r="A1052" t="str">
        <f>""</f>
        <v/>
      </c>
      <c r="F1052" t="str">
        <f>"17316113"</f>
        <v>17316113</v>
      </c>
      <c r="G1052" t="str">
        <f>"INV 17316113"</f>
        <v>INV 17316113</v>
      </c>
      <c r="H1052">
        <v>49.12</v>
      </c>
      <c r="I1052" t="str">
        <f>"INV 17316113"</f>
        <v>INV 17316113</v>
      </c>
    </row>
    <row r="1053" spans="1:10" x14ac:dyDescent="0.25">
      <c r="A1053" t="str">
        <f>""</f>
        <v/>
      </c>
      <c r="F1053" t="str">
        <f>"17324418"</f>
        <v>17324418</v>
      </c>
      <c r="G1053" t="str">
        <f>"CUST#S9547/PCT#1"</f>
        <v>CUST#S9547/PCT#1</v>
      </c>
      <c r="H1053">
        <v>90</v>
      </c>
      <c r="I1053" t="str">
        <f>"CUST#S9547/PCT#1"</f>
        <v>CUST#S9547/PCT#1</v>
      </c>
    </row>
    <row r="1054" spans="1:10" x14ac:dyDescent="0.25">
      <c r="A1054" t="str">
        <f>""</f>
        <v/>
      </c>
      <c r="F1054" t="str">
        <f>"201804110253"</f>
        <v>201804110253</v>
      </c>
      <c r="G1054" t="str">
        <f>"CUST#45057/PCT#4"</f>
        <v>CUST#45057/PCT#4</v>
      </c>
      <c r="H1054">
        <v>119.19</v>
      </c>
      <c r="I1054" t="str">
        <f>"CUST#45057/PCT#4"</f>
        <v>CUST#45057/PCT#4</v>
      </c>
    </row>
    <row r="1055" spans="1:10" x14ac:dyDescent="0.25">
      <c r="A1055" t="str">
        <f>"005506"</f>
        <v>005506</v>
      </c>
      <c r="B1055" t="s">
        <v>286</v>
      </c>
      <c r="C1055">
        <v>76324</v>
      </c>
      <c r="D1055" s="2">
        <v>1084.53</v>
      </c>
      <c r="E1055" s="1">
        <v>43213</v>
      </c>
      <c r="F1055" t="str">
        <f>"201804110254"</f>
        <v>201804110254</v>
      </c>
      <c r="G1055" t="str">
        <f>"FORENSIC PSYCHOLOGY SVCS"</f>
        <v>FORENSIC PSYCHOLOGY SVCS</v>
      </c>
      <c r="H1055">
        <v>1084.53</v>
      </c>
      <c r="I1055" t="str">
        <f>"FORENSIC PSYCHOLOGY SVCS"</f>
        <v>FORENSIC PSYCHOLOGY SVCS</v>
      </c>
    </row>
    <row r="1056" spans="1:10" x14ac:dyDescent="0.25">
      <c r="A1056" t="str">
        <f>"T14501"</f>
        <v>T14501</v>
      </c>
      <c r="B1056" t="s">
        <v>287</v>
      </c>
      <c r="C1056">
        <v>76325</v>
      </c>
      <c r="D1056" s="2">
        <v>3600</v>
      </c>
      <c r="E1056" s="1">
        <v>43213</v>
      </c>
      <c r="F1056" t="s">
        <v>288</v>
      </c>
      <c r="G1056" t="s">
        <v>289</v>
      </c>
      <c r="H1056" t="str">
        <f>"PSYCHIATRIC EVAL"</f>
        <v>PSYCHIATRIC EVAL</v>
      </c>
      <c r="I1056" t="str">
        <f>"435-4134"</f>
        <v>435-4134</v>
      </c>
      <c r="J1056">
        <v>3600</v>
      </c>
    </row>
    <row r="1057" spans="1:10" x14ac:dyDescent="0.25">
      <c r="A1057" t="str">
        <f>"MC COY"</f>
        <v>MC COY</v>
      </c>
      <c r="B1057" t="s">
        <v>290</v>
      </c>
      <c r="C1057">
        <v>999999</v>
      </c>
      <c r="D1057" s="2">
        <v>34.270000000000003</v>
      </c>
      <c r="E1057" s="1">
        <v>43214</v>
      </c>
      <c r="F1057" t="str">
        <f>"6-00651651"</f>
        <v>6-00651651</v>
      </c>
      <c r="G1057" t="str">
        <f>"ACCT#900-98011130 001"</f>
        <v>ACCT#900-98011130 001</v>
      </c>
      <c r="H1057">
        <v>34.270000000000003</v>
      </c>
      <c r="I1057" t="str">
        <f>"ACCT#900-98011130 001"</f>
        <v>ACCT#900-98011130 001</v>
      </c>
    </row>
    <row r="1058" spans="1:10" x14ac:dyDescent="0.25">
      <c r="A1058" t="str">
        <f>"MC CRE"</f>
        <v>MC CRE</v>
      </c>
      <c r="B1058" t="s">
        <v>291</v>
      </c>
      <c r="C1058">
        <v>76110</v>
      </c>
      <c r="D1058" s="2">
        <v>21062.48</v>
      </c>
      <c r="E1058" s="1">
        <v>43199</v>
      </c>
      <c r="F1058" t="s">
        <v>59</v>
      </c>
      <c r="G1058" t="s">
        <v>292</v>
      </c>
      <c r="H1058" t="str">
        <f>"PRINTER FEE  01/18/18"</f>
        <v>PRINTER FEE  01/18/18</v>
      </c>
      <c r="I1058" t="str">
        <f>"995-4110"</f>
        <v>995-4110</v>
      </c>
      <c r="J1058">
        <v>75</v>
      </c>
    </row>
    <row r="1059" spans="1:10" x14ac:dyDescent="0.25">
      <c r="A1059" t="str">
        <f>""</f>
        <v/>
      </c>
      <c r="F1059" t="s">
        <v>59</v>
      </c>
      <c r="G1059" t="s">
        <v>293</v>
      </c>
      <c r="H1059" t="str">
        <f>"PRINTER FEE  02/09/18"</f>
        <v>PRINTER FEE  02/09/18</v>
      </c>
      <c r="I1059" t="str">
        <f>"995-4110"</f>
        <v>995-4110</v>
      </c>
      <c r="J1059">
        <v>75</v>
      </c>
    </row>
    <row r="1060" spans="1:10" x14ac:dyDescent="0.25">
      <c r="A1060" t="str">
        <f>""</f>
        <v/>
      </c>
      <c r="F1060" t="s">
        <v>59</v>
      </c>
      <c r="G1060" t="s">
        <v>60</v>
      </c>
      <c r="H1060" t="str">
        <f>"ABST FEE  02/08/18"</f>
        <v>ABST FEE  02/08/18</v>
      </c>
      <c r="I1060" t="str">
        <f>"995-4110"</f>
        <v>995-4110</v>
      </c>
      <c r="J1060">
        <v>175</v>
      </c>
    </row>
    <row r="1061" spans="1:10" x14ac:dyDescent="0.25">
      <c r="A1061" t="str">
        <f>""</f>
        <v/>
      </c>
      <c r="F1061" t="s">
        <v>59</v>
      </c>
      <c r="G1061" t="s">
        <v>61</v>
      </c>
      <c r="H1061" t="str">
        <f>"ABST FEE  02/08/18"</f>
        <v>ABST FEE  02/08/18</v>
      </c>
      <c r="I1061" t="str">
        <f>"995-4110"</f>
        <v>995-4110</v>
      </c>
      <c r="J1061">
        <v>175</v>
      </c>
    </row>
    <row r="1062" spans="1:10" x14ac:dyDescent="0.25">
      <c r="A1062" t="str">
        <f>""</f>
        <v/>
      </c>
      <c r="F1062" t="s">
        <v>59</v>
      </c>
      <c r="G1062" t="s">
        <v>62</v>
      </c>
      <c r="H1062" t="str">
        <f>"ABST FEE  01/22/18"</f>
        <v>ABST FEE  01/22/18</v>
      </c>
      <c r="I1062" t="str">
        <f>"995-4110"</f>
        <v>995-4110</v>
      </c>
      <c r="J1062">
        <v>225</v>
      </c>
    </row>
    <row r="1063" spans="1:10" x14ac:dyDescent="0.25">
      <c r="A1063" t="str">
        <f>""</f>
        <v/>
      </c>
      <c r="F1063" t="str">
        <f>"12135"</f>
        <v>12135</v>
      </c>
      <c r="G1063" t="str">
        <f>"ABST FEE  01/26/18"</f>
        <v>ABST FEE  01/26/18</v>
      </c>
      <c r="H1063">
        <v>175</v>
      </c>
      <c r="I1063" t="str">
        <f>"ABST FEE  01/26/18"</f>
        <v>ABST FEE  01/26/18</v>
      </c>
    </row>
    <row r="1064" spans="1:10" x14ac:dyDescent="0.25">
      <c r="A1064" t="str">
        <f>""</f>
        <v/>
      </c>
      <c r="F1064" t="str">
        <f>"12466"</f>
        <v>12466</v>
      </c>
      <c r="G1064" t="str">
        <f>"ABST FEE  01/08/18"</f>
        <v>ABST FEE  01/08/18</v>
      </c>
      <c r="H1064">
        <v>175</v>
      </c>
      <c r="I1064" t="str">
        <f>"ABST FEE  01/08/18"</f>
        <v>ABST FEE  01/08/18</v>
      </c>
    </row>
    <row r="1065" spans="1:10" x14ac:dyDescent="0.25">
      <c r="A1065" t="str">
        <f>""</f>
        <v/>
      </c>
      <c r="F1065" t="str">
        <f>"12502"</f>
        <v>12502</v>
      </c>
      <c r="G1065" t="str">
        <f>"ABST FEE  12/08/17"</f>
        <v>ABST FEE  12/08/17</v>
      </c>
      <c r="H1065">
        <v>175</v>
      </c>
      <c r="I1065" t="str">
        <f>"ABST FEE  12/08/17"</f>
        <v>ABST FEE  12/08/17</v>
      </c>
    </row>
    <row r="1066" spans="1:10" x14ac:dyDescent="0.25">
      <c r="A1066" t="str">
        <f>""</f>
        <v/>
      </c>
      <c r="F1066" t="str">
        <f>"12510"</f>
        <v>12510</v>
      </c>
      <c r="G1066" t="str">
        <f>"ABST FEE  12/08/17"</f>
        <v>ABST FEE  12/08/17</v>
      </c>
      <c r="H1066">
        <v>175</v>
      </c>
      <c r="I1066" t="str">
        <f>"ABST FEE  12/08/17"</f>
        <v>ABST FEE  12/08/17</v>
      </c>
    </row>
    <row r="1067" spans="1:10" x14ac:dyDescent="0.25">
      <c r="A1067" t="str">
        <f>""</f>
        <v/>
      </c>
      <c r="F1067" t="str">
        <f>"12571"</f>
        <v>12571</v>
      </c>
      <c r="G1067" t="str">
        <f>"ABST FEE  01/29/18"</f>
        <v>ABST FEE  01/29/18</v>
      </c>
      <c r="H1067">
        <v>175</v>
      </c>
      <c r="I1067" t="str">
        <f>"ABST FEE  01/29/18"</f>
        <v>ABST FEE  01/29/18</v>
      </c>
    </row>
    <row r="1068" spans="1:10" x14ac:dyDescent="0.25">
      <c r="A1068" t="str">
        <f>""</f>
        <v/>
      </c>
      <c r="F1068" t="str">
        <f>"12706"</f>
        <v>12706</v>
      </c>
      <c r="G1068" t="str">
        <f>"ABST FEE  01/18/18"</f>
        <v>ABST FEE  01/18/18</v>
      </c>
      <c r="H1068">
        <v>225</v>
      </c>
      <c r="I1068" t="str">
        <f>"ABST FEE  01/18/18"</f>
        <v>ABST FEE  01/18/18</v>
      </c>
    </row>
    <row r="1069" spans="1:10" x14ac:dyDescent="0.25">
      <c r="A1069" t="str">
        <f>""</f>
        <v/>
      </c>
      <c r="F1069" t="str">
        <f>"12845"</f>
        <v>12845</v>
      </c>
      <c r="G1069" t="str">
        <f>"ABST FEE-$225 &amp; SOS-$55 1/30"</f>
        <v>ABST FEE-$225 &amp; SOS-$55 1/30</v>
      </c>
      <c r="H1069">
        <v>280</v>
      </c>
      <c r="I1069" t="str">
        <f>"ABST FEE-$225 &amp; SOS-$55 1/30"</f>
        <v>ABST FEE-$225 &amp; SOS-$55 1/30</v>
      </c>
    </row>
    <row r="1070" spans="1:10" x14ac:dyDescent="0.25">
      <c r="A1070" t="str">
        <f>""</f>
        <v/>
      </c>
      <c r="F1070" t="str">
        <f>"12851"</f>
        <v>12851</v>
      </c>
      <c r="G1070" t="str">
        <f>"ABST FEE  01/10/18"</f>
        <v>ABST FEE  01/10/18</v>
      </c>
      <c r="H1070">
        <v>225</v>
      </c>
      <c r="I1070" t="str">
        <f>"ABST FEE  01/10/18"</f>
        <v>ABST FEE  01/10/18</v>
      </c>
    </row>
    <row r="1071" spans="1:10" x14ac:dyDescent="0.25">
      <c r="A1071" t="str">
        <f>""</f>
        <v/>
      </c>
      <c r="F1071" t="str">
        <f>"12858"</f>
        <v>12858</v>
      </c>
      <c r="G1071" t="str">
        <f>"ABST FEE  01/29/18"</f>
        <v>ABST FEE  01/29/18</v>
      </c>
      <c r="H1071">
        <v>225</v>
      </c>
      <c r="I1071" t="str">
        <f>"ABST FEE  01/29/18"</f>
        <v>ABST FEE  01/29/18</v>
      </c>
    </row>
    <row r="1072" spans="1:10" x14ac:dyDescent="0.25">
      <c r="A1072" t="str">
        <f>""</f>
        <v/>
      </c>
      <c r="F1072" t="str">
        <f>"201804039925"</f>
        <v>201804039925</v>
      </c>
      <c r="G1072" t="str">
        <f>"ATTNY FEES-MARCH 2018"</f>
        <v>ATTNY FEES-MARCH 2018</v>
      </c>
      <c r="H1072">
        <v>18507.48</v>
      </c>
      <c r="I1072" t="str">
        <f>"ATTNY FEES-MARCH 2018"</f>
        <v>ATTNY FEES-MARCH 2018</v>
      </c>
    </row>
    <row r="1073" spans="1:10" x14ac:dyDescent="0.25">
      <c r="A1073" t="str">
        <f>"MC CRE"</f>
        <v>MC CRE</v>
      </c>
      <c r="B1073" t="s">
        <v>291</v>
      </c>
      <c r="C1073">
        <v>76326</v>
      </c>
      <c r="D1073" s="2">
        <v>4313</v>
      </c>
      <c r="E1073" s="1">
        <v>43213</v>
      </c>
      <c r="F1073" t="s">
        <v>63</v>
      </c>
      <c r="G1073" t="s">
        <v>64</v>
      </c>
      <c r="H1073" t="str">
        <f>"ABST-$175/SVC-$260/PRINT-$1203"</f>
        <v>ABST-$175/SVC-$260/PRINT-$1203</v>
      </c>
      <c r="I1073" t="str">
        <f>"995-4110"</f>
        <v>995-4110</v>
      </c>
      <c r="J1073">
        <v>1638</v>
      </c>
    </row>
    <row r="1074" spans="1:10" x14ac:dyDescent="0.25">
      <c r="A1074" t="str">
        <f>""</f>
        <v/>
      </c>
      <c r="F1074" t="str">
        <f>"12380"</f>
        <v>12380</v>
      </c>
      <c r="G1074" t="str">
        <f>"ABST FEE  12/08/17"</f>
        <v>ABST FEE  12/08/17</v>
      </c>
      <c r="H1074">
        <v>175</v>
      </c>
      <c r="I1074" t="str">
        <f>"ABST FEE  12/08/17"</f>
        <v>ABST FEE  12/08/17</v>
      </c>
    </row>
    <row r="1075" spans="1:10" x14ac:dyDescent="0.25">
      <c r="A1075" t="str">
        <f>""</f>
        <v/>
      </c>
      <c r="F1075" t="str">
        <f>"12536"</f>
        <v>12536</v>
      </c>
      <c r="G1075" t="str">
        <f>"ABST FEE  12/08/17"</f>
        <v>ABST FEE  12/08/17</v>
      </c>
      <c r="H1075">
        <v>175</v>
      </c>
      <c r="I1075" t="str">
        <f>"ABST FEE  12/08/17"</f>
        <v>ABST FEE  12/08/17</v>
      </c>
    </row>
    <row r="1076" spans="1:10" x14ac:dyDescent="0.25">
      <c r="A1076" t="str">
        <f>""</f>
        <v/>
      </c>
      <c r="F1076" t="str">
        <f>"12570"</f>
        <v>12570</v>
      </c>
      <c r="G1076" t="str">
        <f>"ABST FEE  02/22/18"</f>
        <v>ABST FEE  02/22/18</v>
      </c>
      <c r="H1076">
        <v>175</v>
      </c>
      <c r="I1076" t="str">
        <f>"ABST FEE  02/22/18"</f>
        <v>ABST FEE  02/22/18</v>
      </c>
    </row>
    <row r="1077" spans="1:10" x14ac:dyDescent="0.25">
      <c r="A1077" t="str">
        <f>""</f>
        <v/>
      </c>
      <c r="F1077" t="str">
        <f>"12581"</f>
        <v>12581</v>
      </c>
      <c r="G1077" t="str">
        <f t="shared" ref="G1077:G1085" si="13">"ABST FEE  12/08/17"</f>
        <v>ABST FEE  12/08/17</v>
      </c>
      <c r="H1077">
        <v>175</v>
      </c>
      <c r="I1077" t="str">
        <f t="shared" ref="I1077:I1085" si="14">"ABST FEE  12/08/17"</f>
        <v>ABST FEE  12/08/17</v>
      </c>
    </row>
    <row r="1078" spans="1:10" x14ac:dyDescent="0.25">
      <c r="A1078" t="str">
        <f>""</f>
        <v/>
      </c>
      <c r="F1078" t="str">
        <f>"12605"</f>
        <v>12605</v>
      </c>
      <c r="G1078" t="str">
        <f t="shared" si="13"/>
        <v>ABST FEE  12/08/17</v>
      </c>
      <c r="H1078">
        <v>175</v>
      </c>
      <c r="I1078" t="str">
        <f t="shared" si="14"/>
        <v>ABST FEE  12/08/17</v>
      </c>
    </row>
    <row r="1079" spans="1:10" x14ac:dyDescent="0.25">
      <c r="A1079" t="str">
        <f>""</f>
        <v/>
      </c>
      <c r="F1079" t="str">
        <f>"12635"</f>
        <v>12635</v>
      </c>
      <c r="G1079" t="str">
        <f t="shared" si="13"/>
        <v>ABST FEE  12/08/17</v>
      </c>
      <c r="H1079">
        <v>225</v>
      </c>
      <c r="I1079" t="str">
        <f t="shared" si="14"/>
        <v>ABST FEE  12/08/17</v>
      </c>
    </row>
    <row r="1080" spans="1:10" x14ac:dyDescent="0.25">
      <c r="A1080" t="str">
        <f>""</f>
        <v/>
      </c>
      <c r="F1080" t="str">
        <f>"12640"</f>
        <v>12640</v>
      </c>
      <c r="G1080" t="str">
        <f t="shared" si="13"/>
        <v>ABST FEE  12/08/17</v>
      </c>
      <c r="H1080">
        <v>225</v>
      </c>
      <c r="I1080" t="str">
        <f t="shared" si="14"/>
        <v>ABST FEE  12/08/17</v>
      </c>
    </row>
    <row r="1081" spans="1:10" x14ac:dyDescent="0.25">
      <c r="A1081" t="str">
        <f>""</f>
        <v/>
      </c>
      <c r="F1081" t="str">
        <f>"12676"</f>
        <v>12676</v>
      </c>
      <c r="G1081" t="str">
        <f t="shared" si="13"/>
        <v>ABST FEE  12/08/17</v>
      </c>
      <c r="H1081">
        <v>225</v>
      </c>
      <c r="I1081" t="str">
        <f t="shared" si="14"/>
        <v>ABST FEE  12/08/17</v>
      </c>
    </row>
    <row r="1082" spans="1:10" x14ac:dyDescent="0.25">
      <c r="A1082" t="str">
        <f>""</f>
        <v/>
      </c>
      <c r="F1082" t="str">
        <f>"12691"</f>
        <v>12691</v>
      </c>
      <c r="G1082" t="str">
        <f t="shared" si="13"/>
        <v>ABST FEE  12/08/17</v>
      </c>
      <c r="H1082">
        <v>225</v>
      </c>
      <c r="I1082" t="str">
        <f t="shared" si="14"/>
        <v>ABST FEE  12/08/17</v>
      </c>
    </row>
    <row r="1083" spans="1:10" x14ac:dyDescent="0.25">
      <c r="A1083" t="str">
        <f>""</f>
        <v/>
      </c>
      <c r="F1083" t="str">
        <f>"12693"</f>
        <v>12693</v>
      </c>
      <c r="G1083" t="str">
        <f t="shared" si="13"/>
        <v>ABST FEE  12/08/17</v>
      </c>
      <c r="H1083">
        <v>225</v>
      </c>
      <c r="I1083" t="str">
        <f t="shared" si="14"/>
        <v>ABST FEE  12/08/17</v>
      </c>
    </row>
    <row r="1084" spans="1:10" x14ac:dyDescent="0.25">
      <c r="A1084" t="str">
        <f>""</f>
        <v/>
      </c>
      <c r="F1084" t="str">
        <f>"12696"</f>
        <v>12696</v>
      </c>
      <c r="G1084" t="str">
        <f t="shared" si="13"/>
        <v>ABST FEE  12/08/17</v>
      </c>
      <c r="H1084">
        <v>225</v>
      </c>
      <c r="I1084" t="str">
        <f t="shared" si="14"/>
        <v>ABST FEE  12/08/17</v>
      </c>
    </row>
    <row r="1085" spans="1:10" x14ac:dyDescent="0.25">
      <c r="A1085" t="str">
        <f>""</f>
        <v/>
      </c>
      <c r="F1085" t="str">
        <f>"12717"</f>
        <v>12717</v>
      </c>
      <c r="G1085" t="str">
        <f t="shared" si="13"/>
        <v>ABST FEE  12/08/17</v>
      </c>
      <c r="H1085">
        <v>225</v>
      </c>
      <c r="I1085" t="str">
        <f t="shared" si="14"/>
        <v>ABST FEE  12/08/17</v>
      </c>
    </row>
    <row r="1086" spans="1:10" x14ac:dyDescent="0.25">
      <c r="A1086" t="str">
        <f>""</f>
        <v/>
      </c>
      <c r="F1086" t="str">
        <f>"12739"</f>
        <v>12739</v>
      </c>
      <c r="G1086" t="str">
        <f>"ABST FEE  02/20/18"</f>
        <v>ABST FEE  02/20/18</v>
      </c>
      <c r="H1086">
        <v>225</v>
      </c>
      <c r="I1086" t="str">
        <f>"ABST FEE  02/20/18"</f>
        <v>ABST FEE  02/20/18</v>
      </c>
    </row>
    <row r="1087" spans="1:10" x14ac:dyDescent="0.25">
      <c r="A1087" t="str">
        <f>"005495"</f>
        <v>005495</v>
      </c>
      <c r="B1087" t="s">
        <v>294</v>
      </c>
      <c r="C1087">
        <v>76327</v>
      </c>
      <c r="D1087" s="2">
        <v>65</v>
      </c>
      <c r="E1087" s="1">
        <v>43213</v>
      </c>
      <c r="F1087" t="s">
        <v>63</v>
      </c>
      <c r="G1087" t="s">
        <v>64</v>
      </c>
      <c r="H1087" t="str">
        <f>"SERVICE  02/13/18"</f>
        <v>SERVICE  02/13/18</v>
      </c>
      <c r="I1087" t="str">
        <f>"995-4110"</f>
        <v>995-4110</v>
      </c>
      <c r="J1087">
        <v>65</v>
      </c>
    </row>
    <row r="1088" spans="1:10" x14ac:dyDescent="0.25">
      <c r="A1088" t="str">
        <f>"003624"</f>
        <v>003624</v>
      </c>
      <c r="B1088" t="s">
        <v>295</v>
      </c>
      <c r="C1088">
        <v>76111</v>
      </c>
      <c r="D1088" s="2">
        <v>545</v>
      </c>
      <c r="E1088" s="1">
        <v>43199</v>
      </c>
      <c r="F1088" t="str">
        <f>"3259539-IN"</f>
        <v>3259539-IN</v>
      </c>
      <c r="G1088" t="str">
        <f>"Animal Shelter"</f>
        <v>Animal Shelter</v>
      </c>
      <c r="H1088">
        <v>545</v>
      </c>
      <c r="I1088" t="str">
        <f>"GRHF 2 LOCK"</f>
        <v>GRHF 2 LOCK</v>
      </c>
    </row>
    <row r="1089" spans="1:10" x14ac:dyDescent="0.25">
      <c r="A1089" t="str">
        <f>""</f>
        <v/>
      </c>
      <c r="F1089" t="str">
        <f>""</f>
        <v/>
      </c>
      <c r="G1089" t="str">
        <f>""</f>
        <v/>
      </c>
      <c r="I1089" t="str">
        <f>"GRIHK-GRIPPLE"</f>
        <v>GRIHK-GRIPPLE</v>
      </c>
    </row>
    <row r="1090" spans="1:10" x14ac:dyDescent="0.25">
      <c r="A1090" t="str">
        <f>"003624"</f>
        <v>003624</v>
      </c>
      <c r="B1090" t="s">
        <v>295</v>
      </c>
      <c r="C1090">
        <v>76328</v>
      </c>
      <c r="D1090" s="2">
        <v>3954.75</v>
      </c>
      <c r="E1090" s="1">
        <v>43213</v>
      </c>
      <c r="F1090" t="str">
        <f>"3260213-IN"</f>
        <v>3260213-IN</v>
      </c>
      <c r="G1090" t="str">
        <f>"MECHANICAL REPS INC"</f>
        <v>MECHANICAL REPS INC</v>
      </c>
      <c r="H1090">
        <v>3954.75</v>
      </c>
      <c r="I1090" t="str">
        <f>"Piping &amp; Accessories"</f>
        <v>Piping &amp; Accessories</v>
      </c>
    </row>
    <row r="1091" spans="1:10" x14ac:dyDescent="0.25">
      <c r="A1091" t="str">
        <f>""</f>
        <v/>
      </c>
      <c r="F1091" t="str">
        <f>""</f>
        <v/>
      </c>
      <c r="G1091" t="str">
        <f>""</f>
        <v/>
      </c>
      <c r="I1091" t="str">
        <f>"Freight"</f>
        <v>Freight</v>
      </c>
    </row>
    <row r="1092" spans="1:10" x14ac:dyDescent="0.25">
      <c r="A1092" t="str">
        <f>"002271"</f>
        <v>002271</v>
      </c>
      <c r="B1092" t="s">
        <v>296</v>
      </c>
      <c r="C1092">
        <v>76112</v>
      </c>
      <c r="D1092" s="2">
        <v>2390.84</v>
      </c>
      <c r="E1092" s="1">
        <v>43199</v>
      </c>
      <c r="F1092" t="str">
        <f>"201804049949"</f>
        <v>201804049949</v>
      </c>
      <c r="G1092" t="str">
        <f>"INDIGENT HEALTH"</f>
        <v>INDIGENT HEALTH</v>
      </c>
      <c r="H1092">
        <v>2390.84</v>
      </c>
      <c r="I1092" t="str">
        <f>"INDIGENT HEALTH"</f>
        <v>INDIGENT HEALTH</v>
      </c>
    </row>
    <row r="1093" spans="1:10" x14ac:dyDescent="0.25">
      <c r="A1093" t="str">
        <f>"003745"</f>
        <v>003745</v>
      </c>
      <c r="B1093" t="s">
        <v>297</v>
      </c>
      <c r="C1093">
        <v>76329</v>
      </c>
      <c r="D1093" s="2">
        <v>25</v>
      </c>
      <c r="E1093" s="1">
        <v>43213</v>
      </c>
      <c r="F1093" t="s">
        <v>57</v>
      </c>
      <c r="G1093" t="s">
        <v>245</v>
      </c>
      <c r="H1093" t="str">
        <f>"RESTITUTION-D. SPURK"</f>
        <v>RESTITUTION-D. SPURK</v>
      </c>
      <c r="I1093" t="str">
        <f>"210-0000"</f>
        <v>210-0000</v>
      </c>
      <c r="J1093">
        <v>25</v>
      </c>
    </row>
    <row r="1094" spans="1:10" x14ac:dyDescent="0.25">
      <c r="A1094" t="str">
        <f>"MF"</f>
        <v>MF</v>
      </c>
      <c r="B1094" t="s">
        <v>298</v>
      </c>
      <c r="C1094">
        <v>999999</v>
      </c>
      <c r="D1094" s="2">
        <v>100</v>
      </c>
      <c r="E1094" s="1">
        <v>43200</v>
      </c>
      <c r="F1094" t="str">
        <f>"18-015"</f>
        <v>18-015</v>
      </c>
      <c r="G1094" t="str">
        <f>"423-5490"</f>
        <v>423-5490</v>
      </c>
      <c r="H1094">
        <v>100</v>
      </c>
      <c r="I1094" t="str">
        <f>"423-5490"</f>
        <v>423-5490</v>
      </c>
    </row>
    <row r="1095" spans="1:10" x14ac:dyDescent="0.25">
      <c r="A1095" t="str">
        <f>"MF"</f>
        <v>MF</v>
      </c>
      <c r="B1095" t="s">
        <v>298</v>
      </c>
      <c r="C1095">
        <v>999999</v>
      </c>
      <c r="D1095" s="2">
        <v>396</v>
      </c>
      <c r="E1095" s="1">
        <v>43214</v>
      </c>
      <c r="F1095" t="str">
        <f>"18-017"</f>
        <v>18-017</v>
      </c>
      <c r="G1095" t="str">
        <f>"COURT REPORTING FEES"</f>
        <v>COURT REPORTING FEES</v>
      </c>
      <c r="H1095">
        <v>396</v>
      </c>
      <c r="I1095" t="str">
        <f>"COURT REPORTING FEES"</f>
        <v>COURT REPORTING FEES</v>
      </c>
    </row>
    <row r="1096" spans="1:10" x14ac:dyDescent="0.25">
      <c r="A1096" t="str">
        <f>"003533"</f>
        <v>003533</v>
      </c>
      <c r="B1096" t="s">
        <v>299</v>
      </c>
      <c r="C1096">
        <v>999999</v>
      </c>
      <c r="D1096" s="2">
        <v>25.83</v>
      </c>
      <c r="E1096" s="1">
        <v>43214</v>
      </c>
      <c r="F1096" t="str">
        <f>"201804130322"</f>
        <v>201804130322</v>
      </c>
      <c r="G1096" t="str">
        <f>"REIMBURSEMENT-MEALS"</f>
        <v>REIMBURSEMENT-MEALS</v>
      </c>
      <c r="H1096">
        <v>25.83</v>
      </c>
      <c r="I1096" t="str">
        <f>"REIMBURSEMENT-MEALS"</f>
        <v>REIMBURSEMENT-MEALS</v>
      </c>
    </row>
    <row r="1097" spans="1:10" x14ac:dyDescent="0.25">
      <c r="A1097" t="str">
        <f>"002312"</f>
        <v>002312</v>
      </c>
      <c r="B1097" t="s">
        <v>300</v>
      </c>
      <c r="C1097">
        <v>76113</v>
      </c>
      <c r="D1097" s="2">
        <v>23856.2</v>
      </c>
      <c r="E1097" s="1">
        <v>43199</v>
      </c>
      <c r="F1097" t="str">
        <f>"16647"</f>
        <v>16647</v>
      </c>
      <c r="G1097" t="str">
        <f t="shared" ref="G1097:G1105" si="15">"FREIGHT SALES/PCT#2"</f>
        <v>FREIGHT SALES/PCT#2</v>
      </c>
      <c r="H1097">
        <v>6940.56</v>
      </c>
      <c r="I1097" t="str">
        <f t="shared" ref="I1097:I1105" si="16">"FREIGHT SALES/PCT#2"</f>
        <v>FREIGHT SALES/PCT#2</v>
      </c>
    </row>
    <row r="1098" spans="1:10" x14ac:dyDescent="0.25">
      <c r="A1098" t="str">
        <f>""</f>
        <v/>
      </c>
      <c r="F1098" t="str">
        <f>"16692"</f>
        <v>16692</v>
      </c>
      <c r="G1098" t="str">
        <f t="shared" si="15"/>
        <v>FREIGHT SALES/PCT#2</v>
      </c>
      <c r="H1098">
        <v>7010.88</v>
      </c>
      <c r="I1098" t="str">
        <f t="shared" si="16"/>
        <v>FREIGHT SALES/PCT#2</v>
      </c>
    </row>
    <row r="1099" spans="1:10" x14ac:dyDescent="0.25">
      <c r="A1099" t="str">
        <f>""</f>
        <v/>
      </c>
      <c r="F1099" t="str">
        <f>"16693"</f>
        <v>16693</v>
      </c>
      <c r="G1099" t="str">
        <f t="shared" si="15"/>
        <v>FREIGHT SALES/PCT#2</v>
      </c>
      <c r="H1099">
        <v>5041.76</v>
      </c>
      <c r="I1099" t="str">
        <f t="shared" si="16"/>
        <v>FREIGHT SALES/PCT#2</v>
      </c>
    </row>
    <row r="1100" spans="1:10" x14ac:dyDescent="0.25">
      <c r="A1100" t="str">
        <f>""</f>
        <v/>
      </c>
      <c r="F1100" t="str">
        <f>"16728"</f>
        <v>16728</v>
      </c>
      <c r="G1100" t="str">
        <f t="shared" si="15"/>
        <v>FREIGHT SALES/PCT#2</v>
      </c>
      <c r="H1100">
        <v>4863</v>
      </c>
      <c r="I1100" t="str">
        <f t="shared" si="16"/>
        <v>FREIGHT SALES/PCT#2</v>
      </c>
    </row>
    <row r="1101" spans="1:10" x14ac:dyDescent="0.25">
      <c r="A1101" t="str">
        <f>"002312"</f>
        <v>002312</v>
      </c>
      <c r="B1101" t="s">
        <v>300</v>
      </c>
      <c r="C1101">
        <v>76330</v>
      </c>
      <c r="D1101" s="2">
        <v>45525.05</v>
      </c>
      <c r="E1101" s="1">
        <v>43213</v>
      </c>
      <c r="F1101" t="str">
        <f>"16746"</f>
        <v>16746</v>
      </c>
      <c r="G1101" t="str">
        <f t="shared" si="15"/>
        <v>FREIGHT SALES/PCT#2</v>
      </c>
      <c r="H1101">
        <v>10477.92</v>
      </c>
      <c r="I1101" t="str">
        <f t="shared" si="16"/>
        <v>FREIGHT SALES/PCT#2</v>
      </c>
    </row>
    <row r="1102" spans="1:10" x14ac:dyDescent="0.25">
      <c r="A1102" t="str">
        <f>""</f>
        <v/>
      </c>
      <c r="F1102" t="str">
        <f>"16769"</f>
        <v>16769</v>
      </c>
      <c r="G1102" t="str">
        <f t="shared" si="15"/>
        <v>FREIGHT SALES/PCT#2</v>
      </c>
      <c r="H1102">
        <v>959.05</v>
      </c>
      <c r="I1102" t="str">
        <f t="shared" si="16"/>
        <v>FREIGHT SALES/PCT#2</v>
      </c>
    </row>
    <row r="1103" spans="1:10" x14ac:dyDescent="0.25">
      <c r="A1103" t="str">
        <f>""</f>
        <v/>
      </c>
      <c r="F1103" t="str">
        <f>"16770"</f>
        <v>16770</v>
      </c>
      <c r="G1103" t="str">
        <f t="shared" si="15"/>
        <v>FREIGHT SALES/PCT#2</v>
      </c>
      <c r="H1103">
        <v>162.08000000000001</v>
      </c>
      <c r="I1103" t="str">
        <f t="shared" si="16"/>
        <v>FREIGHT SALES/PCT#2</v>
      </c>
    </row>
    <row r="1104" spans="1:10" x14ac:dyDescent="0.25">
      <c r="A1104" t="str">
        <f>""</f>
        <v/>
      </c>
      <c r="F1104" t="str">
        <f>"16772"</f>
        <v>16772</v>
      </c>
      <c r="G1104" t="str">
        <f t="shared" si="15"/>
        <v>FREIGHT SALES/PCT#2</v>
      </c>
      <c r="H1104">
        <v>4003.92</v>
      </c>
      <c r="I1104" t="str">
        <f t="shared" si="16"/>
        <v>FREIGHT SALES/PCT#2</v>
      </c>
    </row>
    <row r="1105" spans="1:10" x14ac:dyDescent="0.25">
      <c r="A1105" t="str">
        <f>""</f>
        <v/>
      </c>
      <c r="F1105" t="str">
        <f>"16803"</f>
        <v>16803</v>
      </c>
      <c r="G1105" t="str">
        <f t="shared" si="15"/>
        <v>FREIGHT SALES/PCT#2</v>
      </c>
      <c r="H1105">
        <v>6615.92</v>
      </c>
      <c r="I1105" t="str">
        <f t="shared" si="16"/>
        <v>FREIGHT SALES/PCT#2</v>
      </c>
    </row>
    <row r="1106" spans="1:10" x14ac:dyDescent="0.25">
      <c r="A1106" t="str">
        <f>""</f>
        <v/>
      </c>
      <c r="F1106" t="str">
        <f>"16825"</f>
        <v>16825</v>
      </c>
      <c r="G1106" t="str">
        <f>"FREIGHT SALES/ PCT#2"</f>
        <v>FREIGHT SALES/ PCT#2</v>
      </c>
      <c r="H1106">
        <v>9806.7199999999993</v>
      </c>
      <c r="I1106" t="str">
        <f>"FREIGHT SALES/ PCT#2"</f>
        <v>FREIGHT SALES/ PCT#2</v>
      </c>
    </row>
    <row r="1107" spans="1:10" x14ac:dyDescent="0.25">
      <c r="A1107" t="str">
        <f>""</f>
        <v/>
      </c>
      <c r="F1107" t="str">
        <f>"16849"</f>
        <v>16849</v>
      </c>
      <c r="G1107" t="str">
        <f>"FREIGHT SALES/PCT#2"</f>
        <v>FREIGHT SALES/PCT#2</v>
      </c>
      <c r="H1107">
        <v>9040.56</v>
      </c>
      <c r="I1107" t="str">
        <f>"FREIGHT SALES/PCT#2"</f>
        <v>FREIGHT SALES/PCT#2</v>
      </c>
    </row>
    <row r="1108" spans="1:10" x14ac:dyDescent="0.25">
      <c r="A1108" t="str">
        <f>""</f>
        <v/>
      </c>
      <c r="F1108" t="str">
        <f>"16874"</f>
        <v>16874</v>
      </c>
      <c r="G1108" t="str">
        <f>"FREIGHT SALES/PCT#2"</f>
        <v>FREIGHT SALES/PCT#2</v>
      </c>
      <c r="H1108">
        <v>407.44</v>
      </c>
      <c r="I1108" t="str">
        <f>"FREIGHT SALES/PCT#2"</f>
        <v>FREIGHT SALES/PCT#2</v>
      </c>
    </row>
    <row r="1109" spans="1:10" x14ac:dyDescent="0.25">
      <c r="A1109" t="str">
        <f>""</f>
        <v/>
      </c>
      <c r="F1109" t="str">
        <f>"16875"</f>
        <v>16875</v>
      </c>
      <c r="G1109" t="str">
        <f>"FREIGHT SALES/PCT#2"</f>
        <v>FREIGHT SALES/PCT#2</v>
      </c>
      <c r="H1109">
        <v>4051.44</v>
      </c>
      <c r="I1109" t="str">
        <f>"FREIGHT SALES/PCT#2"</f>
        <v>FREIGHT SALES/PCT#2</v>
      </c>
    </row>
    <row r="1110" spans="1:10" x14ac:dyDescent="0.25">
      <c r="A1110" t="str">
        <f>"000754"</f>
        <v>000754</v>
      </c>
      <c r="B1110" t="s">
        <v>301</v>
      </c>
      <c r="C1110">
        <v>76331</v>
      </c>
      <c r="D1110" s="2">
        <v>4900</v>
      </c>
      <c r="E1110" s="1">
        <v>43213</v>
      </c>
      <c r="F1110" t="str">
        <f>"201804110241"</f>
        <v>201804110241</v>
      </c>
      <c r="G1110" t="str">
        <f>"HT SURVEY FOR MARCH"</f>
        <v>HT SURVEY FOR MARCH</v>
      </c>
      <c r="H1110">
        <v>4900</v>
      </c>
      <c r="I1110" t="str">
        <f>"HT SURVEY FOR MARCH"</f>
        <v>HT SURVEY FOR MARCH</v>
      </c>
    </row>
    <row r="1111" spans="1:10" x14ac:dyDescent="0.25">
      <c r="A1111" t="str">
        <f>"MU&amp;E"</f>
        <v>MU&amp;E</v>
      </c>
      <c r="B1111" t="s">
        <v>302</v>
      </c>
      <c r="C1111">
        <v>999999</v>
      </c>
      <c r="D1111" s="2">
        <v>3038.87</v>
      </c>
      <c r="E1111" s="1">
        <v>43200</v>
      </c>
      <c r="F1111" t="str">
        <f>"104291"</f>
        <v>104291</v>
      </c>
      <c r="G1111" t="str">
        <f>"INV 104291"</f>
        <v>INV 104291</v>
      </c>
      <c r="H1111">
        <v>99.98</v>
      </c>
      <c r="I1111" t="str">
        <f>"INV 104291"</f>
        <v>INV 104291</v>
      </c>
    </row>
    <row r="1112" spans="1:10" x14ac:dyDescent="0.25">
      <c r="A1112" t="str">
        <f>""</f>
        <v/>
      </c>
      <c r="F1112" t="str">
        <f>"105463"</f>
        <v>105463</v>
      </c>
      <c r="G1112" t="str">
        <f>"INV 105463"</f>
        <v>INV 105463</v>
      </c>
      <c r="H1112">
        <v>979.63</v>
      </c>
      <c r="I1112" t="str">
        <f>"INV 105463"</f>
        <v>INV 105463</v>
      </c>
    </row>
    <row r="1113" spans="1:10" x14ac:dyDescent="0.25">
      <c r="A1113" t="str">
        <f>""</f>
        <v/>
      </c>
      <c r="F1113" t="str">
        <f>"105474"</f>
        <v>105474</v>
      </c>
      <c r="G1113" t="str">
        <f>"INV 105474"</f>
        <v>INV 105474</v>
      </c>
      <c r="H1113">
        <v>979.63</v>
      </c>
      <c r="I1113" t="str">
        <f>"INV 105474"</f>
        <v>INV 105474</v>
      </c>
    </row>
    <row r="1114" spans="1:10" x14ac:dyDescent="0.25">
      <c r="A1114" t="str">
        <f>""</f>
        <v/>
      </c>
      <c r="F1114" t="str">
        <f>"105565"</f>
        <v>105565</v>
      </c>
      <c r="G1114" t="str">
        <f>"INV 105565"</f>
        <v>INV 105565</v>
      </c>
      <c r="H1114">
        <v>979.63</v>
      </c>
      <c r="I1114" t="str">
        <f>"INV 105565"</f>
        <v>INV 105565</v>
      </c>
    </row>
    <row r="1115" spans="1:10" x14ac:dyDescent="0.25">
      <c r="A1115" t="str">
        <f>"MU&amp;E"</f>
        <v>MU&amp;E</v>
      </c>
      <c r="B1115" t="s">
        <v>302</v>
      </c>
      <c r="C1115">
        <v>999999</v>
      </c>
      <c r="D1115" s="2">
        <v>298.5</v>
      </c>
      <c r="E1115" s="1">
        <v>43214</v>
      </c>
      <c r="F1115" t="str">
        <f>"105790"</f>
        <v>105790</v>
      </c>
      <c r="G1115" t="str">
        <f>"INV 105790"</f>
        <v>INV 105790</v>
      </c>
      <c r="H1115">
        <v>96.5</v>
      </c>
      <c r="I1115" t="str">
        <f>"INV 105790"</f>
        <v>INV 105790</v>
      </c>
    </row>
    <row r="1116" spans="1:10" x14ac:dyDescent="0.25">
      <c r="A1116" t="str">
        <f>""</f>
        <v/>
      </c>
      <c r="F1116" t="str">
        <f>"105791"</f>
        <v>105791</v>
      </c>
      <c r="G1116" t="str">
        <f>"INV 105791"</f>
        <v>INV 105791</v>
      </c>
      <c r="H1116">
        <v>166</v>
      </c>
      <c r="I1116" t="str">
        <f>"INV 105791"</f>
        <v>INV 105791</v>
      </c>
    </row>
    <row r="1117" spans="1:10" x14ac:dyDescent="0.25">
      <c r="A1117" t="str">
        <f>""</f>
        <v/>
      </c>
      <c r="F1117" t="str">
        <f>"105792"</f>
        <v>105792</v>
      </c>
      <c r="G1117" t="str">
        <f>"INV 105792"</f>
        <v>INV 105792</v>
      </c>
      <c r="H1117">
        <v>12</v>
      </c>
      <c r="I1117" t="str">
        <f>"INV 105792"</f>
        <v>INV 105792</v>
      </c>
    </row>
    <row r="1118" spans="1:10" x14ac:dyDescent="0.25">
      <c r="A1118" t="str">
        <f>""</f>
        <v/>
      </c>
      <c r="F1118" t="str">
        <f>"105793"</f>
        <v>105793</v>
      </c>
      <c r="G1118" t="str">
        <f>"INV 105793"</f>
        <v>INV 105793</v>
      </c>
      <c r="H1118">
        <v>24</v>
      </c>
      <c r="I1118" t="str">
        <f>"INV 105793"</f>
        <v>INV 105793</v>
      </c>
    </row>
    <row r="1119" spans="1:10" x14ac:dyDescent="0.25">
      <c r="A1119" t="str">
        <f>"005496"</f>
        <v>005496</v>
      </c>
      <c r="B1119" t="s">
        <v>303</v>
      </c>
      <c r="C1119">
        <v>76332</v>
      </c>
      <c r="D1119" s="2">
        <v>85</v>
      </c>
      <c r="E1119" s="1">
        <v>43213</v>
      </c>
      <c r="F1119" t="s">
        <v>63</v>
      </c>
      <c r="G1119" t="s">
        <v>64</v>
      </c>
      <c r="H1119" t="str">
        <f>"SERVICE  02/13/18"</f>
        <v>SERVICE  02/13/18</v>
      </c>
      <c r="I1119" t="str">
        <f>"995-4110"</f>
        <v>995-4110</v>
      </c>
      <c r="J1119">
        <v>85</v>
      </c>
    </row>
    <row r="1120" spans="1:10" x14ac:dyDescent="0.25">
      <c r="A1120" t="str">
        <f t="shared" ref="A1120:A1141" si="17">"1"</f>
        <v>1</v>
      </c>
      <c r="B1120" t="s">
        <v>304</v>
      </c>
      <c r="C1120">
        <v>76425</v>
      </c>
      <c r="D1120" s="2">
        <v>6</v>
      </c>
      <c r="E1120" s="1">
        <v>43214</v>
      </c>
      <c r="F1120" t="str">
        <f>"201804240414"</f>
        <v>201804240414</v>
      </c>
      <c r="G1120" t="str">
        <f t="shared" ref="G1120:G1125" si="18">"Miscellaneous"</f>
        <v>Miscellaneous</v>
      </c>
      <c r="H1120">
        <v>6</v>
      </c>
      <c r="I1120" t="str">
        <f>"ARLEEN BENDER"</f>
        <v>ARLEEN BENDER</v>
      </c>
    </row>
    <row r="1121" spans="1:9" x14ac:dyDescent="0.25">
      <c r="A1121" t="str">
        <f t="shared" si="17"/>
        <v>1</v>
      </c>
      <c r="B1121" t="s">
        <v>305</v>
      </c>
      <c r="C1121">
        <v>76426</v>
      </c>
      <c r="D1121" s="2">
        <v>6</v>
      </c>
      <c r="E1121" s="1">
        <v>43214</v>
      </c>
      <c r="F1121" t="str">
        <f>"201804240415"</f>
        <v>201804240415</v>
      </c>
      <c r="G1121" t="str">
        <f t="shared" si="18"/>
        <v>Miscellaneous</v>
      </c>
      <c r="H1121">
        <v>6</v>
      </c>
      <c r="I1121" t="str">
        <f>"BONNIE PROKOP"</f>
        <v>BONNIE PROKOP</v>
      </c>
    </row>
    <row r="1122" spans="1:9" x14ac:dyDescent="0.25">
      <c r="A1122" t="str">
        <f t="shared" si="17"/>
        <v>1</v>
      </c>
      <c r="B1122" t="s">
        <v>306</v>
      </c>
      <c r="C1122">
        <v>76427</v>
      </c>
      <c r="D1122" s="2">
        <v>6</v>
      </c>
      <c r="E1122" s="1">
        <v>43214</v>
      </c>
      <c r="F1122" t="str">
        <f>"201804240416"</f>
        <v>201804240416</v>
      </c>
      <c r="G1122" t="str">
        <f t="shared" si="18"/>
        <v>Miscellaneous</v>
      </c>
      <c r="H1122">
        <v>6</v>
      </c>
      <c r="I1122" t="str">
        <f>"LARRY ESPINOZA"</f>
        <v>LARRY ESPINOZA</v>
      </c>
    </row>
    <row r="1123" spans="1:9" x14ac:dyDescent="0.25">
      <c r="A1123" t="str">
        <f t="shared" si="17"/>
        <v>1</v>
      </c>
      <c r="B1123" t="s">
        <v>307</v>
      </c>
      <c r="C1123">
        <v>76428</v>
      </c>
      <c r="D1123" s="2">
        <v>6</v>
      </c>
      <c r="E1123" s="1">
        <v>43214</v>
      </c>
      <c r="F1123" t="str">
        <f>"201804240417"</f>
        <v>201804240417</v>
      </c>
      <c r="G1123" t="str">
        <f t="shared" si="18"/>
        <v>Miscellaneous</v>
      </c>
      <c r="H1123">
        <v>6</v>
      </c>
      <c r="I1123" t="str">
        <f>"MARIA D. GARZA"</f>
        <v>MARIA D. GARZA</v>
      </c>
    </row>
    <row r="1124" spans="1:9" x14ac:dyDescent="0.25">
      <c r="A1124" t="str">
        <f t="shared" si="17"/>
        <v>1</v>
      </c>
      <c r="B1124" t="s">
        <v>308</v>
      </c>
      <c r="C1124">
        <v>76429</v>
      </c>
      <c r="D1124" s="2">
        <v>6</v>
      </c>
      <c r="E1124" s="1">
        <v>43214</v>
      </c>
      <c r="F1124" t="str">
        <f>"201804240418"</f>
        <v>201804240418</v>
      </c>
      <c r="G1124" t="str">
        <f t="shared" si="18"/>
        <v>Miscellaneous</v>
      </c>
      <c r="H1124">
        <v>6</v>
      </c>
      <c r="I1124" t="str">
        <f>"DAN ELLIS"</f>
        <v>DAN ELLIS</v>
      </c>
    </row>
    <row r="1125" spans="1:9" x14ac:dyDescent="0.25">
      <c r="A1125" t="str">
        <f t="shared" si="17"/>
        <v>1</v>
      </c>
      <c r="B1125" t="s">
        <v>309</v>
      </c>
      <c r="C1125">
        <v>76430</v>
      </c>
      <c r="D1125" s="2">
        <v>6</v>
      </c>
      <c r="E1125" s="1">
        <v>43214</v>
      </c>
      <c r="F1125" t="str">
        <f>"201804240419"</f>
        <v>201804240419</v>
      </c>
      <c r="G1125" t="str">
        <f t="shared" si="18"/>
        <v>Miscellaneous</v>
      </c>
      <c r="H1125">
        <v>6</v>
      </c>
      <c r="I1125" t="str">
        <f>"JOHNNIE THOMAS"</f>
        <v>JOHNNIE THOMAS</v>
      </c>
    </row>
    <row r="1126" spans="1:9" x14ac:dyDescent="0.25">
      <c r="A1126" t="str">
        <f t="shared" si="17"/>
        <v>1</v>
      </c>
      <c r="B1126" t="s">
        <v>310</v>
      </c>
      <c r="C1126">
        <v>76431</v>
      </c>
      <c r="D1126" s="2">
        <v>6</v>
      </c>
      <c r="E1126" s="1">
        <v>43214</v>
      </c>
      <c r="F1126" t="str">
        <f>"201804240420"</f>
        <v>201804240420</v>
      </c>
      <c r="G1126" t="str">
        <f>"Miscellane"</f>
        <v>Miscellane</v>
      </c>
      <c r="H1126">
        <v>6</v>
      </c>
      <c r="I1126" t="str">
        <f>"JIMI LYNN BRANDON"</f>
        <v>JIMI LYNN BRANDON</v>
      </c>
    </row>
    <row r="1127" spans="1:9" x14ac:dyDescent="0.25">
      <c r="A1127" t="str">
        <f t="shared" si="17"/>
        <v>1</v>
      </c>
      <c r="B1127" t="s">
        <v>311</v>
      </c>
      <c r="C1127">
        <v>76432</v>
      </c>
      <c r="D1127" s="2">
        <v>6</v>
      </c>
      <c r="E1127" s="1">
        <v>43214</v>
      </c>
      <c r="F1127" t="str">
        <f>"201804240421"</f>
        <v>201804240421</v>
      </c>
      <c r="G1127" t="str">
        <f>"Miscellaneous"</f>
        <v>Miscellaneous</v>
      </c>
      <c r="H1127">
        <v>6</v>
      </c>
      <c r="I1127" t="str">
        <f>"DAVID SLOAN"</f>
        <v>DAVID SLOAN</v>
      </c>
    </row>
    <row r="1128" spans="1:9" x14ac:dyDescent="0.25">
      <c r="A1128" t="str">
        <f t="shared" si="17"/>
        <v>1</v>
      </c>
      <c r="B1128" t="s">
        <v>312</v>
      </c>
      <c r="C1128">
        <v>76433</v>
      </c>
      <c r="D1128" s="2">
        <v>6</v>
      </c>
      <c r="E1128" s="1">
        <v>43214</v>
      </c>
      <c r="F1128" t="str">
        <f>"201804240422"</f>
        <v>201804240422</v>
      </c>
      <c r="G1128" t="str">
        <f>"Miscellaneous"</f>
        <v>Miscellaneous</v>
      </c>
      <c r="H1128">
        <v>6</v>
      </c>
      <c r="I1128" t="str">
        <f>"LEAH SAUNDERS"</f>
        <v>LEAH SAUNDERS</v>
      </c>
    </row>
    <row r="1129" spans="1:9" x14ac:dyDescent="0.25">
      <c r="A1129" t="str">
        <f t="shared" si="17"/>
        <v>1</v>
      </c>
      <c r="B1129" t="s">
        <v>313</v>
      </c>
      <c r="C1129">
        <v>76434</v>
      </c>
      <c r="D1129" s="2">
        <v>6</v>
      </c>
      <c r="E1129" s="1">
        <v>43214</v>
      </c>
      <c r="F1129" t="str">
        <f>"201804240423"</f>
        <v>201804240423</v>
      </c>
      <c r="G1129" t="str">
        <f>"Miscellaneous"</f>
        <v>Miscellaneous</v>
      </c>
      <c r="H1129">
        <v>6</v>
      </c>
      <c r="I1129" t="str">
        <f>"LACEY NYHART"</f>
        <v>LACEY NYHART</v>
      </c>
    </row>
    <row r="1130" spans="1:9" x14ac:dyDescent="0.25">
      <c r="A1130" t="str">
        <f t="shared" si="17"/>
        <v>1</v>
      </c>
      <c r="B1130" t="s">
        <v>314</v>
      </c>
      <c r="C1130">
        <v>76435</v>
      </c>
      <c r="D1130" s="2">
        <v>40</v>
      </c>
      <c r="E1130" s="1">
        <v>43215</v>
      </c>
      <c r="F1130" t="str">
        <f>"201804250425"</f>
        <v>201804250425</v>
      </c>
      <c r="G1130" t="str">
        <f>"Miscellan"</f>
        <v>Miscellan</v>
      </c>
      <c r="H1130">
        <v>40</v>
      </c>
      <c r="I1130" t="str">
        <f>"JANA HOFFMAN MOORE"</f>
        <v>JANA HOFFMAN MOORE</v>
      </c>
    </row>
    <row r="1131" spans="1:9" x14ac:dyDescent="0.25">
      <c r="A1131" t="str">
        <f t="shared" si="17"/>
        <v>1</v>
      </c>
      <c r="B1131" t="s">
        <v>315</v>
      </c>
      <c r="C1131">
        <v>76436</v>
      </c>
      <c r="D1131" s="2">
        <v>40</v>
      </c>
      <c r="E1131" s="1">
        <v>43215</v>
      </c>
      <c r="F1131" t="str">
        <f>"201804250426"</f>
        <v>201804250426</v>
      </c>
      <c r="G1131" t="str">
        <f>"Miscellaneous"</f>
        <v>Miscellaneous</v>
      </c>
      <c r="H1131">
        <v>40</v>
      </c>
      <c r="I1131" t="str">
        <f>"SCOTT A SHIKE"</f>
        <v>SCOTT A SHIKE</v>
      </c>
    </row>
    <row r="1132" spans="1:9" x14ac:dyDescent="0.25">
      <c r="A1132" t="str">
        <f t="shared" si="17"/>
        <v>1</v>
      </c>
      <c r="B1132" t="s">
        <v>316</v>
      </c>
      <c r="C1132">
        <v>76437</v>
      </c>
      <c r="D1132" s="2">
        <v>40</v>
      </c>
      <c r="E1132" s="1">
        <v>43215</v>
      </c>
      <c r="F1132" t="str">
        <f>"201804250427"</f>
        <v>201804250427</v>
      </c>
      <c r="G1132" t="str">
        <f>"Miscellan"</f>
        <v>Miscellan</v>
      </c>
      <c r="H1132">
        <v>40</v>
      </c>
      <c r="I1132" t="str">
        <f>"BRUCE ROBERT ALLYN"</f>
        <v>BRUCE ROBERT ALLYN</v>
      </c>
    </row>
    <row r="1133" spans="1:9" x14ac:dyDescent="0.25">
      <c r="A1133" t="str">
        <f t="shared" si="17"/>
        <v>1</v>
      </c>
      <c r="B1133" t="s">
        <v>317</v>
      </c>
      <c r="C1133">
        <v>76438</v>
      </c>
      <c r="D1133" s="2">
        <v>40</v>
      </c>
      <c r="E1133" s="1">
        <v>43215</v>
      </c>
      <c r="F1133" t="str">
        <f>"201804250428"</f>
        <v>201804250428</v>
      </c>
      <c r="G1133" t="str">
        <f>"Miscella"</f>
        <v>Miscella</v>
      </c>
      <c r="H1133">
        <v>40</v>
      </c>
      <c r="I1133" t="str">
        <f>"DAVID KYLE BRUMMITT"</f>
        <v>DAVID KYLE BRUMMITT</v>
      </c>
    </row>
    <row r="1134" spans="1:9" x14ac:dyDescent="0.25">
      <c r="A1134" t="str">
        <f t="shared" si="17"/>
        <v>1</v>
      </c>
      <c r="B1134" t="s">
        <v>318</v>
      </c>
      <c r="C1134">
        <v>76439</v>
      </c>
      <c r="D1134" s="2">
        <v>40</v>
      </c>
      <c r="E1134" s="1">
        <v>43215</v>
      </c>
      <c r="F1134" t="str">
        <f>"201804250429"</f>
        <v>201804250429</v>
      </c>
      <c r="G1134" t="str">
        <f>"Miscellan"</f>
        <v>Miscellan</v>
      </c>
      <c r="H1134">
        <v>40</v>
      </c>
      <c r="I1134" t="str">
        <f>"LAUREN N SCHECKTER"</f>
        <v>LAUREN N SCHECKTER</v>
      </c>
    </row>
    <row r="1135" spans="1:9" x14ac:dyDescent="0.25">
      <c r="A1135" t="str">
        <f t="shared" si="17"/>
        <v>1</v>
      </c>
      <c r="B1135" t="s">
        <v>319</v>
      </c>
      <c r="C1135">
        <v>76440</v>
      </c>
      <c r="D1135" s="2">
        <v>40</v>
      </c>
      <c r="E1135" s="1">
        <v>43215</v>
      </c>
      <c r="F1135" t="str">
        <f>"201804250430"</f>
        <v>201804250430</v>
      </c>
      <c r="G1135" t="str">
        <f>"Miscell"</f>
        <v>Miscell</v>
      </c>
      <c r="H1135">
        <v>40</v>
      </c>
      <c r="I1135" t="str">
        <f>"JOSE ADRION FIGUEROA"</f>
        <v>JOSE ADRION FIGUEROA</v>
      </c>
    </row>
    <row r="1136" spans="1:9" x14ac:dyDescent="0.25">
      <c r="A1136" t="str">
        <f t="shared" si="17"/>
        <v>1</v>
      </c>
      <c r="B1136" t="s">
        <v>320</v>
      </c>
      <c r="C1136">
        <v>76441</v>
      </c>
      <c r="D1136" s="2">
        <v>40</v>
      </c>
      <c r="E1136" s="1">
        <v>43215</v>
      </c>
      <c r="F1136" t="str">
        <f>"201804250431"</f>
        <v>201804250431</v>
      </c>
      <c r="G1136" t="str">
        <f>"M"</f>
        <v>M</v>
      </c>
      <c r="H1136">
        <v>40</v>
      </c>
      <c r="I1136" t="str">
        <f>"SARAH ELIZABETH-ANN EDSALL"</f>
        <v>SARAH ELIZABETH-ANN EDSALL</v>
      </c>
    </row>
    <row r="1137" spans="1:9" x14ac:dyDescent="0.25">
      <c r="A1137" t="str">
        <f t="shared" si="17"/>
        <v>1</v>
      </c>
      <c r="B1137" t="s">
        <v>321</v>
      </c>
      <c r="C1137">
        <v>76442</v>
      </c>
      <c r="D1137" s="2">
        <v>40</v>
      </c>
      <c r="E1137" s="1">
        <v>43215</v>
      </c>
      <c r="F1137" t="str">
        <f>"201804250432"</f>
        <v>201804250432</v>
      </c>
      <c r="G1137" t="str">
        <f>"Misce"</f>
        <v>Misce</v>
      </c>
      <c r="H1137">
        <v>40</v>
      </c>
      <c r="I1137" t="str">
        <f>"SYLVIA GONZALEZ WATSON"</f>
        <v>SYLVIA GONZALEZ WATSON</v>
      </c>
    </row>
    <row r="1138" spans="1:9" x14ac:dyDescent="0.25">
      <c r="A1138" t="str">
        <f t="shared" si="17"/>
        <v>1</v>
      </c>
      <c r="B1138" t="s">
        <v>322</v>
      </c>
      <c r="C1138">
        <v>76443</v>
      </c>
      <c r="D1138" s="2">
        <v>40</v>
      </c>
      <c r="E1138" s="1">
        <v>43215</v>
      </c>
      <c r="F1138" t="str">
        <f>"201804250433"</f>
        <v>201804250433</v>
      </c>
      <c r="G1138" t="str">
        <f>"Miscellane"</f>
        <v>Miscellane</v>
      </c>
      <c r="H1138">
        <v>40</v>
      </c>
      <c r="I1138" t="str">
        <f>"LARRY GENE HANSEN"</f>
        <v>LARRY GENE HANSEN</v>
      </c>
    </row>
    <row r="1139" spans="1:9" x14ac:dyDescent="0.25">
      <c r="A1139" t="str">
        <f t="shared" si="17"/>
        <v>1</v>
      </c>
      <c r="B1139" t="s">
        <v>323</v>
      </c>
      <c r="C1139">
        <v>76444</v>
      </c>
      <c r="D1139" s="2">
        <v>40</v>
      </c>
      <c r="E1139" s="1">
        <v>43215</v>
      </c>
      <c r="F1139" t="str">
        <f>"201804250434"</f>
        <v>201804250434</v>
      </c>
      <c r="G1139" t="str">
        <f>"Miscellan"</f>
        <v>Miscellan</v>
      </c>
      <c r="H1139">
        <v>40</v>
      </c>
      <c r="I1139" t="str">
        <f>"BETHANY RENEE COOK"</f>
        <v>BETHANY RENEE COOK</v>
      </c>
    </row>
    <row r="1140" spans="1:9" x14ac:dyDescent="0.25">
      <c r="A1140" t="str">
        <f t="shared" si="17"/>
        <v>1</v>
      </c>
      <c r="B1140" t="s">
        <v>324</v>
      </c>
      <c r="C1140">
        <v>76445</v>
      </c>
      <c r="D1140" s="2">
        <v>40</v>
      </c>
      <c r="E1140" s="1">
        <v>43215</v>
      </c>
      <c r="F1140" t="str">
        <f>"201804250435"</f>
        <v>201804250435</v>
      </c>
      <c r="G1140" t="str">
        <f>"Misc"</f>
        <v>Misc</v>
      </c>
      <c r="H1140">
        <v>40</v>
      </c>
      <c r="I1140" t="str">
        <f>"NICOLASA AGUILAR BISHOP"</f>
        <v>NICOLASA AGUILAR BISHOP</v>
      </c>
    </row>
    <row r="1141" spans="1:9" x14ac:dyDescent="0.25">
      <c r="A1141" t="str">
        <f t="shared" si="17"/>
        <v>1</v>
      </c>
      <c r="B1141" t="s">
        <v>325</v>
      </c>
      <c r="C1141">
        <v>76446</v>
      </c>
      <c r="D1141" s="2">
        <v>40</v>
      </c>
      <c r="E1141" s="1">
        <v>43215</v>
      </c>
      <c r="F1141" t="str">
        <f>"201804250436"</f>
        <v>201804250436</v>
      </c>
      <c r="G1141" t="str">
        <f>"Miscellan"</f>
        <v>Miscellan</v>
      </c>
      <c r="H1141">
        <v>40</v>
      </c>
      <c r="I1141" t="str">
        <f>"KATHRYN EVA ROGERS"</f>
        <v>KATHRYN EVA ROGERS</v>
      </c>
    </row>
    <row r="1142" spans="1:9" x14ac:dyDescent="0.25">
      <c r="A1142" t="str">
        <f>"005482"</f>
        <v>005482</v>
      </c>
      <c r="B1142" t="s">
        <v>326</v>
      </c>
      <c r="C1142">
        <v>76114</v>
      </c>
      <c r="D1142" s="2">
        <v>9.0500000000000007</v>
      </c>
      <c r="E1142" s="1">
        <v>43199</v>
      </c>
      <c r="F1142" t="str">
        <f>"201803289795"</f>
        <v>201803289795</v>
      </c>
      <c r="G1142" t="str">
        <f>"MILEAGE REIMBURSMENT"</f>
        <v>MILEAGE REIMBURSMENT</v>
      </c>
      <c r="H1142">
        <v>9.0500000000000007</v>
      </c>
      <c r="I1142" t="str">
        <f>"MILEAGE REIMBURSMENT"</f>
        <v>MILEAGE REIMBURSMENT</v>
      </c>
    </row>
    <row r="1143" spans="1:9" x14ac:dyDescent="0.25">
      <c r="A1143" t="str">
        <f>"005326"</f>
        <v>005326</v>
      </c>
      <c r="B1143" t="s">
        <v>327</v>
      </c>
      <c r="C1143">
        <v>76333</v>
      </c>
      <c r="D1143" s="2">
        <v>145</v>
      </c>
      <c r="E1143" s="1">
        <v>43213</v>
      </c>
      <c r="F1143" t="str">
        <f>"14308"</f>
        <v>14308</v>
      </c>
      <c r="G1143" t="str">
        <f>"APRIL DUMPSTER RENTAL/GEN SVCS"</f>
        <v>APRIL DUMPSTER RENTAL/GEN SVCS</v>
      </c>
      <c r="H1143">
        <v>145</v>
      </c>
      <c r="I1143" t="str">
        <f>"APRIL DUMPSTER RENTAL/GEN SVCS"</f>
        <v>APRIL DUMPSTER RENTAL/GEN SVCS</v>
      </c>
    </row>
    <row r="1144" spans="1:9" x14ac:dyDescent="0.25">
      <c r="A1144" t="str">
        <f>"MOORE"</f>
        <v>MOORE</v>
      </c>
      <c r="B1144" t="s">
        <v>328</v>
      </c>
      <c r="C1144">
        <v>76115</v>
      </c>
      <c r="D1144" s="2">
        <v>1325.43</v>
      </c>
      <c r="E1144" s="1">
        <v>43199</v>
      </c>
      <c r="F1144" t="str">
        <f>"99823995/99834580"</f>
        <v>99823995/99834580</v>
      </c>
      <c r="G1144" t="str">
        <f>"INV 99823995"</f>
        <v>INV 99823995</v>
      </c>
      <c r="H1144">
        <v>1081.3599999999999</v>
      </c>
      <c r="I1144" t="str">
        <f>"INV 99823995"</f>
        <v>INV 99823995</v>
      </c>
    </row>
    <row r="1145" spans="1:9" x14ac:dyDescent="0.25">
      <c r="A1145" t="str">
        <f>""</f>
        <v/>
      </c>
      <c r="F1145" t="str">
        <f>""</f>
        <v/>
      </c>
      <c r="G1145" t="str">
        <f>""</f>
        <v/>
      </c>
      <c r="I1145" t="str">
        <f>"INV 99834580"</f>
        <v>INV 99834580</v>
      </c>
    </row>
    <row r="1146" spans="1:9" x14ac:dyDescent="0.25">
      <c r="A1146" t="str">
        <f>""</f>
        <v/>
      </c>
      <c r="F1146" t="str">
        <f>"99836705/99839781"</f>
        <v>99836705/99839781</v>
      </c>
      <c r="G1146" t="str">
        <f>"INV 99836705"</f>
        <v>INV 99836705</v>
      </c>
      <c r="H1146">
        <v>244.07</v>
      </c>
      <c r="I1146" t="str">
        <f>"INV 99836705"</f>
        <v>INV 99836705</v>
      </c>
    </row>
    <row r="1147" spans="1:9" x14ac:dyDescent="0.25">
      <c r="A1147" t="str">
        <f>""</f>
        <v/>
      </c>
      <c r="F1147" t="str">
        <f>""</f>
        <v/>
      </c>
      <c r="G1147" t="str">
        <f>""</f>
        <v/>
      </c>
      <c r="I1147" t="str">
        <f>"INV 99839781"</f>
        <v>INV 99839781</v>
      </c>
    </row>
    <row r="1148" spans="1:9" x14ac:dyDescent="0.25">
      <c r="A1148" t="str">
        <f>"189"</f>
        <v>189</v>
      </c>
      <c r="B1148" t="s">
        <v>329</v>
      </c>
      <c r="C1148">
        <v>76116</v>
      </c>
      <c r="D1148" s="2">
        <v>38.4</v>
      </c>
      <c r="E1148" s="1">
        <v>43199</v>
      </c>
      <c r="F1148" t="str">
        <f>"13208206"</f>
        <v>13208206</v>
      </c>
      <c r="G1148" t="str">
        <f>"HKN6188B"</f>
        <v>HKN6188B</v>
      </c>
      <c r="H1148">
        <v>38.4</v>
      </c>
      <c r="I1148" t="str">
        <f>"HKN6188B"</f>
        <v>HKN6188B</v>
      </c>
    </row>
    <row r="1149" spans="1:9" x14ac:dyDescent="0.25">
      <c r="A1149" t="str">
        <f>"189"</f>
        <v>189</v>
      </c>
      <c r="B1149" t="s">
        <v>329</v>
      </c>
      <c r="C1149">
        <v>76334</v>
      </c>
      <c r="D1149" s="2">
        <v>36064.58</v>
      </c>
      <c r="E1149" s="1">
        <v>43213</v>
      </c>
      <c r="F1149" t="str">
        <f>"13207214"</f>
        <v>13207214</v>
      </c>
      <c r="G1149" t="str">
        <f>"MOTOROLA - CABLING"</f>
        <v>MOTOROLA - CABLING</v>
      </c>
      <c r="H1149">
        <v>65.599999999999994</v>
      </c>
      <c r="I1149" t="str">
        <f>"HKN6188B"</f>
        <v>HKN6188B</v>
      </c>
    </row>
    <row r="1150" spans="1:9" x14ac:dyDescent="0.25">
      <c r="A1150" t="str">
        <f>""</f>
        <v/>
      </c>
      <c r="F1150" t="str">
        <f>""</f>
        <v/>
      </c>
      <c r="G1150" t="str">
        <f>""</f>
        <v/>
      </c>
      <c r="I1150" t="str">
        <f>"HKN6169B"</f>
        <v>HKN6169B</v>
      </c>
    </row>
    <row r="1151" spans="1:9" x14ac:dyDescent="0.25">
      <c r="A1151" t="str">
        <f>""</f>
        <v/>
      </c>
      <c r="F1151" t="str">
        <f>"13208861"</f>
        <v>13208861</v>
      </c>
      <c r="G1151" t="str">
        <f>"INV 13208861"</f>
        <v>INV 13208861</v>
      </c>
      <c r="H1151">
        <v>8963.7800000000007</v>
      </c>
      <c r="I1151" t="str">
        <f>"INV 13208861"</f>
        <v>INV 13208861</v>
      </c>
    </row>
    <row r="1152" spans="1:9" x14ac:dyDescent="0.25">
      <c r="A1152" t="str">
        <f>""</f>
        <v/>
      </c>
      <c r="F1152" t="str">
        <f>"13211396"</f>
        <v>13211396</v>
      </c>
      <c r="G1152" t="str">
        <f>"Vehicle Radios"</f>
        <v>Vehicle Radios</v>
      </c>
      <c r="H1152">
        <v>6404.1</v>
      </c>
      <c r="I1152" t="str">
        <f>"QA01648"</f>
        <v>QA01648</v>
      </c>
    </row>
    <row r="1153" spans="1:9" x14ac:dyDescent="0.25">
      <c r="A1153" t="str">
        <f>""</f>
        <v/>
      </c>
      <c r="F1153" t="str">
        <f>""</f>
        <v/>
      </c>
      <c r="G1153" t="str">
        <f>""</f>
        <v/>
      </c>
      <c r="I1153" t="str">
        <f>"GA00804"</f>
        <v>GA00804</v>
      </c>
    </row>
    <row r="1154" spans="1:9" x14ac:dyDescent="0.25">
      <c r="A1154" t="str">
        <f>""</f>
        <v/>
      </c>
      <c r="F1154" t="str">
        <f>""</f>
        <v/>
      </c>
      <c r="G1154" t="str">
        <f>""</f>
        <v/>
      </c>
      <c r="I1154" t="str">
        <f>"G66"</f>
        <v>G66</v>
      </c>
    </row>
    <row r="1155" spans="1:9" x14ac:dyDescent="0.25">
      <c r="A1155" t="str">
        <f>""</f>
        <v/>
      </c>
      <c r="F1155" t="str">
        <f>""</f>
        <v/>
      </c>
      <c r="G1155" t="str">
        <f>""</f>
        <v/>
      </c>
      <c r="I1155" t="str">
        <f>"G174"</f>
        <v>G174</v>
      </c>
    </row>
    <row r="1156" spans="1:9" x14ac:dyDescent="0.25">
      <c r="A1156" t="str">
        <f>""</f>
        <v/>
      </c>
      <c r="F1156" t="str">
        <f>""</f>
        <v/>
      </c>
      <c r="G1156" t="str">
        <f>""</f>
        <v/>
      </c>
      <c r="I1156" t="str">
        <f>"W20"</f>
        <v>W20</v>
      </c>
    </row>
    <row r="1157" spans="1:9" x14ac:dyDescent="0.25">
      <c r="A1157" t="str">
        <f>""</f>
        <v/>
      </c>
      <c r="F1157" t="str">
        <f>""</f>
        <v/>
      </c>
      <c r="G1157" t="str">
        <f>""</f>
        <v/>
      </c>
      <c r="I1157" t="str">
        <f>"B18"</f>
        <v>B18</v>
      </c>
    </row>
    <row r="1158" spans="1:9" x14ac:dyDescent="0.25">
      <c r="A1158" t="str">
        <f>""</f>
        <v/>
      </c>
      <c r="F1158" t="str">
        <f>""</f>
        <v/>
      </c>
      <c r="G1158" t="str">
        <f>""</f>
        <v/>
      </c>
      <c r="I1158" t="str">
        <f>"GA00318"</f>
        <v>GA00318</v>
      </c>
    </row>
    <row r="1159" spans="1:9" x14ac:dyDescent="0.25">
      <c r="A1159" t="str">
        <f>""</f>
        <v/>
      </c>
      <c r="F1159" t="str">
        <f>""</f>
        <v/>
      </c>
      <c r="G1159" t="str">
        <f>""</f>
        <v/>
      </c>
      <c r="I1159" t="str">
        <f>"GA01767"</f>
        <v>GA01767</v>
      </c>
    </row>
    <row r="1160" spans="1:9" x14ac:dyDescent="0.25">
      <c r="A1160" t="str">
        <f>""</f>
        <v/>
      </c>
      <c r="F1160" t="str">
        <f>""</f>
        <v/>
      </c>
      <c r="G1160" t="str">
        <f>""</f>
        <v/>
      </c>
      <c r="I1160" t="str">
        <f>"W969"</f>
        <v>W969</v>
      </c>
    </row>
    <row r="1161" spans="1:9" x14ac:dyDescent="0.25">
      <c r="A1161" t="str">
        <f>""</f>
        <v/>
      </c>
      <c r="F1161" t="str">
        <f>""</f>
        <v/>
      </c>
      <c r="G1161" t="str">
        <f>""</f>
        <v/>
      </c>
      <c r="I1161" t="str">
        <f>"M22URS9PW1 N"</f>
        <v>M22URS9PW1 N</v>
      </c>
    </row>
    <row r="1162" spans="1:9" x14ac:dyDescent="0.25">
      <c r="A1162" t="str">
        <f>""</f>
        <v/>
      </c>
      <c r="F1162" t="str">
        <f>""</f>
        <v/>
      </c>
      <c r="G1162" t="str">
        <f>""</f>
        <v/>
      </c>
      <c r="I1162" t="str">
        <f>"QA02756"</f>
        <v>QA02756</v>
      </c>
    </row>
    <row r="1163" spans="1:9" x14ac:dyDescent="0.25">
      <c r="A1163" t="str">
        <f>""</f>
        <v/>
      </c>
      <c r="F1163" t="str">
        <f>""</f>
        <v/>
      </c>
      <c r="G1163" t="str">
        <f>""</f>
        <v/>
      </c>
      <c r="I1163" t="str">
        <f>"CREDIT"</f>
        <v>CREDIT</v>
      </c>
    </row>
    <row r="1164" spans="1:9" x14ac:dyDescent="0.25">
      <c r="A1164" t="str">
        <f>""</f>
        <v/>
      </c>
      <c r="F1164" t="str">
        <f>""</f>
        <v/>
      </c>
      <c r="G1164" t="str">
        <f>""</f>
        <v/>
      </c>
      <c r="I1164" t="str">
        <f>"PROMO"</f>
        <v>PROMO</v>
      </c>
    </row>
    <row r="1165" spans="1:9" x14ac:dyDescent="0.25">
      <c r="A1165" t="str">
        <f>""</f>
        <v/>
      </c>
      <c r="F1165" t="str">
        <f>""</f>
        <v/>
      </c>
      <c r="G1165" t="str">
        <f>""</f>
        <v/>
      </c>
      <c r="I1165" t="str">
        <f>"GA09008"</f>
        <v>GA09008</v>
      </c>
    </row>
    <row r="1166" spans="1:9" x14ac:dyDescent="0.25">
      <c r="A1166" t="str">
        <f>""</f>
        <v/>
      </c>
      <c r="F1166" t="str">
        <f>""</f>
        <v/>
      </c>
      <c r="G1166" t="str">
        <f>""</f>
        <v/>
      </c>
      <c r="I1166" t="str">
        <f>"G996"</f>
        <v>G996</v>
      </c>
    </row>
    <row r="1167" spans="1:9" x14ac:dyDescent="0.25">
      <c r="A1167" t="str">
        <f>""</f>
        <v/>
      </c>
      <c r="F1167" t="str">
        <f>""</f>
        <v/>
      </c>
      <c r="G1167" t="str">
        <f>""</f>
        <v/>
      </c>
      <c r="I1167" t="str">
        <f>"GA00580"</f>
        <v>GA00580</v>
      </c>
    </row>
    <row r="1168" spans="1:9" x14ac:dyDescent="0.25">
      <c r="A1168" t="str">
        <f>""</f>
        <v/>
      </c>
      <c r="F1168" t="str">
        <f>"13211684"</f>
        <v>13211684</v>
      </c>
      <c r="G1168" t="str">
        <f>"GPD Antenna"</f>
        <v>GPD Antenna</v>
      </c>
      <c r="H1168">
        <v>168.75</v>
      </c>
      <c r="I1168" t="str">
        <f>"NAF5085A"</f>
        <v>NAF5085A</v>
      </c>
    </row>
    <row r="1169" spans="1:9" x14ac:dyDescent="0.25">
      <c r="A1169" t="str">
        <f>""</f>
        <v/>
      </c>
      <c r="F1169" t="str">
        <f>"201804100207"</f>
        <v>201804100207</v>
      </c>
      <c r="G1169" t="str">
        <f>"RADIO SVC AGREEMENT-APRIL 2018"</f>
        <v>RADIO SVC AGREEMENT-APRIL 2018</v>
      </c>
      <c r="H1169">
        <v>20462.349999999999</v>
      </c>
      <c r="I1169" t="str">
        <f>"RADIO SVC AGREEMENT-APRIL 2018"</f>
        <v>RADIO SVC AGREEMENT-APRIL 2018</v>
      </c>
    </row>
    <row r="1170" spans="1:9" x14ac:dyDescent="0.25">
      <c r="A1170" t="str">
        <f>"004694"</f>
        <v>004694</v>
      </c>
      <c r="B1170" t="s">
        <v>330</v>
      </c>
      <c r="C1170">
        <v>76335</v>
      </c>
      <c r="D1170" s="2">
        <v>795</v>
      </c>
      <c r="E1170" s="1">
        <v>43213</v>
      </c>
      <c r="F1170" t="str">
        <f>"86462913"</f>
        <v>86462913</v>
      </c>
      <c r="G1170" t="str">
        <f>"ACCT#150344157/WATER TRMT SVCS"</f>
        <v>ACCT#150344157/WATER TRMT SVCS</v>
      </c>
      <c r="H1170">
        <v>795</v>
      </c>
      <c r="I1170" t="str">
        <f>"ACCT#150344157/WATER TRMT SVCS"</f>
        <v>ACCT#150344157/WATER TRMT SVCS</v>
      </c>
    </row>
    <row r="1171" spans="1:9" x14ac:dyDescent="0.25">
      <c r="A1171" t="str">
        <f>"000562"</f>
        <v>000562</v>
      </c>
      <c r="B1171" t="s">
        <v>331</v>
      </c>
      <c r="C1171">
        <v>999999</v>
      </c>
      <c r="D1171" s="2">
        <v>4418.88</v>
      </c>
      <c r="E1171" s="1">
        <v>43200</v>
      </c>
      <c r="F1171" t="str">
        <f>"IN0799857/IN080055"</f>
        <v>IN0799857/IN080055</v>
      </c>
      <c r="G1171" t="str">
        <f>"INV IN0799857"</f>
        <v>INV IN0799857</v>
      </c>
      <c r="H1171">
        <v>4418.88</v>
      </c>
      <c r="I1171" t="str">
        <f>"INV IN0799857"</f>
        <v>INV IN0799857</v>
      </c>
    </row>
    <row r="1172" spans="1:9" x14ac:dyDescent="0.25">
      <c r="A1172" t="str">
        <f>""</f>
        <v/>
      </c>
      <c r="F1172" t="str">
        <f>""</f>
        <v/>
      </c>
      <c r="G1172" t="str">
        <f>""</f>
        <v/>
      </c>
      <c r="I1172" t="str">
        <f>"INV IN0800550"</f>
        <v>INV IN0800550</v>
      </c>
    </row>
    <row r="1173" spans="1:9" x14ac:dyDescent="0.25">
      <c r="A1173" t="str">
        <f>"000562"</f>
        <v>000562</v>
      </c>
      <c r="B1173" t="s">
        <v>331</v>
      </c>
      <c r="C1173">
        <v>999999</v>
      </c>
      <c r="D1173" s="2">
        <v>2381.44</v>
      </c>
      <c r="E1173" s="1">
        <v>43214</v>
      </c>
      <c r="F1173" t="str">
        <f>"IN0801345/0796411"</f>
        <v>IN0801345/0796411</v>
      </c>
      <c r="G1173" t="str">
        <f>"INV IN0801345"</f>
        <v>INV IN0801345</v>
      </c>
      <c r="H1173">
        <v>2381.44</v>
      </c>
      <c r="I1173" t="str">
        <f>"INV IN0801345"</f>
        <v>INV IN0801345</v>
      </c>
    </row>
    <row r="1174" spans="1:9" x14ac:dyDescent="0.25">
      <c r="A1174" t="str">
        <f>""</f>
        <v/>
      </c>
      <c r="F1174" t="str">
        <f>""</f>
        <v/>
      </c>
      <c r="G1174" t="str">
        <f>""</f>
        <v/>
      </c>
      <c r="I1174" t="str">
        <f>"INV IN0796411"</f>
        <v>INV IN0796411</v>
      </c>
    </row>
    <row r="1175" spans="1:9" x14ac:dyDescent="0.25">
      <c r="A1175" t="str">
        <f>"T5845"</f>
        <v>T5845</v>
      </c>
      <c r="B1175" t="s">
        <v>332</v>
      </c>
      <c r="C1175">
        <v>76117</v>
      </c>
      <c r="D1175" s="2">
        <v>944</v>
      </c>
      <c r="E1175" s="1">
        <v>43199</v>
      </c>
      <c r="F1175" t="str">
        <f>"INV-434262-P1D4L4"</f>
        <v>INV-434262-P1D4L4</v>
      </c>
      <c r="G1175" t="str">
        <f>"Acess to Part 1 and 2"</f>
        <v>Acess to Part 1 and 2</v>
      </c>
      <c r="H1175">
        <v>944</v>
      </c>
      <c r="I1175" t="str">
        <f>"Access Part 1 2013 -"</f>
        <v>Access Part 1 2013 -</v>
      </c>
    </row>
    <row r="1176" spans="1:9" x14ac:dyDescent="0.25">
      <c r="A1176" t="str">
        <f>""</f>
        <v/>
      </c>
      <c r="F1176" t="str">
        <f>""</f>
        <v/>
      </c>
      <c r="G1176" t="str">
        <f>""</f>
        <v/>
      </c>
      <c r="I1176" t="str">
        <f>"Access Part 2 2013 -"</f>
        <v>Access Part 2 2013 -</v>
      </c>
    </row>
    <row r="1177" spans="1:9" x14ac:dyDescent="0.25">
      <c r="A1177" t="str">
        <f>"000668"</f>
        <v>000668</v>
      </c>
      <c r="B1177" t="s">
        <v>333</v>
      </c>
      <c r="C1177">
        <v>76118</v>
      </c>
      <c r="D1177" s="2">
        <v>900</v>
      </c>
      <c r="E1177" s="1">
        <v>43199</v>
      </c>
      <c r="F1177" t="str">
        <f>"HAY-MARCH"</f>
        <v>HAY-MARCH</v>
      </c>
      <c r="G1177" t="str">
        <f>"INV  FOR HAY - MARCH"</f>
        <v>INV  FOR HAY - MARCH</v>
      </c>
      <c r="H1177">
        <v>900</v>
      </c>
      <c r="I1177" t="str">
        <f>"INV  FOR HAY - MARCH"</f>
        <v>INV  FOR HAY - MARCH</v>
      </c>
    </row>
    <row r="1178" spans="1:9" x14ac:dyDescent="0.25">
      <c r="A1178" t="str">
        <f>"003797"</f>
        <v>003797</v>
      </c>
      <c r="B1178" t="s">
        <v>334</v>
      </c>
      <c r="C1178">
        <v>76119</v>
      </c>
      <c r="D1178" s="2">
        <v>3.68</v>
      </c>
      <c r="E1178" s="1">
        <v>43199</v>
      </c>
      <c r="F1178" t="str">
        <f>"799414408"</f>
        <v>799414408</v>
      </c>
      <c r="G1178" t="str">
        <f>"LICENSE PLATE#1088565"</f>
        <v>LICENSE PLATE#1088565</v>
      </c>
      <c r="H1178">
        <v>3.68</v>
      </c>
      <c r="I1178" t="str">
        <f>"LICENSE PLATE#1088565"</f>
        <v>LICENSE PLATE#1088565</v>
      </c>
    </row>
    <row r="1179" spans="1:9" x14ac:dyDescent="0.25">
      <c r="A1179" t="str">
        <f>"T10762"</f>
        <v>T10762</v>
      </c>
      <c r="B1179" t="s">
        <v>335</v>
      </c>
      <c r="C1179">
        <v>76120</v>
      </c>
      <c r="D1179" s="2">
        <v>106.75</v>
      </c>
      <c r="E1179" s="1">
        <v>43199</v>
      </c>
      <c r="F1179" t="str">
        <f>"201803279764"</f>
        <v>201803279764</v>
      </c>
      <c r="G1179" t="str">
        <f>"NOTARY PUBLIC AP-PATSY JOHNSON"</f>
        <v>NOTARY PUBLIC AP-PATSY JOHNSON</v>
      </c>
      <c r="H1179">
        <v>106.75</v>
      </c>
      <c r="I1179" t="str">
        <f>"NOTARY PUBLIC AP-PATSY JOHNSON"</f>
        <v>NOTARY PUBLIC AP-PATSY JOHNSON</v>
      </c>
    </row>
    <row r="1180" spans="1:9" x14ac:dyDescent="0.25">
      <c r="A1180" t="str">
        <f>"002541"</f>
        <v>002541</v>
      </c>
      <c r="B1180" t="s">
        <v>336</v>
      </c>
      <c r="C1180">
        <v>76336</v>
      </c>
      <c r="D1180" s="2">
        <v>300</v>
      </c>
      <c r="E1180" s="1">
        <v>43213</v>
      </c>
      <c r="F1180" t="str">
        <f>"12380"</f>
        <v>12380</v>
      </c>
      <c r="G1180" t="str">
        <f>"SERVICE  12/08/17"</f>
        <v>SERVICE  12/08/17</v>
      </c>
      <c r="H1180">
        <v>300</v>
      </c>
      <c r="I1180" t="str">
        <f>"SERVICE  12/08/17"</f>
        <v>SERVICE  12/08/17</v>
      </c>
    </row>
    <row r="1181" spans="1:9" x14ac:dyDescent="0.25">
      <c r="A1181" t="str">
        <f>"003874"</f>
        <v>003874</v>
      </c>
      <c r="B1181" t="s">
        <v>337</v>
      </c>
      <c r="C1181">
        <v>76337</v>
      </c>
      <c r="D1181" s="2">
        <v>450</v>
      </c>
      <c r="E1181" s="1">
        <v>43213</v>
      </c>
      <c r="F1181" t="str">
        <f>"12380"</f>
        <v>12380</v>
      </c>
      <c r="G1181" t="str">
        <f>"SERVICE  12/08/17"</f>
        <v>SERVICE  12/08/17</v>
      </c>
      <c r="H1181">
        <v>450</v>
      </c>
      <c r="I1181" t="str">
        <f>"SERVICE  12/08/17"</f>
        <v>SERVICE  12/08/17</v>
      </c>
    </row>
    <row r="1182" spans="1:9" x14ac:dyDescent="0.25">
      <c r="A1182" t="str">
        <f>"T6614"</f>
        <v>T6614</v>
      </c>
      <c r="B1182" t="s">
        <v>338</v>
      </c>
      <c r="C1182">
        <v>999999</v>
      </c>
      <c r="D1182" s="2">
        <v>180.91</v>
      </c>
      <c r="E1182" s="1">
        <v>43200</v>
      </c>
      <c r="F1182" t="str">
        <f>"201804049939"</f>
        <v>201804049939</v>
      </c>
      <c r="G1182" t="str">
        <f>"CUST #99088/ PCT #4/ 032818"</f>
        <v>CUST #99088/ PCT #4/ 032818</v>
      </c>
      <c r="H1182">
        <v>180.91</v>
      </c>
      <c r="I1182" t="str">
        <f>"CUST #99088/ PCT #4/ 032818"</f>
        <v>CUST #99088/ PCT #4/ 032818</v>
      </c>
    </row>
    <row r="1183" spans="1:9" x14ac:dyDescent="0.25">
      <c r="A1183" t="str">
        <f>"001015"</f>
        <v>001015</v>
      </c>
      <c r="B1183" t="s">
        <v>339</v>
      </c>
      <c r="C1183">
        <v>76121</v>
      </c>
      <c r="D1183" s="2">
        <v>924</v>
      </c>
      <c r="E1183" s="1">
        <v>43199</v>
      </c>
      <c r="F1183" t="str">
        <f>"1178475/1183384/67"</f>
        <v>1178475/1183384/67</v>
      </c>
      <c r="G1183" t="str">
        <f>"INV 1178475"</f>
        <v>INV 1178475</v>
      </c>
      <c r="H1183">
        <v>924</v>
      </c>
      <c r="I1183" t="str">
        <f>"INV 1178475"</f>
        <v>INV 1178475</v>
      </c>
    </row>
    <row r="1184" spans="1:9" x14ac:dyDescent="0.25">
      <c r="A1184" t="str">
        <f>""</f>
        <v/>
      </c>
      <c r="F1184" t="str">
        <f>""</f>
        <v/>
      </c>
      <c r="G1184" t="str">
        <f>""</f>
        <v/>
      </c>
      <c r="I1184" t="str">
        <f>"INV 1183384"</f>
        <v>INV 1183384</v>
      </c>
    </row>
    <row r="1185" spans="1:9" x14ac:dyDescent="0.25">
      <c r="A1185" t="str">
        <f>""</f>
        <v/>
      </c>
      <c r="F1185" t="str">
        <f>""</f>
        <v/>
      </c>
      <c r="G1185" t="str">
        <f>""</f>
        <v/>
      </c>
      <c r="I1185" t="str">
        <f>"INV 1186764"</f>
        <v>INV 1186764</v>
      </c>
    </row>
    <row r="1186" spans="1:9" x14ac:dyDescent="0.25">
      <c r="A1186" t="str">
        <f>""</f>
        <v/>
      </c>
      <c r="F1186" t="str">
        <f>""</f>
        <v/>
      </c>
      <c r="G1186" t="str">
        <f>""</f>
        <v/>
      </c>
      <c r="I1186" t="str">
        <f>"INV 1191827"</f>
        <v>INV 1191827</v>
      </c>
    </row>
    <row r="1187" spans="1:9" x14ac:dyDescent="0.25">
      <c r="A1187" t="str">
        <f>"001015"</f>
        <v>001015</v>
      </c>
      <c r="B1187" t="s">
        <v>339</v>
      </c>
      <c r="C1187">
        <v>76338</v>
      </c>
      <c r="D1187" s="2">
        <v>1021.68</v>
      </c>
      <c r="E1187" s="1">
        <v>43213</v>
      </c>
      <c r="F1187" t="str">
        <f>"1195202/1200200/12"</f>
        <v>1195202/1200200/12</v>
      </c>
      <c r="G1187" t="str">
        <f>"INV 1195202"</f>
        <v>INV 1195202</v>
      </c>
      <c r="H1187">
        <v>1021.68</v>
      </c>
      <c r="I1187" t="str">
        <f>"INV 1195202"</f>
        <v>INV 1195202</v>
      </c>
    </row>
    <row r="1188" spans="1:9" x14ac:dyDescent="0.25">
      <c r="A1188" t="str">
        <f>""</f>
        <v/>
      </c>
      <c r="F1188" t="str">
        <f>""</f>
        <v/>
      </c>
      <c r="G1188" t="str">
        <f>""</f>
        <v/>
      </c>
      <c r="I1188" t="str">
        <f>"INV 1200200"</f>
        <v>INV 1200200</v>
      </c>
    </row>
    <row r="1189" spans="1:9" x14ac:dyDescent="0.25">
      <c r="A1189" t="str">
        <f>""</f>
        <v/>
      </c>
      <c r="F1189" t="str">
        <f>""</f>
        <v/>
      </c>
      <c r="G1189" t="str">
        <f>""</f>
        <v/>
      </c>
      <c r="I1189" t="str">
        <f>"INV 1203551"</f>
        <v>INV 1203551</v>
      </c>
    </row>
    <row r="1190" spans="1:9" x14ac:dyDescent="0.25">
      <c r="A1190" t="str">
        <f>""</f>
        <v/>
      </c>
      <c r="F1190" t="str">
        <f>""</f>
        <v/>
      </c>
      <c r="G1190" t="str">
        <f>""</f>
        <v/>
      </c>
      <c r="I1190" t="str">
        <f>"INV 1208778"</f>
        <v>INV 1208778</v>
      </c>
    </row>
    <row r="1191" spans="1:9" x14ac:dyDescent="0.25">
      <c r="A1191" t="str">
        <f>"T5769"</f>
        <v>T5769</v>
      </c>
      <c r="B1191" t="s">
        <v>340</v>
      </c>
      <c r="C1191">
        <v>76339</v>
      </c>
      <c r="D1191" s="2">
        <v>2759.95</v>
      </c>
      <c r="E1191" s="1">
        <v>43213</v>
      </c>
      <c r="F1191" t="str">
        <f>"9361865"</f>
        <v>9361865</v>
      </c>
      <c r="G1191" t="str">
        <f>"Bill# 9361865"</f>
        <v>Bill# 9361865</v>
      </c>
      <c r="H1191">
        <v>2759.95</v>
      </c>
      <c r="I1191" t="str">
        <f>"Ord# 119997003001"</f>
        <v>Ord# 119997003001</v>
      </c>
    </row>
    <row r="1192" spans="1:9" x14ac:dyDescent="0.25">
      <c r="A1192" t="str">
        <f>""</f>
        <v/>
      </c>
      <c r="F1192" t="str">
        <f>""</f>
        <v/>
      </c>
      <c r="G1192" t="str">
        <f>""</f>
        <v/>
      </c>
      <c r="I1192" t="str">
        <f>"Ord# 119997573001"</f>
        <v>Ord# 119997573001</v>
      </c>
    </row>
    <row r="1193" spans="1:9" x14ac:dyDescent="0.25">
      <c r="A1193" t="str">
        <f>""</f>
        <v/>
      </c>
      <c r="F1193" t="str">
        <f>""</f>
        <v/>
      </c>
      <c r="G1193" t="str">
        <f>""</f>
        <v/>
      </c>
      <c r="I1193" t="str">
        <f>"Ord# 119997574001"</f>
        <v>Ord# 119997574001</v>
      </c>
    </row>
    <row r="1194" spans="1:9" x14ac:dyDescent="0.25">
      <c r="A1194" t="str">
        <f>""</f>
        <v/>
      </c>
      <c r="F1194" t="str">
        <f>""</f>
        <v/>
      </c>
      <c r="G1194" t="str">
        <f>""</f>
        <v/>
      </c>
      <c r="I1194" t="str">
        <f>"Ord# 120263339001"</f>
        <v>Ord# 120263339001</v>
      </c>
    </row>
    <row r="1195" spans="1:9" x14ac:dyDescent="0.25">
      <c r="A1195" t="str">
        <f>""</f>
        <v/>
      </c>
      <c r="F1195" t="str">
        <f>""</f>
        <v/>
      </c>
      <c r="G1195" t="str">
        <f>""</f>
        <v/>
      </c>
      <c r="I1195" t="str">
        <f>"Ord# 120263820001"</f>
        <v>Ord# 120263820001</v>
      </c>
    </row>
    <row r="1196" spans="1:9" x14ac:dyDescent="0.25">
      <c r="A1196" t="str">
        <f>""</f>
        <v/>
      </c>
      <c r="F1196" t="str">
        <f>""</f>
        <v/>
      </c>
      <c r="G1196" t="str">
        <f>""</f>
        <v/>
      </c>
      <c r="I1196" t="str">
        <f>"Ord# 120765008001"</f>
        <v>Ord# 120765008001</v>
      </c>
    </row>
    <row r="1197" spans="1:9" x14ac:dyDescent="0.25">
      <c r="A1197" t="str">
        <f>""</f>
        <v/>
      </c>
      <c r="F1197" t="str">
        <f>""</f>
        <v/>
      </c>
      <c r="G1197" t="str">
        <f>""</f>
        <v/>
      </c>
      <c r="I1197" t="str">
        <f>"Ord# 121176879001"</f>
        <v>Ord# 121176879001</v>
      </c>
    </row>
    <row r="1198" spans="1:9" x14ac:dyDescent="0.25">
      <c r="A1198" t="str">
        <f>""</f>
        <v/>
      </c>
      <c r="F1198" t="str">
        <f>""</f>
        <v/>
      </c>
      <c r="G1198" t="str">
        <f>""</f>
        <v/>
      </c>
      <c r="I1198" t="str">
        <f>"Ord# 12117688001"</f>
        <v>Ord# 12117688001</v>
      </c>
    </row>
    <row r="1199" spans="1:9" x14ac:dyDescent="0.25">
      <c r="A1199" t="str">
        <f>""</f>
        <v/>
      </c>
      <c r="F1199" t="str">
        <f>""</f>
        <v/>
      </c>
      <c r="G1199" t="str">
        <f>""</f>
        <v/>
      </c>
      <c r="I1199" t="str">
        <f>"Ord# 121176322001"</f>
        <v>Ord# 121176322001</v>
      </c>
    </row>
    <row r="1200" spans="1:9" x14ac:dyDescent="0.25">
      <c r="A1200" t="str">
        <f>""</f>
        <v/>
      </c>
      <c r="F1200" t="str">
        <f>""</f>
        <v/>
      </c>
      <c r="G1200" t="str">
        <f>""</f>
        <v/>
      </c>
      <c r="I1200" t="str">
        <f>"Ord# 120047824001"</f>
        <v>Ord# 120047824001</v>
      </c>
    </row>
    <row r="1201" spans="1:9" x14ac:dyDescent="0.25">
      <c r="A1201" t="str">
        <f>""</f>
        <v/>
      </c>
      <c r="F1201" t="str">
        <f>""</f>
        <v/>
      </c>
      <c r="G1201" t="str">
        <f>""</f>
        <v/>
      </c>
      <c r="I1201" t="str">
        <f>"Ord# 122586499001"</f>
        <v>Ord# 122586499001</v>
      </c>
    </row>
    <row r="1202" spans="1:9" x14ac:dyDescent="0.25">
      <c r="A1202" t="str">
        <f>""</f>
        <v/>
      </c>
      <c r="F1202" t="str">
        <f>""</f>
        <v/>
      </c>
      <c r="G1202" t="str">
        <f>""</f>
        <v/>
      </c>
      <c r="I1202" t="str">
        <f>"Ord# 118100723001"</f>
        <v>Ord# 118100723001</v>
      </c>
    </row>
    <row r="1203" spans="1:9" x14ac:dyDescent="0.25">
      <c r="A1203" t="str">
        <f>""</f>
        <v/>
      </c>
      <c r="F1203" t="str">
        <f>""</f>
        <v/>
      </c>
      <c r="G1203" t="str">
        <f>""</f>
        <v/>
      </c>
      <c r="I1203" t="str">
        <f>"Ord# 118608758001"</f>
        <v>Ord# 118608758001</v>
      </c>
    </row>
    <row r="1204" spans="1:9" x14ac:dyDescent="0.25">
      <c r="A1204" t="str">
        <f>""</f>
        <v/>
      </c>
      <c r="F1204" t="str">
        <f>""</f>
        <v/>
      </c>
      <c r="G1204" t="str">
        <f>""</f>
        <v/>
      </c>
      <c r="I1204" t="str">
        <f>"Ord# 118609131001"</f>
        <v>Ord# 118609131001</v>
      </c>
    </row>
    <row r="1205" spans="1:9" x14ac:dyDescent="0.25">
      <c r="A1205" t="str">
        <f>""</f>
        <v/>
      </c>
      <c r="F1205" t="str">
        <f>""</f>
        <v/>
      </c>
      <c r="G1205" t="str">
        <f>""</f>
        <v/>
      </c>
      <c r="I1205" t="str">
        <f>"Ord# 120737883001"</f>
        <v>Ord# 120737883001</v>
      </c>
    </row>
    <row r="1206" spans="1:9" x14ac:dyDescent="0.25">
      <c r="A1206" t="str">
        <f>""</f>
        <v/>
      </c>
      <c r="F1206" t="str">
        <f>""</f>
        <v/>
      </c>
      <c r="G1206" t="str">
        <f>""</f>
        <v/>
      </c>
      <c r="I1206" t="str">
        <f>"Ord# 120745258001"</f>
        <v>Ord# 120745258001</v>
      </c>
    </row>
    <row r="1207" spans="1:9" x14ac:dyDescent="0.25">
      <c r="A1207" t="str">
        <f>""</f>
        <v/>
      </c>
      <c r="F1207" t="str">
        <f>""</f>
        <v/>
      </c>
      <c r="G1207" t="str">
        <f>""</f>
        <v/>
      </c>
      <c r="I1207" t="str">
        <f>"Ord# 103922995001"</f>
        <v>Ord# 103922995001</v>
      </c>
    </row>
    <row r="1208" spans="1:9" x14ac:dyDescent="0.25">
      <c r="A1208" t="str">
        <f>""</f>
        <v/>
      </c>
      <c r="F1208" t="str">
        <f>""</f>
        <v/>
      </c>
      <c r="G1208" t="str">
        <f>""</f>
        <v/>
      </c>
      <c r="I1208" t="str">
        <f>"Ord# 120059729001"</f>
        <v>Ord# 120059729001</v>
      </c>
    </row>
    <row r="1209" spans="1:9" x14ac:dyDescent="0.25">
      <c r="A1209" t="str">
        <f>""</f>
        <v/>
      </c>
      <c r="F1209" t="str">
        <f>""</f>
        <v/>
      </c>
      <c r="G1209" t="str">
        <f>""</f>
        <v/>
      </c>
      <c r="I1209" t="str">
        <f>"Ord# 120081229001"</f>
        <v>Ord# 120081229001</v>
      </c>
    </row>
    <row r="1210" spans="1:9" x14ac:dyDescent="0.25">
      <c r="A1210" t="str">
        <f>""</f>
        <v/>
      </c>
      <c r="F1210" t="str">
        <f>""</f>
        <v/>
      </c>
      <c r="G1210" t="str">
        <f>""</f>
        <v/>
      </c>
      <c r="I1210" t="str">
        <f>"Ord# 120081230001"</f>
        <v>Ord# 120081230001</v>
      </c>
    </row>
    <row r="1211" spans="1:9" x14ac:dyDescent="0.25">
      <c r="A1211" t="str">
        <f>""</f>
        <v/>
      </c>
      <c r="F1211" t="str">
        <f>""</f>
        <v/>
      </c>
      <c r="G1211" t="str">
        <f>""</f>
        <v/>
      </c>
      <c r="I1211" t="str">
        <f>"Ord# 120081231001"</f>
        <v>Ord# 120081231001</v>
      </c>
    </row>
    <row r="1212" spans="1:9" x14ac:dyDescent="0.25">
      <c r="A1212" t="str">
        <f>""</f>
        <v/>
      </c>
      <c r="F1212" t="str">
        <f>""</f>
        <v/>
      </c>
      <c r="G1212" t="str">
        <f>""</f>
        <v/>
      </c>
      <c r="I1212" t="str">
        <f>"Ord# 120081232001"</f>
        <v>Ord# 120081232001</v>
      </c>
    </row>
    <row r="1213" spans="1:9" x14ac:dyDescent="0.25">
      <c r="A1213" t="str">
        <f>""</f>
        <v/>
      </c>
      <c r="F1213" t="str">
        <f>""</f>
        <v/>
      </c>
      <c r="G1213" t="str">
        <f>""</f>
        <v/>
      </c>
      <c r="I1213" t="str">
        <f>"Ord# 12035697001"</f>
        <v>Ord# 12035697001</v>
      </c>
    </row>
    <row r="1214" spans="1:9" x14ac:dyDescent="0.25">
      <c r="A1214" t="str">
        <f>""</f>
        <v/>
      </c>
      <c r="F1214" t="str">
        <f>""</f>
        <v/>
      </c>
      <c r="G1214" t="str">
        <f>""</f>
        <v/>
      </c>
      <c r="I1214" t="str">
        <f>"Ord# 119759562001"</f>
        <v>Ord# 119759562001</v>
      </c>
    </row>
    <row r="1215" spans="1:9" x14ac:dyDescent="0.25">
      <c r="A1215" t="str">
        <f>""</f>
        <v/>
      </c>
      <c r="F1215" t="str">
        <f>""</f>
        <v/>
      </c>
      <c r="G1215" t="str">
        <f>""</f>
        <v/>
      </c>
      <c r="I1215" t="str">
        <f>"Ord# 119760570001"</f>
        <v>Ord# 119760570001</v>
      </c>
    </row>
    <row r="1216" spans="1:9" x14ac:dyDescent="0.25">
      <c r="A1216" t="str">
        <f>""</f>
        <v/>
      </c>
      <c r="F1216" t="str">
        <f>""</f>
        <v/>
      </c>
      <c r="G1216" t="str">
        <f>""</f>
        <v/>
      </c>
      <c r="I1216" t="str">
        <f>"Ord# 117534857001"</f>
        <v>Ord# 117534857001</v>
      </c>
    </row>
    <row r="1217" spans="1:9" x14ac:dyDescent="0.25">
      <c r="A1217" t="str">
        <f>""</f>
        <v/>
      </c>
      <c r="F1217" t="str">
        <f>""</f>
        <v/>
      </c>
      <c r="G1217" t="str">
        <f>""</f>
        <v/>
      </c>
      <c r="I1217" t="str">
        <f>"Ord# 117536058001"</f>
        <v>Ord# 117536058001</v>
      </c>
    </row>
    <row r="1218" spans="1:9" x14ac:dyDescent="0.25">
      <c r="A1218" t="str">
        <f>""</f>
        <v/>
      </c>
      <c r="F1218" t="str">
        <f>""</f>
        <v/>
      </c>
      <c r="G1218" t="str">
        <f>""</f>
        <v/>
      </c>
      <c r="I1218" t="str">
        <f>"Ord# 117536059001"</f>
        <v>Ord# 117536059001</v>
      </c>
    </row>
    <row r="1219" spans="1:9" x14ac:dyDescent="0.25">
      <c r="A1219" t="str">
        <f>"OMNIBA"</f>
        <v>OMNIBA</v>
      </c>
      <c r="B1219" t="s">
        <v>341</v>
      </c>
      <c r="C1219">
        <v>76340</v>
      </c>
      <c r="D1219" s="2">
        <v>3042</v>
      </c>
      <c r="E1219" s="1">
        <v>43213</v>
      </c>
      <c r="F1219" t="str">
        <f>"118-001011"</f>
        <v>118-001011</v>
      </c>
      <c r="G1219" t="str">
        <f>"1ST QTR ACTIVITY-JP#1"</f>
        <v>1ST QTR ACTIVITY-JP#1</v>
      </c>
      <c r="H1219">
        <v>468</v>
      </c>
      <c r="I1219" t="str">
        <f>"1ST QTR ACTIVITY-JP1"</f>
        <v>1ST QTR ACTIVITY-JP1</v>
      </c>
    </row>
    <row r="1220" spans="1:9" x14ac:dyDescent="0.25">
      <c r="A1220" t="str">
        <f>""</f>
        <v/>
      </c>
      <c r="F1220" t="str">
        <f>"118-003011"</f>
        <v>118-003011</v>
      </c>
      <c r="G1220" t="str">
        <f>"1ST QTR ACTIVITY-2018/JP3"</f>
        <v>1ST QTR ACTIVITY-2018/JP3</v>
      </c>
      <c r="H1220">
        <v>1272</v>
      </c>
      <c r="I1220" t="str">
        <f>"1ST QTR ACTIVITY-2018/JP3"</f>
        <v>1ST QTR ACTIVITY-2018/JP3</v>
      </c>
    </row>
    <row r="1221" spans="1:9" x14ac:dyDescent="0.25">
      <c r="A1221" t="str">
        <f>""</f>
        <v/>
      </c>
      <c r="F1221" t="str">
        <f>"118-004011"</f>
        <v>118-004011</v>
      </c>
      <c r="G1221" t="str">
        <f>"1ST QTR ACTIVITY-2018/JP4"</f>
        <v>1ST QTR ACTIVITY-2018/JP4</v>
      </c>
      <c r="H1221">
        <v>1296</v>
      </c>
      <c r="I1221" t="str">
        <f>"1ST QTR ACTIVITY-2018/JP4"</f>
        <v>1ST QTR ACTIVITY-2018/JP4</v>
      </c>
    </row>
    <row r="1222" spans="1:9" x14ac:dyDescent="0.25">
      <c r="A1222" t="str">
        <f>""</f>
        <v/>
      </c>
      <c r="F1222" t="str">
        <f>"118-008011"</f>
        <v>118-008011</v>
      </c>
      <c r="G1222" t="str">
        <f>"1ST QTR 2018-COUNTY CLERK"</f>
        <v>1ST QTR 2018-COUNTY CLERK</v>
      </c>
      <c r="H1222">
        <v>6</v>
      </c>
      <c r="I1222" t="str">
        <f>"1ST QTR 2018-COUNTY CLERK"</f>
        <v>1ST QTR 2018-COUNTY CLERK</v>
      </c>
    </row>
    <row r="1223" spans="1:9" x14ac:dyDescent="0.25">
      <c r="A1223" t="str">
        <f>"000877"</f>
        <v>000877</v>
      </c>
      <c r="B1223" t="s">
        <v>342</v>
      </c>
      <c r="C1223">
        <v>76341</v>
      </c>
      <c r="D1223" s="2">
        <v>550</v>
      </c>
      <c r="E1223" s="1">
        <v>43213</v>
      </c>
      <c r="F1223" t="str">
        <f>"284135"</f>
        <v>284135</v>
      </c>
      <c r="G1223" t="str">
        <f>"DRUG SCREENING"</f>
        <v>DRUG SCREENING</v>
      </c>
      <c r="H1223">
        <v>40</v>
      </c>
      <c r="I1223" t="str">
        <f>"DRUG SCREENING"</f>
        <v>DRUG SCREENING</v>
      </c>
    </row>
    <row r="1224" spans="1:9" x14ac:dyDescent="0.25">
      <c r="A1224" t="str">
        <f>""</f>
        <v/>
      </c>
      <c r="F1224" t="str">
        <f>"284135 P1"</f>
        <v>284135 P1</v>
      </c>
      <c r="G1224" t="str">
        <f>"DRUG SCREENING/PCT#1"</f>
        <v>DRUG SCREENING/PCT#1</v>
      </c>
      <c r="H1224">
        <v>120</v>
      </c>
      <c r="I1224" t="str">
        <f>"DRUG SCREENING/PCT#1"</f>
        <v>DRUG SCREENING/PCT#1</v>
      </c>
    </row>
    <row r="1225" spans="1:9" x14ac:dyDescent="0.25">
      <c r="A1225" t="str">
        <f>""</f>
        <v/>
      </c>
      <c r="F1225" t="str">
        <f>"284135 P2"</f>
        <v>284135 P2</v>
      </c>
      <c r="G1225" t="str">
        <f>"DRUG SCREENING/PCT#2"</f>
        <v>DRUG SCREENING/PCT#2</v>
      </c>
      <c r="H1225">
        <v>120</v>
      </c>
      <c r="I1225" t="str">
        <f>"DRUG SCREENING/PCT#2"</f>
        <v>DRUG SCREENING/PCT#2</v>
      </c>
    </row>
    <row r="1226" spans="1:9" x14ac:dyDescent="0.25">
      <c r="A1226" t="str">
        <f>""</f>
        <v/>
      </c>
      <c r="F1226" t="str">
        <f>"284135 P3"</f>
        <v>284135 P3</v>
      </c>
      <c r="G1226" t="str">
        <f>"DRUG SCREENING/PCT#3"</f>
        <v>DRUG SCREENING/PCT#3</v>
      </c>
      <c r="H1226">
        <v>135</v>
      </c>
      <c r="I1226" t="str">
        <f>"DRUG SCREENING/PCT#3"</f>
        <v>DRUG SCREENING/PCT#3</v>
      </c>
    </row>
    <row r="1227" spans="1:9" x14ac:dyDescent="0.25">
      <c r="A1227" t="str">
        <f>""</f>
        <v/>
      </c>
      <c r="F1227" t="str">
        <f>"284135 P4"</f>
        <v>284135 P4</v>
      </c>
      <c r="G1227" t="str">
        <f>"DRUG SCREENING/PCT#4"</f>
        <v>DRUG SCREENING/PCT#4</v>
      </c>
      <c r="H1227">
        <v>135</v>
      </c>
      <c r="I1227" t="str">
        <f>"DRUG SCREENING/PCT#4"</f>
        <v>DRUG SCREENING/PCT#4</v>
      </c>
    </row>
    <row r="1228" spans="1:9" x14ac:dyDescent="0.25">
      <c r="A1228" t="str">
        <f>"005285"</f>
        <v>005285</v>
      </c>
      <c r="B1228" t="s">
        <v>343</v>
      </c>
      <c r="C1228">
        <v>76122</v>
      </c>
      <c r="D1228" s="2">
        <v>5</v>
      </c>
      <c r="E1228" s="1">
        <v>43199</v>
      </c>
      <c r="F1228" t="str">
        <f>"201803279752"</f>
        <v>201803279752</v>
      </c>
      <c r="G1228" t="str">
        <f>"FERAL HOGS"</f>
        <v>FERAL HOGS</v>
      </c>
      <c r="H1228">
        <v>5</v>
      </c>
      <c r="I1228" t="str">
        <f>"FERAL HOGS"</f>
        <v>FERAL HOGS</v>
      </c>
    </row>
    <row r="1229" spans="1:9" x14ac:dyDescent="0.25">
      <c r="A1229" t="str">
        <f>"OP"</f>
        <v>OP</v>
      </c>
      <c r="B1229" t="s">
        <v>344</v>
      </c>
      <c r="C1229">
        <v>76342</v>
      </c>
      <c r="D1229" s="2">
        <v>3145</v>
      </c>
      <c r="E1229" s="1">
        <v>43213</v>
      </c>
      <c r="F1229" t="str">
        <f>"17425"</f>
        <v>17425</v>
      </c>
      <c r="G1229" t="str">
        <f>"PLUMBING SVCS/ANIMAL SHELTER"</f>
        <v>PLUMBING SVCS/ANIMAL SHELTER</v>
      </c>
      <c r="H1229">
        <v>3145</v>
      </c>
      <c r="I1229" t="str">
        <f>"PLUMBING SVCS/ANIMAL SHELTER"</f>
        <v>PLUMBING SVCS/ANIMAL SHELTER</v>
      </c>
    </row>
    <row r="1230" spans="1:9" x14ac:dyDescent="0.25">
      <c r="A1230" t="str">
        <f>"004123"</f>
        <v>004123</v>
      </c>
      <c r="B1230" t="s">
        <v>345</v>
      </c>
      <c r="C1230">
        <v>76123</v>
      </c>
      <c r="D1230" s="2">
        <v>93.56</v>
      </c>
      <c r="E1230" s="1">
        <v>43199</v>
      </c>
      <c r="F1230" t="str">
        <f>"201804039897"</f>
        <v>201804039897</v>
      </c>
      <c r="G1230" t="str">
        <f>"REIMBURSEMENT FOR LUNCH"</f>
        <v>REIMBURSEMENT FOR LUNCH</v>
      </c>
      <c r="H1230">
        <v>93.56</v>
      </c>
      <c r="I1230" t="str">
        <f>"REIMBURSEMENT FOR LUNCH"</f>
        <v>REIMBURSEMENT FOR LUNCH</v>
      </c>
    </row>
    <row r="1231" spans="1:9" x14ac:dyDescent="0.25">
      <c r="A1231" t="str">
        <f>"003959"</f>
        <v>003959</v>
      </c>
      <c r="B1231" t="s">
        <v>346</v>
      </c>
      <c r="C1231">
        <v>76124</v>
      </c>
      <c r="D1231" s="2">
        <v>4142</v>
      </c>
      <c r="E1231" s="1">
        <v>43199</v>
      </c>
      <c r="F1231" t="str">
        <f>"43414"</f>
        <v>43414</v>
      </c>
      <c r="G1231" t="str">
        <f>"LAW ENF PERS TRAINING &amp; DEV SU"</f>
        <v>LAW ENF PERS TRAINING &amp; DEV SU</v>
      </c>
      <c r="H1231">
        <v>4142</v>
      </c>
      <c r="I1231" t="str">
        <f>"LAW ENF PERS TRAINING &amp; DEV SU"</f>
        <v>LAW ENF PERS TRAINING &amp; DEV SU</v>
      </c>
    </row>
    <row r="1232" spans="1:9" x14ac:dyDescent="0.25">
      <c r="A1232" t="str">
        <f>"003959"</f>
        <v>003959</v>
      </c>
      <c r="B1232" t="s">
        <v>346</v>
      </c>
      <c r="C1232">
        <v>76343</v>
      </c>
      <c r="D1232" s="2">
        <v>2325</v>
      </c>
      <c r="E1232" s="1">
        <v>43213</v>
      </c>
      <c r="F1232" t="str">
        <f>"43422"</f>
        <v>43422</v>
      </c>
      <c r="G1232" t="str">
        <f>"Personnel Training"</f>
        <v>Personnel Training</v>
      </c>
      <c r="H1232">
        <v>2325</v>
      </c>
      <c r="I1232" t="str">
        <f>"Personnel Training"</f>
        <v>Personnel Training</v>
      </c>
    </row>
    <row r="1233" spans="1:9" x14ac:dyDescent="0.25">
      <c r="A1233" t="str">
        <f>"005074"</f>
        <v>005074</v>
      </c>
      <c r="B1233" t="s">
        <v>347</v>
      </c>
      <c r="C1233">
        <v>76125</v>
      </c>
      <c r="D1233" s="2">
        <v>6569.42</v>
      </c>
      <c r="E1233" s="1">
        <v>43199</v>
      </c>
      <c r="F1233" t="str">
        <f>"AMMUNITION/SHIPPIN"</f>
        <v>AMMUNITION/SHIPPIN</v>
      </c>
      <c r="G1233" t="str">
        <f>"INV 255460"</f>
        <v>INV 255460</v>
      </c>
      <c r="H1233">
        <v>6569.42</v>
      </c>
      <c r="I1233" t="str">
        <f>"CC15000BK1000"</f>
        <v>CC15000BK1000</v>
      </c>
    </row>
    <row r="1234" spans="1:9" x14ac:dyDescent="0.25">
      <c r="A1234" t="str">
        <f>""</f>
        <v/>
      </c>
      <c r="F1234" t="str">
        <f>""</f>
        <v/>
      </c>
      <c r="G1234" t="str">
        <f>""</f>
        <v/>
      </c>
      <c r="I1234" t="str">
        <f>"CCI5220CASE"</f>
        <v>CCI5220CASE</v>
      </c>
    </row>
    <row r="1235" spans="1:9" x14ac:dyDescent="0.25">
      <c r="A1235" t="str">
        <f>""</f>
        <v/>
      </c>
      <c r="F1235" t="str">
        <f>""</f>
        <v/>
      </c>
      <c r="G1235" t="str">
        <f>""</f>
        <v/>
      </c>
      <c r="I1235" t="str">
        <f>"H81500CASE"</f>
        <v>H81500CASE</v>
      </c>
    </row>
    <row r="1236" spans="1:9" x14ac:dyDescent="0.25">
      <c r="A1236" t="str">
        <f>""</f>
        <v/>
      </c>
      <c r="F1236" t="str">
        <f>""</f>
        <v/>
      </c>
      <c r="G1236" t="str">
        <f>""</f>
        <v/>
      </c>
      <c r="I1236" t="str">
        <f>"XM193CASE"</f>
        <v>XM193CASE</v>
      </c>
    </row>
    <row r="1237" spans="1:9" x14ac:dyDescent="0.25">
      <c r="A1237" t="str">
        <f>""</f>
        <v/>
      </c>
      <c r="F1237" t="str">
        <f>""</f>
        <v/>
      </c>
      <c r="G1237" t="str">
        <f>""</f>
        <v/>
      </c>
      <c r="I1237" t="str">
        <f>"SHIPPING"</f>
        <v>SHIPPING</v>
      </c>
    </row>
    <row r="1238" spans="1:9" x14ac:dyDescent="0.25">
      <c r="A1238" t="str">
        <f>"PAIGE"</f>
        <v>PAIGE</v>
      </c>
      <c r="B1238" t="s">
        <v>348</v>
      </c>
      <c r="C1238">
        <v>76344</v>
      </c>
      <c r="D1238" s="2">
        <v>59.44</v>
      </c>
      <c r="E1238" s="1">
        <v>43213</v>
      </c>
      <c r="F1238" t="str">
        <f>"QUOTE"</f>
        <v>QUOTE</v>
      </c>
      <c r="G1238" t="str">
        <f>"IGNITION MODULE/GEN SVCS"</f>
        <v>IGNITION MODULE/GEN SVCS</v>
      </c>
      <c r="H1238">
        <v>59.44</v>
      </c>
      <c r="I1238" t="str">
        <f>"IGNITION MODULE/GEN SVCS"</f>
        <v>IGNITION MODULE/GEN SVCS</v>
      </c>
    </row>
    <row r="1239" spans="1:9" x14ac:dyDescent="0.25">
      <c r="A1239" t="str">
        <f>"003566"</f>
        <v>003566</v>
      </c>
      <c r="B1239" t="s">
        <v>349</v>
      </c>
      <c r="C1239">
        <v>76345</v>
      </c>
      <c r="D1239" s="2">
        <v>492.82</v>
      </c>
      <c r="E1239" s="1">
        <v>43213</v>
      </c>
      <c r="F1239" t="str">
        <f>"201804110251"</f>
        <v>201804110251</v>
      </c>
      <c r="G1239" t="str">
        <f>"ACCT#1137/PCT#4"</f>
        <v>ACCT#1137/PCT#4</v>
      </c>
      <c r="H1239">
        <v>492.82</v>
      </c>
      <c r="I1239" t="str">
        <f>"ACCT#1137/PCT#4"</f>
        <v>ACCT#1137/PCT#4</v>
      </c>
    </row>
    <row r="1240" spans="1:9" x14ac:dyDescent="0.25">
      <c r="A1240" t="str">
        <f>"002370"</f>
        <v>002370</v>
      </c>
      <c r="B1240" t="s">
        <v>350</v>
      </c>
      <c r="C1240">
        <v>76126</v>
      </c>
      <c r="D1240" s="2">
        <v>4266.8999999999996</v>
      </c>
      <c r="E1240" s="1">
        <v>43199</v>
      </c>
      <c r="F1240" t="str">
        <f>"2008324"</f>
        <v>2008324</v>
      </c>
      <c r="G1240" t="str">
        <f>"INSTALL CIRCUIT/BOOT CAMP"</f>
        <v>INSTALL CIRCUIT/BOOT CAMP</v>
      </c>
      <c r="H1240">
        <v>628.45000000000005</v>
      </c>
      <c r="I1240" t="str">
        <f>"INSTALL CIRCUIT/BOOT CAMP"</f>
        <v>INSTALL CIRCUIT/BOOT CAMP</v>
      </c>
    </row>
    <row r="1241" spans="1:9" x14ac:dyDescent="0.25">
      <c r="A1241" t="str">
        <f>""</f>
        <v/>
      </c>
      <c r="F1241" t="str">
        <f>"2008325"</f>
        <v>2008325</v>
      </c>
      <c r="G1241" t="str">
        <f>"REMOVE CONDUIT/OLD JAIL"</f>
        <v>REMOVE CONDUIT/OLD JAIL</v>
      </c>
      <c r="H1241">
        <v>565.15</v>
      </c>
      <c r="I1241" t="str">
        <f>"REMOVE CONDUIT/OLD JAIL"</f>
        <v>REMOVE CONDUIT/OLD JAIL</v>
      </c>
    </row>
    <row r="1242" spans="1:9" x14ac:dyDescent="0.25">
      <c r="A1242" t="str">
        <f>""</f>
        <v/>
      </c>
      <c r="F1242" t="str">
        <f>"2008326"</f>
        <v>2008326</v>
      </c>
      <c r="G1242" t="str">
        <f>"INSTALL WALL-PACK LI8GHT/DPS"</f>
        <v>INSTALL WALL-PACK LI8GHT/DPS</v>
      </c>
      <c r="H1242">
        <v>240</v>
      </c>
      <c r="I1242" t="str">
        <f>"INSTALL WALL-PACK LI8GHT/DPS"</f>
        <v>INSTALL WALL-PACK LI8GHT/DPS</v>
      </c>
    </row>
    <row r="1243" spans="1:9" x14ac:dyDescent="0.25">
      <c r="A1243" t="str">
        <f>""</f>
        <v/>
      </c>
      <c r="F1243" t="str">
        <f>"2008327"</f>
        <v>2008327</v>
      </c>
      <c r="G1243" t="str">
        <f>"HOOK UP AIR COMPRESSOR/PCT#1"</f>
        <v>HOOK UP AIR COMPRESSOR/PCT#1</v>
      </c>
      <c r="H1243">
        <v>1129.5</v>
      </c>
      <c r="I1243" t="str">
        <f>"HOOK UP AIR COMPRESSOR/PCT#1"</f>
        <v>HOOK UP AIR COMPRESSOR/PCT#1</v>
      </c>
    </row>
    <row r="1244" spans="1:9" x14ac:dyDescent="0.25">
      <c r="A1244" t="str">
        <f>""</f>
        <v/>
      </c>
      <c r="F1244" t="str">
        <f>"2008328"</f>
        <v>2008328</v>
      </c>
      <c r="G1244" t="str">
        <f>"REPLACE SWITCH AT FUEL TANK/P1"</f>
        <v>REPLACE SWITCH AT FUEL TANK/P1</v>
      </c>
      <c r="H1244">
        <v>367.5</v>
      </c>
      <c r="I1244" t="str">
        <f>"REPLACE SWITCH AT FUEL TANK/P1"</f>
        <v>REPLACE SWITCH AT FUEL TANK/P1</v>
      </c>
    </row>
    <row r="1245" spans="1:9" x14ac:dyDescent="0.25">
      <c r="A1245" t="str">
        <f>""</f>
        <v/>
      </c>
      <c r="F1245" t="str">
        <f>"2008330"</f>
        <v>2008330</v>
      </c>
      <c r="G1245" t="str">
        <f>"3 PHASE CIRCUIT TO AC/OLD JAIL"</f>
        <v>3 PHASE CIRCUIT TO AC/OLD JAIL</v>
      </c>
      <c r="H1245">
        <v>1336.3</v>
      </c>
      <c r="I1245" t="str">
        <f>"3 PHASE CIRCUIT TO AC/OLD JAIL"</f>
        <v>3 PHASE CIRCUIT TO AC/OLD JAIL</v>
      </c>
    </row>
    <row r="1246" spans="1:9" x14ac:dyDescent="0.25">
      <c r="A1246" t="str">
        <f>"003321"</f>
        <v>003321</v>
      </c>
      <c r="B1246" t="s">
        <v>351</v>
      </c>
      <c r="C1246">
        <v>76127</v>
      </c>
      <c r="D1246" s="2">
        <v>5</v>
      </c>
      <c r="E1246" s="1">
        <v>43199</v>
      </c>
      <c r="F1246" t="str">
        <f>"201803279753"</f>
        <v>201803279753</v>
      </c>
      <c r="G1246" t="str">
        <f>"FERAL HOGS"</f>
        <v>FERAL HOGS</v>
      </c>
      <c r="H1246">
        <v>5</v>
      </c>
      <c r="I1246" t="str">
        <f>"FERAL HOGS"</f>
        <v>FERAL HOGS</v>
      </c>
    </row>
    <row r="1247" spans="1:9" x14ac:dyDescent="0.25">
      <c r="A1247" t="str">
        <f>"WEBSTE"</f>
        <v>WEBSTE</v>
      </c>
      <c r="B1247" t="s">
        <v>352</v>
      </c>
      <c r="C1247">
        <v>76128</v>
      </c>
      <c r="D1247" s="2">
        <v>9802.59</v>
      </c>
      <c r="E1247" s="1">
        <v>43199</v>
      </c>
      <c r="F1247" t="str">
        <f>"0031014736"</f>
        <v>0031014736</v>
      </c>
      <c r="G1247" t="str">
        <f>"ORD#0603777836/ANIMAL CONTROL"</f>
        <v>ORD#0603777836/ANIMAL CONTROL</v>
      </c>
      <c r="H1247">
        <v>42.1</v>
      </c>
      <c r="I1247" t="str">
        <f>"ORD#0603777836/ANIMAL CONTROL"</f>
        <v>ORD#0603777836/ANIMAL CONTROL</v>
      </c>
    </row>
    <row r="1248" spans="1:9" x14ac:dyDescent="0.25">
      <c r="A1248" t="str">
        <f>""</f>
        <v/>
      </c>
      <c r="F1248" t="str">
        <f>"0031022111"</f>
        <v>0031022111</v>
      </c>
      <c r="G1248" t="str">
        <f>"ORD#0603780789/ANIMAL CONTROL"</f>
        <v>ORD#0603780789/ANIMAL CONTROL</v>
      </c>
      <c r="H1248">
        <v>541.13</v>
      </c>
      <c r="I1248" t="str">
        <f>"ORD#0603780789/ANIMAL CONTROL"</f>
        <v>ORD#0603780789/ANIMAL CONTROL</v>
      </c>
    </row>
    <row r="1249" spans="1:9" x14ac:dyDescent="0.25">
      <c r="A1249" t="str">
        <f>""</f>
        <v/>
      </c>
      <c r="F1249" t="str">
        <f>"0031032768"</f>
        <v>0031032768</v>
      </c>
      <c r="G1249" t="str">
        <f>"ORD#0603777836/ANIMAL CONTROL"</f>
        <v>ORD#0603777836/ANIMAL CONTROL</v>
      </c>
      <c r="H1249">
        <v>9205.84</v>
      </c>
      <c r="I1249" t="str">
        <f>"ORD#0603777836/ANIMAL CONTROL"</f>
        <v>ORD#0603777836/ANIMAL CONTROL</v>
      </c>
    </row>
    <row r="1250" spans="1:9" x14ac:dyDescent="0.25">
      <c r="A1250" t="str">
        <f>""</f>
        <v/>
      </c>
      <c r="F1250" t="str">
        <f>""</f>
        <v/>
      </c>
      <c r="G1250" t="str">
        <f>""</f>
        <v/>
      </c>
      <c r="I1250" t="str">
        <f>"ORD#0603777836/ANIMAL CONTROL"</f>
        <v>ORD#0603777836/ANIMAL CONTROL</v>
      </c>
    </row>
    <row r="1251" spans="1:9" x14ac:dyDescent="0.25">
      <c r="A1251" t="str">
        <f>""</f>
        <v/>
      </c>
      <c r="F1251" t="str">
        <f>"0031060526"</f>
        <v>0031060526</v>
      </c>
      <c r="G1251" t="str">
        <f>"ORD#0603803318/ANIMAL CONTROL"</f>
        <v>ORD#0603803318/ANIMAL CONTROL</v>
      </c>
      <c r="H1251">
        <v>13.52</v>
      </c>
      <c r="I1251" t="str">
        <f>"ORD#0603803318/ANIMAL CONTROL"</f>
        <v>ORD#0603803318/ANIMAL CONTROL</v>
      </c>
    </row>
    <row r="1252" spans="1:9" x14ac:dyDescent="0.25">
      <c r="A1252" t="str">
        <f>"WEBSTE"</f>
        <v>WEBSTE</v>
      </c>
      <c r="B1252" t="s">
        <v>352</v>
      </c>
      <c r="C1252">
        <v>76346</v>
      </c>
      <c r="D1252" s="2">
        <v>178.34</v>
      </c>
      <c r="E1252" s="1">
        <v>43213</v>
      </c>
      <c r="F1252" t="str">
        <f>"0031131323"</f>
        <v>0031131323</v>
      </c>
      <c r="G1252" t="str">
        <f>"ORD#0603855083/ANIMAL SVCS"</f>
        <v>ORD#0603855083/ANIMAL SVCS</v>
      </c>
      <c r="H1252">
        <v>42.14</v>
      </c>
      <c r="I1252" t="str">
        <f>"ORD#0603855083/ANIMAL SVCS"</f>
        <v>ORD#0603855083/ANIMAL SVCS</v>
      </c>
    </row>
    <row r="1253" spans="1:9" x14ac:dyDescent="0.25">
      <c r="A1253" t="str">
        <f>""</f>
        <v/>
      </c>
      <c r="F1253" t="str">
        <f>"0031147166"</f>
        <v>0031147166</v>
      </c>
      <c r="G1253" t="str">
        <f>"ORD#0603855083/ANIMAL SHELTER"</f>
        <v>ORD#0603855083/ANIMAL SHELTER</v>
      </c>
      <c r="H1253">
        <v>13.68</v>
      </c>
      <c r="I1253" t="str">
        <f>"ORD#0603855083/ANIMAL SHELTER"</f>
        <v>ORD#0603855083/ANIMAL SHELTER</v>
      </c>
    </row>
    <row r="1254" spans="1:9" x14ac:dyDescent="0.25">
      <c r="A1254" t="str">
        <f>""</f>
        <v/>
      </c>
      <c r="F1254" t="str">
        <f>"0031181067"</f>
        <v>0031181067</v>
      </c>
      <c r="G1254" t="str">
        <f>"ORD#0603881040/ANIMAL SHELTER"</f>
        <v>ORD#0603881040/ANIMAL SHELTER</v>
      </c>
      <c r="H1254">
        <v>122.52</v>
      </c>
      <c r="I1254" t="str">
        <f>"ORD#0603881040/ANIMAL SHELTER"</f>
        <v>ORD#0603881040/ANIMAL SHELTER</v>
      </c>
    </row>
    <row r="1255" spans="1:9" x14ac:dyDescent="0.25">
      <c r="A1255" t="str">
        <f>"002471"</f>
        <v>002471</v>
      </c>
      <c r="B1255" t="s">
        <v>353</v>
      </c>
      <c r="C1255">
        <v>76347</v>
      </c>
      <c r="D1255" s="2">
        <v>2000</v>
      </c>
      <c r="E1255" s="1">
        <v>43213</v>
      </c>
      <c r="F1255" t="str">
        <f>"387091"</f>
        <v>387091</v>
      </c>
      <c r="G1255" t="str">
        <f>"CLIENT#20442/FINAL BILLING"</f>
        <v>CLIENT#20442/FINAL BILLING</v>
      </c>
      <c r="H1255">
        <v>2000</v>
      </c>
      <c r="I1255" t="str">
        <f>"CLIENT#20442/FINAL BILLING"</f>
        <v>CLIENT#20442/FINAL BILLING</v>
      </c>
    </row>
    <row r="1256" spans="1:9" x14ac:dyDescent="0.25">
      <c r="A1256" t="str">
        <f>"002963"</f>
        <v>002963</v>
      </c>
      <c r="B1256" t="s">
        <v>354</v>
      </c>
      <c r="C1256">
        <v>76348</v>
      </c>
      <c r="D1256" s="2">
        <v>182.99</v>
      </c>
      <c r="E1256" s="1">
        <v>43213</v>
      </c>
      <c r="F1256" t="str">
        <f>"201804110242"</f>
        <v>201804110242</v>
      </c>
      <c r="G1256" t="str">
        <f>"REIMBURSE HOTEL/MEALS"</f>
        <v>REIMBURSE HOTEL/MEALS</v>
      </c>
      <c r="H1256">
        <v>182.99</v>
      </c>
      <c r="I1256" t="str">
        <f>"REIMBURSE HOTEL/MEALS"</f>
        <v>REIMBURSE HOTEL/MEALS</v>
      </c>
    </row>
    <row r="1257" spans="1:9" x14ac:dyDescent="0.25">
      <c r="A1257" t="str">
        <f>"002782"</f>
        <v>002782</v>
      </c>
      <c r="B1257" t="s">
        <v>355</v>
      </c>
      <c r="C1257">
        <v>76349</v>
      </c>
      <c r="D1257" s="2">
        <v>535</v>
      </c>
      <c r="E1257" s="1">
        <v>43213</v>
      </c>
      <c r="F1257" t="str">
        <f>"134533"</f>
        <v>134533</v>
      </c>
      <c r="G1257" t="str">
        <f>"INV 134533"</f>
        <v>INV 134533</v>
      </c>
      <c r="H1257">
        <v>535</v>
      </c>
      <c r="I1257" t="str">
        <f>"INV 134533"</f>
        <v>INV 134533</v>
      </c>
    </row>
    <row r="1258" spans="1:9" x14ac:dyDescent="0.25">
      <c r="A1258" t="str">
        <f>"T8651"</f>
        <v>T8651</v>
      </c>
      <c r="B1258" t="s">
        <v>356</v>
      </c>
      <c r="C1258">
        <v>76350</v>
      </c>
      <c r="D1258" s="2">
        <v>1150</v>
      </c>
      <c r="E1258" s="1">
        <v>43213</v>
      </c>
      <c r="F1258" t="str">
        <f>"7910"</f>
        <v>7910</v>
      </c>
      <c r="G1258" t="str">
        <f>"Carpet"</f>
        <v>Carpet</v>
      </c>
      <c r="H1258">
        <v>1150</v>
      </c>
      <c r="I1258" t="str">
        <f>"#811010"</f>
        <v>#811010</v>
      </c>
    </row>
    <row r="1259" spans="1:9" x14ac:dyDescent="0.25">
      <c r="A1259" t="str">
        <f>""</f>
        <v/>
      </c>
      <c r="F1259" t="str">
        <f>""</f>
        <v/>
      </c>
      <c r="G1259" t="str">
        <f>""</f>
        <v/>
      </c>
      <c r="I1259" t="str">
        <f>"Delivery"</f>
        <v>Delivery</v>
      </c>
    </row>
    <row r="1260" spans="1:9" x14ac:dyDescent="0.25">
      <c r="A1260" t="str">
        <f>"003795"</f>
        <v>003795</v>
      </c>
      <c r="B1260" t="s">
        <v>357</v>
      </c>
      <c r="C1260">
        <v>76351</v>
      </c>
      <c r="D1260" s="2">
        <v>67308.5</v>
      </c>
      <c r="E1260" s="1">
        <v>43213</v>
      </c>
      <c r="F1260" t="str">
        <f>"IVC00039802"</f>
        <v>IVC00039802</v>
      </c>
      <c r="G1260" t="str">
        <f>"ATTNY FEES FOR PROF SVCS/JP1"</f>
        <v>ATTNY FEES FOR PROF SVCS/JP1</v>
      </c>
      <c r="H1260">
        <v>5878.56</v>
      </c>
      <c r="I1260" t="str">
        <f>"ATTNY FEES FOR PROF SVCS/JP1"</f>
        <v>ATTNY FEES FOR PROF SVCS/JP1</v>
      </c>
    </row>
    <row r="1261" spans="1:9" x14ac:dyDescent="0.25">
      <c r="A1261" t="str">
        <f>""</f>
        <v/>
      </c>
      <c r="F1261" t="str">
        <f>"IVC00039803"</f>
        <v>IVC00039803</v>
      </c>
      <c r="G1261" t="str">
        <f>"ATTNY FEES FOR PROF SVCS/JP2"</f>
        <v>ATTNY FEES FOR PROF SVCS/JP2</v>
      </c>
      <c r="H1261">
        <v>22785.43</v>
      </c>
      <c r="I1261" t="str">
        <f>"ATTNY FEES FOR PROF SVCS/JP2"</f>
        <v>ATTNY FEES FOR PROF SVCS/JP2</v>
      </c>
    </row>
    <row r="1262" spans="1:9" x14ac:dyDescent="0.25">
      <c r="A1262" t="str">
        <f>""</f>
        <v/>
      </c>
      <c r="F1262" t="str">
        <f>"IVC00039804"</f>
        <v>IVC00039804</v>
      </c>
      <c r="G1262" t="str">
        <f>"ATTORNEY FEES FOR PROF SVCS"</f>
        <v>ATTORNEY FEES FOR PROF SVCS</v>
      </c>
      <c r="H1262">
        <v>15820.68</v>
      </c>
      <c r="I1262" t="str">
        <f>"ATTORNEY FEES FOR PROF SVCS"</f>
        <v>ATTORNEY FEES FOR PROF SVCS</v>
      </c>
    </row>
    <row r="1263" spans="1:9" x14ac:dyDescent="0.25">
      <c r="A1263" t="str">
        <f>""</f>
        <v/>
      </c>
      <c r="F1263" t="str">
        <f>"IVC00039805"</f>
        <v>IVC00039805</v>
      </c>
      <c r="G1263" t="str">
        <f>"ATTORNEY FEES JAN01-MAR31 2018"</f>
        <v>ATTORNEY FEES JAN01-MAR31 2018</v>
      </c>
      <c r="H1263">
        <v>22823.83</v>
      </c>
      <c r="I1263" t="str">
        <f>"ATTORNEY FEES JAN01-MAR31 2018"</f>
        <v>ATTORNEY FEES JAN01-MAR31 2018</v>
      </c>
    </row>
    <row r="1264" spans="1:9" x14ac:dyDescent="0.25">
      <c r="A1264" t="str">
        <f>"PET"</f>
        <v>PET</v>
      </c>
      <c r="B1264" t="s">
        <v>358</v>
      </c>
      <c r="C1264">
        <v>76352</v>
      </c>
      <c r="D1264" s="2">
        <v>24.25</v>
      </c>
      <c r="E1264" s="1">
        <v>43213</v>
      </c>
      <c r="F1264" t="str">
        <f>"SIUN11536820"</f>
        <v>SIUN11536820</v>
      </c>
      <c r="G1264" t="str">
        <f>"CUST#CUN000000233/GEN SVCS"</f>
        <v>CUST#CUN000000233/GEN SVCS</v>
      </c>
      <c r="H1264">
        <v>24.25</v>
      </c>
      <c r="I1264" t="str">
        <f>"CUST#CUN000000233/GEN SVCS"</f>
        <v>CUST#CUN000000233/GEN SVCS</v>
      </c>
    </row>
    <row r="1265" spans="1:9" x14ac:dyDescent="0.25">
      <c r="A1265" t="str">
        <f>"T10221"</f>
        <v>T10221</v>
      </c>
      <c r="B1265" t="s">
        <v>359</v>
      </c>
      <c r="C1265">
        <v>76353</v>
      </c>
      <c r="D1265" s="2">
        <v>396.18</v>
      </c>
      <c r="E1265" s="1">
        <v>43213</v>
      </c>
      <c r="F1265" t="str">
        <f>"47913801"</f>
        <v>47913801</v>
      </c>
      <c r="G1265" t="str">
        <f>"ACCT#348783/MARRIAGE LIC FOLD"</f>
        <v>ACCT#348783/MARRIAGE LIC FOLD</v>
      </c>
      <c r="H1265">
        <v>396.18</v>
      </c>
      <c r="I1265" t="str">
        <f>"ACCT#348783/MARRIAGE LIC FOLD"</f>
        <v>ACCT#348783/MARRIAGE LIC FOLD</v>
      </c>
    </row>
    <row r="1266" spans="1:9" x14ac:dyDescent="0.25">
      <c r="A1266" t="str">
        <f>"PRD"</f>
        <v>PRD</v>
      </c>
      <c r="B1266" t="s">
        <v>360</v>
      </c>
      <c r="C1266">
        <v>999999</v>
      </c>
      <c r="D1266" s="2">
        <v>250</v>
      </c>
      <c r="E1266" s="1">
        <v>43200</v>
      </c>
      <c r="F1266" t="str">
        <f>"201804039890"</f>
        <v>201804039890</v>
      </c>
      <c r="G1266" t="str">
        <f>"52043"</f>
        <v>52043</v>
      </c>
      <c r="H1266">
        <v>250</v>
      </c>
      <c r="I1266" t="str">
        <f>"52043"</f>
        <v>52043</v>
      </c>
    </row>
    <row r="1267" spans="1:9" x14ac:dyDescent="0.25">
      <c r="A1267" t="str">
        <f>"PRD"</f>
        <v>PRD</v>
      </c>
      <c r="B1267" t="s">
        <v>360</v>
      </c>
      <c r="C1267">
        <v>999999</v>
      </c>
      <c r="D1267" s="2">
        <v>1340</v>
      </c>
      <c r="E1267" s="1">
        <v>43214</v>
      </c>
      <c r="F1267" t="str">
        <f>"201804120300"</f>
        <v>201804120300</v>
      </c>
      <c r="G1267" t="str">
        <f>"17-18635"</f>
        <v>17-18635</v>
      </c>
      <c r="H1267">
        <v>590</v>
      </c>
      <c r="I1267" t="str">
        <f>"17-18635"</f>
        <v>17-18635</v>
      </c>
    </row>
    <row r="1268" spans="1:9" x14ac:dyDescent="0.25">
      <c r="A1268" t="str">
        <f>""</f>
        <v/>
      </c>
      <c r="F1268" t="str">
        <f>"201804130352"</f>
        <v>201804130352</v>
      </c>
      <c r="G1268" t="str">
        <f>"55972"</f>
        <v>55972</v>
      </c>
      <c r="H1268">
        <v>250</v>
      </c>
      <c r="I1268" t="str">
        <f>"55972"</f>
        <v>55972</v>
      </c>
    </row>
    <row r="1269" spans="1:9" x14ac:dyDescent="0.25">
      <c r="A1269" t="str">
        <f>""</f>
        <v/>
      </c>
      <c r="F1269" t="str">
        <f>"201804130353"</f>
        <v>201804130353</v>
      </c>
      <c r="G1269" t="str">
        <f>"54245"</f>
        <v>54245</v>
      </c>
      <c r="H1269">
        <v>250</v>
      </c>
      <c r="I1269" t="str">
        <f>"54245"</f>
        <v>54245</v>
      </c>
    </row>
    <row r="1270" spans="1:9" x14ac:dyDescent="0.25">
      <c r="A1270" t="str">
        <f>""</f>
        <v/>
      </c>
      <c r="F1270" t="str">
        <f>"201804130354"</f>
        <v>201804130354</v>
      </c>
      <c r="G1270" t="str">
        <f>"55613"</f>
        <v>55613</v>
      </c>
      <c r="H1270">
        <v>250</v>
      </c>
      <c r="I1270" t="str">
        <f>"55613"</f>
        <v>55613</v>
      </c>
    </row>
    <row r="1271" spans="1:9" x14ac:dyDescent="0.25">
      <c r="A1271" t="str">
        <f>"PCAS"</f>
        <v>PCAS</v>
      </c>
      <c r="B1271" t="s">
        <v>361</v>
      </c>
      <c r="C1271">
        <v>76129</v>
      </c>
      <c r="D1271" s="2">
        <v>87</v>
      </c>
      <c r="E1271" s="1">
        <v>43199</v>
      </c>
      <c r="F1271" t="str">
        <f>" 003134"</f>
        <v xml:space="preserve"> 003134</v>
      </c>
      <c r="G1271" t="str">
        <f>"INSPECTION 2007 FRHTS-PCT#4"</f>
        <v>INSPECTION 2007 FRHTS-PCT#4</v>
      </c>
      <c r="H1271">
        <v>80</v>
      </c>
      <c r="I1271" t="str">
        <f>"INSPECTION 2007 FRHTS-PCT#4"</f>
        <v>INSPECTION 2007 FRHTS-PCT#4</v>
      </c>
    </row>
    <row r="1272" spans="1:9" x14ac:dyDescent="0.25">
      <c r="A1272" t="str">
        <f>""</f>
        <v/>
      </c>
      <c r="F1272" t="str">
        <f>"003134"</f>
        <v>003134</v>
      </c>
      <c r="G1272" t="str">
        <f>"INSPECTION-1999 GMC/PCT#3"</f>
        <v>INSPECTION-1999 GMC/PCT#3</v>
      </c>
      <c r="H1272">
        <v>7</v>
      </c>
      <c r="I1272" t="str">
        <f>"INSPECTION-1999 GMC/PCT#3"</f>
        <v>INSPECTION-1999 GMC/PCT#3</v>
      </c>
    </row>
    <row r="1273" spans="1:9" x14ac:dyDescent="0.25">
      <c r="A1273" t="str">
        <f>"T9047"</f>
        <v>T9047</v>
      </c>
      <c r="B1273" t="s">
        <v>362</v>
      </c>
      <c r="C1273">
        <v>76354</v>
      </c>
      <c r="D1273" s="2">
        <v>32.25</v>
      </c>
      <c r="E1273" s="1">
        <v>43213</v>
      </c>
      <c r="F1273" t="str">
        <f>"1006933874"</f>
        <v>1006933874</v>
      </c>
      <c r="G1273" t="str">
        <f>"INV 1006933874"</f>
        <v>INV 1006933874</v>
      </c>
      <c r="H1273">
        <v>32.25</v>
      </c>
      <c r="I1273" t="str">
        <f>"INV 1006933874"</f>
        <v>INV 1006933874</v>
      </c>
    </row>
    <row r="1274" spans="1:9" x14ac:dyDescent="0.25">
      <c r="A1274" t="str">
        <f>"PB"</f>
        <v>PB</v>
      </c>
      <c r="B1274" t="s">
        <v>363</v>
      </c>
      <c r="C1274">
        <v>999999</v>
      </c>
      <c r="D1274" s="2">
        <v>1631.01</v>
      </c>
      <c r="E1274" s="1">
        <v>43200</v>
      </c>
      <c r="F1274" t="str">
        <f>"3305883938"</f>
        <v>3305883938</v>
      </c>
      <c r="G1274" t="str">
        <f>"ACCT#0011198047/POSTAGE"</f>
        <v>ACCT#0011198047/POSTAGE</v>
      </c>
      <c r="H1274">
        <v>1631.01</v>
      </c>
      <c r="I1274" t="str">
        <f>"ACCT#0011198047/POSTAGE"</f>
        <v>ACCT#0011198047/POSTAGE</v>
      </c>
    </row>
    <row r="1275" spans="1:9" x14ac:dyDescent="0.25">
      <c r="A1275" t="str">
        <f>"003293"</f>
        <v>003293</v>
      </c>
      <c r="B1275" t="s">
        <v>364</v>
      </c>
      <c r="C1275">
        <v>76355</v>
      </c>
      <c r="D1275" s="2">
        <v>250</v>
      </c>
      <c r="E1275" s="1">
        <v>43213</v>
      </c>
      <c r="F1275" t="str">
        <f>"201804130359"</f>
        <v>201804130359</v>
      </c>
      <c r="G1275" t="str">
        <f>"55 252"</f>
        <v>55 252</v>
      </c>
      <c r="H1275">
        <v>250</v>
      </c>
      <c r="I1275" t="str">
        <f>"55 252"</f>
        <v>55 252</v>
      </c>
    </row>
    <row r="1276" spans="1:9" x14ac:dyDescent="0.25">
      <c r="A1276" t="str">
        <f>"PM"</f>
        <v>PM</v>
      </c>
      <c r="B1276" t="s">
        <v>365</v>
      </c>
      <c r="C1276">
        <v>76130</v>
      </c>
      <c r="D1276" s="2">
        <v>1470</v>
      </c>
      <c r="E1276" s="1">
        <v>43199</v>
      </c>
      <c r="F1276" t="str">
        <f>"201804039899"</f>
        <v>201804039899</v>
      </c>
      <c r="G1276" t="str">
        <f>"30 ROLLS OF STAMPS"</f>
        <v>30 ROLLS OF STAMPS</v>
      </c>
      <c r="H1276">
        <v>1470</v>
      </c>
      <c r="I1276" t="str">
        <f>"30 ROLLS OF STAMPS"</f>
        <v>30 ROLLS OF STAMPS</v>
      </c>
    </row>
    <row r="1277" spans="1:9" x14ac:dyDescent="0.25">
      <c r="A1277" t="str">
        <f>"PM"</f>
        <v>PM</v>
      </c>
      <c r="B1277" t="s">
        <v>365</v>
      </c>
      <c r="C1277">
        <v>76356</v>
      </c>
      <c r="D1277" s="2">
        <v>182</v>
      </c>
      <c r="E1277" s="1">
        <v>43213</v>
      </c>
      <c r="F1277" t="str">
        <f>"201804110238"</f>
        <v>201804110238</v>
      </c>
      <c r="G1277" t="str">
        <f>"ANNUAL FEE/BOX#770/DIST CLERK"</f>
        <v>ANNUAL FEE/BOX#770/DIST CLERK</v>
      </c>
      <c r="H1277">
        <v>182</v>
      </c>
      <c r="I1277" t="str">
        <f>"ANNUAL FEE/BOX#770/DIST CLERK"</f>
        <v>ANNUAL FEE/BOX#770/DIST CLERK</v>
      </c>
    </row>
    <row r="1278" spans="1:9" x14ac:dyDescent="0.25">
      <c r="A1278" t="str">
        <f>"005516"</f>
        <v>005516</v>
      </c>
      <c r="B1278" t="s">
        <v>366</v>
      </c>
      <c r="C1278">
        <v>76357</v>
      </c>
      <c r="D1278" s="2">
        <v>400</v>
      </c>
      <c r="E1278" s="1">
        <v>43213</v>
      </c>
      <c r="F1278" t="str">
        <f>"201804160372"</f>
        <v>201804160372</v>
      </c>
      <c r="G1278" t="str">
        <f>"SUBDIVISION REVIEW FEE REFUND"</f>
        <v>SUBDIVISION REVIEW FEE REFUND</v>
      </c>
      <c r="H1278">
        <v>400</v>
      </c>
      <c r="I1278" t="str">
        <f>"SUBDIVISION REVIEW FEE REFUND"</f>
        <v>SUBDIVISION REVIEW FEE REFUND</v>
      </c>
    </row>
    <row r="1279" spans="1:9" x14ac:dyDescent="0.25">
      <c r="A1279" t="str">
        <f>"002297"</f>
        <v>002297</v>
      </c>
      <c r="B1279" t="s">
        <v>367</v>
      </c>
      <c r="C1279">
        <v>76358</v>
      </c>
      <c r="D1279" s="2">
        <v>445</v>
      </c>
      <c r="E1279" s="1">
        <v>43213</v>
      </c>
      <c r="F1279" t="str">
        <f>"2018003"</f>
        <v>2018003</v>
      </c>
      <c r="G1279" t="str">
        <f>"TRANSPORT-J.H. ALLRED"</f>
        <v>TRANSPORT-J.H. ALLRED</v>
      </c>
      <c r="H1279">
        <v>445</v>
      </c>
      <c r="I1279" t="str">
        <f>"TRANSPORT-J.H. ALLRED"</f>
        <v>TRANSPORT-J.H. ALLRED</v>
      </c>
    </row>
    <row r="1280" spans="1:9" x14ac:dyDescent="0.25">
      <c r="A1280" t="str">
        <f>"004709"</f>
        <v>004709</v>
      </c>
      <c r="B1280" t="s">
        <v>368</v>
      </c>
      <c r="C1280">
        <v>76131</v>
      </c>
      <c r="D1280" s="2">
        <v>850</v>
      </c>
      <c r="E1280" s="1">
        <v>43199</v>
      </c>
      <c r="F1280" t="str">
        <f>"228113"</f>
        <v>228113</v>
      </c>
      <c r="G1280" t="str">
        <f>"INV 228113"</f>
        <v>INV 228113</v>
      </c>
      <c r="H1280">
        <v>525</v>
      </c>
      <c r="I1280" t="str">
        <f>"INV 228113"</f>
        <v>INV 228113</v>
      </c>
    </row>
    <row r="1281" spans="1:9" x14ac:dyDescent="0.25">
      <c r="A1281" t="str">
        <f>""</f>
        <v/>
      </c>
      <c r="F1281" t="str">
        <f>"228114"</f>
        <v>228114</v>
      </c>
      <c r="G1281" t="str">
        <f>"INV 228114"</f>
        <v>INV 228114</v>
      </c>
      <c r="H1281">
        <v>325</v>
      </c>
      <c r="I1281" t="str">
        <f>"INV 228114"</f>
        <v>INV 228114</v>
      </c>
    </row>
    <row r="1282" spans="1:9" x14ac:dyDescent="0.25">
      <c r="A1282" t="str">
        <f>"005490"</f>
        <v>005490</v>
      </c>
      <c r="B1282" t="s">
        <v>369</v>
      </c>
      <c r="C1282">
        <v>76132</v>
      </c>
      <c r="D1282" s="2">
        <v>459.2</v>
      </c>
      <c r="E1282" s="1">
        <v>43199</v>
      </c>
      <c r="F1282" t="str">
        <f>"TRAINING"</f>
        <v>TRAINING</v>
      </c>
      <c r="G1282" t="str">
        <f>"LODGING"</f>
        <v>LODGING</v>
      </c>
      <c r="H1282">
        <v>459.2</v>
      </c>
      <c r="I1282" t="str">
        <f>"TRAINING"</f>
        <v>TRAINING</v>
      </c>
    </row>
    <row r="1283" spans="1:9" x14ac:dyDescent="0.25">
      <c r="A1283" t="str">
        <f>"T11156"</f>
        <v>T11156</v>
      </c>
      <c r="B1283" t="s">
        <v>370</v>
      </c>
      <c r="C1283">
        <v>76133</v>
      </c>
      <c r="D1283" s="2">
        <v>213.29</v>
      </c>
      <c r="E1283" s="1">
        <v>43199</v>
      </c>
      <c r="F1283" t="str">
        <f>"201804049950"</f>
        <v>201804049950</v>
      </c>
      <c r="G1283" t="str">
        <f>"INDIGENT HEALTH"</f>
        <v>INDIGENT HEALTH</v>
      </c>
      <c r="H1283">
        <v>213.29</v>
      </c>
      <c r="I1283" t="str">
        <f>"INDIGENT HEALTH"</f>
        <v>INDIGENT HEALTH</v>
      </c>
    </row>
    <row r="1284" spans="1:9" x14ac:dyDescent="0.25">
      <c r="A1284" t="str">
        <f>"000303"</f>
        <v>000303</v>
      </c>
      <c r="B1284" t="s">
        <v>371</v>
      </c>
      <c r="C1284">
        <v>76134</v>
      </c>
      <c r="D1284" s="2">
        <v>1275.93</v>
      </c>
      <c r="E1284" s="1">
        <v>43199</v>
      </c>
      <c r="F1284" t="str">
        <f>"201803279756"</f>
        <v>201803279756</v>
      </c>
      <c r="G1284" t="str">
        <f>"REIMBURSE FUEL"</f>
        <v>REIMBURSE FUEL</v>
      </c>
      <c r="H1284">
        <v>10.3</v>
      </c>
      <c r="I1284" t="str">
        <f>"REIMBURSE FUEL"</f>
        <v>REIMBURSE FUEL</v>
      </c>
    </row>
    <row r="1285" spans="1:9" x14ac:dyDescent="0.25">
      <c r="A1285" t="str">
        <f>""</f>
        <v/>
      </c>
      <c r="F1285" t="str">
        <f>"201803279757"</f>
        <v>201803279757</v>
      </c>
      <c r="G1285" t="str">
        <f>"REIMBURSE HOTEL/MEALS DEC05-06"</f>
        <v>REIMBURSE HOTEL/MEALS DEC05-06</v>
      </c>
      <c r="H1285">
        <v>121.79</v>
      </c>
      <c r="I1285" t="str">
        <f>"REIMBURSE HOTEL/MEALS"</f>
        <v>REIMBURSE HOTEL/MEALS</v>
      </c>
    </row>
    <row r="1286" spans="1:9" x14ac:dyDescent="0.25">
      <c r="A1286" t="str">
        <f>""</f>
        <v/>
      </c>
      <c r="F1286" t="str">
        <f>"201803279758"</f>
        <v>201803279758</v>
      </c>
      <c r="G1286" t="str">
        <f>"REMIBURSE HOTEL/MEALS DEC07-08"</f>
        <v>REMIBURSE HOTEL/MEALS DEC07-08</v>
      </c>
      <c r="H1286">
        <v>127.23</v>
      </c>
      <c r="I1286" t="str">
        <f>"REMIBURSE HOTEL/MEALS"</f>
        <v>REMIBURSE HOTEL/MEALS</v>
      </c>
    </row>
    <row r="1287" spans="1:9" x14ac:dyDescent="0.25">
      <c r="A1287" t="str">
        <f>""</f>
        <v/>
      </c>
      <c r="F1287" t="str">
        <f>"201803279759"</f>
        <v>201803279759</v>
      </c>
      <c r="G1287" t="str">
        <f>"REIMBURSE HOTEL/MEALS FEB02-04"</f>
        <v>REIMBURSE HOTEL/MEALS FEB02-04</v>
      </c>
      <c r="H1287">
        <v>297.54000000000002</v>
      </c>
      <c r="I1287" t="str">
        <f>"REIMBURSE HOTEL/MEALS FEB02-04"</f>
        <v>REIMBURSE HOTEL/MEALS FEB02-04</v>
      </c>
    </row>
    <row r="1288" spans="1:9" x14ac:dyDescent="0.25">
      <c r="A1288" t="str">
        <f>""</f>
        <v/>
      </c>
      <c r="F1288" t="str">
        <f>"201803279760"</f>
        <v>201803279760</v>
      </c>
      <c r="G1288" t="str">
        <f>"REIMBURSE HOTEL/MEALS FEB12-16"</f>
        <v>REIMBURSE HOTEL/MEALS FEB12-16</v>
      </c>
      <c r="H1288">
        <v>295.86</v>
      </c>
      <c r="I1288" t="str">
        <f>"REIMBURSE HOTEL/MEALS FEB12-16"</f>
        <v>REIMBURSE HOTEL/MEALS FEB12-16</v>
      </c>
    </row>
    <row r="1289" spans="1:9" x14ac:dyDescent="0.25">
      <c r="A1289" t="str">
        <f>""</f>
        <v/>
      </c>
      <c r="F1289" t="str">
        <f>"201803279761"</f>
        <v>201803279761</v>
      </c>
      <c r="G1289" t="str">
        <f>"REIMBURSE PEST LIC RENEWAL"</f>
        <v>REIMBURSE PEST LIC RENEWAL</v>
      </c>
      <c r="H1289">
        <v>76.94</v>
      </c>
      <c r="I1289" t="str">
        <f>"REIMBURSE PEST LIC RENEWAL"</f>
        <v>REIMBURSE PEST LIC RENEWAL</v>
      </c>
    </row>
    <row r="1290" spans="1:9" x14ac:dyDescent="0.25">
      <c r="A1290" t="str">
        <f>""</f>
        <v/>
      </c>
      <c r="F1290" t="str">
        <f>"201803279762"</f>
        <v>201803279762</v>
      </c>
      <c r="G1290" t="str">
        <f>"REIMBURSE HOTEL/MEALS MAR07-09"</f>
        <v>REIMBURSE HOTEL/MEALS MAR07-09</v>
      </c>
      <c r="H1290">
        <v>346.27</v>
      </c>
      <c r="I1290" t="str">
        <f>"REIMBURSE HOTEL/MEALS MAR07-09"</f>
        <v>REIMBURSE HOTEL/MEALS MAR07-09</v>
      </c>
    </row>
    <row r="1291" spans="1:9" x14ac:dyDescent="0.25">
      <c r="A1291" t="str">
        <f>"000591"</f>
        <v>000591</v>
      </c>
      <c r="B1291" t="s">
        <v>372</v>
      </c>
      <c r="C1291">
        <v>999999</v>
      </c>
      <c r="D1291" s="2">
        <v>20.98</v>
      </c>
      <c r="E1291" s="1">
        <v>43200</v>
      </c>
      <c r="F1291" t="str">
        <f>"08C0121569859"</f>
        <v>08C0121569859</v>
      </c>
      <c r="G1291" t="str">
        <f>"ACCT#0121569859/JP#4"</f>
        <v>ACCT#0121569859/JP#4</v>
      </c>
      <c r="H1291">
        <v>9.99</v>
      </c>
      <c r="I1291" t="str">
        <f>"ACCT#0121569859/JP#4"</f>
        <v>ACCT#0121569859/JP#4</v>
      </c>
    </row>
    <row r="1292" spans="1:9" x14ac:dyDescent="0.25">
      <c r="A1292" t="str">
        <f>""</f>
        <v/>
      </c>
      <c r="F1292" t="str">
        <f>"08C0121587851"</f>
        <v>08C0121587851</v>
      </c>
      <c r="G1292" t="str">
        <f>"ACCT#0121587851/RENT/PCT#4"</f>
        <v>ACCT#0121587851/RENT/PCT#4</v>
      </c>
      <c r="H1292">
        <v>10.99</v>
      </c>
      <c r="I1292" t="str">
        <f>"ACCT#0121587851/RENT/PCT#4"</f>
        <v>ACCT#0121587851/RENT/PCT#4</v>
      </c>
    </row>
    <row r="1293" spans="1:9" x14ac:dyDescent="0.25">
      <c r="A1293" t="str">
        <f>"000591"</f>
        <v>000591</v>
      </c>
      <c r="B1293" t="s">
        <v>372</v>
      </c>
      <c r="C1293">
        <v>999999</v>
      </c>
      <c r="D1293" s="2">
        <v>114.37</v>
      </c>
      <c r="E1293" s="1">
        <v>43214</v>
      </c>
      <c r="F1293" t="str">
        <f>"08D0121569859"</f>
        <v>08D0121569859</v>
      </c>
      <c r="G1293" t="str">
        <f>"ACCT#0121569859/JP#4"</f>
        <v>ACCT#0121569859/JP#4</v>
      </c>
      <c r="H1293">
        <v>12.93</v>
      </c>
      <c r="I1293" t="str">
        <f>"ACCT#0121569859/JP#4"</f>
        <v>ACCT#0121569859/JP#4</v>
      </c>
    </row>
    <row r="1294" spans="1:9" x14ac:dyDescent="0.25">
      <c r="A1294" t="str">
        <f>""</f>
        <v/>
      </c>
      <c r="F1294" t="str">
        <f>"08D0121587851"</f>
        <v>08D0121587851</v>
      </c>
      <c r="G1294" t="str">
        <f>"ACCT#0121587851/PCT#4"</f>
        <v>ACCT#0121587851/PCT#4</v>
      </c>
      <c r="H1294">
        <v>101.44</v>
      </c>
      <c r="I1294" t="str">
        <f>"ACCT#0121587851/PCT#4"</f>
        <v>ACCT#0121587851/PCT#4</v>
      </c>
    </row>
    <row r="1295" spans="1:9" x14ac:dyDescent="0.25">
      <c r="A1295" t="str">
        <f>"005470"</f>
        <v>005470</v>
      </c>
      <c r="B1295" t="s">
        <v>373</v>
      </c>
      <c r="C1295">
        <v>76135</v>
      </c>
      <c r="D1295" s="2">
        <v>450</v>
      </c>
      <c r="E1295" s="1">
        <v>43199</v>
      </c>
      <c r="F1295" t="str">
        <f>"101"</f>
        <v>101</v>
      </c>
      <c r="G1295" t="str">
        <f>"VETERINARY SVCS"</f>
        <v>VETERINARY SVCS</v>
      </c>
      <c r="H1295">
        <v>450</v>
      </c>
      <c r="I1295" t="str">
        <f>"VETERINARY SVCS"</f>
        <v>VETERINARY SVCS</v>
      </c>
    </row>
    <row r="1296" spans="1:9" x14ac:dyDescent="0.25">
      <c r="A1296" t="str">
        <f>"005470"</f>
        <v>005470</v>
      </c>
      <c r="B1296" t="s">
        <v>373</v>
      </c>
      <c r="C1296">
        <v>76359</v>
      </c>
      <c r="D1296" s="2">
        <v>450</v>
      </c>
      <c r="E1296" s="1">
        <v>43213</v>
      </c>
      <c r="F1296" t="str">
        <f>"100"</f>
        <v>100</v>
      </c>
      <c r="G1296" t="str">
        <f>"VETERINARY SVCS 04-12-18"</f>
        <v>VETERINARY SVCS 04-12-18</v>
      </c>
      <c r="H1296">
        <v>450</v>
      </c>
      <c r="I1296" t="str">
        <f>"VETERINARY SVCS 04-12-18"</f>
        <v>VETERINARY SVCS 04-12-18</v>
      </c>
    </row>
    <row r="1297" spans="1:9" x14ac:dyDescent="0.25">
      <c r="A1297" t="str">
        <f>"005523"</f>
        <v>005523</v>
      </c>
      <c r="B1297" t="s">
        <v>374</v>
      </c>
      <c r="C1297">
        <v>76360</v>
      </c>
      <c r="D1297" s="2">
        <v>10000</v>
      </c>
      <c r="E1297" s="1">
        <v>43213</v>
      </c>
      <c r="F1297" t="str">
        <f>"201804200406"</f>
        <v>201804200406</v>
      </c>
      <c r="G1297" t="str">
        <f>"MEDIATION SETTLEMENT-MONTIE LA"</f>
        <v>MEDIATION SETTLEMENT-MONTIE LA</v>
      </c>
      <c r="H1297">
        <v>10000</v>
      </c>
      <c r="I1297" t="str">
        <f>"MEDIATION SETTLEMENT-MONTIE LA"</f>
        <v>MEDIATION SETTLEMENT-MONTIE LA</v>
      </c>
    </row>
    <row r="1298" spans="1:9" x14ac:dyDescent="0.25">
      <c r="A1298" t="str">
        <f>"003737"</f>
        <v>003737</v>
      </c>
      <c r="B1298" t="s">
        <v>375</v>
      </c>
      <c r="C1298">
        <v>76136</v>
      </c>
      <c r="D1298" s="2">
        <v>630.55999999999995</v>
      </c>
      <c r="E1298" s="1">
        <v>43199</v>
      </c>
      <c r="F1298" t="str">
        <f>"0843-001445538"</f>
        <v>0843-001445538</v>
      </c>
      <c r="G1298" t="str">
        <f>"ACCT#3-0843-1269216/ANIMAL CON"</f>
        <v>ACCT#3-0843-1269216/ANIMAL CON</v>
      </c>
      <c r="H1298">
        <v>630.55999999999995</v>
      </c>
      <c r="I1298" t="str">
        <f>"ACCT#3-0843-1269216/ANIMAL CON"</f>
        <v>ACCT#3-0843-1269216/ANIMAL CON</v>
      </c>
    </row>
    <row r="1299" spans="1:9" x14ac:dyDescent="0.25">
      <c r="A1299" t="str">
        <f>"003737"</f>
        <v>003737</v>
      </c>
      <c r="B1299" t="s">
        <v>375</v>
      </c>
      <c r="C1299">
        <v>76197</v>
      </c>
      <c r="D1299" s="2">
        <v>1863.2</v>
      </c>
      <c r="E1299" s="1">
        <v>43203</v>
      </c>
      <c r="F1299" t="str">
        <f>"0843-001446838"</f>
        <v>0843-001446838</v>
      </c>
      <c r="G1299" t="str">
        <f>"ACCT#3-0843-0017094 / 03/31/18"</f>
        <v>ACCT#3-0843-0017094 / 03/31/18</v>
      </c>
      <c r="H1299">
        <v>1863.2</v>
      </c>
      <c r="I1299" t="str">
        <f>"ACCT#3-0843-0017094 / 03/31/18"</f>
        <v>ACCT#3-0843-0017094 / 03/31/18</v>
      </c>
    </row>
    <row r="1300" spans="1:9" x14ac:dyDescent="0.25">
      <c r="A1300" t="str">
        <f>"004822"</f>
        <v>004822</v>
      </c>
      <c r="B1300" t="s">
        <v>376</v>
      </c>
      <c r="C1300">
        <v>76137</v>
      </c>
      <c r="D1300" s="2">
        <v>1342.28</v>
      </c>
      <c r="E1300" s="1">
        <v>43199</v>
      </c>
      <c r="F1300" t="str">
        <f>"0000009544"</f>
        <v>0000009544</v>
      </c>
      <c r="G1300" t="str">
        <f>"WK ORD#0000010489/2012 FRHT/P4"</f>
        <v>WK ORD#0000010489/2012 FRHT/P4</v>
      </c>
      <c r="H1300">
        <v>1342.28</v>
      </c>
      <c r="I1300" t="str">
        <f>"WK ORD#0000010489/2012 FRHT/P4"</f>
        <v>WK ORD#0000010489/2012 FRHT/P4</v>
      </c>
    </row>
    <row r="1301" spans="1:9" x14ac:dyDescent="0.25">
      <c r="A1301" t="str">
        <f>"004766"</f>
        <v>004766</v>
      </c>
      <c r="B1301" t="s">
        <v>377</v>
      </c>
      <c r="C1301">
        <v>76138</v>
      </c>
      <c r="D1301" s="2">
        <v>2415</v>
      </c>
      <c r="E1301" s="1">
        <v>43199</v>
      </c>
      <c r="F1301" t="str">
        <f>"201804039933"</f>
        <v>201804039933</v>
      </c>
      <c r="G1301" t="str">
        <f>"CAULKING CRACKS/DEBRIS/PCT#2"</f>
        <v>CAULKING CRACKS/DEBRIS/PCT#2</v>
      </c>
      <c r="H1301">
        <v>1690</v>
      </c>
      <c r="I1301" t="str">
        <f>"CAULKING CRACKS/DEBRIS/PCT#2"</f>
        <v>CAULKING CRACKS/DEBRIS/PCT#2</v>
      </c>
    </row>
    <row r="1302" spans="1:9" x14ac:dyDescent="0.25">
      <c r="A1302" t="str">
        <f>""</f>
        <v/>
      </c>
      <c r="F1302" t="str">
        <f>"201804039934"</f>
        <v>201804039934</v>
      </c>
      <c r="G1302" t="str">
        <f>"REPAIR UNDER LONG BRIDGE/PCT#2"</f>
        <v>REPAIR UNDER LONG BRIDGE/PCT#2</v>
      </c>
      <c r="H1302">
        <v>725</v>
      </c>
      <c r="I1302" t="str">
        <f>"REPAIR UNDER LONG BRIDGE/PCT#2"</f>
        <v>REPAIR UNDER LONG BRIDGE/PCT#2</v>
      </c>
    </row>
    <row r="1303" spans="1:9" x14ac:dyDescent="0.25">
      <c r="A1303" t="str">
        <f>"RESERV"</f>
        <v>RESERV</v>
      </c>
      <c r="B1303" t="s">
        <v>378</v>
      </c>
      <c r="C1303">
        <v>76139</v>
      </c>
      <c r="D1303" s="2">
        <v>9000</v>
      </c>
      <c r="E1303" s="1">
        <v>43199</v>
      </c>
      <c r="F1303" t="str">
        <f>"201804039931"</f>
        <v>201804039931</v>
      </c>
      <c r="G1303" t="str">
        <f>"ACCT#34549337/POSTAGE"</f>
        <v>ACCT#34549337/POSTAGE</v>
      </c>
      <c r="H1303">
        <v>9000</v>
      </c>
      <c r="I1303" t="str">
        <f>"ACCT#34549337/POSTAGE"</f>
        <v>ACCT#34549337/POSTAGE</v>
      </c>
    </row>
    <row r="1304" spans="1:9" x14ac:dyDescent="0.25">
      <c r="A1304" t="str">
        <f>"T11385"</f>
        <v>T11385</v>
      </c>
      <c r="B1304" t="s">
        <v>379</v>
      </c>
      <c r="C1304">
        <v>999999</v>
      </c>
      <c r="D1304" s="2">
        <v>625</v>
      </c>
      <c r="E1304" s="1">
        <v>43214</v>
      </c>
      <c r="F1304" t="str">
        <f>"201804120284"</f>
        <v>201804120284</v>
      </c>
      <c r="G1304" t="str">
        <f>"55231"</f>
        <v>55231</v>
      </c>
      <c r="H1304">
        <v>250</v>
      </c>
      <c r="I1304" t="str">
        <f>"55231"</f>
        <v>55231</v>
      </c>
    </row>
    <row r="1305" spans="1:9" x14ac:dyDescent="0.25">
      <c r="A1305" t="str">
        <f>""</f>
        <v/>
      </c>
      <c r="F1305" t="str">
        <f>"201804120285"</f>
        <v>201804120285</v>
      </c>
      <c r="G1305" t="str">
        <f>"55 895 406147"</f>
        <v>55 895 406147</v>
      </c>
      <c r="H1305">
        <v>375</v>
      </c>
      <c r="I1305" t="str">
        <f>"55 895 406147"</f>
        <v>55 895 406147</v>
      </c>
    </row>
    <row r="1306" spans="1:9" x14ac:dyDescent="0.25">
      <c r="A1306" t="str">
        <f>"T10310"</f>
        <v>T10310</v>
      </c>
      <c r="B1306" t="s">
        <v>380</v>
      </c>
      <c r="C1306">
        <v>76361</v>
      </c>
      <c r="D1306" s="2">
        <v>633.91</v>
      </c>
      <c r="E1306" s="1">
        <v>43213</v>
      </c>
      <c r="F1306" t="str">
        <f>"78346"</f>
        <v>78346</v>
      </c>
      <c r="G1306" t="str">
        <f>"ACCT#3510/PCT#4"</f>
        <v>ACCT#3510/PCT#4</v>
      </c>
      <c r="H1306">
        <v>633.91</v>
      </c>
      <c r="I1306" t="str">
        <f>"ACCT#3510/PCT#4"</f>
        <v>ACCT#3510/PCT#4</v>
      </c>
    </row>
    <row r="1307" spans="1:9" x14ac:dyDescent="0.25">
      <c r="A1307" t="str">
        <f>"T9868"</f>
        <v>T9868</v>
      </c>
      <c r="B1307" t="s">
        <v>381</v>
      </c>
      <c r="C1307">
        <v>76140</v>
      </c>
      <c r="D1307" s="2">
        <v>1250</v>
      </c>
      <c r="E1307" s="1">
        <v>43199</v>
      </c>
      <c r="F1307" t="str">
        <f>"201804049985"</f>
        <v>201804049985</v>
      </c>
      <c r="G1307" t="str">
        <f>"16 271"</f>
        <v>16 271</v>
      </c>
      <c r="H1307">
        <v>1250</v>
      </c>
      <c r="I1307" t="str">
        <f>"16 271"</f>
        <v>16 271</v>
      </c>
    </row>
    <row r="1308" spans="1:9" x14ac:dyDescent="0.25">
      <c r="A1308" t="str">
        <f>"001322"</f>
        <v>001322</v>
      </c>
      <c r="B1308" t="s">
        <v>382</v>
      </c>
      <c r="C1308">
        <v>999999</v>
      </c>
      <c r="D1308" s="2">
        <v>1953.49</v>
      </c>
      <c r="E1308" s="1">
        <v>43200</v>
      </c>
      <c r="F1308" t="str">
        <f>"4457471-P2"</f>
        <v>4457471-P2</v>
      </c>
      <c r="G1308" t="str">
        <f>"CONTRACT#4457471/PCT#2"</f>
        <v>CONTRACT#4457471/PCT#2</v>
      </c>
      <c r="H1308">
        <v>120.82</v>
      </c>
      <c r="I1308" t="str">
        <f>"CONTRACT#4457471/PCT#2"</f>
        <v>CONTRACT#4457471/PCT#2</v>
      </c>
    </row>
    <row r="1309" spans="1:9" x14ac:dyDescent="0.25">
      <c r="A1309" t="str">
        <f>""</f>
        <v/>
      </c>
      <c r="F1309" t="str">
        <f>"5052911412"</f>
        <v>5052911412</v>
      </c>
      <c r="G1309" t="str">
        <f>"CONTRACT#4457471"</f>
        <v>CONTRACT#4457471</v>
      </c>
      <c r="H1309">
        <v>1832.67</v>
      </c>
      <c r="I1309" t="str">
        <f t="shared" ref="I1309:I1325" si="19">"CONTRACT#4457471"</f>
        <v>CONTRACT#4457471</v>
      </c>
    </row>
    <row r="1310" spans="1:9" x14ac:dyDescent="0.25">
      <c r="A1310" t="str">
        <f>""</f>
        <v/>
      </c>
      <c r="F1310" t="str">
        <f>""</f>
        <v/>
      </c>
      <c r="G1310" t="str">
        <f>""</f>
        <v/>
      </c>
      <c r="I1310" t="str">
        <f t="shared" si="19"/>
        <v>CONTRACT#4457471</v>
      </c>
    </row>
    <row r="1311" spans="1:9" x14ac:dyDescent="0.25">
      <c r="A1311" t="str">
        <f>""</f>
        <v/>
      </c>
      <c r="F1311" t="str">
        <f>""</f>
        <v/>
      </c>
      <c r="G1311" t="str">
        <f>""</f>
        <v/>
      </c>
      <c r="I1311" t="str">
        <f t="shared" si="19"/>
        <v>CONTRACT#4457471</v>
      </c>
    </row>
    <row r="1312" spans="1:9" x14ac:dyDescent="0.25">
      <c r="A1312" t="str">
        <f>""</f>
        <v/>
      </c>
      <c r="F1312" t="str">
        <f>""</f>
        <v/>
      </c>
      <c r="G1312" t="str">
        <f>""</f>
        <v/>
      </c>
      <c r="I1312" t="str">
        <f t="shared" si="19"/>
        <v>CONTRACT#4457471</v>
      </c>
    </row>
    <row r="1313" spans="1:9" x14ac:dyDescent="0.25">
      <c r="A1313" t="str">
        <f>""</f>
        <v/>
      </c>
      <c r="F1313" t="str">
        <f>""</f>
        <v/>
      </c>
      <c r="G1313" t="str">
        <f>""</f>
        <v/>
      </c>
      <c r="I1313" t="str">
        <f t="shared" si="19"/>
        <v>CONTRACT#4457471</v>
      </c>
    </row>
    <row r="1314" spans="1:9" x14ac:dyDescent="0.25">
      <c r="A1314" t="str">
        <f>""</f>
        <v/>
      </c>
      <c r="F1314" t="str">
        <f>""</f>
        <v/>
      </c>
      <c r="G1314" t="str">
        <f>""</f>
        <v/>
      </c>
      <c r="I1314" t="str">
        <f t="shared" si="19"/>
        <v>CONTRACT#4457471</v>
      </c>
    </row>
    <row r="1315" spans="1:9" x14ac:dyDescent="0.25">
      <c r="A1315" t="str">
        <f>""</f>
        <v/>
      </c>
      <c r="F1315" t="str">
        <f>""</f>
        <v/>
      </c>
      <c r="G1315" t="str">
        <f>""</f>
        <v/>
      </c>
      <c r="I1315" t="str">
        <f t="shared" si="19"/>
        <v>CONTRACT#4457471</v>
      </c>
    </row>
    <row r="1316" spans="1:9" x14ac:dyDescent="0.25">
      <c r="A1316" t="str">
        <f>""</f>
        <v/>
      </c>
      <c r="F1316" t="str">
        <f>""</f>
        <v/>
      </c>
      <c r="G1316" t="str">
        <f>""</f>
        <v/>
      </c>
      <c r="I1316" t="str">
        <f t="shared" si="19"/>
        <v>CONTRACT#4457471</v>
      </c>
    </row>
    <row r="1317" spans="1:9" x14ac:dyDescent="0.25">
      <c r="A1317" t="str">
        <f>""</f>
        <v/>
      </c>
      <c r="F1317" t="str">
        <f>""</f>
        <v/>
      </c>
      <c r="G1317" t="str">
        <f>""</f>
        <v/>
      </c>
      <c r="I1317" t="str">
        <f t="shared" si="19"/>
        <v>CONTRACT#4457471</v>
      </c>
    </row>
    <row r="1318" spans="1:9" x14ac:dyDescent="0.25">
      <c r="A1318" t="str">
        <f>""</f>
        <v/>
      </c>
      <c r="F1318" t="str">
        <f>""</f>
        <v/>
      </c>
      <c r="G1318" t="str">
        <f>""</f>
        <v/>
      </c>
      <c r="I1318" t="str">
        <f t="shared" si="19"/>
        <v>CONTRACT#4457471</v>
      </c>
    </row>
    <row r="1319" spans="1:9" x14ac:dyDescent="0.25">
      <c r="A1319" t="str">
        <f>""</f>
        <v/>
      </c>
      <c r="F1319" t="str">
        <f>""</f>
        <v/>
      </c>
      <c r="G1319" t="str">
        <f>""</f>
        <v/>
      </c>
      <c r="I1319" t="str">
        <f t="shared" si="19"/>
        <v>CONTRACT#4457471</v>
      </c>
    </row>
    <row r="1320" spans="1:9" x14ac:dyDescent="0.25">
      <c r="A1320" t="str">
        <f>""</f>
        <v/>
      </c>
      <c r="F1320" t="str">
        <f>""</f>
        <v/>
      </c>
      <c r="G1320" t="str">
        <f>""</f>
        <v/>
      </c>
      <c r="I1320" t="str">
        <f t="shared" si="19"/>
        <v>CONTRACT#4457471</v>
      </c>
    </row>
    <row r="1321" spans="1:9" x14ac:dyDescent="0.25">
      <c r="A1321" t="str">
        <f>""</f>
        <v/>
      </c>
      <c r="F1321" t="str">
        <f>""</f>
        <v/>
      </c>
      <c r="G1321" t="str">
        <f>""</f>
        <v/>
      </c>
      <c r="I1321" t="str">
        <f t="shared" si="19"/>
        <v>CONTRACT#4457471</v>
      </c>
    </row>
    <row r="1322" spans="1:9" x14ac:dyDescent="0.25">
      <c r="A1322" t="str">
        <f>""</f>
        <v/>
      </c>
      <c r="F1322" t="str">
        <f>""</f>
        <v/>
      </c>
      <c r="G1322" t="str">
        <f>""</f>
        <v/>
      </c>
      <c r="I1322" t="str">
        <f t="shared" si="19"/>
        <v>CONTRACT#4457471</v>
      </c>
    </row>
    <row r="1323" spans="1:9" x14ac:dyDescent="0.25">
      <c r="A1323" t="str">
        <f>""</f>
        <v/>
      </c>
      <c r="F1323" t="str">
        <f>""</f>
        <v/>
      </c>
      <c r="G1323" t="str">
        <f>""</f>
        <v/>
      </c>
      <c r="I1323" t="str">
        <f t="shared" si="19"/>
        <v>CONTRACT#4457471</v>
      </c>
    </row>
    <row r="1324" spans="1:9" x14ac:dyDescent="0.25">
      <c r="A1324" t="str">
        <f>""</f>
        <v/>
      </c>
      <c r="F1324" t="str">
        <f>""</f>
        <v/>
      </c>
      <c r="G1324" t="str">
        <f>""</f>
        <v/>
      </c>
      <c r="I1324" t="str">
        <f t="shared" si="19"/>
        <v>CONTRACT#4457471</v>
      </c>
    </row>
    <row r="1325" spans="1:9" x14ac:dyDescent="0.25">
      <c r="A1325" t="str">
        <f>""</f>
        <v/>
      </c>
      <c r="F1325" t="str">
        <f>""</f>
        <v/>
      </c>
      <c r="G1325" t="str">
        <f>""</f>
        <v/>
      </c>
      <c r="I1325" t="str">
        <f t="shared" si="19"/>
        <v>CONTRACT#4457471</v>
      </c>
    </row>
    <row r="1326" spans="1:9" x14ac:dyDescent="0.25">
      <c r="A1326" t="str">
        <f>"000972"</f>
        <v>000972</v>
      </c>
      <c r="B1326" t="s">
        <v>383</v>
      </c>
      <c r="C1326">
        <v>76362</v>
      </c>
      <c r="D1326" s="2">
        <v>7517.62</v>
      </c>
      <c r="E1326" s="1">
        <v>43213</v>
      </c>
      <c r="F1326" t="str">
        <f>"31691769"</f>
        <v>31691769</v>
      </c>
      <c r="G1326" t="str">
        <f>"CUST#2000172616"</f>
        <v>CUST#2000172616</v>
      </c>
      <c r="H1326">
        <v>7517.62</v>
      </c>
      <c r="I1326" t="str">
        <f t="shared" ref="I1326:I1351" si="20">"CUST#2000172616"</f>
        <v>CUST#2000172616</v>
      </c>
    </row>
    <row r="1327" spans="1:9" x14ac:dyDescent="0.25">
      <c r="A1327" t="str">
        <f>""</f>
        <v/>
      </c>
      <c r="F1327" t="str">
        <f>""</f>
        <v/>
      </c>
      <c r="G1327" t="str">
        <f>""</f>
        <v/>
      </c>
      <c r="I1327" t="str">
        <f t="shared" si="20"/>
        <v>CUST#2000172616</v>
      </c>
    </row>
    <row r="1328" spans="1:9" x14ac:dyDescent="0.25">
      <c r="A1328" t="str">
        <f>""</f>
        <v/>
      </c>
      <c r="F1328" t="str">
        <f>""</f>
        <v/>
      </c>
      <c r="G1328" t="str">
        <f>""</f>
        <v/>
      </c>
      <c r="I1328" t="str">
        <f t="shared" si="20"/>
        <v>CUST#2000172616</v>
      </c>
    </row>
    <row r="1329" spans="1:9" x14ac:dyDescent="0.25">
      <c r="A1329" t="str">
        <f>""</f>
        <v/>
      </c>
      <c r="F1329" t="str">
        <f>""</f>
        <v/>
      </c>
      <c r="G1329" t="str">
        <f>""</f>
        <v/>
      </c>
      <c r="I1329" t="str">
        <f t="shared" si="20"/>
        <v>CUST#2000172616</v>
      </c>
    </row>
    <row r="1330" spans="1:9" x14ac:dyDescent="0.25">
      <c r="A1330" t="str">
        <f>""</f>
        <v/>
      </c>
      <c r="F1330" t="str">
        <f>""</f>
        <v/>
      </c>
      <c r="G1330" t="str">
        <f>""</f>
        <v/>
      </c>
      <c r="I1330" t="str">
        <f t="shared" si="20"/>
        <v>CUST#2000172616</v>
      </c>
    </row>
    <row r="1331" spans="1:9" x14ac:dyDescent="0.25">
      <c r="A1331" t="str">
        <f>""</f>
        <v/>
      </c>
      <c r="F1331" t="str">
        <f>""</f>
        <v/>
      </c>
      <c r="G1331" t="str">
        <f>""</f>
        <v/>
      </c>
      <c r="I1331" t="str">
        <f t="shared" si="20"/>
        <v>CUST#2000172616</v>
      </c>
    </row>
    <row r="1332" spans="1:9" x14ac:dyDescent="0.25">
      <c r="A1332" t="str">
        <f>""</f>
        <v/>
      </c>
      <c r="F1332" t="str">
        <f>""</f>
        <v/>
      </c>
      <c r="G1332" t="str">
        <f>""</f>
        <v/>
      </c>
      <c r="I1332" t="str">
        <f t="shared" si="20"/>
        <v>CUST#2000172616</v>
      </c>
    </row>
    <row r="1333" spans="1:9" x14ac:dyDescent="0.25">
      <c r="A1333" t="str">
        <f>""</f>
        <v/>
      </c>
      <c r="F1333" t="str">
        <f>""</f>
        <v/>
      </c>
      <c r="G1333" t="str">
        <f>""</f>
        <v/>
      </c>
      <c r="I1333" t="str">
        <f t="shared" si="20"/>
        <v>CUST#2000172616</v>
      </c>
    </row>
    <row r="1334" spans="1:9" x14ac:dyDescent="0.25">
      <c r="A1334" t="str">
        <f>""</f>
        <v/>
      </c>
      <c r="F1334" t="str">
        <f>""</f>
        <v/>
      </c>
      <c r="G1334" t="str">
        <f>""</f>
        <v/>
      </c>
      <c r="I1334" t="str">
        <f t="shared" si="20"/>
        <v>CUST#2000172616</v>
      </c>
    </row>
    <row r="1335" spans="1:9" x14ac:dyDescent="0.25">
      <c r="A1335" t="str">
        <f>""</f>
        <v/>
      </c>
      <c r="F1335" t="str">
        <f>""</f>
        <v/>
      </c>
      <c r="G1335" t="str">
        <f>""</f>
        <v/>
      </c>
      <c r="I1335" t="str">
        <f t="shared" si="20"/>
        <v>CUST#2000172616</v>
      </c>
    </row>
    <row r="1336" spans="1:9" x14ac:dyDescent="0.25">
      <c r="A1336" t="str">
        <f>""</f>
        <v/>
      </c>
      <c r="F1336" t="str">
        <f>""</f>
        <v/>
      </c>
      <c r="G1336" t="str">
        <f>""</f>
        <v/>
      </c>
      <c r="I1336" t="str">
        <f t="shared" si="20"/>
        <v>CUST#2000172616</v>
      </c>
    </row>
    <row r="1337" spans="1:9" x14ac:dyDescent="0.25">
      <c r="A1337" t="str">
        <f>""</f>
        <v/>
      </c>
      <c r="F1337" t="str">
        <f>""</f>
        <v/>
      </c>
      <c r="G1337" t="str">
        <f>""</f>
        <v/>
      </c>
      <c r="I1337" t="str">
        <f t="shared" si="20"/>
        <v>CUST#2000172616</v>
      </c>
    </row>
    <row r="1338" spans="1:9" x14ac:dyDescent="0.25">
      <c r="A1338" t="str">
        <f>""</f>
        <v/>
      </c>
      <c r="F1338" t="str">
        <f>""</f>
        <v/>
      </c>
      <c r="G1338" t="str">
        <f>""</f>
        <v/>
      </c>
      <c r="I1338" t="str">
        <f t="shared" si="20"/>
        <v>CUST#2000172616</v>
      </c>
    </row>
    <row r="1339" spans="1:9" x14ac:dyDescent="0.25">
      <c r="A1339" t="str">
        <f>""</f>
        <v/>
      </c>
      <c r="F1339" t="str">
        <f>""</f>
        <v/>
      </c>
      <c r="G1339" t="str">
        <f>""</f>
        <v/>
      </c>
      <c r="I1339" t="str">
        <f t="shared" si="20"/>
        <v>CUST#2000172616</v>
      </c>
    </row>
    <row r="1340" spans="1:9" x14ac:dyDescent="0.25">
      <c r="A1340" t="str">
        <f>""</f>
        <v/>
      </c>
      <c r="F1340" t="str">
        <f>""</f>
        <v/>
      </c>
      <c r="G1340" t="str">
        <f>""</f>
        <v/>
      </c>
      <c r="I1340" t="str">
        <f t="shared" si="20"/>
        <v>CUST#2000172616</v>
      </c>
    </row>
    <row r="1341" spans="1:9" x14ac:dyDescent="0.25">
      <c r="A1341" t="str">
        <f>""</f>
        <v/>
      </c>
      <c r="F1341" t="str">
        <f>""</f>
        <v/>
      </c>
      <c r="G1341" t="str">
        <f>""</f>
        <v/>
      </c>
      <c r="I1341" t="str">
        <f t="shared" si="20"/>
        <v>CUST#2000172616</v>
      </c>
    </row>
    <row r="1342" spans="1:9" x14ac:dyDescent="0.25">
      <c r="A1342" t="str">
        <f>""</f>
        <v/>
      </c>
      <c r="F1342" t="str">
        <f>""</f>
        <v/>
      </c>
      <c r="G1342" t="str">
        <f>""</f>
        <v/>
      </c>
      <c r="I1342" t="str">
        <f t="shared" si="20"/>
        <v>CUST#2000172616</v>
      </c>
    </row>
    <row r="1343" spans="1:9" x14ac:dyDescent="0.25">
      <c r="A1343" t="str">
        <f>""</f>
        <v/>
      </c>
      <c r="F1343" t="str">
        <f>""</f>
        <v/>
      </c>
      <c r="G1343" t="str">
        <f>""</f>
        <v/>
      </c>
      <c r="I1343" t="str">
        <f t="shared" si="20"/>
        <v>CUST#2000172616</v>
      </c>
    </row>
    <row r="1344" spans="1:9" x14ac:dyDescent="0.25">
      <c r="A1344" t="str">
        <f>""</f>
        <v/>
      </c>
      <c r="F1344" t="str">
        <f>""</f>
        <v/>
      </c>
      <c r="G1344" t="str">
        <f>""</f>
        <v/>
      </c>
      <c r="I1344" t="str">
        <f t="shared" si="20"/>
        <v>CUST#2000172616</v>
      </c>
    </row>
    <row r="1345" spans="1:9" x14ac:dyDescent="0.25">
      <c r="A1345" t="str">
        <f>""</f>
        <v/>
      </c>
      <c r="F1345" t="str">
        <f>""</f>
        <v/>
      </c>
      <c r="G1345" t="str">
        <f>""</f>
        <v/>
      </c>
      <c r="I1345" t="str">
        <f t="shared" si="20"/>
        <v>CUST#2000172616</v>
      </c>
    </row>
    <row r="1346" spans="1:9" x14ac:dyDescent="0.25">
      <c r="A1346" t="str">
        <f>""</f>
        <v/>
      </c>
      <c r="F1346" t="str">
        <f>""</f>
        <v/>
      </c>
      <c r="G1346" t="str">
        <f>""</f>
        <v/>
      </c>
      <c r="I1346" t="str">
        <f t="shared" si="20"/>
        <v>CUST#2000172616</v>
      </c>
    </row>
    <row r="1347" spans="1:9" x14ac:dyDescent="0.25">
      <c r="A1347" t="str">
        <f>""</f>
        <v/>
      </c>
      <c r="F1347" t="str">
        <f>""</f>
        <v/>
      </c>
      <c r="G1347" t="str">
        <f>""</f>
        <v/>
      </c>
      <c r="I1347" t="str">
        <f t="shared" si="20"/>
        <v>CUST#2000172616</v>
      </c>
    </row>
    <row r="1348" spans="1:9" x14ac:dyDescent="0.25">
      <c r="A1348" t="str">
        <f>""</f>
        <v/>
      </c>
      <c r="F1348" t="str">
        <f>""</f>
        <v/>
      </c>
      <c r="G1348" t="str">
        <f>""</f>
        <v/>
      </c>
      <c r="I1348" t="str">
        <f t="shared" si="20"/>
        <v>CUST#2000172616</v>
      </c>
    </row>
    <row r="1349" spans="1:9" x14ac:dyDescent="0.25">
      <c r="A1349" t="str">
        <f>""</f>
        <v/>
      </c>
      <c r="F1349" t="str">
        <f>""</f>
        <v/>
      </c>
      <c r="G1349" t="str">
        <f>""</f>
        <v/>
      </c>
      <c r="I1349" t="str">
        <f t="shared" si="20"/>
        <v>CUST#2000172616</v>
      </c>
    </row>
    <row r="1350" spans="1:9" x14ac:dyDescent="0.25">
      <c r="A1350" t="str">
        <f>""</f>
        <v/>
      </c>
      <c r="F1350" t="str">
        <f>""</f>
        <v/>
      </c>
      <c r="G1350" t="str">
        <f>""</f>
        <v/>
      </c>
      <c r="I1350" t="str">
        <f t="shared" si="20"/>
        <v>CUST#2000172616</v>
      </c>
    </row>
    <row r="1351" spans="1:9" x14ac:dyDescent="0.25">
      <c r="A1351" t="str">
        <f>""</f>
        <v/>
      </c>
      <c r="F1351" t="str">
        <f>""</f>
        <v/>
      </c>
      <c r="G1351" t="str">
        <f>""</f>
        <v/>
      </c>
      <c r="I1351" t="str">
        <f t="shared" si="20"/>
        <v>CUST#2000172616</v>
      </c>
    </row>
    <row r="1352" spans="1:9" x14ac:dyDescent="0.25">
      <c r="A1352" t="str">
        <f>"000374"</f>
        <v>000374</v>
      </c>
      <c r="B1352" t="s">
        <v>384</v>
      </c>
      <c r="C1352">
        <v>76363</v>
      </c>
      <c r="D1352" s="2">
        <v>499.5</v>
      </c>
      <c r="E1352" s="1">
        <v>43213</v>
      </c>
      <c r="F1352" t="str">
        <f>"W011375"</f>
        <v>W011375</v>
      </c>
      <c r="G1352" t="str">
        <f>"W011375"</f>
        <v>W011375</v>
      </c>
      <c r="H1352">
        <v>499.5</v>
      </c>
      <c r="I1352" t="str">
        <f>"W011375"</f>
        <v>W011375</v>
      </c>
    </row>
    <row r="1353" spans="1:9" x14ac:dyDescent="0.25">
      <c r="A1353" t="str">
        <f>"004417"</f>
        <v>004417</v>
      </c>
      <c r="B1353" t="s">
        <v>385</v>
      </c>
      <c r="C1353">
        <v>999999</v>
      </c>
      <c r="D1353" s="2">
        <v>1100</v>
      </c>
      <c r="E1353" s="1">
        <v>43214</v>
      </c>
      <c r="F1353" t="str">
        <f>"BCSOMAR18"</f>
        <v>BCSOMAR18</v>
      </c>
      <c r="G1353" t="str">
        <f>"INV BCSOMAR18"</f>
        <v>INV BCSOMAR18</v>
      </c>
      <c r="H1353">
        <v>1100</v>
      </c>
      <c r="I1353" t="str">
        <f>"INV BCSOMAR18"</f>
        <v>INV BCSOMAR18</v>
      </c>
    </row>
    <row r="1354" spans="1:9" x14ac:dyDescent="0.25">
      <c r="A1354" t="str">
        <f>"005508"</f>
        <v>005508</v>
      </c>
      <c r="B1354" t="s">
        <v>386</v>
      </c>
      <c r="C1354">
        <v>76364</v>
      </c>
      <c r="D1354" s="2">
        <v>25</v>
      </c>
      <c r="E1354" s="1">
        <v>43213</v>
      </c>
      <c r="F1354" t="str">
        <f>"201804120297"</f>
        <v>201804120297</v>
      </c>
      <c r="G1354" t="str">
        <f>"16 415/REFUND TIME PMNT FEE"</f>
        <v>16 415/REFUND TIME PMNT FEE</v>
      </c>
      <c r="H1354">
        <v>25</v>
      </c>
      <c r="I1354" t="str">
        <f>"16 415/REFUND TIME PMNT FEE"</f>
        <v>16 415/REFUND TIME PMNT FEE</v>
      </c>
    </row>
    <row r="1355" spans="1:9" x14ac:dyDescent="0.25">
      <c r="A1355" t="str">
        <f>"MADDEN"</f>
        <v>MADDEN</v>
      </c>
      <c r="B1355" t="s">
        <v>387</v>
      </c>
      <c r="C1355">
        <v>76141</v>
      </c>
      <c r="D1355" s="2">
        <v>199.8</v>
      </c>
      <c r="E1355" s="1">
        <v>43199</v>
      </c>
      <c r="F1355" t="str">
        <f>"4225348"</f>
        <v>4225348</v>
      </c>
      <c r="G1355" t="str">
        <f>"CUST#90564/ORD#2210531/GEN SVC"</f>
        <v>CUST#90564/ORD#2210531/GEN SVC</v>
      </c>
      <c r="H1355">
        <v>199.8</v>
      </c>
      <c r="I1355" t="str">
        <f>"CUST#90564/ORD#2210531/GEN SVC"</f>
        <v>CUST#90564/ORD#2210531/GEN SVC</v>
      </c>
    </row>
    <row r="1356" spans="1:9" x14ac:dyDescent="0.25">
      <c r="A1356" t="str">
        <f>"MADDEN"</f>
        <v>MADDEN</v>
      </c>
      <c r="B1356" t="s">
        <v>387</v>
      </c>
      <c r="C1356">
        <v>76365</v>
      </c>
      <c r="D1356" s="2">
        <v>3241.59</v>
      </c>
      <c r="E1356" s="1">
        <v>43213</v>
      </c>
      <c r="F1356" t="str">
        <f>"4233036"</f>
        <v>4233036</v>
      </c>
      <c r="G1356" t="str">
        <f>"INV 4233036"</f>
        <v>INV 4233036</v>
      </c>
      <c r="H1356">
        <v>2987.99</v>
      </c>
      <c r="I1356" t="str">
        <f>"INV 4233036"</f>
        <v>INV 4233036</v>
      </c>
    </row>
    <row r="1357" spans="1:9" x14ac:dyDescent="0.25">
      <c r="A1357" t="str">
        <f>""</f>
        <v/>
      </c>
      <c r="F1357" t="str">
        <f>"4236464"</f>
        <v>4236464</v>
      </c>
      <c r="G1357" t="str">
        <f>"INV 4236464"</f>
        <v>INV 4236464</v>
      </c>
      <c r="H1357">
        <v>130.31</v>
      </c>
      <c r="I1357" t="str">
        <f>"INV 4236464"</f>
        <v>INV 4236464</v>
      </c>
    </row>
    <row r="1358" spans="1:9" x14ac:dyDescent="0.25">
      <c r="A1358" t="str">
        <f>""</f>
        <v/>
      </c>
      <c r="F1358" t="str">
        <f>"4241156"</f>
        <v>4241156</v>
      </c>
      <c r="G1358" t="str">
        <f>"CUST#90564/ANIMAL SHELTER"</f>
        <v>CUST#90564/ANIMAL SHELTER</v>
      </c>
      <c r="H1358">
        <v>123.29</v>
      </c>
      <c r="I1358" t="str">
        <f>"CUST#90564/ANIMAL SHELTER"</f>
        <v>CUST#90564/ANIMAL SHELTER</v>
      </c>
    </row>
    <row r="1359" spans="1:9" x14ac:dyDescent="0.25">
      <c r="A1359" t="str">
        <f>"005509"</f>
        <v>005509</v>
      </c>
      <c r="B1359" t="s">
        <v>388</v>
      </c>
      <c r="C1359">
        <v>76366</v>
      </c>
      <c r="D1359" s="2">
        <v>101</v>
      </c>
      <c r="E1359" s="1">
        <v>43213</v>
      </c>
      <c r="F1359" t="str">
        <f>"201804120296"</f>
        <v>201804120296</v>
      </c>
      <c r="G1359" t="str">
        <f>"15 455/OVERPAYMENT"</f>
        <v>15 455/OVERPAYMENT</v>
      </c>
      <c r="H1359">
        <v>101</v>
      </c>
      <c r="I1359" t="str">
        <f>"15 455/OVERPAYMENT"</f>
        <v>15 455/OVERPAYMENT</v>
      </c>
    </row>
    <row r="1360" spans="1:9" x14ac:dyDescent="0.25">
      <c r="A1360" t="str">
        <f>"T8555"</f>
        <v>T8555</v>
      </c>
      <c r="B1360" t="s">
        <v>389</v>
      </c>
      <c r="C1360">
        <v>999999</v>
      </c>
      <c r="D1360" s="2">
        <v>7</v>
      </c>
      <c r="E1360" s="1">
        <v>43200</v>
      </c>
      <c r="F1360" t="str">
        <f>"18706"</f>
        <v>18706</v>
      </c>
      <c r="G1360" t="str">
        <f>"INSPECTION 2017 FRHT/PCT#2"</f>
        <v>INSPECTION 2017 FRHT/PCT#2</v>
      </c>
      <c r="H1360">
        <v>7</v>
      </c>
      <c r="I1360" t="str">
        <f>"INSPECTION 2017 FRHT/PCT#2"</f>
        <v>INSPECTION 2017 FRHT/PCT#2</v>
      </c>
    </row>
    <row r="1361" spans="1:9" x14ac:dyDescent="0.25">
      <c r="A1361" t="str">
        <f>"004991"</f>
        <v>004991</v>
      </c>
      <c r="B1361" t="s">
        <v>390</v>
      </c>
      <c r="C1361">
        <v>76142</v>
      </c>
      <c r="D1361" s="2">
        <v>678</v>
      </c>
      <c r="E1361" s="1">
        <v>43199</v>
      </c>
      <c r="F1361" t="str">
        <f>"201804039898"</f>
        <v>201804039898</v>
      </c>
      <c r="G1361" t="str">
        <f>"LPHCP RECORDING FEES"</f>
        <v>LPHCP RECORDING FEES</v>
      </c>
      <c r="H1361">
        <v>678</v>
      </c>
      <c r="I1361" t="str">
        <f>"LPHCP RECORDING FEES"</f>
        <v>LPHCP RECORDING FEES</v>
      </c>
    </row>
    <row r="1362" spans="1:9" x14ac:dyDescent="0.25">
      <c r="A1362" t="str">
        <f>"RP-CC"</f>
        <v>RP-CC</v>
      </c>
      <c r="B1362" t="s">
        <v>390</v>
      </c>
      <c r="C1362">
        <v>76143</v>
      </c>
      <c r="D1362" s="2">
        <v>222</v>
      </c>
      <c r="E1362" s="1">
        <v>43199</v>
      </c>
      <c r="F1362" t="str">
        <f>"201804049963"</f>
        <v>201804049963</v>
      </c>
      <c r="G1362" t="str">
        <f>"DEVELOPMENT SVCS RECORDING FEE"</f>
        <v>DEVELOPMENT SVCS RECORDING FEE</v>
      </c>
      <c r="H1362">
        <v>222</v>
      </c>
      <c r="I1362" t="str">
        <f>"DEVELOPMENT SVCS RECORDING FEE"</f>
        <v>DEVELOPMENT SVCS RECORDING FEE</v>
      </c>
    </row>
    <row r="1363" spans="1:9" x14ac:dyDescent="0.25">
      <c r="A1363" t="str">
        <f>"004991"</f>
        <v>004991</v>
      </c>
      <c r="B1363" t="s">
        <v>390</v>
      </c>
      <c r="C1363">
        <v>76367</v>
      </c>
      <c r="D1363" s="2">
        <v>252</v>
      </c>
      <c r="E1363" s="1">
        <v>43213</v>
      </c>
      <c r="F1363" t="str">
        <f>"201804170386"</f>
        <v>201804170386</v>
      </c>
      <c r="G1363" t="str">
        <f>"LPHCP RECORDING FEES"</f>
        <v>LPHCP RECORDING FEES</v>
      </c>
      <c r="H1363">
        <v>252</v>
      </c>
      <c r="I1363" t="str">
        <f>"LPHCP RECORDING FEES"</f>
        <v>LPHCP RECORDING FEES</v>
      </c>
    </row>
    <row r="1364" spans="1:9" x14ac:dyDescent="0.25">
      <c r="A1364" t="str">
        <f>"RP-CC"</f>
        <v>RP-CC</v>
      </c>
      <c r="B1364" t="s">
        <v>390</v>
      </c>
      <c r="C1364">
        <v>76368</v>
      </c>
      <c r="D1364" s="2">
        <v>122</v>
      </c>
      <c r="E1364" s="1">
        <v>43213</v>
      </c>
      <c r="F1364" t="str">
        <f>"201804180398"</f>
        <v>201804180398</v>
      </c>
      <c r="G1364" t="str">
        <f>"DEVELOPMENT SVCS RECORDING FEE"</f>
        <v>DEVELOPMENT SVCS RECORDING FEE</v>
      </c>
      <c r="H1364">
        <v>122</v>
      </c>
      <c r="I1364" t="str">
        <f>"DEVELOPMENT SVCS RECORDING FEE"</f>
        <v>DEVELOPMENT SVCS RECORDING FEE</v>
      </c>
    </row>
    <row r="1365" spans="1:9" x14ac:dyDescent="0.25">
      <c r="A1365" t="str">
        <f>"003749"</f>
        <v>003749</v>
      </c>
      <c r="B1365" t="s">
        <v>391</v>
      </c>
      <c r="C1365">
        <v>76369</v>
      </c>
      <c r="D1365" s="2">
        <v>1150</v>
      </c>
      <c r="E1365" s="1">
        <v>43213</v>
      </c>
      <c r="F1365" t="str">
        <f>"11937"</f>
        <v>11937</v>
      </c>
      <c r="G1365" t="str">
        <f>"6 FT DELINEATOR POST"</f>
        <v>6 FT DELINEATOR POST</v>
      </c>
      <c r="H1365">
        <v>1150</v>
      </c>
      <c r="I1365" t="str">
        <f>"6 FT DELINEATOR POST"</f>
        <v>6 FT DELINEATOR POST</v>
      </c>
    </row>
    <row r="1366" spans="1:9" x14ac:dyDescent="0.25">
      <c r="A1366" t="str">
        <f>"004352"</f>
        <v>004352</v>
      </c>
      <c r="B1366" t="s">
        <v>392</v>
      </c>
      <c r="C1366">
        <v>76144</v>
      </c>
      <c r="D1366" s="2">
        <v>6.7</v>
      </c>
      <c r="E1366" s="1">
        <v>43199</v>
      </c>
      <c r="F1366" t="str">
        <f>"201803279765"</f>
        <v>201803279765</v>
      </c>
      <c r="G1366" t="str">
        <f>"REIMBURSE POSTAGE EXPENSES"</f>
        <v>REIMBURSE POSTAGE EXPENSES</v>
      </c>
      <c r="H1366">
        <v>6.7</v>
      </c>
      <c r="I1366" t="str">
        <f>"REIMBURSE POSTAGE EXPENSES"</f>
        <v>REIMBURSE POSTAGE EXPENSES</v>
      </c>
    </row>
    <row r="1367" spans="1:9" x14ac:dyDescent="0.25">
      <c r="A1367" t="str">
        <f>"T11973"</f>
        <v>T11973</v>
      </c>
      <c r="B1367" t="s">
        <v>393</v>
      </c>
      <c r="C1367">
        <v>999999</v>
      </c>
      <c r="D1367" s="2">
        <v>243.55</v>
      </c>
      <c r="E1367" s="1">
        <v>43200</v>
      </c>
      <c r="F1367" t="str">
        <f>"201804049951"</f>
        <v>201804049951</v>
      </c>
      <c r="G1367" t="str">
        <f>"INDIGENT HEALTH"</f>
        <v>INDIGENT HEALTH</v>
      </c>
      <c r="H1367">
        <v>243.55</v>
      </c>
      <c r="I1367" t="str">
        <f>"INDIGENT HEALTH"</f>
        <v>INDIGENT HEALTH</v>
      </c>
    </row>
    <row r="1368" spans="1:9" x14ac:dyDescent="0.25">
      <c r="A1368" t="str">
        <f>""</f>
        <v/>
      </c>
      <c r="F1368" t="str">
        <f>""</f>
        <v/>
      </c>
      <c r="G1368" t="str">
        <f>""</f>
        <v/>
      </c>
      <c r="I1368" t="str">
        <f>"INDIGENT HEALTH"</f>
        <v>INDIGENT HEALTH</v>
      </c>
    </row>
    <row r="1369" spans="1:9" x14ac:dyDescent="0.25">
      <c r="A1369" t="str">
        <f>"005471"</f>
        <v>005471</v>
      </c>
      <c r="B1369" t="s">
        <v>394</v>
      </c>
      <c r="C1369">
        <v>999999</v>
      </c>
      <c r="D1369" s="2">
        <v>519.84</v>
      </c>
      <c r="E1369" s="1">
        <v>43200</v>
      </c>
      <c r="F1369" t="str">
        <f>"BB18092"</f>
        <v>BB18092</v>
      </c>
      <c r="G1369" t="str">
        <f>"TRAINING - MARCH 2018"</f>
        <v>TRAINING - MARCH 2018</v>
      </c>
      <c r="H1369">
        <v>68.400000000000006</v>
      </c>
      <c r="I1369" t="str">
        <f>"TRAINING - MARCH 2018"</f>
        <v>TRAINING - MARCH 2018</v>
      </c>
    </row>
    <row r="1370" spans="1:9" x14ac:dyDescent="0.25">
      <c r="A1370" t="str">
        <f>""</f>
        <v/>
      </c>
      <c r="F1370" t="str">
        <f>"BB18094"</f>
        <v>BB18094</v>
      </c>
      <c r="G1370" t="str">
        <f>"REF#BB067/ACBM AWARENESS"</f>
        <v>REF#BB067/ACBM AWARENESS</v>
      </c>
      <c r="H1370">
        <v>451.44</v>
      </c>
      <c r="I1370" t="str">
        <f>"REF#BB067/ACBM AWARENESS"</f>
        <v>REF#BB067/ACBM AWARENESS</v>
      </c>
    </row>
    <row r="1371" spans="1:9" x14ac:dyDescent="0.25">
      <c r="A1371" t="str">
        <f>"003194"</f>
        <v>003194</v>
      </c>
      <c r="B1371" t="s">
        <v>395</v>
      </c>
      <c r="C1371">
        <v>999999</v>
      </c>
      <c r="D1371" s="2">
        <v>2339</v>
      </c>
      <c r="E1371" s="1">
        <v>43214</v>
      </c>
      <c r="F1371" t="str">
        <f>"PPDINV0009825"</f>
        <v>PPDINV0009825</v>
      </c>
      <c r="G1371" t="str">
        <f>"INV PPDINV0009825"</f>
        <v>INV PPDINV0009825</v>
      </c>
      <c r="H1371">
        <v>2339</v>
      </c>
      <c r="I1371" t="str">
        <f>"INV PPDINV0009825"</f>
        <v>INV PPDINV0009825</v>
      </c>
    </row>
    <row r="1372" spans="1:9" x14ac:dyDescent="0.25">
      <c r="A1372" t="str">
        <f>"005387"</f>
        <v>005387</v>
      </c>
      <c r="B1372" t="s">
        <v>396</v>
      </c>
      <c r="C1372">
        <v>76370</v>
      </c>
      <c r="D1372" s="2">
        <v>12.47</v>
      </c>
      <c r="E1372" s="1">
        <v>43213</v>
      </c>
      <c r="F1372" t="str">
        <f>"66501 FREIGHT"</f>
        <v>66501 FREIGHT</v>
      </c>
      <c r="G1372" t="str">
        <f>"FREIGHT"</f>
        <v>FREIGHT</v>
      </c>
      <c r="H1372">
        <v>12.47</v>
      </c>
      <c r="I1372" t="str">
        <f>"FREIGHT"</f>
        <v>FREIGHT</v>
      </c>
    </row>
    <row r="1373" spans="1:9" x14ac:dyDescent="0.25">
      <c r="A1373" t="str">
        <f>"003131"</f>
        <v>003131</v>
      </c>
      <c r="B1373" t="s">
        <v>397</v>
      </c>
      <c r="C1373">
        <v>76145</v>
      </c>
      <c r="D1373" s="2">
        <v>3333</v>
      </c>
      <c r="E1373" s="1">
        <v>43199</v>
      </c>
      <c r="F1373" t="str">
        <f>"220181"</f>
        <v>220181</v>
      </c>
      <c r="G1373" t="str">
        <f>"SETON RX ASSISTANCE"</f>
        <v>SETON RX ASSISTANCE</v>
      </c>
      <c r="H1373">
        <v>3333</v>
      </c>
      <c r="I1373" t="str">
        <f>"SETON RX ASSISTANCE"</f>
        <v>SETON RX ASSISTANCE</v>
      </c>
    </row>
    <row r="1374" spans="1:9" x14ac:dyDescent="0.25">
      <c r="A1374" t="str">
        <f>"003086"</f>
        <v>003086</v>
      </c>
      <c r="B1374" t="s">
        <v>398</v>
      </c>
      <c r="C1374">
        <v>76146</v>
      </c>
      <c r="D1374" s="2">
        <v>9443.09</v>
      </c>
      <c r="E1374" s="1">
        <v>43199</v>
      </c>
      <c r="F1374" t="str">
        <f>"201804049953"</f>
        <v>201804049953</v>
      </c>
      <c r="G1374" t="str">
        <f>"INDIGENT HEALTH"</f>
        <v>INDIGENT HEALTH</v>
      </c>
      <c r="H1374">
        <v>8153.93</v>
      </c>
      <c r="I1374" t="str">
        <f>"INDIGENT HEALTH"</f>
        <v>INDIGENT HEALTH</v>
      </c>
    </row>
    <row r="1375" spans="1:9" x14ac:dyDescent="0.25">
      <c r="A1375" t="str">
        <f>""</f>
        <v/>
      </c>
      <c r="F1375" t="str">
        <f>""</f>
        <v/>
      </c>
      <c r="G1375" t="str">
        <f>""</f>
        <v/>
      </c>
      <c r="I1375" t="str">
        <f>"INDIGENT HEALTH"</f>
        <v>INDIGENT HEALTH</v>
      </c>
    </row>
    <row r="1376" spans="1:9" x14ac:dyDescent="0.25">
      <c r="A1376" t="str">
        <f>""</f>
        <v/>
      </c>
      <c r="F1376" t="str">
        <f>"201804049954"</f>
        <v>201804049954</v>
      </c>
      <c r="G1376" t="str">
        <f>"INDIGENT HEALTH"</f>
        <v>INDIGENT HEALTH</v>
      </c>
      <c r="H1376">
        <v>1289.1600000000001</v>
      </c>
      <c r="I1376" t="str">
        <f>"INDIGENT HEALTH"</f>
        <v>INDIGENT HEALTH</v>
      </c>
    </row>
    <row r="1377" spans="1:10" x14ac:dyDescent="0.25">
      <c r="A1377" t="str">
        <f>"004521"</f>
        <v>004521</v>
      </c>
      <c r="B1377" t="s">
        <v>399</v>
      </c>
      <c r="C1377">
        <v>76371</v>
      </c>
      <c r="D1377" s="2">
        <v>60</v>
      </c>
      <c r="E1377" s="1">
        <v>43213</v>
      </c>
      <c r="F1377" t="s">
        <v>176</v>
      </c>
      <c r="G1377" t="s">
        <v>400</v>
      </c>
      <c r="H1377" t="str">
        <f>"RESTITUTION-D. MCCOMB"</f>
        <v>RESTITUTION-D. MCCOMB</v>
      </c>
      <c r="I1377" t="str">
        <f>"210-0000"</f>
        <v>210-0000</v>
      </c>
      <c r="J1377">
        <v>60</v>
      </c>
    </row>
    <row r="1378" spans="1:10" x14ac:dyDescent="0.25">
      <c r="A1378" t="str">
        <f>"005487"</f>
        <v>005487</v>
      </c>
      <c r="B1378" t="s">
        <v>401</v>
      </c>
      <c r="C1378">
        <v>76147</v>
      </c>
      <c r="D1378" s="2">
        <v>75</v>
      </c>
      <c r="E1378" s="1">
        <v>43199</v>
      </c>
      <c r="F1378" t="str">
        <f>"201804039922"</f>
        <v>201804039922</v>
      </c>
      <c r="G1378" t="str">
        <f>"PET ADOPTION FEE REFUND"</f>
        <v>PET ADOPTION FEE REFUND</v>
      </c>
      <c r="H1378">
        <v>75</v>
      </c>
      <c r="I1378" t="str">
        <f>"PET ADOPTION FEE REFUND"</f>
        <v>PET ADOPTION FEE REFUND</v>
      </c>
    </row>
    <row r="1379" spans="1:10" x14ac:dyDescent="0.25">
      <c r="A1379" t="str">
        <f>"004740"</f>
        <v>004740</v>
      </c>
      <c r="B1379" t="s">
        <v>402</v>
      </c>
      <c r="C1379">
        <v>76148</v>
      </c>
      <c r="D1379" s="2">
        <v>84</v>
      </c>
      <c r="E1379" s="1">
        <v>43199</v>
      </c>
      <c r="F1379" t="str">
        <f>"8124499603"</f>
        <v>8124499603</v>
      </c>
      <c r="G1379" t="str">
        <f>"INV 8124499603"</f>
        <v>INV 8124499603</v>
      </c>
      <c r="H1379">
        <v>84</v>
      </c>
      <c r="I1379" t="str">
        <f>"INV 8124499603"</f>
        <v>INV 8124499603</v>
      </c>
    </row>
    <row r="1380" spans="1:10" x14ac:dyDescent="0.25">
      <c r="A1380" t="str">
        <f>""</f>
        <v/>
      </c>
      <c r="F1380" t="str">
        <f>""</f>
        <v/>
      </c>
      <c r="G1380" t="str">
        <f>""</f>
        <v/>
      </c>
      <c r="I1380" t="str">
        <f>"INV 8124499603"</f>
        <v>INV 8124499603</v>
      </c>
    </row>
    <row r="1381" spans="1:10" x14ac:dyDescent="0.25">
      <c r="A1381" t="str">
        <f>"004740"</f>
        <v>004740</v>
      </c>
      <c r="B1381" t="s">
        <v>402</v>
      </c>
      <c r="C1381">
        <v>76372</v>
      </c>
      <c r="D1381" s="2">
        <v>301.42</v>
      </c>
      <c r="E1381" s="1">
        <v>43213</v>
      </c>
      <c r="F1381" t="str">
        <f>"8124500356"</f>
        <v>8124500356</v>
      </c>
      <c r="G1381" t="str">
        <f>"CUST#16153373"</f>
        <v>CUST#16153373</v>
      </c>
      <c r="H1381">
        <v>73</v>
      </c>
      <c r="I1381" t="str">
        <f t="shared" ref="I1381:I1386" si="21">"CUST#16153373"</f>
        <v>CUST#16153373</v>
      </c>
    </row>
    <row r="1382" spans="1:10" x14ac:dyDescent="0.25">
      <c r="A1382" t="str">
        <f>""</f>
        <v/>
      </c>
      <c r="F1382" t="str">
        <f>""</f>
        <v/>
      </c>
      <c r="G1382" t="str">
        <f>""</f>
        <v/>
      </c>
      <c r="I1382" t="str">
        <f t="shared" si="21"/>
        <v>CUST#16153373</v>
      </c>
    </row>
    <row r="1383" spans="1:10" x14ac:dyDescent="0.25">
      <c r="A1383" t="str">
        <f>""</f>
        <v/>
      </c>
      <c r="F1383" t="str">
        <f>""</f>
        <v/>
      </c>
      <c r="G1383" t="str">
        <f>""</f>
        <v/>
      </c>
      <c r="I1383" t="str">
        <f t="shared" si="21"/>
        <v>CUST#16153373</v>
      </c>
    </row>
    <row r="1384" spans="1:10" x14ac:dyDescent="0.25">
      <c r="A1384" t="str">
        <f>""</f>
        <v/>
      </c>
      <c r="F1384" t="str">
        <f>""</f>
        <v/>
      </c>
      <c r="G1384" t="str">
        <f>""</f>
        <v/>
      </c>
      <c r="I1384" t="str">
        <f t="shared" si="21"/>
        <v>CUST#16153373</v>
      </c>
    </row>
    <row r="1385" spans="1:10" x14ac:dyDescent="0.25">
      <c r="A1385" t="str">
        <f>""</f>
        <v/>
      </c>
      <c r="F1385" t="str">
        <f>""</f>
        <v/>
      </c>
      <c r="G1385" t="str">
        <f>""</f>
        <v/>
      </c>
      <c r="I1385" t="str">
        <f t="shared" si="21"/>
        <v>CUST#16153373</v>
      </c>
    </row>
    <row r="1386" spans="1:10" x14ac:dyDescent="0.25">
      <c r="A1386" t="str">
        <f>""</f>
        <v/>
      </c>
      <c r="F1386" t="str">
        <f>""</f>
        <v/>
      </c>
      <c r="G1386" t="str">
        <f>""</f>
        <v/>
      </c>
      <c r="I1386" t="str">
        <f t="shared" si="21"/>
        <v>CUST#16153373</v>
      </c>
    </row>
    <row r="1387" spans="1:10" x14ac:dyDescent="0.25">
      <c r="A1387" t="str">
        <f>""</f>
        <v/>
      </c>
      <c r="F1387" t="str">
        <f>"8124500417"</f>
        <v>8124500417</v>
      </c>
      <c r="G1387" t="str">
        <f>"CUST#16156071/TAX OFFICE"</f>
        <v>CUST#16156071/TAX OFFICE</v>
      </c>
      <c r="H1387">
        <v>103</v>
      </c>
      <c r="I1387" t="str">
        <f>"CUST#16156071/TAX OFFICE"</f>
        <v>CUST#16156071/TAX OFFICE</v>
      </c>
    </row>
    <row r="1388" spans="1:10" x14ac:dyDescent="0.25">
      <c r="A1388" t="str">
        <f>""</f>
        <v/>
      </c>
      <c r="F1388" t="str">
        <f>"8124500516"</f>
        <v>8124500516</v>
      </c>
      <c r="G1388" t="str">
        <f>"CUST#16158670/JP#4"</f>
        <v>CUST#16158670/JP#4</v>
      </c>
      <c r="H1388">
        <v>125.42</v>
      </c>
      <c r="I1388" t="str">
        <f>"CUST#16158670/JP#4"</f>
        <v>CUST#16158670/JP#4</v>
      </c>
    </row>
    <row r="1389" spans="1:10" x14ac:dyDescent="0.25">
      <c r="A1389" t="str">
        <f>"LINDER"</f>
        <v>LINDER</v>
      </c>
      <c r="B1389" t="s">
        <v>403</v>
      </c>
      <c r="C1389">
        <v>76373</v>
      </c>
      <c r="D1389" s="2">
        <v>1325</v>
      </c>
      <c r="E1389" s="1">
        <v>43213</v>
      </c>
      <c r="F1389" t="str">
        <f>"18-015"</f>
        <v>18-015</v>
      </c>
      <c r="G1389" t="str">
        <f>"HALF DAY CT REPORTER FEES"</f>
        <v>HALF DAY CT REPORTER FEES</v>
      </c>
      <c r="H1389">
        <v>200</v>
      </c>
      <c r="I1389" t="str">
        <f>"HALF DAY CT REPORTER FEES"</f>
        <v>HALF DAY CT REPORTER FEES</v>
      </c>
    </row>
    <row r="1390" spans="1:10" x14ac:dyDescent="0.25">
      <c r="A1390" t="str">
        <f>""</f>
        <v/>
      </c>
      <c r="F1390" t="str">
        <f>"18-016"</f>
        <v>18-016</v>
      </c>
      <c r="G1390" t="str">
        <f>"COURT REPORTER FEES 3/7-3/28"</f>
        <v>COURT REPORTER FEES 3/7-3/28</v>
      </c>
      <c r="H1390">
        <v>1125</v>
      </c>
      <c r="I1390" t="str">
        <f>"COURT REPORTER FEES 3/7-3/28"</f>
        <v>COURT REPORTER FEES 3/7-3/28</v>
      </c>
    </row>
    <row r="1391" spans="1:10" x14ac:dyDescent="0.25">
      <c r="A1391" t="str">
        <f>"000291"</f>
        <v>000291</v>
      </c>
      <c r="B1391" t="s">
        <v>404</v>
      </c>
      <c r="C1391">
        <v>76374</v>
      </c>
      <c r="D1391" s="2">
        <v>610.45000000000005</v>
      </c>
      <c r="E1391" s="1">
        <v>43213</v>
      </c>
      <c r="F1391" t="str">
        <f>"1741-3"</f>
        <v>1741-3</v>
      </c>
      <c r="G1391" t="str">
        <f>"ACCT#4220-2556-9/PCT#4"</f>
        <v>ACCT#4220-2556-9/PCT#4</v>
      </c>
      <c r="H1391">
        <v>391.55</v>
      </c>
      <c r="I1391" t="str">
        <f>"ACCT#4220-2556-9/PCT#4"</f>
        <v>ACCT#4220-2556-9/PCT#4</v>
      </c>
    </row>
    <row r="1392" spans="1:10" x14ac:dyDescent="0.25">
      <c r="A1392" t="str">
        <f>""</f>
        <v/>
      </c>
      <c r="F1392" t="str">
        <f>"1909-6"</f>
        <v>1909-6</v>
      </c>
      <c r="G1392" t="str">
        <f>"ACCT#4220-2556-9"</f>
        <v>ACCT#4220-2556-9</v>
      </c>
      <c r="H1392">
        <v>218.9</v>
      </c>
      <c r="I1392" t="str">
        <f>"ACCT#4220-2556-9"</f>
        <v>ACCT#4220-2556-9</v>
      </c>
    </row>
    <row r="1393" spans="1:9" x14ac:dyDescent="0.25">
      <c r="A1393" t="str">
        <f>"T10195"</f>
        <v>T10195</v>
      </c>
      <c r="B1393" t="s">
        <v>405</v>
      </c>
      <c r="C1393">
        <v>76375</v>
      </c>
      <c r="D1393" s="2">
        <v>5056.34</v>
      </c>
      <c r="E1393" s="1">
        <v>43213</v>
      </c>
      <c r="F1393" t="str">
        <f>"GB00277521"</f>
        <v>GB00277521</v>
      </c>
      <c r="G1393" t="str">
        <f>"Renewal NetCloud"</f>
        <v>Renewal NetCloud</v>
      </c>
      <c r="H1393">
        <v>428</v>
      </c>
      <c r="I1393" t="str">
        <f>"Renewal-Cradlepoint"</f>
        <v>Renewal-Cradlepoint</v>
      </c>
    </row>
    <row r="1394" spans="1:9" x14ac:dyDescent="0.25">
      <c r="A1394" t="str">
        <f>""</f>
        <v/>
      </c>
      <c r="F1394" t="str">
        <f>"GB00277935"</f>
        <v>GB00277935</v>
      </c>
      <c r="G1394" t="str">
        <f>"Additional Licenses"</f>
        <v>Additional Licenses</v>
      </c>
      <c r="H1394">
        <v>4628.34</v>
      </c>
      <c r="I1394" t="str">
        <f>"Part# 13264"</f>
        <v>Part# 13264</v>
      </c>
    </row>
    <row r="1395" spans="1:9" x14ac:dyDescent="0.25">
      <c r="A1395" t="str">
        <f>"001260"</f>
        <v>001260</v>
      </c>
      <c r="B1395" t="s">
        <v>406</v>
      </c>
      <c r="C1395">
        <v>76149</v>
      </c>
      <c r="D1395" s="2">
        <v>36.24</v>
      </c>
      <c r="E1395" s="1">
        <v>43199</v>
      </c>
      <c r="F1395" t="str">
        <f>"201804049955"</f>
        <v>201804049955</v>
      </c>
      <c r="G1395" t="str">
        <f>"INDIGENT HEALTH"</f>
        <v>INDIGENT HEALTH</v>
      </c>
      <c r="H1395">
        <v>36.24</v>
      </c>
      <c r="I1395" t="str">
        <f>"INDIGENT HEALTH"</f>
        <v>INDIGENT HEALTH</v>
      </c>
    </row>
    <row r="1396" spans="1:9" x14ac:dyDescent="0.25">
      <c r="A1396" t="str">
        <f>"SIRCHI"</f>
        <v>SIRCHI</v>
      </c>
      <c r="B1396" t="s">
        <v>407</v>
      </c>
      <c r="C1396">
        <v>76376</v>
      </c>
      <c r="D1396" s="2">
        <v>350.21</v>
      </c>
      <c r="E1396" s="1">
        <v>43213</v>
      </c>
      <c r="F1396" t="str">
        <f>"0344528-IN"</f>
        <v>0344528-IN</v>
      </c>
      <c r="G1396" t="str">
        <f>"INV 0344528-IN"</f>
        <v>INV 0344528-IN</v>
      </c>
      <c r="H1396">
        <v>350.21</v>
      </c>
      <c r="I1396" t="str">
        <f>"INV 0344528-IN"</f>
        <v>INV 0344528-IN</v>
      </c>
    </row>
    <row r="1397" spans="1:9" x14ac:dyDescent="0.25">
      <c r="A1397" t="str">
        <f>""</f>
        <v/>
      </c>
      <c r="F1397" t="str">
        <f>""</f>
        <v/>
      </c>
      <c r="G1397" t="str">
        <f>""</f>
        <v/>
      </c>
      <c r="I1397" t="str">
        <f>"SHIPPING"</f>
        <v>SHIPPING</v>
      </c>
    </row>
    <row r="1398" spans="1:9" x14ac:dyDescent="0.25">
      <c r="A1398" t="str">
        <f>"SS"</f>
        <v>SS</v>
      </c>
      <c r="B1398" t="s">
        <v>408</v>
      </c>
      <c r="C1398">
        <v>76377</v>
      </c>
      <c r="D1398" s="2">
        <v>121.06</v>
      </c>
      <c r="E1398" s="1">
        <v>43213</v>
      </c>
      <c r="F1398" t="str">
        <f>"201804120289"</f>
        <v>201804120289</v>
      </c>
      <c r="G1398" t="str">
        <f>"STATEMENT#27003/PCT#2"</f>
        <v>STATEMENT#27003/PCT#2</v>
      </c>
      <c r="H1398">
        <v>121.06</v>
      </c>
      <c r="I1398" t="str">
        <f>"STATEMENT#27003/PCT#2"</f>
        <v>STATEMENT#27003/PCT#2</v>
      </c>
    </row>
    <row r="1399" spans="1:9" x14ac:dyDescent="0.25">
      <c r="A1399" t="str">
        <f>"SAP"</f>
        <v>SAP</v>
      </c>
      <c r="B1399" t="s">
        <v>409</v>
      </c>
      <c r="C1399">
        <v>76378</v>
      </c>
      <c r="D1399" s="2">
        <v>545.46</v>
      </c>
      <c r="E1399" s="1">
        <v>43213</v>
      </c>
      <c r="F1399" t="str">
        <f>"201804120288"</f>
        <v>201804120288</v>
      </c>
      <c r="G1399" t="str">
        <f>"ACCT#260/PCT#2"</f>
        <v>ACCT#260/PCT#2</v>
      </c>
      <c r="H1399">
        <v>545.46</v>
      </c>
      <c r="I1399" t="str">
        <f>"ACCT#260/PCT#2"</f>
        <v>ACCT#260/PCT#2</v>
      </c>
    </row>
    <row r="1400" spans="1:9" x14ac:dyDescent="0.25">
      <c r="A1400" t="str">
        <f>"002694"</f>
        <v>002694</v>
      </c>
      <c r="B1400" t="s">
        <v>410</v>
      </c>
      <c r="C1400">
        <v>76379</v>
      </c>
      <c r="D1400" s="2">
        <v>2736</v>
      </c>
      <c r="E1400" s="1">
        <v>43213</v>
      </c>
      <c r="F1400" t="str">
        <f>"IN372574"</f>
        <v>IN372574</v>
      </c>
      <c r="G1400" t="str">
        <f>"Web Helpdesk Maintenance"</f>
        <v>Web Helpdesk Maintenance</v>
      </c>
      <c r="H1400">
        <v>2736</v>
      </c>
      <c r="I1400" t="str">
        <f>"18295"</f>
        <v>18295</v>
      </c>
    </row>
    <row r="1401" spans="1:9" x14ac:dyDescent="0.25">
      <c r="A1401" t="str">
        <f>"003127"</f>
        <v>003127</v>
      </c>
      <c r="B1401" t="s">
        <v>411</v>
      </c>
      <c r="C1401">
        <v>76380</v>
      </c>
      <c r="D1401" s="2">
        <v>583.08000000000004</v>
      </c>
      <c r="E1401" s="1">
        <v>43213</v>
      </c>
      <c r="F1401" t="str">
        <f>"201804100204"</f>
        <v>201804100204</v>
      </c>
      <c r="G1401" t="str">
        <f>"J. LUCERO-CONFERENCE STAY"</f>
        <v>J. LUCERO-CONFERENCE STAY</v>
      </c>
      <c r="H1401">
        <v>291.54000000000002</v>
      </c>
      <c r="I1401" t="str">
        <f>"J. LUCERO-CONFERENCE STAY"</f>
        <v>J. LUCERO-CONFERENCE STAY</v>
      </c>
    </row>
    <row r="1402" spans="1:9" x14ac:dyDescent="0.25">
      <c r="A1402" t="str">
        <f>""</f>
        <v/>
      </c>
      <c r="F1402" t="str">
        <f>"201804100205"</f>
        <v>201804100205</v>
      </c>
      <c r="G1402" t="str">
        <f>"M. BORREGO-CONFERENCE STAY"</f>
        <v>M. BORREGO-CONFERENCE STAY</v>
      </c>
      <c r="H1402">
        <v>291.54000000000002</v>
      </c>
      <c r="I1402" t="str">
        <f>"M. BORREGO-CONFERENCE STAY"</f>
        <v>M. BORREGO-CONFERENCE STAY</v>
      </c>
    </row>
    <row r="1403" spans="1:9" x14ac:dyDescent="0.25">
      <c r="A1403" t="str">
        <f>"STM"</f>
        <v>STM</v>
      </c>
      <c r="B1403" t="s">
        <v>412</v>
      </c>
      <c r="C1403">
        <v>76150</v>
      </c>
      <c r="D1403" s="2">
        <v>781.5</v>
      </c>
      <c r="E1403" s="1">
        <v>43199</v>
      </c>
      <c r="F1403" t="str">
        <f>"63244378"</f>
        <v>63244378</v>
      </c>
      <c r="G1403" t="str">
        <f>"CUST#52157/PCT#3"</f>
        <v>CUST#52157/PCT#3</v>
      </c>
      <c r="H1403">
        <v>781.5</v>
      </c>
      <c r="I1403" t="str">
        <f>"CUST#52157/PCT#3"</f>
        <v>CUST#52157/PCT#3</v>
      </c>
    </row>
    <row r="1404" spans="1:9" x14ac:dyDescent="0.25">
      <c r="A1404" t="str">
        <f>"STM"</f>
        <v>STM</v>
      </c>
      <c r="B1404" t="s">
        <v>412</v>
      </c>
      <c r="C1404">
        <v>76381</v>
      </c>
      <c r="D1404" s="2">
        <v>2441.3000000000002</v>
      </c>
      <c r="E1404" s="1">
        <v>43213</v>
      </c>
      <c r="F1404" t="str">
        <f>"63245502"</f>
        <v>63245502</v>
      </c>
      <c r="G1404" t="str">
        <f>"CUST#52157/PCT#1"</f>
        <v>CUST#52157/PCT#1</v>
      </c>
      <c r="H1404">
        <v>2441.3000000000002</v>
      </c>
      <c r="I1404" t="str">
        <f>"CUST#52157/PCT#1"</f>
        <v>CUST#52157/PCT#1</v>
      </c>
    </row>
    <row r="1405" spans="1:9" x14ac:dyDescent="0.25">
      <c r="A1405" t="str">
        <f>"003898"</f>
        <v>003898</v>
      </c>
      <c r="B1405" t="s">
        <v>413</v>
      </c>
      <c r="C1405">
        <v>76151</v>
      </c>
      <c r="D1405" s="2">
        <v>158</v>
      </c>
      <c r="E1405" s="1">
        <v>43199</v>
      </c>
      <c r="F1405" t="str">
        <f>"2865"</f>
        <v>2865</v>
      </c>
      <c r="G1405" t="str">
        <f>"SpanishOnPatrol"</f>
        <v>SpanishOnPatrol</v>
      </c>
      <c r="H1405">
        <v>158</v>
      </c>
      <c r="I1405" t="str">
        <f>"SpanishOnPatrol"</f>
        <v>SpanishOnPatrol</v>
      </c>
    </row>
    <row r="1406" spans="1:9" x14ac:dyDescent="0.25">
      <c r="A1406" t="str">
        <f>"003747"</f>
        <v>003747</v>
      </c>
      <c r="B1406" t="s">
        <v>414</v>
      </c>
      <c r="C1406">
        <v>76382</v>
      </c>
      <c r="D1406" s="2">
        <v>10.62</v>
      </c>
      <c r="E1406" s="1">
        <v>43213</v>
      </c>
      <c r="F1406" t="str">
        <f>"B0698356P"</f>
        <v>B0698356P</v>
      </c>
      <c r="G1406" t="str">
        <f>"ACCT#0698356-3"</f>
        <v>ACCT#0698356-3</v>
      </c>
      <c r="H1406">
        <v>10.62</v>
      </c>
      <c r="I1406" t="str">
        <f>"ACCT#0698356-3"</f>
        <v>ACCT#0698356-3</v>
      </c>
    </row>
    <row r="1407" spans="1:9" x14ac:dyDescent="0.25">
      <c r="A1407" t="str">
        <f>"SDHCS"</f>
        <v>SDHCS</v>
      </c>
      <c r="B1407" t="s">
        <v>415</v>
      </c>
      <c r="C1407">
        <v>76152</v>
      </c>
      <c r="D1407" s="2">
        <v>19650.63</v>
      </c>
      <c r="E1407" s="1">
        <v>43199</v>
      </c>
      <c r="F1407" t="str">
        <f>"201804049956"</f>
        <v>201804049956</v>
      </c>
      <c r="G1407" t="str">
        <f>"INDIGENT HEALTH"</f>
        <v>INDIGENT HEALTH</v>
      </c>
      <c r="H1407">
        <v>19650.63</v>
      </c>
      <c r="I1407" t="str">
        <f>"INDIGENT HEALTH"</f>
        <v>INDIGENT HEALTH</v>
      </c>
    </row>
    <row r="1408" spans="1:9" x14ac:dyDescent="0.25">
      <c r="A1408" t="str">
        <f>""</f>
        <v/>
      </c>
      <c r="F1408" t="str">
        <f>""</f>
        <v/>
      </c>
      <c r="G1408" t="str">
        <f>""</f>
        <v/>
      </c>
      <c r="I1408" t="str">
        <f>"INDIGENT HEALTH"</f>
        <v>INDIGENT HEALTH</v>
      </c>
    </row>
    <row r="1409" spans="1:9" x14ac:dyDescent="0.25">
      <c r="A1409" t="str">
        <f>"003508"</f>
        <v>003508</v>
      </c>
      <c r="B1409" t="s">
        <v>416</v>
      </c>
      <c r="C1409">
        <v>76153</v>
      </c>
      <c r="D1409" s="2">
        <v>5021.93</v>
      </c>
      <c r="E1409" s="1">
        <v>43199</v>
      </c>
      <c r="F1409" t="str">
        <f>"8048903069"</f>
        <v>8048903069</v>
      </c>
      <c r="G1409" t="str">
        <f>"Sum Inv# 8048903069"</f>
        <v>Sum Inv# 8048903069</v>
      </c>
      <c r="H1409">
        <v>2814.47</v>
      </c>
      <c r="I1409" t="str">
        <f>"Inv# 3370439479"</f>
        <v>Inv# 3370439479</v>
      </c>
    </row>
    <row r="1410" spans="1:9" x14ac:dyDescent="0.25">
      <c r="A1410" t="str">
        <f>""</f>
        <v/>
      </c>
      <c r="F1410" t="str">
        <f>""</f>
        <v/>
      </c>
      <c r="G1410" t="str">
        <f>""</f>
        <v/>
      </c>
      <c r="I1410" t="str">
        <f>"Inv# 3370439480"</f>
        <v>Inv# 3370439480</v>
      </c>
    </row>
    <row r="1411" spans="1:9" x14ac:dyDescent="0.25">
      <c r="A1411" t="str">
        <f>""</f>
        <v/>
      </c>
      <c r="F1411" t="str">
        <f>""</f>
        <v/>
      </c>
      <c r="G1411" t="str">
        <f>""</f>
        <v/>
      </c>
      <c r="I1411" t="str">
        <f>"Inv# 3370439477"</f>
        <v>Inv# 3370439477</v>
      </c>
    </row>
    <row r="1412" spans="1:9" x14ac:dyDescent="0.25">
      <c r="A1412" t="str">
        <f>""</f>
        <v/>
      </c>
      <c r="F1412" t="str">
        <f>""</f>
        <v/>
      </c>
      <c r="G1412" t="str">
        <f>""</f>
        <v/>
      </c>
      <c r="I1412" t="str">
        <f>"Inv# 3370439478"</f>
        <v>Inv# 3370439478</v>
      </c>
    </row>
    <row r="1413" spans="1:9" x14ac:dyDescent="0.25">
      <c r="A1413" t="str">
        <f>""</f>
        <v/>
      </c>
      <c r="F1413" t="str">
        <f>""</f>
        <v/>
      </c>
      <c r="G1413" t="str">
        <f>""</f>
        <v/>
      </c>
      <c r="I1413" t="str">
        <f>"Inv# 3370439481"</f>
        <v>Inv# 3370439481</v>
      </c>
    </row>
    <row r="1414" spans="1:9" x14ac:dyDescent="0.25">
      <c r="A1414" t="str">
        <f>""</f>
        <v/>
      </c>
      <c r="F1414" t="str">
        <f>""</f>
        <v/>
      </c>
      <c r="G1414" t="str">
        <f>""</f>
        <v/>
      </c>
      <c r="I1414" t="str">
        <f>"Inv# 3370439484"</f>
        <v>Inv# 3370439484</v>
      </c>
    </row>
    <row r="1415" spans="1:9" x14ac:dyDescent="0.25">
      <c r="A1415" t="str">
        <f>""</f>
        <v/>
      </c>
      <c r="F1415" t="str">
        <f>""</f>
        <v/>
      </c>
      <c r="G1415" t="str">
        <f>""</f>
        <v/>
      </c>
      <c r="I1415" t="str">
        <f>"Inv# 3370439486"</f>
        <v>Inv# 3370439486</v>
      </c>
    </row>
    <row r="1416" spans="1:9" x14ac:dyDescent="0.25">
      <c r="A1416" t="str">
        <f>""</f>
        <v/>
      </c>
      <c r="F1416" t="str">
        <f>""</f>
        <v/>
      </c>
      <c r="G1416" t="str">
        <f>""</f>
        <v/>
      </c>
      <c r="I1416" t="str">
        <f>"Inv# 3370439488"</f>
        <v>Inv# 3370439488</v>
      </c>
    </row>
    <row r="1417" spans="1:9" x14ac:dyDescent="0.25">
      <c r="A1417" t="str">
        <f>""</f>
        <v/>
      </c>
      <c r="F1417" t="str">
        <f>""</f>
        <v/>
      </c>
      <c r="G1417" t="str">
        <f>""</f>
        <v/>
      </c>
      <c r="I1417" t="str">
        <f>"Inv# 3370439486"</f>
        <v>Inv# 3370439486</v>
      </c>
    </row>
    <row r="1418" spans="1:9" x14ac:dyDescent="0.25">
      <c r="A1418" t="str">
        <f>""</f>
        <v/>
      </c>
      <c r="F1418" t="str">
        <f>""</f>
        <v/>
      </c>
      <c r="G1418" t="str">
        <f>""</f>
        <v/>
      </c>
      <c r="I1418" t="str">
        <f>"Inv# 3370439486"</f>
        <v>Inv# 3370439486</v>
      </c>
    </row>
    <row r="1419" spans="1:9" x14ac:dyDescent="0.25">
      <c r="A1419" t="str">
        <f>""</f>
        <v/>
      </c>
      <c r="F1419" t="str">
        <f>""</f>
        <v/>
      </c>
      <c r="G1419" t="str">
        <f>""</f>
        <v/>
      </c>
      <c r="I1419" t="str">
        <f>"Inv# 3370439486"</f>
        <v>Inv# 3370439486</v>
      </c>
    </row>
    <row r="1420" spans="1:9" x14ac:dyDescent="0.25">
      <c r="A1420" t="str">
        <f>""</f>
        <v/>
      </c>
      <c r="F1420" t="str">
        <f>""</f>
        <v/>
      </c>
      <c r="G1420" t="str">
        <f>""</f>
        <v/>
      </c>
      <c r="I1420" t="str">
        <f>"Inv# 3370439482"</f>
        <v>Inv# 3370439482</v>
      </c>
    </row>
    <row r="1421" spans="1:9" x14ac:dyDescent="0.25">
      <c r="A1421" t="str">
        <f>""</f>
        <v/>
      </c>
      <c r="F1421" t="str">
        <f>""</f>
        <v/>
      </c>
      <c r="G1421" t="str">
        <f>""</f>
        <v/>
      </c>
      <c r="I1421" t="str">
        <f>"Inv# 3370439483"</f>
        <v>Inv# 3370439483</v>
      </c>
    </row>
    <row r="1422" spans="1:9" x14ac:dyDescent="0.25">
      <c r="A1422" t="str">
        <f>""</f>
        <v/>
      </c>
      <c r="F1422" t="str">
        <f>""</f>
        <v/>
      </c>
      <c r="G1422" t="str">
        <f>""</f>
        <v/>
      </c>
      <c r="I1422" t="str">
        <f>"Inv# 3370439474"</f>
        <v>Inv# 3370439474</v>
      </c>
    </row>
    <row r="1423" spans="1:9" x14ac:dyDescent="0.25">
      <c r="A1423" t="str">
        <f>""</f>
        <v/>
      </c>
      <c r="F1423" t="str">
        <f>""</f>
        <v/>
      </c>
      <c r="G1423" t="str">
        <f>""</f>
        <v/>
      </c>
      <c r="I1423" t="str">
        <f>"Inv# 3370439475"</f>
        <v>Inv# 3370439475</v>
      </c>
    </row>
    <row r="1424" spans="1:9" x14ac:dyDescent="0.25">
      <c r="A1424" t="str">
        <f>""</f>
        <v/>
      </c>
      <c r="F1424" t="str">
        <f>"8049103646"</f>
        <v>8049103646</v>
      </c>
      <c r="G1424" t="str">
        <f>"Sum Inv# 8049103646"</f>
        <v>Sum Inv# 8049103646</v>
      </c>
      <c r="H1424">
        <v>2207.46</v>
      </c>
      <c r="I1424" t="str">
        <f>"Inv# 3371911060"</f>
        <v>Inv# 3371911060</v>
      </c>
    </row>
    <row r="1425" spans="1:9" x14ac:dyDescent="0.25">
      <c r="A1425" t="str">
        <f>""</f>
        <v/>
      </c>
      <c r="F1425" t="str">
        <f>""</f>
        <v/>
      </c>
      <c r="G1425" t="str">
        <f>""</f>
        <v/>
      </c>
      <c r="I1425" t="str">
        <f>"Inv# 3371911061"</f>
        <v>Inv# 3371911061</v>
      </c>
    </row>
    <row r="1426" spans="1:9" x14ac:dyDescent="0.25">
      <c r="A1426" t="str">
        <f>""</f>
        <v/>
      </c>
      <c r="F1426" t="str">
        <f>""</f>
        <v/>
      </c>
      <c r="G1426" t="str">
        <f>""</f>
        <v/>
      </c>
      <c r="I1426" t="str">
        <f>"Inv# 3371911063"</f>
        <v>Inv# 3371911063</v>
      </c>
    </row>
    <row r="1427" spans="1:9" x14ac:dyDescent="0.25">
      <c r="A1427" t="str">
        <f>""</f>
        <v/>
      </c>
      <c r="F1427" t="str">
        <f>""</f>
        <v/>
      </c>
      <c r="G1427" t="str">
        <f>""</f>
        <v/>
      </c>
      <c r="I1427" t="str">
        <f>"Inv# 3371911065"</f>
        <v>Inv# 3371911065</v>
      </c>
    </row>
    <row r="1428" spans="1:9" x14ac:dyDescent="0.25">
      <c r="A1428" t="str">
        <f>""</f>
        <v/>
      </c>
      <c r="F1428" t="str">
        <f>""</f>
        <v/>
      </c>
      <c r="G1428" t="str">
        <f>""</f>
        <v/>
      </c>
      <c r="I1428" t="str">
        <f>"Inv# 3371911046"</f>
        <v>Inv# 3371911046</v>
      </c>
    </row>
    <row r="1429" spans="1:9" x14ac:dyDescent="0.25">
      <c r="A1429" t="str">
        <f>""</f>
        <v/>
      </c>
      <c r="F1429" t="str">
        <f>""</f>
        <v/>
      </c>
      <c r="G1429" t="str">
        <f>""</f>
        <v/>
      </c>
      <c r="I1429" t="str">
        <f>"Inv# 3371911048"</f>
        <v>Inv# 3371911048</v>
      </c>
    </row>
    <row r="1430" spans="1:9" x14ac:dyDescent="0.25">
      <c r="A1430" t="str">
        <f>""</f>
        <v/>
      </c>
      <c r="F1430" t="str">
        <f>""</f>
        <v/>
      </c>
      <c r="G1430" t="str">
        <f>""</f>
        <v/>
      </c>
      <c r="I1430" t="str">
        <f>"Inv# 3371911067"</f>
        <v>Inv# 3371911067</v>
      </c>
    </row>
    <row r="1431" spans="1:9" x14ac:dyDescent="0.25">
      <c r="A1431" t="str">
        <f>""</f>
        <v/>
      </c>
      <c r="F1431" t="str">
        <f>""</f>
        <v/>
      </c>
      <c r="G1431" t="str">
        <f>""</f>
        <v/>
      </c>
      <c r="I1431" t="str">
        <f>"Inv# 3371911069"</f>
        <v>Inv# 3371911069</v>
      </c>
    </row>
    <row r="1432" spans="1:9" x14ac:dyDescent="0.25">
      <c r="A1432" t="str">
        <f>""</f>
        <v/>
      </c>
      <c r="F1432" t="str">
        <f>""</f>
        <v/>
      </c>
      <c r="G1432" t="str">
        <f>""</f>
        <v/>
      </c>
      <c r="I1432" t="str">
        <f>"Inv# 3371911077"</f>
        <v>Inv# 3371911077</v>
      </c>
    </row>
    <row r="1433" spans="1:9" x14ac:dyDescent="0.25">
      <c r="A1433" t="str">
        <f>""</f>
        <v/>
      </c>
      <c r="F1433" t="str">
        <f>""</f>
        <v/>
      </c>
      <c r="G1433" t="str">
        <f>""</f>
        <v/>
      </c>
      <c r="I1433" t="str">
        <f>"Inv# 3371911071"</f>
        <v>Inv# 3371911071</v>
      </c>
    </row>
    <row r="1434" spans="1:9" x14ac:dyDescent="0.25">
      <c r="A1434" t="str">
        <f>""</f>
        <v/>
      </c>
      <c r="F1434" t="str">
        <f>""</f>
        <v/>
      </c>
      <c r="G1434" t="str">
        <f>""</f>
        <v/>
      </c>
      <c r="I1434" t="str">
        <f>"Inv# 3371911075"</f>
        <v>Inv# 3371911075</v>
      </c>
    </row>
    <row r="1435" spans="1:9" x14ac:dyDescent="0.25">
      <c r="A1435" t="str">
        <f>""</f>
        <v/>
      </c>
      <c r="F1435" t="str">
        <f>""</f>
        <v/>
      </c>
      <c r="G1435" t="str">
        <f>""</f>
        <v/>
      </c>
      <c r="I1435" t="str">
        <f>"Inv# 3371911073"</f>
        <v>Inv# 3371911073</v>
      </c>
    </row>
    <row r="1436" spans="1:9" x14ac:dyDescent="0.25">
      <c r="A1436" t="str">
        <f>""</f>
        <v/>
      </c>
      <c r="F1436" t="str">
        <f>""</f>
        <v/>
      </c>
      <c r="G1436" t="str">
        <f>""</f>
        <v/>
      </c>
      <c r="I1436" t="str">
        <f>"Inv# 3371911074"</f>
        <v>Inv# 3371911074</v>
      </c>
    </row>
    <row r="1437" spans="1:9" x14ac:dyDescent="0.25">
      <c r="A1437" t="str">
        <f>""</f>
        <v/>
      </c>
      <c r="F1437" t="str">
        <f>""</f>
        <v/>
      </c>
      <c r="G1437" t="str">
        <f>""</f>
        <v/>
      </c>
      <c r="I1437" t="str">
        <f>"Inv# 3371911072"</f>
        <v>Inv# 3371911072</v>
      </c>
    </row>
    <row r="1438" spans="1:9" x14ac:dyDescent="0.25">
      <c r="A1438" t="str">
        <f>""</f>
        <v/>
      </c>
      <c r="F1438" t="str">
        <f>""</f>
        <v/>
      </c>
      <c r="G1438" t="str">
        <f>""</f>
        <v/>
      </c>
      <c r="I1438" t="str">
        <f>"Inv# 3371911078"</f>
        <v>Inv# 3371911078</v>
      </c>
    </row>
    <row r="1439" spans="1:9" x14ac:dyDescent="0.25">
      <c r="A1439" t="str">
        <f>""</f>
        <v/>
      </c>
      <c r="F1439" t="str">
        <f>""</f>
        <v/>
      </c>
      <c r="G1439" t="str">
        <f>""</f>
        <v/>
      </c>
      <c r="I1439" t="str">
        <f>"Inv# 3371911070"</f>
        <v>Inv# 3371911070</v>
      </c>
    </row>
    <row r="1440" spans="1:9" x14ac:dyDescent="0.25">
      <c r="A1440" t="str">
        <f>""</f>
        <v/>
      </c>
      <c r="F1440" t="str">
        <f>""</f>
        <v/>
      </c>
      <c r="G1440" t="str">
        <f>""</f>
        <v/>
      </c>
      <c r="I1440" t="str">
        <f>"Inv# 3371911054"</f>
        <v>Inv# 3371911054</v>
      </c>
    </row>
    <row r="1441" spans="1:9" x14ac:dyDescent="0.25">
      <c r="A1441" t="str">
        <f>""</f>
        <v/>
      </c>
      <c r="F1441" t="str">
        <f>""</f>
        <v/>
      </c>
      <c r="G1441" t="str">
        <f>""</f>
        <v/>
      </c>
      <c r="I1441" t="str">
        <f>"Inv# 3371911055"</f>
        <v>Inv# 3371911055</v>
      </c>
    </row>
    <row r="1442" spans="1:9" x14ac:dyDescent="0.25">
      <c r="A1442" t="str">
        <f>""</f>
        <v/>
      </c>
      <c r="F1442" t="str">
        <f>""</f>
        <v/>
      </c>
      <c r="G1442" t="str">
        <f>""</f>
        <v/>
      </c>
      <c r="I1442" t="str">
        <f>"Inv# 3371911056"</f>
        <v>Inv# 3371911056</v>
      </c>
    </row>
    <row r="1443" spans="1:9" x14ac:dyDescent="0.25">
      <c r="A1443" t="str">
        <f>""</f>
        <v/>
      </c>
      <c r="F1443" t="str">
        <f>""</f>
        <v/>
      </c>
      <c r="G1443" t="str">
        <f>""</f>
        <v/>
      </c>
      <c r="I1443" t="str">
        <f>"Inv# 3371911058"</f>
        <v>Inv# 3371911058</v>
      </c>
    </row>
    <row r="1444" spans="1:9" x14ac:dyDescent="0.25">
      <c r="A1444" t="str">
        <f>""</f>
        <v/>
      </c>
      <c r="F1444" t="str">
        <f>""</f>
        <v/>
      </c>
      <c r="G1444" t="str">
        <f>""</f>
        <v/>
      </c>
      <c r="I1444" t="str">
        <f>"Inv# 3371911049"</f>
        <v>Inv# 3371911049</v>
      </c>
    </row>
    <row r="1445" spans="1:9" x14ac:dyDescent="0.25">
      <c r="A1445" t="str">
        <f>""</f>
        <v/>
      </c>
      <c r="F1445" t="str">
        <f>""</f>
        <v/>
      </c>
      <c r="G1445" t="str">
        <f>""</f>
        <v/>
      </c>
      <c r="I1445" t="str">
        <f>"Inv# 3371911051"</f>
        <v>Inv# 3371911051</v>
      </c>
    </row>
    <row r="1446" spans="1:9" x14ac:dyDescent="0.25">
      <c r="A1446" t="str">
        <f>""</f>
        <v/>
      </c>
      <c r="F1446" t="str">
        <f>""</f>
        <v/>
      </c>
      <c r="G1446" t="str">
        <f>""</f>
        <v/>
      </c>
      <c r="I1446" t="str">
        <f>"Inv# 3371911052"</f>
        <v>Inv# 3371911052</v>
      </c>
    </row>
    <row r="1447" spans="1:9" x14ac:dyDescent="0.25">
      <c r="A1447" t="str">
        <f>""</f>
        <v/>
      </c>
      <c r="F1447" t="str">
        <f>""</f>
        <v/>
      </c>
      <c r="G1447" t="str">
        <f>""</f>
        <v/>
      </c>
      <c r="I1447" t="str">
        <f>"Inv# 3371911053"</f>
        <v>Inv# 3371911053</v>
      </c>
    </row>
    <row r="1448" spans="1:9" x14ac:dyDescent="0.25">
      <c r="A1448" t="str">
        <f>"003508"</f>
        <v>003508</v>
      </c>
      <c r="B1448" t="s">
        <v>416</v>
      </c>
      <c r="C1448">
        <v>76383</v>
      </c>
      <c r="D1448" s="2">
        <v>3672.96</v>
      </c>
      <c r="E1448" s="1">
        <v>43213</v>
      </c>
      <c r="F1448" t="str">
        <f>"8049353324"</f>
        <v>8049353324</v>
      </c>
      <c r="G1448" t="str">
        <f>"Sum Inv# 8049353324"</f>
        <v>Sum Inv# 8049353324</v>
      </c>
      <c r="H1448">
        <v>3672.96</v>
      </c>
      <c r="I1448" t="str">
        <f>"Inv# 3373788237"</f>
        <v>Inv# 3373788237</v>
      </c>
    </row>
    <row r="1449" spans="1:9" x14ac:dyDescent="0.25">
      <c r="A1449" t="str">
        <f>""</f>
        <v/>
      </c>
      <c r="F1449" t="str">
        <f>""</f>
        <v/>
      </c>
      <c r="G1449" t="str">
        <f>""</f>
        <v/>
      </c>
      <c r="I1449" t="str">
        <f>"Inv# 3373788244"</f>
        <v>Inv# 3373788244</v>
      </c>
    </row>
    <row r="1450" spans="1:9" x14ac:dyDescent="0.25">
      <c r="A1450" t="str">
        <f>""</f>
        <v/>
      </c>
      <c r="F1450" t="str">
        <f>""</f>
        <v/>
      </c>
      <c r="G1450" t="str">
        <f>""</f>
        <v/>
      </c>
      <c r="I1450" t="str">
        <f>"Inv# 3373788245"</f>
        <v>Inv# 3373788245</v>
      </c>
    </row>
    <row r="1451" spans="1:9" x14ac:dyDescent="0.25">
      <c r="A1451" t="str">
        <f>""</f>
        <v/>
      </c>
      <c r="F1451" t="str">
        <f>""</f>
        <v/>
      </c>
      <c r="G1451" t="str">
        <f>""</f>
        <v/>
      </c>
      <c r="I1451" t="str">
        <f>"Inv# 3373788242"</f>
        <v>Inv# 3373788242</v>
      </c>
    </row>
    <row r="1452" spans="1:9" x14ac:dyDescent="0.25">
      <c r="A1452" t="str">
        <f>""</f>
        <v/>
      </c>
      <c r="F1452" t="str">
        <f>""</f>
        <v/>
      </c>
      <c r="G1452" t="str">
        <f>""</f>
        <v/>
      </c>
      <c r="I1452" t="str">
        <f>"Inv# 3373788243"</f>
        <v>Inv# 3373788243</v>
      </c>
    </row>
    <row r="1453" spans="1:9" x14ac:dyDescent="0.25">
      <c r="A1453" t="str">
        <f>""</f>
        <v/>
      </c>
      <c r="F1453" t="str">
        <f>""</f>
        <v/>
      </c>
      <c r="G1453" t="str">
        <f>""</f>
        <v/>
      </c>
      <c r="I1453" t="str">
        <f>"Inv# 3373788248"</f>
        <v>Inv# 3373788248</v>
      </c>
    </row>
    <row r="1454" spans="1:9" x14ac:dyDescent="0.25">
      <c r="A1454" t="str">
        <f>""</f>
        <v/>
      </c>
      <c r="F1454" t="str">
        <f>""</f>
        <v/>
      </c>
      <c r="G1454" t="str">
        <f>""</f>
        <v/>
      </c>
      <c r="I1454" t="str">
        <f>"Inv# 3373788249"</f>
        <v>Inv# 3373788249</v>
      </c>
    </row>
    <row r="1455" spans="1:9" x14ac:dyDescent="0.25">
      <c r="A1455" t="str">
        <f>""</f>
        <v/>
      </c>
      <c r="F1455" t="str">
        <f>""</f>
        <v/>
      </c>
      <c r="G1455" t="str">
        <f>""</f>
        <v/>
      </c>
      <c r="I1455" t="str">
        <f>"Inv# 3373788250"</f>
        <v>Inv# 3373788250</v>
      </c>
    </row>
    <row r="1456" spans="1:9" x14ac:dyDescent="0.25">
      <c r="A1456" t="str">
        <f>""</f>
        <v/>
      </c>
      <c r="F1456" t="str">
        <f>""</f>
        <v/>
      </c>
      <c r="G1456" t="str">
        <f>""</f>
        <v/>
      </c>
      <c r="I1456" t="str">
        <f>"Inv# 3373788263"</f>
        <v>Inv# 3373788263</v>
      </c>
    </row>
    <row r="1457" spans="1:9" x14ac:dyDescent="0.25">
      <c r="A1457" t="str">
        <f>""</f>
        <v/>
      </c>
      <c r="F1457" t="str">
        <f>""</f>
        <v/>
      </c>
      <c r="G1457" t="str">
        <f>""</f>
        <v/>
      </c>
      <c r="I1457" t="str">
        <f>"Inv# 3373788264"</f>
        <v>Inv# 3373788264</v>
      </c>
    </row>
    <row r="1458" spans="1:9" x14ac:dyDescent="0.25">
      <c r="A1458" t="str">
        <f>""</f>
        <v/>
      </c>
      <c r="F1458" t="str">
        <f>""</f>
        <v/>
      </c>
      <c r="G1458" t="str">
        <f>""</f>
        <v/>
      </c>
      <c r="I1458" t="str">
        <f>"Inv# 3373788246"</f>
        <v>Inv# 3373788246</v>
      </c>
    </row>
    <row r="1459" spans="1:9" x14ac:dyDescent="0.25">
      <c r="A1459" t="str">
        <f>""</f>
        <v/>
      </c>
      <c r="F1459" t="str">
        <f>""</f>
        <v/>
      </c>
      <c r="G1459" t="str">
        <f>""</f>
        <v/>
      </c>
      <c r="I1459" t="str">
        <f>"Inv# 3373788247"</f>
        <v>Inv# 3373788247</v>
      </c>
    </row>
    <row r="1460" spans="1:9" x14ac:dyDescent="0.25">
      <c r="A1460" t="str">
        <f>""</f>
        <v/>
      </c>
      <c r="F1460" t="str">
        <f>""</f>
        <v/>
      </c>
      <c r="G1460" t="str">
        <f>""</f>
        <v/>
      </c>
      <c r="I1460" t="str">
        <f>"Inv# 3373788241"</f>
        <v>Inv# 3373788241</v>
      </c>
    </row>
    <row r="1461" spans="1:9" x14ac:dyDescent="0.25">
      <c r="A1461" t="str">
        <f>""</f>
        <v/>
      </c>
      <c r="F1461" t="str">
        <f>""</f>
        <v/>
      </c>
      <c r="G1461" t="str">
        <f>""</f>
        <v/>
      </c>
      <c r="I1461" t="str">
        <f>"Inv# 3373788259"</f>
        <v>Inv# 3373788259</v>
      </c>
    </row>
    <row r="1462" spans="1:9" x14ac:dyDescent="0.25">
      <c r="A1462" t="str">
        <f>""</f>
        <v/>
      </c>
      <c r="F1462" t="str">
        <f>""</f>
        <v/>
      </c>
      <c r="G1462" t="str">
        <f>""</f>
        <v/>
      </c>
      <c r="I1462" t="str">
        <f>"Inv# 3373788260"</f>
        <v>Inv# 3373788260</v>
      </c>
    </row>
    <row r="1463" spans="1:9" x14ac:dyDescent="0.25">
      <c r="A1463" t="str">
        <f>""</f>
        <v/>
      </c>
      <c r="F1463" t="str">
        <f>""</f>
        <v/>
      </c>
      <c r="G1463" t="str">
        <f>""</f>
        <v/>
      </c>
      <c r="I1463" t="str">
        <f>"Inv# 3373788261"</f>
        <v>Inv# 3373788261</v>
      </c>
    </row>
    <row r="1464" spans="1:9" x14ac:dyDescent="0.25">
      <c r="A1464" t="str">
        <f>""</f>
        <v/>
      </c>
      <c r="F1464" t="str">
        <f>""</f>
        <v/>
      </c>
      <c r="G1464" t="str">
        <f>""</f>
        <v/>
      </c>
      <c r="I1464" t="str">
        <f>"Inv# 3373788262"</f>
        <v>Inv# 3373788262</v>
      </c>
    </row>
    <row r="1465" spans="1:9" x14ac:dyDescent="0.25">
      <c r="A1465" t="str">
        <f>""</f>
        <v/>
      </c>
      <c r="F1465" t="str">
        <f>""</f>
        <v/>
      </c>
      <c r="G1465" t="str">
        <f>""</f>
        <v/>
      </c>
      <c r="I1465" t="str">
        <f>"Inv# 3373788256"</f>
        <v>Inv# 3373788256</v>
      </c>
    </row>
    <row r="1466" spans="1:9" x14ac:dyDescent="0.25">
      <c r="A1466" t="str">
        <f>""</f>
        <v/>
      </c>
      <c r="F1466" t="str">
        <f>""</f>
        <v/>
      </c>
      <c r="G1466" t="str">
        <f>""</f>
        <v/>
      </c>
      <c r="I1466" t="str">
        <f>"Inv# 3373788257"</f>
        <v>Inv# 3373788257</v>
      </c>
    </row>
    <row r="1467" spans="1:9" x14ac:dyDescent="0.25">
      <c r="A1467" t="str">
        <f>""</f>
        <v/>
      </c>
      <c r="F1467" t="str">
        <f>""</f>
        <v/>
      </c>
      <c r="G1467" t="str">
        <f>""</f>
        <v/>
      </c>
      <c r="I1467" t="str">
        <f>"Inv# 3373788258"</f>
        <v>Inv# 3373788258</v>
      </c>
    </row>
    <row r="1468" spans="1:9" x14ac:dyDescent="0.25">
      <c r="A1468" t="str">
        <f>""</f>
        <v/>
      </c>
      <c r="F1468" t="str">
        <f>""</f>
        <v/>
      </c>
      <c r="G1468" t="str">
        <f>""</f>
        <v/>
      </c>
      <c r="I1468" t="str">
        <f>"Inv# 3373788254"</f>
        <v>Inv# 3373788254</v>
      </c>
    </row>
    <row r="1469" spans="1:9" x14ac:dyDescent="0.25">
      <c r="A1469" t="str">
        <f>""</f>
        <v/>
      </c>
      <c r="F1469" t="str">
        <f>""</f>
        <v/>
      </c>
      <c r="G1469" t="str">
        <f>""</f>
        <v/>
      </c>
      <c r="I1469" t="str">
        <f>"Inv# 3373788255"</f>
        <v>Inv# 3373788255</v>
      </c>
    </row>
    <row r="1470" spans="1:9" x14ac:dyDescent="0.25">
      <c r="A1470" t="str">
        <f>""</f>
        <v/>
      </c>
      <c r="F1470" t="str">
        <f>""</f>
        <v/>
      </c>
      <c r="G1470" t="str">
        <f>""</f>
        <v/>
      </c>
      <c r="I1470" t="str">
        <f>"Inv# 3373788252"</f>
        <v>Inv# 3373788252</v>
      </c>
    </row>
    <row r="1471" spans="1:9" x14ac:dyDescent="0.25">
      <c r="A1471" t="str">
        <f>""</f>
        <v/>
      </c>
      <c r="F1471" t="str">
        <f>""</f>
        <v/>
      </c>
      <c r="G1471" t="str">
        <f>""</f>
        <v/>
      </c>
      <c r="I1471" t="str">
        <f>"Inv# 3373788238"</f>
        <v>Inv# 3373788238</v>
      </c>
    </row>
    <row r="1472" spans="1:9" x14ac:dyDescent="0.25">
      <c r="A1472" t="str">
        <f>""</f>
        <v/>
      </c>
      <c r="F1472" t="str">
        <f>""</f>
        <v/>
      </c>
      <c r="G1472" t="str">
        <f>""</f>
        <v/>
      </c>
      <c r="I1472" t="str">
        <f>"Inv# 3373788239"</f>
        <v>Inv# 3373788239</v>
      </c>
    </row>
    <row r="1473" spans="1:9" x14ac:dyDescent="0.25">
      <c r="A1473" t="str">
        <f>"T5850"</f>
        <v>T5850</v>
      </c>
      <c r="B1473" t="s">
        <v>417</v>
      </c>
      <c r="C1473">
        <v>76384</v>
      </c>
      <c r="D1473" s="2">
        <v>435</v>
      </c>
      <c r="E1473" s="1">
        <v>43213</v>
      </c>
      <c r="F1473" t="str">
        <f>"2018 ANIMAL LAW IN"</f>
        <v>2018 ANIMAL LAW IN</v>
      </c>
      <c r="G1473" t="str">
        <f>"2018 Animal Law Institute"</f>
        <v>2018 Animal Law Institute</v>
      </c>
      <c r="H1473">
        <v>435</v>
      </c>
    </row>
    <row r="1474" spans="1:9" x14ac:dyDescent="0.25">
      <c r="A1474" t="str">
        <f>"T5850"</f>
        <v>T5850</v>
      </c>
      <c r="B1474" t="s">
        <v>417</v>
      </c>
      <c r="C1474">
        <v>76384</v>
      </c>
      <c r="D1474" s="2">
        <v>435</v>
      </c>
      <c r="E1474" s="1">
        <v>43213</v>
      </c>
      <c r="F1474" t="str">
        <f>"CHECK"</f>
        <v>CHECK</v>
      </c>
      <c r="G1474" t="str">
        <f>""</f>
        <v/>
      </c>
      <c r="H1474">
        <v>435</v>
      </c>
    </row>
    <row r="1475" spans="1:9" x14ac:dyDescent="0.25">
      <c r="A1475" t="str">
        <f>"T5850"</f>
        <v>T5850</v>
      </c>
      <c r="B1475" t="s">
        <v>417</v>
      </c>
      <c r="C1475">
        <v>76447</v>
      </c>
      <c r="D1475" s="2">
        <v>325</v>
      </c>
      <c r="E1475" s="1">
        <v>43216</v>
      </c>
      <c r="F1475" t="str">
        <f>"201804260465"</f>
        <v>201804260465</v>
      </c>
      <c r="G1475" t="str">
        <f>"2018 ANIMAL LAW INSTITUTE"</f>
        <v>2018 ANIMAL LAW INSTITUTE</v>
      </c>
      <c r="H1475">
        <v>325</v>
      </c>
      <c r="I1475" t="str">
        <f>"2018 ANIMAL LAW INSTITUTE"</f>
        <v>2018 ANIMAL LAW INSTITUTE</v>
      </c>
    </row>
    <row r="1476" spans="1:9" x14ac:dyDescent="0.25">
      <c r="A1476" t="str">
        <f>"004808"</f>
        <v>004808</v>
      </c>
      <c r="B1476" t="s">
        <v>418</v>
      </c>
      <c r="C1476">
        <v>76154</v>
      </c>
      <c r="D1476" s="2">
        <v>5</v>
      </c>
      <c r="E1476" s="1">
        <v>43199</v>
      </c>
      <c r="F1476" t="str">
        <f>"201803279754"</f>
        <v>201803279754</v>
      </c>
      <c r="G1476" t="str">
        <f>"FERAL HOGS"</f>
        <v>FERAL HOGS</v>
      </c>
      <c r="H1476">
        <v>5</v>
      </c>
      <c r="I1476" t="str">
        <f>"FERAL HOGS"</f>
        <v>FERAL HOGS</v>
      </c>
    </row>
    <row r="1477" spans="1:9" x14ac:dyDescent="0.25">
      <c r="A1477" t="str">
        <f>"T8648"</f>
        <v>T8648</v>
      </c>
      <c r="B1477" t="s">
        <v>419</v>
      </c>
      <c r="C1477">
        <v>76155</v>
      </c>
      <c r="D1477" s="2">
        <v>723.61</v>
      </c>
      <c r="E1477" s="1">
        <v>43199</v>
      </c>
      <c r="F1477" t="str">
        <f>"4007731722"</f>
        <v>4007731722</v>
      </c>
      <c r="G1477" t="str">
        <f>"INV 4007731722"</f>
        <v>INV 4007731722</v>
      </c>
      <c r="H1477">
        <v>723.61</v>
      </c>
      <c r="I1477" t="str">
        <f>"INV 4007731722"</f>
        <v>INV 4007731722</v>
      </c>
    </row>
    <row r="1478" spans="1:9" x14ac:dyDescent="0.25">
      <c r="A1478" t="str">
        <f>"002260"</f>
        <v>002260</v>
      </c>
      <c r="B1478" t="s">
        <v>420</v>
      </c>
      <c r="C1478">
        <v>76156</v>
      </c>
      <c r="D1478" s="2">
        <v>435.5</v>
      </c>
      <c r="E1478" s="1">
        <v>43199</v>
      </c>
      <c r="F1478" t="str">
        <f>"201804039904"</f>
        <v>201804039904</v>
      </c>
      <c r="G1478" t="str">
        <f>"TRASH REMOVAL 03/26-03/30/PCT4"</f>
        <v>TRASH REMOVAL 03/26-03/30/PCT4</v>
      </c>
      <c r="H1478">
        <v>214.5</v>
      </c>
      <c r="I1478" t="str">
        <f>"TRASH REMOVAL 03/26-03/30/PCT4"</f>
        <v>TRASH REMOVAL 03/26-03/30/PCT4</v>
      </c>
    </row>
    <row r="1479" spans="1:9" x14ac:dyDescent="0.25">
      <c r="A1479" t="str">
        <f>""</f>
        <v/>
      </c>
      <c r="F1479" t="str">
        <f>"201804039905"</f>
        <v>201804039905</v>
      </c>
      <c r="G1479" t="str">
        <f>"TRASH REMOVAL/04/02-04/06/PCT4"</f>
        <v>TRASH REMOVAL/04/02-04/06/PCT4</v>
      </c>
      <c r="H1479">
        <v>221</v>
      </c>
      <c r="I1479" t="str">
        <f>"TRASH REMOVAL/04/02-04/06/PCT4"</f>
        <v>TRASH REMOVAL/04/02-04/06/PCT4</v>
      </c>
    </row>
    <row r="1480" spans="1:9" x14ac:dyDescent="0.25">
      <c r="A1480" t="str">
        <f>"002260"</f>
        <v>002260</v>
      </c>
      <c r="B1480" t="s">
        <v>420</v>
      </c>
      <c r="C1480">
        <v>76385</v>
      </c>
      <c r="D1480" s="2">
        <v>357.5</v>
      </c>
      <c r="E1480" s="1">
        <v>43213</v>
      </c>
      <c r="F1480" t="str">
        <f>"201804160377"</f>
        <v>201804160377</v>
      </c>
      <c r="G1480" t="str">
        <f>"TRASH REMOVAL/4/9-4/20/PCT#4"</f>
        <v>TRASH REMOVAL/4/9-4/20/PCT#4</v>
      </c>
      <c r="H1480">
        <v>357.5</v>
      </c>
      <c r="I1480" t="str">
        <f>"TRASH REMOVAL/4/9-4/20/PCT#4"</f>
        <v>TRASH REMOVAL/4/9-4/20/PCT#4</v>
      </c>
    </row>
    <row r="1481" spans="1:9" x14ac:dyDescent="0.25">
      <c r="A1481" t="str">
        <f>"003754"</f>
        <v>003754</v>
      </c>
      <c r="B1481" t="s">
        <v>421</v>
      </c>
      <c r="C1481">
        <v>76157</v>
      </c>
      <c r="D1481" s="2">
        <v>1000</v>
      </c>
      <c r="E1481" s="1">
        <v>43199</v>
      </c>
      <c r="F1481" t="str">
        <f>"201803299800"</f>
        <v>201803299800</v>
      </c>
      <c r="G1481" t="str">
        <f>"DEPOSIT AGREEMENT"</f>
        <v>DEPOSIT AGREEMENT</v>
      </c>
      <c r="H1481">
        <v>1000</v>
      </c>
      <c r="I1481" t="str">
        <f>"DEPOSIT AGREEMENT"</f>
        <v>DEPOSIT AGREEMENT</v>
      </c>
    </row>
    <row r="1482" spans="1:9" x14ac:dyDescent="0.25">
      <c r="A1482" t="str">
        <f>"005492"</f>
        <v>005492</v>
      </c>
      <c r="B1482" t="s">
        <v>422</v>
      </c>
      <c r="C1482">
        <v>76158</v>
      </c>
      <c r="D1482" s="2">
        <v>494.03</v>
      </c>
      <c r="E1482" s="1">
        <v>43199</v>
      </c>
      <c r="F1482" t="str">
        <f>"201804039932"</f>
        <v>201804039932</v>
      </c>
      <c r="G1482" t="str">
        <f>"REIMBURSEMENT FOR PROP DAMAGES"</f>
        <v>REIMBURSEMENT FOR PROP DAMAGES</v>
      </c>
      <c r="H1482">
        <v>494.03</v>
      </c>
      <c r="I1482" t="str">
        <f>"REIMBURSEMENT FOR PROP DAMAGES"</f>
        <v>REIMBURSEMENT FOR PROP DAMAGES</v>
      </c>
    </row>
    <row r="1483" spans="1:9" x14ac:dyDescent="0.25">
      <c r="A1483" t="str">
        <f>"004087"</f>
        <v>004087</v>
      </c>
      <c r="B1483" t="s">
        <v>423</v>
      </c>
      <c r="C1483">
        <v>999999</v>
      </c>
      <c r="D1483" s="2">
        <v>44.72</v>
      </c>
      <c r="E1483" s="1">
        <v>43200</v>
      </c>
      <c r="F1483" t="str">
        <f>"18040202"</f>
        <v>18040202</v>
      </c>
      <c r="G1483" t="str">
        <f>"SVC CONTRACT"</f>
        <v>SVC CONTRACT</v>
      </c>
      <c r="H1483">
        <v>44.72</v>
      </c>
      <c r="I1483" t="str">
        <f>"SVC CONTRACT"</f>
        <v>SVC CONTRACT</v>
      </c>
    </row>
    <row r="1484" spans="1:9" x14ac:dyDescent="0.25">
      <c r="A1484" t="str">
        <f>"T6052"</f>
        <v>T6052</v>
      </c>
      <c r="B1484" t="s">
        <v>424</v>
      </c>
      <c r="C1484">
        <v>76159</v>
      </c>
      <c r="D1484" s="2">
        <v>150</v>
      </c>
      <c r="E1484" s="1">
        <v>43199</v>
      </c>
      <c r="F1484" t="str">
        <f>"PH7242851"</f>
        <v>PH7242851</v>
      </c>
      <c r="G1484" t="str">
        <f>"INV PH7242851"</f>
        <v>INV PH7242851</v>
      </c>
      <c r="H1484">
        <v>150</v>
      </c>
      <c r="I1484" t="str">
        <f>"INV PH7242851"</f>
        <v>INV PH7242851</v>
      </c>
    </row>
    <row r="1485" spans="1:9" x14ac:dyDescent="0.25">
      <c r="A1485" t="str">
        <f>"T8745"</f>
        <v>T8745</v>
      </c>
      <c r="B1485" t="s">
        <v>425</v>
      </c>
      <c r="C1485">
        <v>999999</v>
      </c>
      <c r="D1485" s="2">
        <v>201</v>
      </c>
      <c r="E1485" s="1">
        <v>43214</v>
      </c>
      <c r="F1485" t="str">
        <f>"1805064"</f>
        <v>1805064</v>
      </c>
      <c r="G1485" t="str">
        <f>"MONTHLY CONTRACT BILLING"</f>
        <v>MONTHLY CONTRACT BILLING</v>
      </c>
      <c r="H1485">
        <v>201</v>
      </c>
      <c r="I1485" t="str">
        <f>"MONTHLY CONTRACT BILLING"</f>
        <v>MONTHLY CONTRACT BILLING</v>
      </c>
    </row>
    <row r="1486" spans="1:9" x14ac:dyDescent="0.25">
      <c r="A1486" t="str">
        <f>"003281"</f>
        <v>003281</v>
      </c>
      <c r="B1486" t="s">
        <v>426</v>
      </c>
      <c r="C1486">
        <v>76160</v>
      </c>
      <c r="D1486" s="2">
        <v>1226</v>
      </c>
      <c r="E1486" s="1">
        <v>43199</v>
      </c>
      <c r="F1486" t="str">
        <f>"201804049986"</f>
        <v>201804049986</v>
      </c>
      <c r="G1486" t="str">
        <f>"16 350"</f>
        <v>16 350</v>
      </c>
      <c r="H1486">
        <v>1226</v>
      </c>
      <c r="I1486" t="str">
        <f>"16 350"</f>
        <v>16 350</v>
      </c>
    </row>
    <row r="1487" spans="1:9" x14ac:dyDescent="0.25">
      <c r="A1487" t="str">
        <f>"T13574"</f>
        <v>T13574</v>
      </c>
      <c r="B1487" t="s">
        <v>427</v>
      </c>
      <c r="C1487">
        <v>999999</v>
      </c>
      <c r="D1487" s="2">
        <v>605</v>
      </c>
      <c r="E1487" s="1">
        <v>43200</v>
      </c>
      <c r="F1487" t="str">
        <f>"U0383974/78/87"</f>
        <v>U0383974/78/87</v>
      </c>
      <c r="G1487" t="str">
        <f>"ACCT#10827/CUST ID:COUBAS"</f>
        <v>ACCT#10827/CUST ID:COUBAS</v>
      </c>
      <c r="H1487">
        <v>605</v>
      </c>
      <c r="I1487" t="str">
        <f>"ACCT#10827/CUST ID:COUBAS"</f>
        <v>ACCT#10827/CUST ID:COUBAS</v>
      </c>
    </row>
    <row r="1488" spans="1:9" x14ac:dyDescent="0.25">
      <c r="A1488" t="str">
        <f>"T6855"</f>
        <v>T6855</v>
      </c>
      <c r="B1488" t="s">
        <v>428</v>
      </c>
      <c r="C1488">
        <v>76161</v>
      </c>
      <c r="D1488" s="2">
        <v>4811.43</v>
      </c>
      <c r="E1488" s="1">
        <v>43199</v>
      </c>
      <c r="F1488" t="str">
        <f>"0732369-IN"</f>
        <v>0732369-IN</v>
      </c>
      <c r="G1488" t="str">
        <f>"ACCT#01-0112917/FUEL/PCT#2"</f>
        <v>ACCT#01-0112917/FUEL/PCT#2</v>
      </c>
      <c r="H1488">
        <v>3539.43</v>
      </c>
      <c r="I1488" t="str">
        <f>"ACCT#01-0112917/FUEL/PCT#2"</f>
        <v>ACCT#01-0112917/FUEL/PCT#2</v>
      </c>
    </row>
    <row r="1489" spans="1:9" x14ac:dyDescent="0.25">
      <c r="A1489" t="str">
        <f>""</f>
        <v/>
      </c>
      <c r="F1489" t="str">
        <f>"0733644-IN"</f>
        <v>0733644-IN</v>
      </c>
      <c r="G1489" t="str">
        <f>"ACCT#01-0112917/PCT#2"</f>
        <v>ACCT#01-0112917/PCT#2</v>
      </c>
      <c r="H1489">
        <v>300</v>
      </c>
      <c r="I1489" t="str">
        <f>"ACCT#01-0112917/PCT#2"</f>
        <v>ACCT#01-0112917/PCT#2</v>
      </c>
    </row>
    <row r="1490" spans="1:9" x14ac:dyDescent="0.25">
      <c r="A1490" t="str">
        <f>""</f>
        <v/>
      </c>
      <c r="F1490" t="str">
        <f>"0734470-IN"</f>
        <v>0734470-IN</v>
      </c>
      <c r="G1490" t="str">
        <f>"STUB PUMP / PCT #1"</f>
        <v>STUB PUMP / PCT #1</v>
      </c>
      <c r="H1490">
        <v>972</v>
      </c>
      <c r="I1490" t="str">
        <f>"STUB PUMP / PCT #1"</f>
        <v>STUB PUMP / PCT #1</v>
      </c>
    </row>
    <row r="1491" spans="1:9" x14ac:dyDescent="0.25">
      <c r="A1491" t="str">
        <f>"T6855"</f>
        <v>T6855</v>
      </c>
      <c r="B1491" t="s">
        <v>428</v>
      </c>
      <c r="C1491">
        <v>76386</v>
      </c>
      <c r="D1491" s="2">
        <v>11138.54</v>
      </c>
      <c r="E1491" s="1">
        <v>43213</v>
      </c>
      <c r="F1491" t="str">
        <f>"0734105-IN"</f>
        <v>0734105-IN</v>
      </c>
      <c r="G1491" t="str">
        <f>"ACCT#01-0112917/IT#204200/PCT1"</f>
        <v>ACCT#01-0112917/IT#204200/PCT1</v>
      </c>
      <c r="H1491">
        <v>3829.74</v>
      </c>
      <c r="I1491" t="str">
        <f>"ACCT#01-0112917/IT#204200/PCT1"</f>
        <v>ACCT#01-0112917/IT#204200/PCT1</v>
      </c>
    </row>
    <row r="1492" spans="1:9" x14ac:dyDescent="0.25">
      <c r="A1492" t="str">
        <f>""</f>
        <v/>
      </c>
      <c r="F1492" t="str">
        <f>"0735210-IN"</f>
        <v>0735210-IN</v>
      </c>
      <c r="G1492" t="str">
        <f>"ACCT#01-0112917/ITEM#204200/P2"</f>
        <v>ACCT#01-0112917/ITEM#204200/P2</v>
      </c>
      <c r="H1492">
        <v>3029.84</v>
      </c>
      <c r="I1492" t="str">
        <f>"ACCT#01-0112917/ITEM#204200/P2"</f>
        <v>ACCT#01-0112917/ITEM#204200/P2</v>
      </c>
    </row>
    <row r="1493" spans="1:9" x14ac:dyDescent="0.25">
      <c r="A1493" t="str">
        <f>""</f>
        <v/>
      </c>
      <c r="F1493" t="str">
        <f>"0737426-IN"</f>
        <v>0737426-IN</v>
      </c>
      <c r="G1493" t="str">
        <f>"ACCT#01-0112917/PCT#2"</f>
        <v>ACCT#01-0112917/PCT#2</v>
      </c>
      <c r="H1493">
        <v>250.56</v>
      </c>
      <c r="I1493" t="str">
        <f>"ACCT#01-0112917/PCT#2"</f>
        <v>ACCT#01-0112917/PCT#2</v>
      </c>
    </row>
    <row r="1494" spans="1:9" x14ac:dyDescent="0.25">
      <c r="A1494" t="str">
        <f>""</f>
        <v/>
      </c>
      <c r="F1494" t="str">
        <f>"0737677-IN"</f>
        <v>0737677-IN</v>
      </c>
      <c r="G1494" t="str">
        <f>"ACCT#01-0112917/ITEM#204200/P2"</f>
        <v>ACCT#01-0112917/ITEM#204200/P2</v>
      </c>
      <c r="H1494">
        <v>4028.4</v>
      </c>
      <c r="I1494" t="str">
        <f>"ACCT#01-0112917/ITEM#204200/P2"</f>
        <v>ACCT#01-0112917/ITEM#204200/P2</v>
      </c>
    </row>
    <row r="1495" spans="1:9" x14ac:dyDescent="0.25">
      <c r="A1495" t="str">
        <f>"T14371"</f>
        <v>T14371</v>
      </c>
      <c r="B1495" t="s">
        <v>429</v>
      </c>
      <c r="C1495">
        <v>76162</v>
      </c>
      <c r="D1495" s="2">
        <v>212.64</v>
      </c>
      <c r="E1495" s="1">
        <v>43199</v>
      </c>
      <c r="F1495" t="str">
        <f>"201804049957"</f>
        <v>201804049957</v>
      </c>
      <c r="G1495" t="str">
        <f>"INDIGENT HEALTH"</f>
        <v>INDIGENT HEALTH</v>
      </c>
      <c r="H1495">
        <v>212.64</v>
      </c>
      <c r="I1495" t="str">
        <f>"INDIGENT HEALTH"</f>
        <v>INDIGENT HEALTH</v>
      </c>
    </row>
    <row r="1496" spans="1:9" x14ac:dyDescent="0.25">
      <c r="A1496" t="str">
        <f>"TXAGG"</f>
        <v>TXAGG</v>
      </c>
      <c r="B1496" t="s">
        <v>430</v>
      </c>
      <c r="C1496">
        <v>999999</v>
      </c>
      <c r="D1496" s="2">
        <v>375.06</v>
      </c>
      <c r="E1496" s="1">
        <v>43200</v>
      </c>
      <c r="F1496" t="str">
        <f>"93735"</f>
        <v>93735</v>
      </c>
      <c r="G1496" t="str">
        <f>"TICKET#1074008/1074020/PCT#1"</f>
        <v>TICKET#1074008/1074020/PCT#1</v>
      </c>
      <c r="H1496">
        <v>375.06</v>
      </c>
      <c r="I1496" t="str">
        <f>"TICKET#1074008/1074020/PCT#1"</f>
        <v>TICKET#1074008/1074020/PCT#1</v>
      </c>
    </row>
    <row r="1497" spans="1:9" x14ac:dyDescent="0.25">
      <c r="A1497" t="str">
        <f>"001468"</f>
        <v>001468</v>
      </c>
      <c r="B1497" t="s">
        <v>431</v>
      </c>
      <c r="C1497">
        <v>76163</v>
      </c>
      <c r="D1497" s="2">
        <v>400</v>
      </c>
      <c r="E1497" s="1">
        <v>43199</v>
      </c>
      <c r="F1497" t="str">
        <f>"972"</f>
        <v>972</v>
      </c>
      <c r="G1497" t="str">
        <f>"INV 972"</f>
        <v>INV 972</v>
      </c>
      <c r="H1497">
        <v>50</v>
      </c>
      <c r="I1497" t="str">
        <f>"INV 972"</f>
        <v>INV 972</v>
      </c>
    </row>
    <row r="1498" spans="1:9" x14ac:dyDescent="0.25">
      <c r="A1498" t="str">
        <f>""</f>
        <v/>
      </c>
      <c r="F1498" t="str">
        <f>"APRIL BOND RENEWAL"</f>
        <v>APRIL BOND RENEWAL</v>
      </c>
      <c r="G1498" t="str">
        <f>"APRIL BOND RENEWALS"</f>
        <v>APRIL BOND RENEWALS</v>
      </c>
      <c r="H1498">
        <v>350</v>
      </c>
      <c r="I1498" t="str">
        <f>"APRIL BOND RENEWALS"</f>
        <v>APRIL BOND RENEWALS</v>
      </c>
    </row>
    <row r="1499" spans="1:9" x14ac:dyDescent="0.25">
      <c r="A1499" t="str">
        <f>"001468"</f>
        <v>001468</v>
      </c>
      <c r="B1499" t="s">
        <v>431</v>
      </c>
      <c r="C1499">
        <v>76387</v>
      </c>
      <c r="D1499" s="2">
        <v>150</v>
      </c>
      <c r="E1499" s="1">
        <v>43213</v>
      </c>
      <c r="F1499" t="str">
        <f>"1011"</f>
        <v>1011</v>
      </c>
      <c r="G1499" t="str">
        <f>"ITEM#20618/BOND- V FUENTES"</f>
        <v>ITEM#20618/BOND- V FUENTES</v>
      </c>
      <c r="H1499">
        <v>50</v>
      </c>
      <c r="I1499" t="str">
        <f>"ITEM#20618/BOND- V FUENTES"</f>
        <v>ITEM#20618/BOND- V FUENTES</v>
      </c>
    </row>
    <row r="1500" spans="1:9" x14ac:dyDescent="0.25">
      <c r="A1500" t="str">
        <f>""</f>
        <v/>
      </c>
      <c r="F1500" t="str">
        <f>"1012"</f>
        <v>1012</v>
      </c>
      <c r="G1500" t="str">
        <f>"ITEM#20619/BOND-A QUINLEY"</f>
        <v>ITEM#20619/BOND-A QUINLEY</v>
      </c>
      <c r="H1500">
        <v>50</v>
      </c>
      <c r="I1500" t="str">
        <f>"ITEM#20619/BOND-A QUINLEY"</f>
        <v>ITEM#20619/BOND-A QUINLEY</v>
      </c>
    </row>
    <row r="1501" spans="1:9" x14ac:dyDescent="0.25">
      <c r="A1501" t="str">
        <f>""</f>
        <v/>
      </c>
      <c r="F1501" t="str">
        <f>"990"</f>
        <v>990</v>
      </c>
      <c r="G1501" t="str">
        <f>"INV 990"</f>
        <v>INV 990</v>
      </c>
      <c r="H1501">
        <v>50</v>
      </c>
      <c r="I1501" t="str">
        <f>"INV 990"</f>
        <v>INV 990</v>
      </c>
    </row>
    <row r="1502" spans="1:9" x14ac:dyDescent="0.25">
      <c r="A1502" t="str">
        <f>"TACRMP"</f>
        <v>TACRMP</v>
      </c>
      <c r="B1502" t="s">
        <v>432</v>
      </c>
      <c r="C1502">
        <v>76164</v>
      </c>
      <c r="D1502" s="2">
        <v>250</v>
      </c>
      <c r="E1502" s="1">
        <v>43199</v>
      </c>
      <c r="F1502" t="str">
        <f>"275204"</f>
        <v>275204</v>
      </c>
      <c r="G1502" t="str">
        <f>"MEMBER ID:231974/CONFERENCE"</f>
        <v>MEMBER ID:231974/CONFERENCE</v>
      </c>
      <c r="H1502">
        <v>250</v>
      </c>
      <c r="I1502" t="str">
        <f>"MEMBER ID:231974/CONFERENCE"</f>
        <v>MEMBER ID:231974/CONFERENCE</v>
      </c>
    </row>
    <row r="1503" spans="1:9" x14ac:dyDescent="0.25">
      <c r="A1503" t="str">
        <f>"TACUE"</f>
        <v>TACUE</v>
      </c>
      <c r="B1503" t="s">
        <v>432</v>
      </c>
      <c r="C1503">
        <v>76165</v>
      </c>
      <c r="D1503" s="2">
        <v>3628.9</v>
      </c>
      <c r="E1503" s="1">
        <v>43199</v>
      </c>
      <c r="F1503" t="str">
        <f>" UF-2018-1-110"</f>
        <v xml:space="preserve"> UF-2018-1-110</v>
      </c>
      <c r="G1503" t="str">
        <f>"UF-1 QTR ENDING 3/31/18/ENT110"</f>
        <v>UF-1 QTR ENDING 3/31/18/ENT110</v>
      </c>
      <c r="H1503">
        <v>95.65</v>
      </c>
      <c r="I1503" t="str">
        <f t="shared" ref="I1503:I1541" si="22">"UF-1 QTR ENDING 3/31/18/ENT110"</f>
        <v>UF-1 QTR ENDING 3/31/18/ENT110</v>
      </c>
    </row>
    <row r="1504" spans="1:9" x14ac:dyDescent="0.25">
      <c r="A1504" t="str">
        <f>""</f>
        <v/>
      </c>
      <c r="F1504" t="str">
        <f>"U F-2018-1-110"</f>
        <v>U F-2018-1-110</v>
      </c>
      <c r="G1504" t="str">
        <f>"UF-1 QTR ENDING 3/31/18/ENT110"</f>
        <v>UF-1 QTR ENDING 3/31/18/ENT110</v>
      </c>
      <c r="H1504">
        <v>115.59</v>
      </c>
      <c r="I1504" t="str">
        <f t="shared" si="22"/>
        <v>UF-1 QTR ENDING 3/31/18/ENT110</v>
      </c>
    </row>
    <row r="1505" spans="1:9" x14ac:dyDescent="0.25">
      <c r="A1505" t="str">
        <f>""</f>
        <v/>
      </c>
      <c r="F1505" t="str">
        <f>"UF -2018-1-110"</f>
        <v>UF -2018-1-110</v>
      </c>
      <c r="G1505" t="str">
        <f>"UF-1 QTR ENDING 3/31/18/ENT110"</f>
        <v>UF-1 QTR ENDING 3/31/18/ENT110</v>
      </c>
      <c r="H1505">
        <v>122.73</v>
      </c>
      <c r="I1505" t="str">
        <f t="shared" si="22"/>
        <v>UF-1 QTR ENDING 3/31/18/ENT110</v>
      </c>
    </row>
    <row r="1506" spans="1:9" x14ac:dyDescent="0.25">
      <c r="A1506" t="str">
        <f>""</f>
        <v/>
      </c>
      <c r="F1506" t="str">
        <f>"UF-2018- 1-110"</f>
        <v>UF-2018- 1-110</v>
      </c>
      <c r="G1506" t="str">
        <f>"UF-1 QTR ENDING 3/31/18/ENT110"</f>
        <v>UF-1 QTR ENDING 3/31/18/ENT110</v>
      </c>
      <c r="H1506">
        <v>80.31</v>
      </c>
      <c r="I1506" t="str">
        <f t="shared" si="22"/>
        <v>UF-1 QTR ENDING 3/31/18/ENT110</v>
      </c>
    </row>
    <row r="1507" spans="1:9" x14ac:dyDescent="0.25">
      <c r="A1507" t="str">
        <f>""</f>
        <v/>
      </c>
      <c r="F1507" t="str">
        <f>"UF-2018-1- 110"</f>
        <v>UF-2018-1- 110</v>
      </c>
      <c r="G1507" t="str">
        <f>"UF-1 QTR ENDING 3/31/18/ENT110"</f>
        <v>UF-1 QTR ENDING 3/31/18/ENT110</v>
      </c>
      <c r="H1507">
        <v>3214.62</v>
      </c>
      <c r="I1507" t="str">
        <f t="shared" si="22"/>
        <v>UF-1 QTR ENDING 3/31/18/ENT110</v>
      </c>
    </row>
    <row r="1508" spans="1:9" x14ac:dyDescent="0.25">
      <c r="A1508" t="str">
        <f>""</f>
        <v/>
      </c>
      <c r="F1508" t="str">
        <f>""</f>
        <v/>
      </c>
      <c r="G1508" t="str">
        <f>""</f>
        <v/>
      </c>
      <c r="I1508" t="str">
        <f t="shared" si="22"/>
        <v>UF-1 QTR ENDING 3/31/18/ENT110</v>
      </c>
    </row>
    <row r="1509" spans="1:9" x14ac:dyDescent="0.25">
      <c r="A1509" t="str">
        <f>""</f>
        <v/>
      </c>
      <c r="F1509" t="str">
        <f>""</f>
        <v/>
      </c>
      <c r="G1509" t="str">
        <f>""</f>
        <v/>
      </c>
      <c r="I1509" t="str">
        <f t="shared" si="22"/>
        <v>UF-1 QTR ENDING 3/31/18/ENT110</v>
      </c>
    </row>
    <row r="1510" spans="1:9" x14ac:dyDescent="0.25">
      <c r="A1510" t="str">
        <f>""</f>
        <v/>
      </c>
      <c r="F1510" t="str">
        <f>""</f>
        <v/>
      </c>
      <c r="G1510" t="str">
        <f>""</f>
        <v/>
      </c>
      <c r="I1510" t="str">
        <f t="shared" si="22"/>
        <v>UF-1 QTR ENDING 3/31/18/ENT110</v>
      </c>
    </row>
    <row r="1511" spans="1:9" x14ac:dyDescent="0.25">
      <c r="A1511" t="str">
        <f>""</f>
        <v/>
      </c>
      <c r="F1511" t="str">
        <f>""</f>
        <v/>
      </c>
      <c r="G1511" t="str">
        <f>""</f>
        <v/>
      </c>
      <c r="I1511" t="str">
        <f t="shared" si="22"/>
        <v>UF-1 QTR ENDING 3/31/18/ENT110</v>
      </c>
    </row>
    <row r="1512" spans="1:9" x14ac:dyDescent="0.25">
      <c r="A1512" t="str">
        <f>""</f>
        <v/>
      </c>
      <c r="F1512" t="str">
        <f>""</f>
        <v/>
      </c>
      <c r="G1512" t="str">
        <f>""</f>
        <v/>
      </c>
      <c r="I1512" t="str">
        <f t="shared" si="22"/>
        <v>UF-1 QTR ENDING 3/31/18/ENT110</v>
      </c>
    </row>
    <row r="1513" spans="1:9" x14ac:dyDescent="0.25">
      <c r="A1513" t="str">
        <f>""</f>
        <v/>
      </c>
      <c r="F1513" t="str">
        <f>""</f>
        <v/>
      </c>
      <c r="G1513" t="str">
        <f>""</f>
        <v/>
      </c>
      <c r="I1513" t="str">
        <f t="shared" si="22"/>
        <v>UF-1 QTR ENDING 3/31/18/ENT110</v>
      </c>
    </row>
    <row r="1514" spans="1:9" x14ac:dyDescent="0.25">
      <c r="A1514" t="str">
        <f>""</f>
        <v/>
      </c>
      <c r="F1514" t="str">
        <f>""</f>
        <v/>
      </c>
      <c r="G1514" t="str">
        <f>""</f>
        <v/>
      </c>
      <c r="I1514" t="str">
        <f t="shared" si="22"/>
        <v>UF-1 QTR ENDING 3/31/18/ENT110</v>
      </c>
    </row>
    <row r="1515" spans="1:9" x14ac:dyDescent="0.25">
      <c r="A1515" t="str">
        <f>""</f>
        <v/>
      </c>
      <c r="F1515" t="str">
        <f>""</f>
        <v/>
      </c>
      <c r="G1515" t="str">
        <f>""</f>
        <v/>
      </c>
      <c r="I1515" t="str">
        <f t="shared" si="22"/>
        <v>UF-1 QTR ENDING 3/31/18/ENT110</v>
      </c>
    </row>
    <row r="1516" spans="1:9" x14ac:dyDescent="0.25">
      <c r="A1516" t="str">
        <f>""</f>
        <v/>
      </c>
      <c r="F1516" t="str">
        <f>""</f>
        <v/>
      </c>
      <c r="G1516" t="str">
        <f>""</f>
        <v/>
      </c>
      <c r="I1516" t="str">
        <f t="shared" si="22"/>
        <v>UF-1 QTR ENDING 3/31/18/ENT110</v>
      </c>
    </row>
    <row r="1517" spans="1:9" x14ac:dyDescent="0.25">
      <c r="A1517" t="str">
        <f>""</f>
        <v/>
      </c>
      <c r="F1517" t="str">
        <f>""</f>
        <v/>
      </c>
      <c r="G1517" t="str">
        <f>""</f>
        <v/>
      </c>
      <c r="I1517" t="str">
        <f t="shared" si="22"/>
        <v>UF-1 QTR ENDING 3/31/18/ENT110</v>
      </c>
    </row>
    <row r="1518" spans="1:9" x14ac:dyDescent="0.25">
      <c r="A1518" t="str">
        <f>""</f>
        <v/>
      </c>
      <c r="F1518" t="str">
        <f>""</f>
        <v/>
      </c>
      <c r="G1518" t="str">
        <f>""</f>
        <v/>
      </c>
      <c r="I1518" t="str">
        <f t="shared" si="22"/>
        <v>UF-1 QTR ENDING 3/31/18/ENT110</v>
      </c>
    </row>
    <row r="1519" spans="1:9" x14ac:dyDescent="0.25">
      <c r="A1519" t="str">
        <f>""</f>
        <v/>
      </c>
      <c r="F1519" t="str">
        <f>""</f>
        <v/>
      </c>
      <c r="G1519" t="str">
        <f>""</f>
        <v/>
      </c>
      <c r="I1519" t="str">
        <f t="shared" si="22"/>
        <v>UF-1 QTR ENDING 3/31/18/ENT110</v>
      </c>
    </row>
    <row r="1520" spans="1:9" x14ac:dyDescent="0.25">
      <c r="A1520" t="str">
        <f>""</f>
        <v/>
      </c>
      <c r="F1520" t="str">
        <f>""</f>
        <v/>
      </c>
      <c r="G1520" t="str">
        <f>""</f>
        <v/>
      </c>
      <c r="I1520" t="str">
        <f t="shared" si="22"/>
        <v>UF-1 QTR ENDING 3/31/18/ENT110</v>
      </c>
    </row>
    <row r="1521" spans="1:9" x14ac:dyDescent="0.25">
      <c r="A1521" t="str">
        <f>""</f>
        <v/>
      </c>
      <c r="F1521" t="str">
        <f>""</f>
        <v/>
      </c>
      <c r="G1521" t="str">
        <f>""</f>
        <v/>
      </c>
      <c r="I1521" t="str">
        <f t="shared" si="22"/>
        <v>UF-1 QTR ENDING 3/31/18/ENT110</v>
      </c>
    </row>
    <row r="1522" spans="1:9" x14ac:dyDescent="0.25">
      <c r="A1522" t="str">
        <f>""</f>
        <v/>
      </c>
      <c r="F1522" t="str">
        <f>""</f>
        <v/>
      </c>
      <c r="G1522" t="str">
        <f>""</f>
        <v/>
      </c>
      <c r="I1522" t="str">
        <f t="shared" si="22"/>
        <v>UF-1 QTR ENDING 3/31/18/ENT110</v>
      </c>
    </row>
    <row r="1523" spans="1:9" x14ac:dyDescent="0.25">
      <c r="A1523" t="str">
        <f>""</f>
        <v/>
      </c>
      <c r="F1523" t="str">
        <f>""</f>
        <v/>
      </c>
      <c r="G1523" t="str">
        <f>""</f>
        <v/>
      </c>
      <c r="I1523" t="str">
        <f t="shared" si="22"/>
        <v>UF-1 QTR ENDING 3/31/18/ENT110</v>
      </c>
    </row>
    <row r="1524" spans="1:9" x14ac:dyDescent="0.25">
      <c r="A1524" t="str">
        <f>""</f>
        <v/>
      </c>
      <c r="F1524" t="str">
        <f>""</f>
        <v/>
      </c>
      <c r="G1524" t="str">
        <f>""</f>
        <v/>
      </c>
      <c r="I1524" t="str">
        <f t="shared" si="22"/>
        <v>UF-1 QTR ENDING 3/31/18/ENT110</v>
      </c>
    </row>
    <row r="1525" spans="1:9" x14ac:dyDescent="0.25">
      <c r="A1525" t="str">
        <f>""</f>
        <v/>
      </c>
      <c r="F1525" t="str">
        <f>""</f>
        <v/>
      </c>
      <c r="G1525" t="str">
        <f>""</f>
        <v/>
      </c>
      <c r="I1525" t="str">
        <f t="shared" si="22"/>
        <v>UF-1 QTR ENDING 3/31/18/ENT110</v>
      </c>
    </row>
    <row r="1526" spans="1:9" x14ac:dyDescent="0.25">
      <c r="A1526" t="str">
        <f>""</f>
        <v/>
      </c>
      <c r="F1526" t="str">
        <f>""</f>
        <v/>
      </c>
      <c r="G1526" t="str">
        <f>""</f>
        <v/>
      </c>
      <c r="I1526" t="str">
        <f t="shared" si="22"/>
        <v>UF-1 QTR ENDING 3/31/18/ENT110</v>
      </c>
    </row>
    <row r="1527" spans="1:9" x14ac:dyDescent="0.25">
      <c r="A1527" t="str">
        <f>""</f>
        <v/>
      </c>
      <c r="F1527" t="str">
        <f>""</f>
        <v/>
      </c>
      <c r="G1527" t="str">
        <f>""</f>
        <v/>
      </c>
      <c r="I1527" t="str">
        <f t="shared" si="22"/>
        <v>UF-1 QTR ENDING 3/31/18/ENT110</v>
      </c>
    </row>
    <row r="1528" spans="1:9" x14ac:dyDescent="0.25">
      <c r="A1528" t="str">
        <f>""</f>
        <v/>
      </c>
      <c r="F1528" t="str">
        <f>""</f>
        <v/>
      </c>
      <c r="G1528" t="str">
        <f>""</f>
        <v/>
      </c>
      <c r="I1528" t="str">
        <f t="shared" si="22"/>
        <v>UF-1 QTR ENDING 3/31/18/ENT110</v>
      </c>
    </row>
    <row r="1529" spans="1:9" x14ac:dyDescent="0.25">
      <c r="A1529" t="str">
        <f>""</f>
        <v/>
      </c>
      <c r="F1529" t="str">
        <f>""</f>
        <v/>
      </c>
      <c r="G1529" t="str">
        <f>""</f>
        <v/>
      </c>
      <c r="I1529" t="str">
        <f t="shared" si="22"/>
        <v>UF-1 QTR ENDING 3/31/18/ENT110</v>
      </c>
    </row>
    <row r="1530" spans="1:9" x14ac:dyDescent="0.25">
      <c r="A1530" t="str">
        <f>""</f>
        <v/>
      </c>
      <c r="F1530" t="str">
        <f>""</f>
        <v/>
      </c>
      <c r="G1530" t="str">
        <f>""</f>
        <v/>
      </c>
      <c r="I1530" t="str">
        <f t="shared" si="22"/>
        <v>UF-1 QTR ENDING 3/31/18/ENT110</v>
      </c>
    </row>
    <row r="1531" spans="1:9" x14ac:dyDescent="0.25">
      <c r="A1531" t="str">
        <f>""</f>
        <v/>
      </c>
      <c r="F1531" t="str">
        <f>""</f>
        <v/>
      </c>
      <c r="G1531" t="str">
        <f>""</f>
        <v/>
      </c>
      <c r="I1531" t="str">
        <f t="shared" si="22"/>
        <v>UF-1 QTR ENDING 3/31/18/ENT110</v>
      </c>
    </row>
    <row r="1532" spans="1:9" x14ac:dyDescent="0.25">
      <c r="A1532" t="str">
        <f>""</f>
        <v/>
      </c>
      <c r="F1532" t="str">
        <f>""</f>
        <v/>
      </c>
      <c r="G1532" t="str">
        <f>""</f>
        <v/>
      </c>
      <c r="I1532" t="str">
        <f t="shared" si="22"/>
        <v>UF-1 QTR ENDING 3/31/18/ENT110</v>
      </c>
    </row>
    <row r="1533" spans="1:9" x14ac:dyDescent="0.25">
      <c r="A1533" t="str">
        <f>""</f>
        <v/>
      </c>
      <c r="F1533" t="str">
        <f>""</f>
        <v/>
      </c>
      <c r="G1533" t="str">
        <f>""</f>
        <v/>
      </c>
      <c r="I1533" t="str">
        <f t="shared" si="22"/>
        <v>UF-1 QTR ENDING 3/31/18/ENT110</v>
      </c>
    </row>
    <row r="1534" spans="1:9" x14ac:dyDescent="0.25">
      <c r="A1534" t="str">
        <f>""</f>
        <v/>
      </c>
      <c r="F1534" t="str">
        <f>""</f>
        <v/>
      </c>
      <c r="G1534" t="str">
        <f>""</f>
        <v/>
      </c>
      <c r="I1534" t="str">
        <f t="shared" si="22"/>
        <v>UF-1 QTR ENDING 3/31/18/ENT110</v>
      </c>
    </row>
    <row r="1535" spans="1:9" x14ac:dyDescent="0.25">
      <c r="A1535" t="str">
        <f>""</f>
        <v/>
      </c>
      <c r="F1535" t="str">
        <f>""</f>
        <v/>
      </c>
      <c r="G1535" t="str">
        <f>""</f>
        <v/>
      </c>
      <c r="I1535" t="str">
        <f t="shared" si="22"/>
        <v>UF-1 QTR ENDING 3/31/18/ENT110</v>
      </c>
    </row>
    <row r="1536" spans="1:9" x14ac:dyDescent="0.25">
      <c r="A1536" t="str">
        <f>""</f>
        <v/>
      </c>
      <c r="F1536" t="str">
        <f>""</f>
        <v/>
      </c>
      <c r="G1536" t="str">
        <f>""</f>
        <v/>
      </c>
      <c r="I1536" t="str">
        <f t="shared" si="22"/>
        <v>UF-1 QTR ENDING 3/31/18/ENT110</v>
      </c>
    </row>
    <row r="1537" spans="1:9" x14ac:dyDescent="0.25">
      <c r="A1537" t="str">
        <f>""</f>
        <v/>
      </c>
      <c r="F1537" t="str">
        <f>""</f>
        <v/>
      </c>
      <c r="G1537" t="str">
        <f>""</f>
        <v/>
      </c>
      <c r="I1537" t="str">
        <f t="shared" si="22"/>
        <v>UF-1 QTR ENDING 3/31/18/ENT110</v>
      </c>
    </row>
    <row r="1538" spans="1:9" x14ac:dyDescent="0.25">
      <c r="A1538" t="str">
        <f>""</f>
        <v/>
      </c>
      <c r="F1538" t="str">
        <f>""</f>
        <v/>
      </c>
      <c r="G1538" t="str">
        <f>""</f>
        <v/>
      </c>
      <c r="I1538" t="str">
        <f t="shared" si="22"/>
        <v>UF-1 QTR ENDING 3/31/18/ENT110</v>
      </c>
    </row>
    <row r="1539" spans="1:9" x14ac:dyDescent="0.25">
      <c r="A1539" t="str">
        <f>""</f>
        <v/>
      </c>
      <c r="F1539" t="str">
        <f>""</f>
        <v/>
      </c>
      <c r="G1539" t="str">
        <f>""</f>
        <v/>
      </c>
      <c r="I1539" t="str">
        <f t="shared" si="22"/>
        <v>UF-1 QTR ENDING 3/31/18/ENT110</v>
      </c>
    </row>
    <row r="1540" spans="1:9" x14ac:dyDescent="0.25">
      <c r="A1540" t="str">
        <f>""</f>
        <v/>
      </c>
      <c r="F1540" t="str">
        <f>""</f>
        <v/>
      </c>
      <c r="G1540" t="str">
        <f>""</f>
        <v/>
      </c>
      <c r="I1540" t="str">
        <f t="shared" si="22"/>
        <v>UF-1 QTR ENDING 3/31/18/ENT110</v>
      </c>
    </row>
    <row r="1541" spans="1:9" x14ac:dyDescent="0.25">
      <c r="A1541" t="str">
        <f>""</f>
        <v/>
      </c>
      <c r="F1541" t="str">
        <f>""</f>
        <v/>
      </c>
      <c r="G1541" t="str">
        <f>""</f>
        <v/>
      </c>
      <c r="I1541" t="str">
        <f t="shared" si="22"/>
        <v>UF-1 QTR ENDING 3/31/18/ENT110</v>
      </c>
    </row>
    <row r="1542" spans="1:9" x14ac:dyDescent="0.25">
      <c r="A1542" t="str">
        <f>"TACRMP"</f>
        <v>TACRMP</v>
      </c>
      <c r="B1542" t="s">
        <v>432</v>
      </c>
      <c r="C1542">
        <v>76388</v>
      </c>
      <c r="D1542" s="2">
        <v>90</v>
      </c>
      <c r="E1542" s="1">
        <v>43213</v>
      </c>
      <c r="F1542" t="str">
        <f>"51032"</f>
        <v>51032</v>
      </c>
      <c r="G1542" t="str">
        <f>"ANNUAL MEMBERSHIP-2 ADDL ASSIS"</f>
        <v>ANNUAL MEMBERSHIP-2 ADDL ASSIS</v>
      </c>
      <c r="H1542">
        <v>90</v>
      </c>
      <c r="I1542" t="str">
        <f>"ANNUAL MEMBERSHIP-2 ADDL ASSIS"</f>
        <v>ANNUAL MEMBERSHIP-2 ADDL ASSIS</v>
      </c>
    </row>
    <row r="1543" spans="1:9" x14ac:dyDescent="0.25">
      <c r="A1543" t="str">
        <f>"TACRMP"</f>
        <v>TACRMP</v>
      </c>
      <c r="B1543" t="s">
        <v>432</v>
      </c>
      <c r="C1543">
        <v>76389</v>
      </c>
      <c r="D1543" s="2">
        <v>225</v>
      </c>
      <c r="E1543" s="1">
        <v>43213</v>
      </c>
      <c r="F1543" t="str">
        <f>"R275414"</f>
        <v>R275414</v>
      </c>
      <c r="G1543" t="str">
        <f>"ACCT#203296/CONF OF THE COUNTY"</f>
        <v>ACCT#203296/CONF OF THE COUNTY</v>
      </c>
      <c r="H1543">
        <v>225</v>
      </c>
      <c r="I1543" t="str">
        <f>"ACCT#203296/CONF OF THE COUNTY"</f>
        <v>ACCT#203296/CONF OF THE COUNTY</v>
      </c>
    </row>
    <row r="1544" spans="1:9" x14ac:dyDescent="0.25">
      <c r="A1544" t="str">
        <f>"002122"</f>
        <v>002122</v>
      </c>
      <c r="B1544" t="s">
        <v>433</v>
      </c>
      <c r="C1544">
        <v>999999</v>
      </c>
      <c r="D1544" s="2">
        <v>394.09</v>
      </c>
      <c r="E1544" s="1">
        <v>43214</v>
      </c>
      <c r="F1544" t="str">
        <f>"201804160378"</f>
        <v>201804160378</v>
      </c>
      <c r="G1544" t="str">
        <f>"ACCT#0005/PCT#4"</f>
        <v>ACCT#0005/PCT#4</v>
      </c>
      <c r="H1544">
        <v>394.09</v>
      </c>
      <c r="I1544" t="str">
        <f>"ACCT#0005/PCT#4"</f>
        <v>ACCT#0005/PCT#4</v>
      </c>
    </row>
    <row r="1545" spans="1:9" x14ac:dyDescent="0.25">
      <c r="A1545" t="str">
        <f>"004093"</f>
        <v>004093</v>
      </c>
      <c r="B1545" t="s">
        <v>434</v>
      </c>
      <c r="C1545">
        <v>76390</v>
      </c>
      <c r="D1545" s="2">
        <v>8936</v>
      </c>
      <c r="E1545" s="1">
        <v>43213</v>
      </c>
      <c r="F1545" t="str">
        <f>"UI 427294"</f>
        <v>UI 427294</v>
      </c>
      <c r="G1545" t="str">
        <f>"Constitutional Chairs"</f>
        <v>Constitutional Chairs</v>
      </c>
      <c r="H1545">
        <v>7700</v>
      </c>
      <c r="I1545" t="str">
        <f>"Constitutional Chairs"</f>
        <v>Constitutional Chairs</v>
      </c>
    </row>
    <row r="1546" spans="1:9" x14ac:dyDescent="0.25">
      <c r="A1546" t="str">
        <f>""</f>
        <v/>
      </c>
      <c r="F1546" t="str">
        <f>"UI 427816"</f>
        <v>UI 427816</v>
      </c>
      <c r="G1546" t="str">
        <f>"Desk"</f>
        <v>Desk</v>
      </c>
      <c r="H1546">
        <v>1236</v>
      </c>
      <c r="I1546" t="str">
        <f>"Desk"</f>
        <v>Desk</v>
      </c>
    </row>
    <row r="1547" spans="1:9" x14ac:dyDescent="0.25">
      <c r="A1547" t="str">
        <f>""</f>
        <v/>
      </c>
      <c r="F1547" t="str">
        <f>""</f>
        <v/>
      </c>
      <c r="G1547" t="str">
        <f>""</f>
        <v/>
      </c>
      <c r="I1547" t="str">
        <f>"Keyboard"</f>
        <v>Keyboard</v>
      </c>
    </row>
    <row r="1548" spans="1:9" x14ac:dyDescent="0.25">
      <c r="A1548" t="str">
        <f>"002239"</f>
        <v>002239</v>
      </c>
      <c r="B1548" t="s">
        <v>435</v>
      </c>
      <c r="C1548">
        <v>76391</v>
      </c>
      <c r="D1548" s="2">
        <v>400</v>
      </c>
      <c r="E1548" s="1">
        <v>43213</v>
      </c>
      <c r="F1548" t="str">
        <f>"2017TEMC021"</f>
        <v>2017TEMC021</v>
      </c>
      <c r="G1548" t="str">
        <f>"TDEM Conference"</f>
        <v>TDEM Conference</v>
      </c>
      <c r="H1548">
        <v>400</v>
      </c>
      <c r="I1548" t="str">
        <f>"Bradley Ellis"</f>
        <v>Bradley Ellis</v>
      </c>
    </row>
    <row r="1549" spans="1:9" x14ac:dyDescent="0.25">
      <c r="A1549" t="str">
        <f>""</f>
        <v/>
      </c>
      <c r="F1549" t="str">
        <f>""</f>
        <v/>
      </c>
      <c r="G1549" t="str">
        <f>""</f>
        <v/>
      </c>
      <c r="I1549" t="str">
        <f>"Cheryl Kirkpatrick"</f>
        <v>Cheryl Kirkpatrick</v>
      </c>
    </row>
    <row r="1550" spans="1:9" x14ac:dyDescent="0.25">
      <c r="A1550" t="str">
        <f>"005305"</f>
        <v>005305</v>
      </c>
      <c r="B1550" t="s">
        <v>436</v>
      </c>
      <c r="C1550">
        <v>76166</v>
      </c>
      <c r="D1550" s="2">
        <v>595</v>
      </c>
      <c r="E1550" s="1">
        <v>43199</v>
      </c>
      <c r="F1550" t="str">
        <f>"TRAINING-H.TUCKER"</f>
        <v>TRAINING-H.TUCKER</v>
      </c>
      <c r="G1550" t="str">
        <f>"TRAINING"</f>
        <v>TRAINING</v>
      </c>
      <c r="H1550">
        <v>595</v>
      </c>
      <c r="I1550" t="str">
        <f>"TRAINING"</f>
        <v>TRAINING</v>
      </c>
    </row>
    <row r="1551" spans="1:9" x14ac:dyDescent="0.25">
      <c r="A1551" t="str">
        <f>"T10512"</f>
        <v>T10512</v>
      </c>
      <c r="B1551" t="s">
        <v>437</v>
      </c>
      <c r="C1551">
        <v>76167</v>
      </c>
      <c r="D1551" s="2">
        <v>250</v>
      </c>
      <c r="E1551" s="1">
        <v>43199</v>
      </c>
      <c r="F1551" t="str">
        <f>"201804039927"</f>
        <v>201804039927</v>
      </c>
      <c r="G1551" t="str">
        <f>"REGISTRATION FEE-D. THOMSON"</f>
        <v>REGISTRATION FEE-D. THOMSON</v>
      </c>
      <c r="H1551">
        <v>100</v>
      </c>
      <c r="I1551" t="str">
        <f>"REGISTRATION FEE-D. THOMSON"</f>
        <v>REGISTRATION FEE-D. THOMSON</v>
      </c>
    </row>
    <row r="1552" spans="1:9" x14ac:dyDescent="0.25">
      <c r="A1552" t="str">
        <f>""</f>
        <v/>
      </c>
      <c r="F1552" t="str">
        <f>"201804039928"</f>
        <v>201804039928</v>
      </c>
      <c r="G1552" t="str">
        <f>"REGISTRATION-D. THOMSON"</f>
        <v>REGISTRATION-D. THOMSON</v>
      </c>
      <c r="H1552">
        <v>150</v>
      </c>
      <c r="I1552" t="str">
        <f>"REGISTRATION-D. THOMSON"</f>
        <v>REGISTRATION-D. THOMSON</v>
      </c>
    </row>
    <row r="1553" spans="1:9" x14ac:dyDescent="0.25">
      <c r="A1553" t="str">
        <f>"T10512"</f>
        <v>T10512</v>
      </c>
      <c r="B1553" t="s">
        <v>437</v>
      </c>
      <c r="C1553">
        <v>76392</v>
      </c>
      <c r="D1553" s="2">
        <v>150</v>
      </c>
      <c r="E1553" s="1">
        <v>43213</v>
      </c>
      <c r="F1553" t="str">
        <f>"201804120302"</f>
        <v>201804120302</v>
      </c>
      <c r="G1553" t="str">
        <f>"CONF REGIST-J.RODRIGUEZ"</f>
        <v>CONF REGIST-J.RODRIGUEZ</v>
      </c>
      <c r="H1553">
        <v>150</v>
      </c>
      <c r="I1553" t="str">
        <f>"CONF REGIST-J.RODRIGUEZ"</f>
        <v>CONF REGIST-J.RODRIGUEZ</v>
      </c>
    </row>
    <row r="1554" spans="1:9" x14ac:dyDescent="0.25">
      <c r="A1554" t="str">
        <f>"T6071"</f>
        <v>T6071</v>
      </c>
      <c r="B1554" t="s">
        <v>438</v>
      </c>
      <c r="C1554">
        <v>76168</v>
      </c>
      <c r="D1554" s="2">
        <v>1926.75</v>
      </c>
      <c r="E1554" s="1">
        <v>43199</v>
      </c>
      <c r="F1554" t="str">
        <f>"201804049958"</f>
        <v>201804049958</v>
      </c>
      <c r="G1554" t="str">
        <f>"INDIGENT HEALTH"</f>
        <v>INDIGENT HEALTH</v>
      </c>
      <c r="H1554">
        <v>1926.75</v>
      </c>
      <c r="I1554" t="str">
        <f>"INDIGENT HEALTH"</f>
        <v>INDIGENT HEALTH</v>
      </c>
    </row>
    <row r="1555" spans="1:9" x14ac:dyDescent="0.25">
      <c r="A1555" t="str">
        <f>""</f>
        <v/>
      </c>
      <c r="F1555" t="str">
        <f>""</f>
        <v/>
      </c>
      <c r="G1555" t="str">
        <f>""</f>
        <v/>
      </c>
      <c r="I1555" t="str">
        <f>"INDIGENT HEALTH"</f>
        <v>INDIGENT HEALTH</v>
      </c>
    </row>
    <row r="1556" spans="1:9" x14ac:dyDescent="0.25">
      <c r="A1556" t="str">
        <f>"T7170"</f>
        <v>T7170</v>
      </c>
      <c r="B1556" t="s">
        <v>439</v>
      </c>
      <c r="C1556">
        <v>76169</v>
      </c>
      <c r="D1556" s="2">
        <v>385.05</v>
      </c>
      <c r="E1556" s="1">
        <v>43199</v>
      </c>
      <c r="F1556" t="str">
        <f>"1CO-1030-17"</f>
        <v>1CO-1030-17</v>
      </c>
      <c r="G1556" t="str">
        <f>"A-12174 B. SANCHEZ-RODRIGUEZ"</f>
        <v>A-12174 B. SANCHEZ-RODRIGUEZ</v>
      </c>
      <c r="H1556">
        <v>114.75</v>
      </c>
      <c r="I1556" t="str">
        <f>"A-12174 B. SANCHEZ-RODRIGUEZ"</f>
        <v>A-12174 B. SANCHEZ-RODRIGUEZ</v>
      </c>
    </row>
    <row r="1557" spans="1:9" x14ac:dyDescent="0.25">
      <c r="A1557" t="str">
        <f>""</f>
        <v/>
      </c>
      <c r="F1557" t="str">
        <f>"1CO-1032-17"</f>
        <v>1CO-1032-17</v>
      </c>
      <c r="G1557" t="str">
        <f>"A8176635-K. RATHMANN"</f>
        <v>A8176635-K. RATHMANN</v>
      </c>
      <c r="H1557">
        <v>114.75</v>
      </c>
      <c r="I1557" t="str">
        <f>"A8176635-K. RATHMANN"</f>
        <v>A8176635-K. RATHMANN</v>
      </c>
    </row>
    <row r="1558" spans="1:9" x14ac:dyDescent="0.25">
      <c r="A1558" t="str">
        <f>""</f>
        <v/>
      </c>
      <c r="F1558" t="str">
        <f>"J2-55431"</f>
        <v>J2-55431</v>
      </c>
      <c r="G1558" t="str">
        <f>"A12208-G.P. SHAW"</f>
        <v>A12208-G.P. SHAW</v>
      </c>
      <c r="H1558">
        <v>155.55000000000001</v>
      </c>
      <c r="I1558" t="str">
        <f>"A12208-G.P. SHAW"</f>
        <v>A12208-G.P. SHAW</v>
      </c>
    </row>
    <row r="1559" spans="1:9" x14ac:dyDescent="0.25">
      <c r="A1559" t="str">
        <f>"003077"</f>
        <v>003077</v>
      </c>
      <c r="B1559" t="s">
        <v>440</v>
      </c>
      <c r="C1559">
        <v>76393</v>
      </c>
      <c r="D1559" s="2">
        <v>587</v>
      </c>
      <c r="E1559" s="1">
        <v>43213</v>
      </c>
      <c r="F1559" t="str">
        <f>"6290"</f>
        <v>6290</v>
      </c>
      <c r="G1559" t="str">
        <f>"INV 6290"</f>
        <v>INV 6290</v>
      </c>
      <c r="H1559">
        <v>587</v>
      </c>
      <c r="I1559" t="str">
        <f>"INV 6290"</f>
        <v>INV 6290</v>
      </c>
    </row>
    <row r="1560" spans="1:9" x14ac:dyDescent="0.25">
      <c r="A1560" t="str">
        <f>"003946"</f>
        <v>003946</v>
      </c>
      <c r="B1560" t="s">
        <v>441</v>
      </c>
      <c r="C1560">
        <v>76170</v>
      </c>
      <c r="D1560" s="2">
        <v>500</v>
      </c>
      <c r="E1560" s="1">
        <v>43199</v>
      </c>
      <c r="F1560" t="str">
        <f>"201804039877"</f>
        <v>201804039877</v>
      </c>
      <c r="G1560" t="str">
        <f>"55 488"</f>
        <v>55 488</v>
      </c>
      <c r="H1560">
        <v>250</v>
      </c>
      <c r="I1560" t="str">
        <f>"55 488"</f>
        <v>55 488</v>
      </c>
    </row>
    <row r="1561" spans="1:9" x14ac:dyDescent="0.25">
      <c r="A1561" t="str">
        <f>""</f>
        <v/>
      </c>
      <c r="F1561" t="str">
        <f>"201804039879"</f>
        <v>201804039879</v>
      </c>
      <c r="G1561" t="str">
        <f>"55 106"</f>
        <v>55 106</v>
      </c>
      <c r="H1561">
        <v>250</v>
      </c>
      <c r="I1561" t="str">
        <f>"55 106"</f>
        <v>55 106</v>
      </c>
    </row>
    <row r="1562" spans="1:9" x14ac:dyDescent="0.25">
      <c r="A1562" t="str">
        <f>"003946"</f>
        <v>003946</v>
      </c>
      <c r="B1562" t="s">
        <v>441</v>
      </c>
      <c r="C1562">
        <v>76394</v>
      </c>
      <c r="D1562" s="2">
        <v>625</v>
      </c>
      <c r="E1562" s="1">
        <v>43213</v>
      </c>
      <c r="F1562" t="str">
        <f>"201804130355"</f>
        <v>201804130355</v>
      </c>
      <c r="G1562" t="str">
        <f>"56007"</f>
        <v>56007</v>
      </c>
      <c r="H1562">
        <v>250</v>
      </c>
      <c r="I1562" t="str">
        <f>"56007"</f>
        <v>56007</v>
      </c>
    </row>
    <row r="1563" spans="1:9" x14ac:dyDescent="0.25">
      <c r="A1563" t="str">
        <f>""</f>
        <v/>
      </c>
      <c r="F1563" t="str">
        <f>"201804130356"</f>
        <v>201804130356</v>
      </c>
      <c r="G1563" t="str">
        <f>"55 905   55658"</f>
        <v>55 905   55658</v>
      </c>
      <c r="H1563">
        <v>375</v>
      </c>
      <c r="I1563" t="str">
        <f>"55 905   55658"</f>
        <v>55 905   55658</v>
      </c>
    </row>
    <row r="1564" spans="1:9" x14ac:dyDescent="0.25">
      <c r="A1564" t="str">
        <f>"002317"</f>
        <v>002317</v>
      </c>
      <c r="B1564" t="s">
        <v>442</v>
      </c>
      <c r="C1564">
        <v>999999</v>
      </c>
      <c r="D1564" s="2">
        <v>3575</v>
      </c>
      <c r="E1564" s="1">
        <v>43200</v>
      </c>
      <c r="F1564" t="str">
        <f>"201803279779"</f>
        <v>201803279779</v>
      </c>
      <c r="G1564" t="str">
        <f>"16 436"</f>
        <v>16 436</v>
      </c>
      <c r="H1564">
        <v>1000</v>
      </c>
      <c r="I1564" t="str">
        <f>"16 436"</f>
        <v>16 436</v>
      </c>
    </row>
    <row r="1565" spans="1:9" x14ac:dyDescent="0.25">
      <c r="A1565" t="str">
        <f>""</f>
        <v/>
      </c>
      <c r="F1565" t="str">
        <f>"201803279780"</f>
        <v>201803279780</v>
      </c>
      <c r="G1565" t="str">
        <f>"15 908"</f>
        <v>15 908</v>
      </c>
      <c r="H1565">
        <v>400</v>
      </c>
      <c r="I1565" t="str">
        <f>"15 908"</f>
        <v>15 908</v>
      </c>
    </row>
    <row r="1566" spans="1:9" x14ac:dyDescent="0.25">
      <c r="A1566" t="str">
        <f>""</f>
        <v/>
      </c>
      <c r="F1566" t="str">
        <f>"201803279781"</f>
        <v>201803279781</v>
      </c>
      <c r="G1566" t="str">
        <f>"16 431"</f>
        <v>16 431</v>
      </c>
      <c r="H1566">
        <v>400</v>
      </c>
      <c r="I1566" t="str">
        <f>"16 431"</f>
        <v>16 431</v>
      </c>
    </row>
    <row r="1567" spans="1:9" x14ac:dyDescent="0.25">
      <c r="A1567" t="str">
        <f>""</f>
        <v/>
      </c>
      <c r="F1567" t="str">
        <f>"201803299817"</f>
        <v>201803299817</v>
      </c>
      <c r="G1567" t="str">
        <f>"AC-2017-1221B"</f>
        <v>AC-2017-1221B</v>
      </c>
      <c r="H1567">
        <v>400</v>
      </c>
      <c r="I1567" t="str">
        <f>"AC-2017-1221B"</f>
        <v>AC-2017-1221B</v>
      </c>
    </row>
    <row r="1568" spans="1:9" x14ac:dyDescent="0.25">
      <c r="A1568" t="str">
        <f>""</f>
        <v/>
      </c>
      <c r="F1568" t="str">
        <f>"201803299818"</f>
        <v>201803299818</v>
      </c>
      <c r="G1568" t="str">
        <f>"734-335/8207071-1/734-335"</f>
        <v>734-335/8207071-1/734-335</v>
      </c>
      <c r="H1568">
        <v>100</v>
      </c>
      <c r="I1568" t="str">
        <f>"734-335/8207071-1/734-335"</f>
        <v>734-335/8207071-1/734-335</v>
      </c>
    </row>
    <row r="1569" spans="1:9" x14ac:dyDescent="0.25">
      <c r="A1569" t="str">
        <f>""</f>
        <v/>
      </c>
      <c r="F1569" t="str">
        <f>"201803299819"</f>
        <v>201803299819</v>
      </c>
      <c r="G1569" t="str">
        <f>"1JP1418H/8207071-2/423-5615"</f>
        <v>1JP1418H/8207071-2/423-5615</v>
      </c>
      <c r="H1569">
        <v>100</v>
      </c>
      <c r="I1569" t="str">
        <f>"1JP1418H/8207071-2/423-5615"</f>
        <v>1JP1418H/8207071-2/423-5615</v>
      </c>
    </row>
    <row r="1570" spans="1:9" x14ac:dyDescent="0.25">
      <c r="A1570" t="str">
        <f>""</f>
        <v/>
      </c>
      <c r="F1570" t="str">
        <f>"201803299820"</f>
        <v>201803299820</v>
      </c>
      <c r="G1570" t="str">
        <f>"402148-1/18-S-00819/735-335"</f>
        <v>402148-1/18-S-00819/735-335</v>
      </c>
      <c r="H1570">
        <v>100</v>
      </c>
      <c r="I1570" t="str">
        <f>"402148-1/18-S-00819/735-335"</f>
        <v>402148-1/18-S-00819/735-335</v>
      </c>
    </row>
    <row r="1571" spans="1:9" x14ac:dyDescent="0.25">
      <c r="A1571" t="str">
        <f>""</f>
        <v/>
      </c>
      <c r="F1571" t="str">
        <f>"201803299821"</f>
        <v>201803299821</v>
      </c>
      <c r="G1571" t="str">
        <f>"DCPC17-066/736-21"</f>
        <v>DCPC17-066/736-21</v>
      </c>
      <c r="H1571">
        <v>100</v>
      </c>
      <c r="I1571" t="str">
        <f>"DCPC17-066/736-21"</f>
        <v>DCPC17-066/736-21</v>
      </c>
    </row>
    <row r="1572" spans="1:9" x14ac:dyDescent="0.25">
      <c r="A1572" t="str">
        <f>""</f>
        <v/>
      </c>
      <c r="F1572" t="str">
        <f>"201803299822"</f>
        <v>201803299822</v>
      </c>
      <c r="G1572" t="str">
        <f>"JP4411047-9/735-21"</f>
        <v>JP4411047-9/735-21</v>
      </c>
      <c r="H1572">
        <v>100</v>
      </c>
      <c r="I1572" t="str">
        <f>"JP4411047-9/735-21"</f>
        <v>JP4411047-9/735-21</v>
      </c>
    </row>
    <row r="1573" spans="1:9" x14ac:dyDescent="0.25">
      <c r="A1573" t="str">
        <f>""</f>
        <v/>
      </c>
      <c r="F1573" t="str">
        <f>"201804039870"</f>
        <v>201804039870</v>
      </c>
      <c r="G1573" t="str">
        <f>"55 525"</f>
        <v>55 525</v>
      </c>
      <c r="H1573">
        <v>250</v>
      </c>
      <c r="I1573" t="str">
        <f>"55 525"</f>
        <v>55 525</v>
      </c>
    </row>
    <row r="1574" spans="1:9" x14ac:dyDescent="0.25">
      <c r="A1574" t="str">
        <f>""</f>
        <v/>
      </c>
      <c r="F1574" t="str">
        <f>"201804039871"</f>
        <v>201804039871</v>
      </c>
      <c r="G1574" t="str">
        <f>"55922/55923"</f>
        <v>55922/55923</v>
      </c>
      <c r="H1574">
        <v>375</v>
      </c>
      <c r="I1574" t="str">
        <f>"55922/55923"</f>
        <v>55922/55923</v>
      </c>
    </row>
    <row r="1575" spans="1:9" x14ac:dyDescent="0.25">
      <c r="A1575" t="str">
        <f>""</f>
        <v/>
      </c>
      <c r="F1575" t="str">
        <f>"201804049978"</f>
        <v>201804049978</v>
      </c>
      <c r="G1575" t="str">
        <f>"54 991"</f>
        <v>54 991</v>
      </c>
      <c r="H1575">
        <v>250</v>
      </c>
      <c r="I1575" t="str">
        <f>"54 991"</f>
        <v>54 991</v>
      </c>
    </row>
    <row r="1576" spans="1:9" x14ac:dyDescent="0.25">
      <c r="A1576" t="str">
        <f>"002317"</f>
        <v>002317</v>
      </c>
      <c r="B1576" t="s">
        <v>442</v>
      </c>
      <c r="C1576">
        <v>999999</v>
      </c>
      <c r="D1576" s="2">
        <v>1000</v>
      </c>
      <c r="E1576" s="1">
        <v>43214</v>
      </c>
      <c r="F1576" t="str">
        <f>"201804130321"</f>
        <v>201804130321</v>
      </c>
      <c r="G1576" t="str">
        <f>"20171314"</f>
        <v>20171314</v>
      </c>
      <c r="H1576">
        <v>400</v>
      </c>
      <c r="I1576" t="str">
        <f>"20171314"</f>
        <v>20171314</v>
      </c>
    </row>
    <row r="1577" spans="1:9" x14ac:dyDescent="0.25">
      <c r="A1577" t="str">
        <f>""</f>
        <v/>
      </c>
      <c r="F1577" t="str">
        <f>"201804130348"</f>
        <v>201804130348</v>
      </c>
      <c r="G1577" t="str">
        <f>"17-18269"</f>
        <v>17-18269</v>
      </c>
      <c r="H1577">
        <v>225</v>
      </c>
      <c r="I1577" t="str">
        <f>"17-18269"</f>
        <v>17-18269</v>
      </c>
    </row>
    <row r="1578" spans="1:9" x14ac:dyDescent="0.25">
      <c r="A1578" t="str">
        <f>""</f>
        <v/>
      </c>
      <c r="F1578" t="str">
        <f>"201804130351"</f>
        <v>201804130351</v>
      </c>
      <c r="G1578" t="str">
        <f>"56 006"</f>
        <v>56 006</v>
      </c>
      <c r="H1578">
        <v>375</v>
      </c>
      <c r="I1578" t="str">
        <f>"56 006"</f>
        <v>56 006</v>
      </c>
    </row>
    <row r="1579" spans="1:9" x14ac:dyDescent="0.25">
      <c r="A1579" t="str">
        <f>"T9301"</f>
        <v>T9301</v>
      </c>
      <c r="B1579" t="s">
        <v>443</v>
      </c>
      <c r="C1579">
        <v>76171</v>
      </c>
      <c r="D1579" s="2">
        <v>114.63</v>
      </c>
      <c r="E1579" s="1">
        <v>43199</v>
      </c>
      <c r="F1579" t="str">
        <f>"201804039914"</f>
        <v>201804039914</v>
      </c>
      <c r="G1579" t="str">
        <f>"REIMBURSE OFFICE SUPPLIES"</f>
        <v>REIMBURSE OFFICE SUPPLIES</v>
      </c>
      <c r="H1579">
        <v>114.63</v>
      </c>
      <c r="I1579" t="str">
        <f>"REIMBURSE OFFICE SUPPLIES"</f>
        <v>REIMBURSE OFFICE SUPPLIES</v>
      </c>
    </row>
    <row r="1580" spans="1:9" x14ac:dyDescent="0.25">
      <c r="A1580" t="str">
        <f>"005515"</f>
        <v>005515</v>
      </c>
      <c r="B1580" t="s">
        <v>444</v>
      </c>
      <c r="C1580">
        <v>76395</v>
      </c>
      <c r="D1580" s="2">
        <v>200</v>
      </c>
      <c r="E1580" s="1">
        <v>43213</v>
      </c>
      <c r="F1580" t="str">
        <f>"201804160365"</f>
        <v>201804160365</v>
      </c>
      <c r="G1580" t="str">
        <f>"REFUND OSSF DESIGN"</f>
        <v>REFUND OSSF DESIGN</v>
      </c>
      <c r="H1580">
        <v>200</v>
      </c>
      <c r="I1580" t="str">
        <f>"REFUND OSSF DESIGN"</f>
        <v>REFUND OSSF DESIGN</v>
      </c>
    </row>
    <row r="1581" spans="1:9" x14ac:dyDescent="0.25">
      <c r="A1581" t="str">
        <f>"005512"</f>
        <v>005512</v>
      </c>
      <c r="B1581" t="s">
        <v>445</v>
      </c>
      <c r="C1581">
        <v>76396</v>
      </c>
      <c r="D1581" s="2">
        <v>300</v>
      </c>
      <c r="E1581" s="1">
        <v>43213</v>
      </c>
      <c r="F1581" t="str">
        <f>"5281"</f>
        <v>5281</v>
      </c>
      <c r="G1581" t="str">
        <f>"FINGER/TOENAIL 10P"</f>
        <v>FINGER/TOENAIL 10P</v>
      </c>
      <c r="H1581">
        <v>300</v>
      </c>
      <c r="I1581" t="str">
        <f>"FINGER/TOENAIL 10P"</f>
        <v>FINGER/TOENAIL 10P</v>
      </c>
    </row>
    <row r="1582" spans="1:9" x14ac:dyDescent="0.25">
      <c r="A1582" t="str">
        <f>"TIME"</f>
        <v>TIME</v>
      </c>
      <c r="B1582" t="s">
        <v>446</v>
      </c>
      <c r="C1582">
        <v>76397</v>
      </c>
      <c r="D1582" s="2">
        <v>10682.01</v>
      </c>
      <c r="E1582" s="1">
        <v>43213</v>
      </c>
      <c r="F1582" t="str">
        <f>"201804110245"</f>
        <v>201804110245</v>
      </c>
      <c r="G1582" t="str">
        <f>"ACCT#8260163000003669"</f>
        <v>ACCT#8260163000003669</v>
      </c>
      <c r="H1582">
        <v>10682.01</v>
      </c>
      <c r="I1582" t="str">
        <f>"ACCT#8260163000003669"</f>
        <v>ACCT#8260163000003669</v>
      </c>
    </row>
    <row r="1583" spans="1:9" x14ac:dyDescent="0.25">
      <c r="A1583" t="str">
        <f>""</f>
        <v/>
      </c>
      <c r="F1583" t="str">
        <f>""</f>
        <v/>
      </c>
      <c r="G1583" t="str">
        <f>""</f>
        <v/>
      </c>
      <c r="I1583" t="str">
        <f>"ACCT#8260163000003669"</f>
        <v>ACCT#8260163000003669</v>
      </c>
    </row>
    <row r="1584" spans="1:9" x14ac:dyDescent="0.25">
      <c r="A1584" t="str">
        <f>""</f>
        <v/>
      </c>
      <c r="F1584" t="str">
        <f>""</f>
        <v/>
      </c>
      <c r="G1584" t="str">
        <f>""</f>
        <v/>
      </c>
      <c r="I1584" t="str">
        <f>"ACCT#8260163000003669"</f>
        <v>ACCT#8260163000003669</v>
      </c>
    </row>
    <row r="1585" spans="1:10" x14ac:dyDescent="0.25">
      <c r="A1585" t="str">
        <f>"002337"</f>
        <v>002337</v>
      </c>
      <c r="B1585" t="s">
        <v>447</v>
      </c>
      <c r="C1585">
        <v>76172</v>
      </c>
      <c r="D1585" s="2">
        <v>750</v>
      </c>
      <c r="E1585" s="1">
        <v>43199</v>
      </c>
      <c r="F1585" t="s">
        <v>59</v>
      </c>
      <c r="G1585" t="s">
        <v>61</v>
      </c>
      <c r="H1585" t="str">
        <f>"SERVICE  02/08/18"</f>
        <v>SERVICE  02/08/18</v>
      </c>
      <c r="I1585" t="str">
        <f>"995-4110"</f>
        <v>995-4110</v>
      </c>
      <c r="J1585">
        <v>75</v>
      </c>
    </row>
    <row r="1586" spans="1:10" x14ac:dyDescent="0.25">
      <c r="A1586" t="str">
        <f>""</f>
        <v/>
      </c>
      <c r="F1586" t="s">
        <v>59</v>
      </c>
      <c r="G1586" t="s">
        <v>62</v>
      </c>
      <c r="H1586" t="str">
        <f>"SERVICE  01/22/18"</f>
        <v>SERVICE  01/22/18</v>
      </c>
      <c r="I1586" t="str">
        <f>"995-4110"</f>
        <v>995-4110</v>
      </c>
      <c r="J1586">
        <v>75</v>
      </c>
    </row>
    <row r="1587" spans="1:10" x14ac:dyDescent="0.25">
      <c r="A1587" t="str">
        <f>""</f>
        <v/>
      </c>
      <c r="F1587" t="str">
        <f>"12135"</f>
        <v>12135</v>
      </c>
      <c r="G1587" t="str">
        <f>"SERVICE  01/26/18"</f>
        <v>SERVICE  01/26/18</v>
      </c>
      <c r="H1587">
        <v>75</v>
      </c>
      <c r="I1587" t="str">
        <f>"SERVICE  01/26/18"</f>
        <v>SERVICE  01/26/18</v>
      </c>
    </row>
    <row r="1588" spans="1:10" x14ac:dyDescent="0.25">
      <c r="A1588" t="str">
        <f>""</f>
        <v/>
      </c>
      <c r="F1588" t="str">
        <f>"12571"</f>
        <v>12571</v>
      </c>
      <c r="G1588" t="str">
        <f>"SERVICE  01/09/18"</f>
        <v>SERVICE  01/09/18</v>
      </c>
      <c r="H1588">
        <v>75</v>
      </c>
      <c r="I1588" t="str">
        <f>"SERVICE  01/09/18"</f>
        <v>SERVICE  01/09/18</v>
      </c>
    </row>
    <row r="1589" spans="1:10" x14ac:dyDescent="0.25">
      <c r="A1589" t="str">
        <f>""</f>
        <v/>
      </c>
      <c r="F1589" t="str">
        <f>"12706"</f>
        <v>12706</v>
      </c>
      <c r="G1589" t="str">
        <f>"SERVICE  01/18/18"</f>
        <v>SERVICE  01/18/18</v>
      </c>
      <c r="H1589">
        <v>375</v>
      </c>
      <c r="I1589" t="str">
        <f>"SERVICE  01/18/18"</f>
        <v>SERVICE  01/18/18</v>
      </c>
    </row>
    <row r="1590" spans="1:10" x14ac:dyDescent="0.25">
      <c r="A1590" t="str">
        <f>""</f>
        <v/>
      </c>
      <c r="F1590" t="str">
        <f>"12845"</f>
        <v>12845</v>
      </c>
      <c r="G1590" t="str">
        <f>"SERVICE  01/30/18"</f>
        <v>SERVICE  01/30/18</v>
      </c>
      <c r="H1590">
        <v>75</v>
      </c>
      <c r="I1590" t="str">
        <f>"SERVICE  01/30/18"</f>
        <v>SERVICE  01/30/18</v>
      </c>
    </row>
    <row r="1591" spans="1:10" x14ac:dyDescent="0.25">
      <c r="A1591" t="str">
        <f>"002337"</f>
        <v>002337</v>
      </c>
      <c r="B1591" t="s">
        <v>447</v>
      </c>
      <c r="C1591">
        <v>76398</v>
      </c>
      <c r="D1591" s="2">
        <v>750</v>
      </c>
      <c r="E1591" s="1">
        <v>43213</v>
      </c>
      <c r="F1591" t="str">
        <f>"12570"</f>
        <v>12570</v>
      </c>
      <c r="G1591" t="str">
        <f>"SERVICE  02/22/18"</f>
        <v>SERVICE  02/22/18</v>
      </c>
      <c r="H1591">
        <v>75</v>
      </c>
      <c r="I1591" t="str">
        <f>"SERVICE  02/22/18"</f>
        <v>SERVICE  02/22/18</v>
      </c>
    </row>
    <row r="1592" spans="1:10" x14ac:dyDescent="0.25">
      <c r="A1592" t="str">
        <f>""</f>
        <v/>
      </c>
      <c r="F1592" t="str">
        <f>"12605"</f>
        <v>12605</v>
      </c>
      <c r="G1592" t="str">
        <f>"SERVICE  12/08/17"</f>
        <v>SERVICE  12/08/17</v>
      </c>
      <c r="H1592">
        <v>300</v>
      </c>
      <c r="I1592" t="str">
        <f>"SERVICE  12/08/17"</f>
        <v>SERVICE  12/08/17</v>
      </c>
    </row>
    <row r="1593" spans="1:10" x14ac:dyDescent="0.25">
      <c r="A1593" t="str">
        <f>""</f>
        <v/>
      </c>
      <c r="F1593" t="str">
        <f>"12693"</f>
        <v>12693</v>
      </c>
      <c r="G1593" t="str">
        <f>"SERVICE  12/08/17"</f>
        <v>SERVICE  12/08/17</v>
      </c>
      <c r="H1593">
        <v>225</v>
      </c>
      <c r="I1593" t="str">
        <f>"SERVICE  12/08/17"</f>
        <v>SERVICE  12/08/17</v>
      </c>
    </row>
    <row r="1594" spans="1:10" x14ac:dyDescent="0.25">
      <c r="A1594" t="str">
        <f>""</f>
        <v/>
      </c>
      <c r="F1594" t="str">
        <f>"12696"</f>
        <v>12696</v>
      </c>
      <c r="G1594" t="str">
        <f>"SERVICE  12/08/17"</f>
        <v>SERVICE  12/08/17</v>
      </c>
      <c r="H1594">
        <v>75</v>
      </c>
      <c r="I1594" t="str">
        <f>"SERVICE  12/08/17"</f>
        <v>SERVICE  12/08/17</v>
      </c>
    </row>
    <row r="1595" spans="1:10" x14ac:dyDescent="0.25">
      <c r="A1595" t="str">
        <f>""</f>
        <v/>
      </c>
      <c r="F1595" t="str">
        <f>"12739"</f>
        <v>12739</v>
      </c>
      <c r="G1595" t="str">
        <f>"SERVICE  02/20/18"</f>
        <v>SERVICE  02/20/18</v>
      </c>
      <c r="H1595">
        <v>75</v>
      </c>
      <c r="I1595" t="str">
        <f>"SERVICE  02/20/18"</f>
        <v>SERVICE  02/20/18</v>
      </c>
    </row>
    <row r="1596" spans="1:10" x14ac:dyDescent="0.25">
      <c r="A1596" t="str">
        <f>"TCC"</f>
        <v>TCC</v>
      </c>
      <c r="B1596" t="s">
        <v>448</v>
      </c>
      <c r="C1596">
        <v>76173</v>
      </c>
      <c r="D1596" s="2">
        <v>883</v>
      </c>
      <c r="E1596" s="1">
        <v>43199</v>
      </c>
      <c r="F1596" t="str">
        <f>"18-000481"</f>
        <v>18-000481</v>
      </c>
      <c r="G1596" t="str">
        <f>"CAUSE#C-1-MH-18-000481/CT COST"</f>
        <v>CAUSE#C-1-MH-18-000481/CT COST</v>
      </c>
      <c r="H1596">
        <v>454</v>
      </c>
      <c r="I1596" t="str">
        <f>"CAUSE#C-1-MH-18-000481/CT COST"</f>
        <v>CAUSE#C-1-MH-18-000481/CT COST</v>
      </c>
    </row>
    <row r="1597" spans="1:10" x14ac:dyDescent="0.25">
      <c r="A1597" t="str">
        <f>""</f>
        <v/>
      </c>
      <c r="F1597" t="str">
        <f>"18-000529"</f>
        <v>18-000529</v>
      </c>
      <c r="G1597" t="str">
        <f>"CAUSE#C-1-MH-18-000529"</f>
        <v>CAUSE#C-1-MH-18-000529</v>
      </c>
      <c r="H1597">
        <v>429</v>
      </c>
      <c r="I1597" t="str">
        <f>"CAUSE#C-1-MH-18-000529"</f>
        <v>CAUSE#C-1-MH-18-000529</v>
      </c>
    </row>
    <row r="1598" spans="1:10" x14ac:dyDescent="0.25">
      <c r="A1598" t="str">
        <f>"T6199"</f>
        <v>T6199</v>
      </c>
      <c r="B1598" t="s">
        <v>449</v>
      </c>
      <c r="C1598">
        <v>76399</v>
      </c>
      <c r="D1598" s="2">
        <v>25</v>
      </c>
      <c r="E1598" s="1">
        <v>43213</v>
      </c>
      <c r="F1598" t="str">
        <f>"TRAINING-N.NEITSCH"</f>
        <v>TRAINING-N.NEITSCH</v>
      </c>
      <c r="G1598" t="str">
        <f>"TRAINING - N. NEITSCH"</f>
        <v>TRAINING - N. NEITSCH</v>
      </c>
      <c r="H1598">
        <v>25</v>
      </c>
      <c r="I1598" t="str">
        <f>"TRAINING - N. NEITSCH"</f>
        <v>TRAINING - N. NEITSCH</v>
      </c>
    </row>
    <row r="1599" spans="1:10" x14ac:dyDescent="0.25">
      <c r="A1599" t="str">
        <f>"005136"</f>
        <v>005136</v>
      </c>
      <c r="B1599" t="s">
        <v>450</v>
      </c>
      <c r="C1599">
        <v>76174</v>
      </c>
      <c r="D1599" s="2">
        <v>2900</v>
      </c>
      <c r="E1599" s="1">
        <v>43199</v>
      </c>
      <c r="F1599" t="str">
        <f>"3300001191"</f>
        <v>3300001191</v>
      </c>
      <c r="G1599" t="str">
        <f>"INV#3300001191/CUST#100009"</f>
        <v>INV#3300001191/CUST#100009</v>
      </c>
      <c r="H1599">
        <v>2900</v>
      </c>
      <c r="I1599" t="str">
        <f>"INV#3300001191/CUST#100009"</f>
        <v>INV#3300001191/CUST#100009</v>
      </c>
    </row>
    <row r="1600" spans="1:10" x14ac:dyDescent="0.25">
      <c r="A1600" t="str">
        <f>"002944"</f>
        <v>002944</v>
      </c>
      <c r="B1600" t="s">
        <v>451</v>
      </c>
      <c r="C1600">
        <v>999999</v>
      </c>
      <c r="D1600" s="2">
        <v>521.67999999999995</v>
      </c>
      <c r="E1600" s="1">
        <v>43200</v>
      </c>
      <c r="F1600" t="str">
        <f>"702351"</f>
        <v>702351</v>
      </c>
      <c r="G1600" t="str">
        <f>"INV 702351 / UNIT 6523"</f>
        <v>INV 702351 / UNIT 6523</v>
      </c>
      <c r="H1600">
        <v>521.67999999999995</v>
      </c>
      <c r="I1600" t="str">
        <f>"INV 702351 / UNIT 6523"</f>
        <v>INV 702351 / UNIT 6523</v>
      </c>
    </row>
    <row r="1601" spans="1:9" x14ac:dyDescent="0.25">
      <c r="A1601" t="str">
        <f>"002944"</f>
        <v>002944</v>
      </c>
      <c r="B1601" t="s">
        <v>451</v>
      </c>
      <c r="C1601">
        <v>999999</v>
      </c>
      <c r="D1601" s="2">
        <v>521.64</v>
      </c>
      <c r="E1601" s="1">
        <v>43214</v>
      </c>
      <c r="F1601" t="str">
        <f>"INV 703409"</f>
        <v>INV 703409</v>
      </c>
      <c r="G1601" t="str">
        <f>"INV 703409/ UNIT 6550"</f>
        <v>INV 703409/ UNIT 6550</v>
      </c>
      <c r="H1601">
        <v>521.64</v>
      </c>
      <c r="I1601" t="str">
        <f>"INV 703409/ UNIT 6550"</f>
        <v>INV 703409/ UNIT 6550</v>
      </c>
    </row>
    <row r="1602" spans="1:9" x14ac:dyDescent="0.25">
      <c r="A1602" t="str">
        <f>"003838"</f>
        <v>003838</v>
      </c>
      <c r="B1602" t="s">
        <v>452</v>
      </c>
      <c r="C1602">
        <v>76175</v>
      </c>
      <c r="D1602" s="2">
        <v>4686.43</v>
      </c>
      <c r="E1602" s="1">
        <v>43199</v>
      </c>
      <c r="F1602" t="str">
        <f>"201804049952"</f>
        <v>201804049952</v>
      </c>
      <c r="G1602" t="str">
        <f>"INDIGENT HEALTH"</f>
        <v>INDIGENT HEALTH</v>
      </c>
      <c r="H1602">
        <v>4686.43</v>
      </c>
      <c r="I1602" t="str">
        <f>"INDIGENT HEALTH"</f>
        <v>INDIGENT HEALTH</v>
      </c>
    </row>
    <row r="1603" spans="1:9" x14ac:dyDescent="0.25">
      <c r="A1603" t="str">
        <f>"TRIPLE"</f>
        <v>TRIPLE</v>
      </c>
      <c r="B1603" t="s">
        <v>453</v>
      </c>
      <c r="C1603">
        <v>999999</v>
      </c>
      <c r="D1603" s="2">
        <v>11539.28</v>
      </c>
      <c r="E1603" s="1">
        <v>43200</v>
      </c>
      <c r="F1603" t="str">
        <f>"0014775-IN"</f>
        <v>0014775-IN</v>
      </c>
      <c r="G1603" t="str">
        <f>"CUST#0009084/DIESEL/PCT#1"</f>
        <v>CUST#0009084/DIESEL/PCT#1</v>
      </c>
      <c r="H1603">
        <v>3603.59</v>
      </c>
      <c r="I1603" t="str">
        <f>"CUST#0009084/DIESEL/PCT#1"</f>
        <v>CUST#0009084/DIESEL/PCT#1</v>
      </c>
    </row>
    <row r="1604" spans="1:9" x14ac:dyDescent="0.25">
      <c r="A1604" t="str">
        <f>""</f>
        <v/>
      </c>
      <c r="F1604" t="str">
        <f>"0014791-IN"</f>
        <v>0014791-IN</v>
      </c>
      <c r="G1604" t="str">
        <f>"CUST#0009087/DIESEL/PCT#4"</f>
        <v>CUST#0009087/DIESEL/PCT#4</v>
      </c>
      <c r="H1604">
        <v>5533.59</v>
      </c>
      <c r="I1604" t="str">
        <f>"CUST#0009087/DIESEL/PCT#4"</f>
        <v>CUST#0009087/DIESEL/PCT#4</v>
      </c>
    </row>
    <row r="1605" spans="1:9" x14ac:dyDescent="0.25">
      <c r="A1605" t="str">
        <f>""</f>
        <v/>
      </c>
      <c r="F1605" t="str">
        <f>"0014876-IN"</f>
        <v>0014876-IN</v>
      </c>
      <c r="G1605" t="str">
        <f>"CUST#0009084/DIESEL/PCT#1"</f>
        <v>CUST#0009084/DIESEL/PCT#1</v>
      </c>
      <c r="H1605">
        <v>2402.1</v>
      </c>
      <c r="I1605" t="str">
        <f>"CUST#0009084/DIESEL/PCT#1"</f>
        <v>CUST#0009084/DIESEL/PCT#1</v>
      </c>
    </row>
    <row r="1606" spans="1:9" x14ac:dyDescent="0.25">
      <c r="A1606" t="str">
        <f>"TRIPLE"</f>
        <v>TRIPLE</v>
      </c>
      <c r="B1606" t="s">
        <v>453</v>
      </c>
      <c r="C1606">
        <v>999999</v>
      </c>
      <c r="D1606" s="2">
        <v>7050.48</v>
      </c>
      <c r="E1606" s="1">
        <v>43214</v>
      </c>
      <c r="F1606" t="str">
        <f>"0015037-IN"</f>
        <v>0015037-IN</v>
      </c>
      <c r="G1606" t="str">
        <f>"CUST#0009087/FUEL/PCT#4"</f>
        <v>CUST#0009087/FUEL/PCT#4</v>
      </c>
      <c r="H1606">
        <v>7050.48</v>
      </c>
      <c r="I1606" t="str">
        <f>"CUST#0009087/FUEL/PCT#4"</f>
        <v>CUST#0009087/FUEL/PCT#4</v>
      </c>
    </row>
    <row r="1607" spans="1:9" x14ac:dyDescent="0.25">
      <c r="A1607" t="str">
        <f>"TRACTO"</f>
        <v>TRACTO</v>
      </c>
      <c r="B1607" t="s">
        <v>454</v>
      </c>
      <c r="C1607">
        <v>76176</v>
      </c>
      <c r="D1607" s="2">
        <v>1214.82</v>
      </c>
      <c r="E1607" s="1">
        <v>43199</v>
      </c>
      <c r="F1607" t="str">
        <f>"ACCT#XXXXXXX160982"</f>
        <v>ACCT#XXXXXXX160982</v>
      </c>
      <c r="G1607" t="str">
        <f>"ACCT# 6035301200160982"</f>
        <v>ACCT# 6035301200160982</v>
      </c>
      <c r="H1607">
        <v>1214.82</v>
      </c>
      <c r="I1607" t="str">
        <f>"INV# 300440453"</f>
        <v>INV# 300440453</v>
      </c>
    </row>
    <row r="1608" spans="1:9" x14ac:dyDescent="0.25">
      <c r="A1608" t="str">
        <f>""</f>
        <v/>
      </c>
      <c r="F1608" t="str">
        <f>""</f>
        <v/>
      </c>
      <c r="G1608" t="str">
        <f>""</f>
        <v/>
      </c>
      <c r="I1608" t="str">
        <f>"INV# 200477848"</f>
        <v>INV# 200477848</v>
      </c>
    </row>
    <row r="1609" spans="1:9" x14ac:dyDescent="0.25">
      <c r="A1609" t="str">
        <f>""</f>
        <v/>
      </c>
      <c r="F1609" t="str">
        <f>""</f>
        <v/>
      </c>
      <c r="G1609" t="str">
        <f>""</f>
        <v/>
      </c>
      <c r="I1609" t="str">
        <f>"INV# 200475192"</f>
        <v>INV# 200475192</v>
      </c>
    </row>
    <row r="1610" spans="1:9" x14ac:dyDescent="0.25">
      <c r="A1610" t="str">
        <f>""</f>
        <v/>
      </c>
      <c r="F1610" t="str">
        <f>""</f>
        <v/>
      </c>
      <c r="G1610" t="str">
        <f>""</f>
        <v/>
      </c>
      <c r="I1610" t="str">
        <f>"INV# 100016503"</f>
        <v>INV# 100016503</v>
      </c>
    </row>
    <row r="1611" spans="1:9" x14ac:dyDescent="0.25">
      <c r="A1611" t="str">
        <f>""</f>
        <v/>
      </c>
      <c r="F1611" t="str">
        <f>""</f>
        <v/>
      </c>
      <c r="G1611" t="str">
        <f>""</f>
        <v/>
      </c>
      <c r="I1611" t="str">
        <f>"INV# 10016503"</f>
        <v>INV# 10016503</v>
      </c>
    </row>
    <row r="1612" spans="1:9" x14ac:dyDescent="0.25">
      <c r="A1612" t="str">
        <f>""</f>
        <v/>
      </c>
      <c r="F1612" t="str">
        <f>""</f>
        <v/>
      </c>
      <c r="G1612" t="str">
        <f>""</f>
        <v/>
      </c>
      <c r="I1612" t="str">
        <f>"INV# 100548434"</f>
        <v>INV# 100548434</v>
      </c>
    </row>
    <row r="1613" spans="1:9" x14ac:dyDescent="0.25">
      <c r="A1613" t="str">
        <f>""</f>
        <v/>
      </c>
      <c r="F1613" t="str">
        <f>""</f>
        <v/>
      </c>
      <c r="G1613" t="str">
        <f>""</f>
        <v/>
      </c>
      <c r="I1613" t="str">
        <f>"INV# 300439174"</f>
        <v>INV# 300439174</v>
      </c>
    </row>
    <row r="1614" spans="1:9" x14ac:dyDescent="0.25">
      <c r="A1614" t="str">
        <f>""</f>
        <v/>
      </c>
      <c r="F1614" t="str">
        <f>""</f>
        <v/>
      </c>
      <c r="G1614" t="str">
        <f>""</f>
        <v/>
      </c>
      <c r="I1614" t="str">
        <f>"INV# 300443047"</f>
        <v>INV# 300443047</v>
      </c>
    </row>
    <row r="1615" spans="1:9" x14ac:dyDescent="0.25">
      <c r="A1615" t="str">
        <f>""</f>
        <v/>
      </c>
      <c r="F1615" t="str">
        <f>""</f>
        <v/>
      </c>
      <c r="G1615" t="str">
        <f>""</f>
        <v/>
      </c>
      <c r="I1615" t="str">
        <f>"INV# 300443048"</f>
        <v>INV# 300443048</v>
      </c>
    </row>
    <row r="1616" spans="1:9" x14ac:dyDescent="0.25">
      <c r="A1616" t="str">
        <f>""</f>
        <v/>
      </c>
      <c r="F1616" t="str">
        <f>""</f>
        <v/>
      </c>
      <c r="G1616" t="str">
        <f>""</f>
        <v/>
      </c>
      <c r="I1616" t="str">
        <f>"INV# 300443050"</f>
        <v>INV# 300443050</v>
      </c>
    </row>
    <row r="1617" spans="1:9" x14ac:dyDescent="0.25">
      <c r="A1617" t="str">
        <f>""</f>
        <v/>
      </c>
      <c r="F1617" t="str">
        <f>""</f>
        <v/>
      </c>
      <c r="G1617" t="str">
        <f>""</f>
        <v/>
      </c>
      <c r="I1617" t="str">
        <f>"INV# 300443126"</f>
        <v>INV# 300443126</v>
      </c>
    </row>
    <row r="1618" spans="1:9" x14ac:dyDescent="0.25">
      <c r="A1618" t="str">
        <f>""</f>
        <v/>
      </c>
      <c r="F1618" t="str">
        <f>""</f>
        <v/>
      </c>
      <c r="G1618" t="str">
        <f>""</f>
        <v/>
      </c>
      <c r="I1618" t="str">
        <f>"INV# 100440708"</f>
        <v>INV# 100440708</v>
      </c>
    </row>
    <row r="1619" spans="1:9" x14ac:dyDescent="0.25">
      <c r="A1619" t="str">
        <f>"TULL"</f>
        <v>TULL</v>
      </c>
      <c r="B1619" t="s">
        <v>455</v>
      </c>
      <c r="C1619">
        <v>999999</v>
      </c>
      <c r="D1619" s="2">
        <v>100</v>
      </c>
      <c r="E1619" s="1">
        <v>43200</v>
      </c>
      <c r="F1619" t="str">
        <f>"201803279782"</f>
        <v>201803279782</v>
      </c>
      <c r="G1619" t="str">
        <f>"722-21"</f>
        <v>722-21</v>
      </c>
      <c r="H1619">
        <v>100</v>
      </c>
      <c r="I1619" t="str">
        <f>"722-21"</f>
        <v>722-21</v>
      </c>
    </row>
    <row r="1620" spans="1:9" x14ac:dyDescent="0.25">
      <c r="A1620" t="str">
        <f>"TULL"</f>
        <v>TULL</v>
      </c>
      <c r="B1620" t="s">
        <v>455</v>
      </c>
      <c r="C1620">
        <v>999999</v>
      </c>
      <c r="D1620" s="2">
        <v>750</v>
      </c>
      <c r="E1620" s="1">
        <v>43214</v>
      </c>
      <c r="F1620" t="str">
        <f>"201804100192"</f>
        <v>201804100192</v>
      </c>
      <c r="G1620" t="str">
        <f>"16264  02/21/18"</f>
        <v>16264  02/21/18</v>
      </c>
      <c r="H1620">
        <v>400</v>
      </c>
      <c r="I1620" t="str">
        <f>"16264"</f>
        <v>16264</v>
      </c>
    </row>
    <row r="1621" spans="1:9" x14ac:dyDescent="0.25">
      <c r="A1621" t="str">
        <f>""</f>
        <v/>
      </c>
      <c r="F1621" t="str">
        <f>"201804120279"</f>
        <v>201804120279</v>
      </c>
      <c r="G1621" t="str">
        <f>"55 324"</f>
        <v>55 324</v>
      </c>
      <c r="H1621">
        <v>250</v>
      </c>
      <c r="I1621" t="str">
        <f>"55 324"</f>
        <v>55 324</v>
      </c>
    </row>
    <row r="1622" spans="1:9" x14ac:dyDescent="0.25">
      <c r="A1622" t="str">
        <f>""</f>
        <v/>
      </c>
      <c r="F1622" t="str">
        <f>"201804130313"</f>
        <v>201804130313</v>
      </c>
      <c r="G1622" t="str">
        <f>"423-5640"</f>
        <v>423-5640</v>
      </c>
      <c r="H1622">
        <v>100</v>
      </c>
      <c r="I1622" t="str">
        <f>"423-5640"</f>
        <v>423-5640</v>
      </c>
    </row>
    <row r="1623" spans="1:9" x14ac:dyDescent="0.25">
      <c r="A1623" t="str">
        <f>"T12754"</f>
        <v>T12754</v>
      </c>
      <c r="B1623" t="s">
        <v>456</v>
      </c>
      <c r="C1623">
        <v>76400</v>
      </c>
      <c r="D1623" s="2">
        <v>261</v>
      </c>
      <c r="E1623" s="1">
        <v>43213</v>
      </c>
      <c r="F1623" t="str">
        <f>"214"</f>
        <v>214</v>
      </c>
      <c r="G1623" t="str">
        <f>"SERVICE CALL/MAINT KIT/JP#4"</f>
        <v>SERVICE CALL/MAINT KIT/JP#4</v>
      </c>
      <c r="H1623">
        <v>261</v>
      </c>
      <c r="I1623" t="str">
        <f>"SERVICE CALL/MAINT KIT/JP#4"</f>
        <v>SERVICE CALL/MAINT KIT/JP#4</v>
      </c>
    </row>
    <row r="1624" spans="1:9" x14ac:dyDescent="0.25">
      <c r="A1624" t="str">
        <f>"TWC"</f>
        <v>TWC</v>
      </c>
      <c r="B1624" t="s">
        <v>457</v>
      </c>
      <c r="C1624">
        <v>76177</v>
      </c>
      <c r="D1624" s="2">
        <v>1670.5</v>
      </c>
      <c r="E1624" s="1">
        <v>43199</v>
      </c>
      <c r="F1624" t="str">
        <f>"201804039930"</f>
        <v>201804039930</v>
      </c>
      <c r="G1624" t="str">
        <f>"SC00218321/WTR0049727/726"</f>
        <v>SC00218321/WTR0049727/726</v>
      </c>
      <c r="H1624">
        <v>1670.5</v>
      </c>
    </row>
    <row r="1625" spans="1:9" x14ac:dyDescent="0.25">
      <c r="A1625" t="str">
        <f>"TWC"</f>
        <v>TWC</v>
      </c>
      <c r="B1625" t="s">
        <v>457</v>
      </c>
      <c r="C1625">
        <v>76177</v>
      </c>
      <c r="D1625" s="2">
        <v>1670.5</v>
      </c>
      <c r="E1625" s="1">
        <v>43209</v>
      </c>
      <c r="F1625" t="str">
        <f>"CHECK"</f>
        <v>CHECK</v>
      </c>
      <c r="G1625" t="str">
        <f>""</f>
        <v/>
      </c>
      <c r="H1625">
        <v>1670.5</v>
      </c>
    </row>
    <row r="1626" spans="1:9" x14ac:dyDescent="0.25">
      <c r="A1626" t="str">
        <f>"T11867"</f>
        <v>T11867</v>
      </c>
      <c r="B1626" t="s">
        <v>458</v>
      </c>
      <c r="C1626">
        <v>76178</v>
      </c>
      <c r="D1626" s="2">
        <v>75</v>
      </c>
      <c r="E1626" s="1">
        <v>43199</v>
      </c>
      <c r="F1626" t="str">
        <f>"14897"</f>
        <v>14897</v>
      </c>
      <c r="G1626" t="str">
        <f>"2018 MEMBERSHIP DUES"</f>
        <v>2018 MEMBERSHIP DUES</v>
      </c>
      <c r="H1626">
        <v>75</v>
      </c>
      <c r="I1626" t="str">
        <f>"2018 MEMBERSHIP DUES"</f>
        <v>2018 MEMBERSHIP DUES</v>
      </c>
    </row>
    <row r="1627" spans="1:9" x14ac:dyDescent="0.25">
      <c r="A1627" t="str">
        <f>"TXTAG"</f>
        <v>TXTAG</v>
      </c>
      <c r="B1627" t="s">
        <v>459</v>
      </c>
      <c r="C1627">
        <v>76401</v>
      </c>
      <c r="D1627" s="2">
        <v>33.65</v>
      </c>
      <c r="E1627" s="1">
        <v>43213</v>
      </c>
      <c r="F1627" t="str">
        <f>"201804110250"</f>
        <v>201804110250</v>
      </c>
      <c r="G1627" t="str">
        <f>"ACCT#361247944/PCT#3"</f>
        <v>ACCT#361247944/PCT#3</v>
      </c>
      <c r="H1627">
        <v>8.98</v>
      </c>
      <c r="I1627" t="str">
        <f>"ACCT#361247944/PCT#3"</f>
        <v>ACCT#361247944/PCT#3</v>
      </c>
    </row>
    <row r="1628" spans="1:9" x14ac:dyDescent="0.25">
      <c r="A1628" t="str">
        <f>""</f>
        <v/>
      </c>
      <c r="F1628" t="str">
        <f>"359742039"</f>
        <v>359742039</v>
      </c>
      <c r="G1628" t="str">
        <f>"Acct# 359742039"</f>
        <v>Acct# 359742039</v>
      </c>
      <c r="H1628">
        <v>7</v>
      </c>
      <c r="I1628" t="str">
        <f>"Acct# 359742039"</f>
        <v>Acct# 359742039</v>
      </c>
    </row>
    <row r="1629" spans="1:9" x14ac:dyDescent="0.25">
      <c r="A1629" t="str">
        <f>""</f>
        <v/>
      </c>
      <c r="F1629" t="str">
        <f>"359826297"</f>
        <v>359826297</v>
      </c>
      <c r="G1629" t="str">
        <f>"Acct# 359826297"</f>
        <v>Acct# 359826297</v>
      </c>
      <c r="H1629">
        <v>9.0399999999999991</v>
      </c>
      <c r="I1629" t="str">
        <f>"Acct# 359826297"</f>
        <v>Acct# 359826297</v>
      </c>
    </row>
    <row r="1630" spans="1:9" x14ac:dyDescent="0.25">
      <c r="A1630" t="str">
        <f>""</f>
        <v/>
      </c>
      <c r="F1630" t="str">
        <f>"WIC766"</f>
        <v>WIC766</v>
      </c>
      <c r="G1630" t="str">
        <f>"Ref ID# WIC766"</f>
        <v>Ref ID# WIC766</v>
      </c>
      <c r="H1630">
        <v>8.6300000000000008</v>
      </c>
      <c r="I1630" t="str">
        <f>"Ref ID# WIC766"</f>
        <v>Ref ID# WIC766</v>
      </c>
    </row>
    <row r="1631" spans="1:9" x14ac:dyDescent="0.25">
      <c r="A1631" t="str">
        <f>"TYLER"</f>
        <v>TYLER</v>
      </c>
      <c r="B1631" t="s">
        <v>460</v>
      </c>
      <c r="C1631">
        <v>999999</v>
      </c>
      <c r="D1631" s="2">
        <v>38136.910000000003</v>
      </c>
      <c r="E1631" s="1">
        <v>43200</v>
      </c>
      <c r="F1631" t="str">
        <f>"020-16165"</f>
        <v>020-16165</v>
      </c>
      <c r="G1631" t="str">
        <f>"CUST#42161/ORD#6404"</f>
        <v>CUST#42161/ORD#6404</v>
      </c>
      <c r="H1631">
        <v>34940.370000000003</v>
      </c>
      <c r="I1631" t="str">
        <f>"CUST#42161/ORD#6404"</f>
        <v>CUST#42161/ORD#6404</v>
      </c>
    </row>
    <row r="1632" spans="1:9" x14ac:dyDescent="0.25">
      <c r="A1632" t="str">
        <f>""</f>
        <v/>
      </c>
      <c r="F1632" t="str">
        <f>"020-16166"</f>
        <v>020-16166</v>
      </c>
      <c r="G1632" t="str">
        <f>"CUST#42161/ORD#6405/DOC MANG"</f>
        <v>CUST#42161/ORD#6405/DOC MANG</v>
      </c>
      <c r="H1632">
        <v>540.75</v>
      </c>
      <c r="I1632" t="str">
        <f>"CUST#42161/ORD#6405/DOC MANG"</f>
        <v>CUST#42161/ORD#6405/DOC MANG</v>
      </c>
    </row>
    <row r="1633" spans="1:9" x14ac:dyDescent="0.25">
      <c r="A1633" t="str">
        <f>""</f>
        <v/>
      </c>
      <c r="F1633" t="str">
        <f>"020-16176"</f>
        <v>020-16176</v>
      </c>
      <c r="G1633" t="str">
        <f>"CUST#42161/ORD#6415/DIST CLERK"</f>
        <v>CUST#42161/ORD#6415/DIST CLERK</v>
      </c>
      <c r="H1633">
        <v>1155.79</v>
      </c>
      <c r="I1633" t="str">
        <f>"CUST#42161/ORD#6415/DIST CLERK"</f>
        <v>CUST#42161/ORD#6415/DIST CLERK</v>
      </c>
    </row>
    <row r="1634" spans="1:9" x14ac:dyDescent="0.25">
      <c r="A1634" t="str">
        <f>""</f>
        <v/>
      </c>
      <c r="F1634" t="str">
        <f>"025-216939"</f>
        <v>025-216939</v>
      </c>
      <c r="G1634" t="str">
        <f>"CUST#42161/ORD#91025"</f>
        <v>CUST#42161/ORD#91025</v>
      </c>
      <c r="H1634">
        <v>1500</v>
      </c>
      <c r="I1634" t="str">
        <f>"CUST#42161/ORD#91025"</f>
        <v>CUST#42161/ORD#91025</v>
      </c>
    </row>
    <row r="1635" spans="1:9" x14ac:dyDescent="0.25">
      <c r="A1635" t="str">
        <f>"000599"</f>
        <v>000599</v>
      </c>
      <c r="B1635" t="s">
        <v>461</v>
      </c>
      <c r="C1635">
        <v>76402</v>
      </c>
      <c r="D1635" s="2">
        <v>294.19</v>
      </c>
      <c r="E1635" s="1">
        <v>43213</v>
      </c>
      <c r="F1635" t="str">
        <f>"96373669"</f>
        <v>96373669</v>
      </c>
      <c r="G1635" t="str">
        <f>"Bogus Paper"</f>
        <v>Bogus Paper</v>
      </c>
      <c r="H1635">
        <v>294.19</v>
      </c>
      <c r="I1635" t="str">
        <f>"Bogus Paper"</f>
        <v>Bogus Paper</v>
      </c>
    </row>
    <row r="1636" spans="1:9" x14ac:dyDescent="0.25">
      <c r="A1636" t="str">
        <f>""</f>
        <v/>
      </c>
      <c r="F1636" t="str">
        <f>""</f>
        <v/>
      </c>
      <c r="G1636" t="str">
        <f>""</f>
        <v/>
      </c>
      <c r="I1636" t="str">
        <f>"Freight"</f>
        <v>Freight</v>
      </c>
    </row>
    <row r="1637" spans="1:9" x14ac:dyDescent="0.25">
      <c r="A1637" t="str">
        <f>"T5739"</f>
        <v>T5739</v>
      </c>
      <c r="B1637" t="s">
        <v>462</v>
      </c>
      <c r="C1637">
        <v>76403</v>
      </c>
      <c r="D1637" s="2">
        <v>11618.09</v>
      </c>
      <c r="E1637" s="1">
        <v>43213</v>
      </c>
      <c r="F1637" t="str">
        <f>"61623440-00"</f>
        <v>61623440-00</v>
      </c>
      <c r="G1637" t="str">
        <f>"INV 61623440-00"</f>
        <v>INV 61623440-00</v>
      </c>
      <c r="H1637">
        <v>225.73</v>
      </c>
      <c r="I1637" t="str">
        <f>"INV 61623440-00"</f>
        <v>INV 61623440-00</v>
      </c>
    </row>
    <row r="1638" spans="1:9" x14ac:dyDescent="0.25">
      <c r="A1638" t="str">
        <f>""</f>
        <v/>
      </c>
      <c r="F1638" t="str">
        <f>"61776160-00"</f>
        <v>61776160-00</v>
      </c>
      <c r="G1638" t="str">
        <f>"ORDER #61776160-00"</f>
        <v>ORDER #61776160-00</v>
      </c>
      <c r="H1638">
        <v>10898.85</v>
      </c>
      <c r="I1638" t="str">
        <f>"EL118"</f>
        <v>EL118</v>
      </c>
    </row>
    <row r="1639" spans="1:9" x14ac:dyDescent="0.25">
      <c r="A1639" t="str">
        <f>""</f>
        <v/>
      </c>
      <c r="F1639" t="str">
        <f>""</f>
        <v/>
      </c>
      <c r="G1639" t="str">
        <f>""</f>
        <v/>
      </c>
      <c r="I1639" t="str">
        <f>"ELF118"</f>
        <v>ELF118</v>
      </c>
    </row>
    <row r="1640" spans="1:9" x14ac:dyDescent="0.25">
      <c r="A1640" t="str">
        <f>""</f>
        <v/>
      </c>
      <c r="F1640" t="str">
        <f>""</f>
        <v/>
      </c>
      <c r="G1640" t="str">
        <f>""</f>
        <v/>
      </c>
      <c r="I1640" t="str">
        <f>"PT118"</f>
        <v>PT118</v>
      </c>
    </row>
    <row r="1641" spans="1:9" x14ac:dyDescent="0.25">
      <c r="A1641" t="str">
        <f>""</f>
        <v/>
      </c>
      <c r="F1641" t="str">
        <f>""</f>
        <v/>
      </c>
      <c r="G1641" t="str">
        <f>""</f>
        <v/>
      </c>
      <c r="I1641" t="str">
        <f>"H61035"</f>
        <v>H61035</v>
      </c>
    </row>
    <row r="1642" spans="1:9" x14ac:dyDescent="0.25">
      <c r="A1642" t="str">
        <f>""</f>
        <v/>
      </c>
      <c r="F1642" t="str">
        <f>""</f>
        <v/>
      </c>
      <c r="G1642" t="str">
        <f>""</f>
        <v/>
      </c>
      <c r="I1642" t="str">
        <f>"78X10"</f>
        <v>78X10</v>
      </c>
    </row>
    <row r="1643" spans="1:9" x14ac:dyDescent="0.25">
      <c r="A1643" t="str">
        <f>""</f>
        <v/>
      </c>
      <c r="F1643" t="str">
        <f>""</f>
        <v/>
      </c>
      <c r="G1643" t="str">
        <f>""</f>
        <v/>
      </c>
      <c r="I1643" t="str">
        <f>"POA111"</f>
        <v>POA111</v>
      </c>
    </row>
    <row r="1644" spans="1:9" x14ac:dyDescent="0.25">
      <c r="A1644" t="str">
        <f>""</f>
        <v/>
      </c>
      <c r="F1644" t="str">
        <f>""</f>
        <v/>
      </c>
      <c r="G1644" t="str">
        <f>""</f>
        <v/>
      </c>
      <c r="I1644" t="str">
        <f>"HCG648GKA"</f>
        <v>HCG648GKA</v>
      </c>
    </row>
    <row r="1645" spans="1:9" x14ac:dyDescent="0.25">
      <c r="A1645" t="str">
        <f>""</f>
        <v/>
      </c>
      <c r="F1645" t="str">
        <f>""</f>
        <v/>
      </c>
      <c r="G1645" t="str">
        <f>""</f>
        <v/>
      </c>
      <c r="I1645" t="str">
        <f>"FVM4X4800BL"</f>
        <v>FVM4X4800BL</v>
      </c>
    </row>
    <row r="1646" spans="1:9" x14ac:dyDescent="0.25">
      <c r="A1646" t="str">
        <f>""</f>
        <v/>
      </c>
      <c r="F1646" t="str">
        <f>""</f>
        <v/>
      </c>
      <c r="G1646" t="str">
        <f>""</f>
        <v/>
      </c>
      <c r="I1646" t="str">
        <f>"HCH660GKA"</f>
        <v>HCH660GKA</v>
      </c>
    </row>
    <row r="1647" spans="1:9" x14ac:dyDescent="0.25">
      <c r="A1647" t="str">
        <f>""</f>
        <v/>
      </c>
      <c r="F1647" t="str">
        <f>""</f>
        <v/>
      </c>
      <c r="G1647" t="str">
        <f>""</f>
        <v/>
      </c>
      <c r="I1647" t="str">
        <f>"FVM4X6000BL"</f>
        <v>FVM4X6000BL</v>
      </c>
    </row>
    <row r="1648" spans="1:9" x14ac:dyDescent="0.25">
      <c r="A1648" t="str">
        <f>""</f>
        <v/>
      </c>
      <c r="F1648" t="str">
        <f>""</f>
        <v/>
      </c>
      <c r="G1648" t="str">
        <f>""</f>
        <v/>
      </c>
      <c r="I1648" t="str">
        <f>"TSTAT0201CW"</f>
        <v>TSTAT0201CW</v>
      </c>
    </row>
    <row r="1649" spans="1:9" x14ac:dyDescent="0.25">
      <c r="A1649" t="str">
        <f>""</f>
        <v/>
      </c>
      <c r="F1649" t="str">
        <f>""</f>
        <v/>
      </c>
      <c r="G1649" t="str">
        <f>""</f>
        <v/>
      </c>
      <c r="I1649" t="str">
        <f>"UL36X36X3"</f>
        <v>UL36X36X3</v>
      </c>
    </row>
    <row r="1650" spans="1:9" x14ac:dyDescent="0.25">
      <c r="A1650" t="str">
        <f>""</f>
        <v/>
      </c>
      <c r="F1650" t="str">
        <f>""</f>
        <v/>
      </c>
      <c r="G1650" t="str">
        <f>""</f>
        <v/>
      </c>
      <c r="I1650" t="str">
        <f>"EHK10AKB"</f>
        <v>EHK10AKB</v>
      </c>
    </row>
    <row r="1651" spans="1:9" x14ac:dyDescent="0.25">
      <c r="A1651" t="str">
        <f>""</f>
        <v/>
      </c>
      <c r="F1651" t="str">
        <f>""</f>
        <v/>
      </c>
      <c r="G1651" t="str">
        <f>""</f>
        <v/>
      </c>
      <c r="I1651" t="str">
        <f>"TY6"</f>
        <v>TY6</v>
      </c>
    </row>
    <row r="1652" spans="1:9" x14ac:dyDescent="0.25">
      <c r="A1652" t="str">
        <f>""</f>
        <v/>
      </c>
      <c r="F1652" t="str">
        <f>""</f>
        <v/>
      </c>
      <c r="G1652" t="str">
        <f>""</f>
        <v/>
      </c>
      <c r="I1652" t="str">
        <f>"118X50"</f>
        <v>118X50</v>
      </c>
    </row>
    <row r="1653" spans="1:9" x14ac:dyDescent="0.25">
      <c r="A1653" t="str">
        <f>""</f>
        <v/>
      </c>
      <c r="F1653" t="str">
        <f>""</f>
        <v/>
      </c>
      <c r="G1653" t="str">
        <f>""</f>
        <v/>
      </c>
      <c r="I1653" t="str">
        <f>"FR11878"</f>
        <v>FR11878</v>
      </c>
    </row>
    <row r="1654" spans="1:9" x14ac:dyDescent="0.25">
      <c r="A1654" t="str">
        <f>""</f>
        <v/>
      </c>
      <c r="F1654" t="str">
        <f>""</f>
        <v/>
      </c>
      <c r="G1654" t="str">
        <f>""</f>
        <v/>
      </c>
      <c r="I1654" t="str">
        <f>"C11878"</f>
        <v>C11878</v>
      </c>
    </row>
    <row r="1655" spans="1:9" x14ac:dyDescent="0.25">
      <c r="A1655" t="str">
        <f>""</f>
        <v/>
      </c>
      <c r="F1655" t="str">
        <f>"61777236-00"</f>
        <v>61777236-00</v>
      </c>
      <c r="G1655" t="str">
        <f>"ORDER# 61777236-00"</f>
        <v>ORDER# 61777236-00</v>
      </c>
      <c r="H1655">
        <v>297.7</v>
      </c>
      <c r="I1655" t="str">
        <f>"SC620"</f>
        <v>SC620</v>
      </c>
    </row>
    <row r="1656" spans="1:9" x14ac:dyDescent="0.25">
      <c r="A1656" t="str">
        <f>""</f>
        <v/>
      </c>
      <c r="F1656" t="str">
        <f>""</f>
        <v/>
      </c>
      <c r="G1656" t="str">
        <f>""</f>
        <v/>
      </c>
      <c r="I1656" t="str">
        <f>"58888"</f>
        <v>58888</v>
      </c>
    </row>
    <row r="1657" spans="1:9" x14ac:dyDescent="0.25">
      <c r="A1657" t="str">
        <f>""</f>
        <v/>
      </c>
      <c r="F1657" t="str">
        <f>"61777268-0"</f>
        <v>61777268-0</v>
      </c>
      <c r="G1657" t="str">
        <f>"ACKNOWLEDGEMENT"</f>
        <v>ACKNOWLEDGEMENT</v>
      </c>
      <c r="H1657">
        <v>195.81</v>
      </c>
      <c r="I1657" t="str">
        <f>"11055"</f>
        <v>11055</v>
      </c>
    </row>
    <row r="1658" spans="1:9" x14ac:dyDescent="0.25">
      <c r="A1658" t="str">
        <f>""</f>
        <v/>
      </c>
      <c r="F1658" t="str">
        <f>""</f>
        <v/>
      </c>
      <c r="G1658" t="str">
        <f>""</f>
        <v/>
      </c>
      <c r="I1658" t="str">
        <f>"1005"</f>
        <v>1005</v>
      </c>
    </row>
    <row r="1659" spans="1:9" x14ac:dyDescent="0.25">
      <c r="A1659" t="str">
        <f>""</f>
        <v/>
      </c>
      <c r="F1659" t="str">
        <f>""</f>
        <v/>
      </c>
      <c r="G1659" t="str">
        <f>""</f>
        <v/>
      </c>
      <c r="I1659" t="str">
        <f>"32527"</f>
        <v>32527</v>
      </c>
    </row>
    <row r="1660" spans="1:9" x14ac:dyDescent="0.25">
      <c r="A1660" t="str">
        <f>""</f>
        <v/>
      </c>
      <c r="F1660" t="str">
        <f>""</f>
        <v/>
      </c>
      <c r="G1660" t="str">
        <f>""</f>
        <v/>
      </c>
      <c r="I1660" t="str">
        <f>"FLUKE1ACA1II"</f>
        <v>FLUKE1ACA1II</v>
      </c>
    </row>
    <row r="1661" spans="1:9" x14ac:dyDescent="0.25">
      <c r="A1661" t="str">
        <f>""</f>
        <v/>
      </c>
      <c r="F1661" t="str">
        <f>""</f>
        <v/>
      </c>
      <c r="G1661" t="str">
        <f>""</f>
        <v/>
      </c>
      <c r="I1661" t="str">
        <f>"J2038"</f>
        <v>J2038</v>
      </c>
    </row>
    <row r="1662" spans="1:9" x14ac:dyDescent="0.25">
      <c r="A1662" t="str">
        <f>""</f>
        <v/>
      </c>
      <c r="F1662" t="str">
        <f>""</f>
        <v/>
      </c>
      <c r="G1662" t="str">
        <f>""</f>
        <v/>
      </c>
      <c r="I1662" t="str">
        <f>"32581"</f>
        <v>32581</v>
      </c>
    </row>
    <row r="1663" spans="1:9" x14ac:dyDescent="0.25">
      <c r="A1663" t="str">
        <f>""</f>
        <v/>
      </c>
      <c r="F1663" t="str">
        <f>""</f>
        <v/>
      </c>
      <c r="G1663" t="str">
        <f>""</f>
        <v/>
      </c>
      <c r="I1663" t="str">
        <f>"J213-9NE"</f>
        <v>J213-9NE</v>
      </c>
    </row>
    <row r="1664" spans="1:9" x14ac:dyDescent="0.25">
      <c r="A1664" t="str">
        <f>""</f>
        <v/>
      </c>
      <c r="F1664" t="str">
        <f>""</f>
        <v/>
      </c>
      <c r="G1664" t="str">
        <f>""</f>
        <v/>
      </c>
      <c r="I1664" t="str">
        <f>"151015"</f>
        <v>151015</v>
      </c>
    </row>
    <row r="1665" spans="1:10" x14ac:dyDescent="0.25">
      <c r="A1665" t="str">
        <f>"000775"</f>
        <v>000775</v>
      </c>
      <c r="B1665" t="s">
        <v>463</v>
      </c>
      <c r="C1665">
        <v>76404</v>
      </c>
      <c r="D1665" s="2">
        <v>81.63</v>
      </c>
      <c r="E1665" s="1">
        <v>43213</v>
      </c>
      <c r="F1665" t="str">
        <f>"000018VW63128"</f>
        <v>000018VW63128</v>
      </c>
      <c r="G1665" t="str">
        <f>"UPS INTERNET SHIPPING"</f>
        <v>UPS INTERNET SHIPPING</v>
      </c>
      <c r="H1665">
        <v>41.39</v>
      </c>
      <c r="I1665" t="str">
        <f>"UPS INTERNET SHIPPING"</f>
        <v>UPS INTERNET SHIPPING</v>
      </c>
    </row>
    <row r="1666" spans="1:10" x14ac:dyDescent="0.25">
      <c r="A1666" t="str">
        <f>""</f>
        <v/>
      </c>
      <c r="F1666" t="str">
        <f>"000018VW63148"</f>
        <v>000018VW63148</v>
      </c>
      <c r="G1666" t="str">
        <f>"INTERNET SHIPPING"</f>
        <v>INTERNET SHIPPING</v>
      </c>
      <c r="H1666">
        <v>40.24</v>
      </c>
      <c r="I1666" t="str">
        <f>"INTERNET SHIPPING"</f>
        <v>INTERNET SHIPPING</v>
      </c>
    </row>
    <row r="1667" spans="1:10" x14ac:dyDescent="0.25">
      <c r="A1667" t="str">
        <f>"005486"</f>
        <v>005486</v>
      </c>
      <c r="B1667" t="s">
        <v>464</v>
      </c>
      <c r="C1667">
        <v>76179</v>
      </c>
      <c r="D1667" s="2">
        <v>75</v>
      </c>
      <c r="E1667" s="1">
        <v>43199</v>
      </c>
      <c r="F1667" t="str">
        <f>"201804039926"</f>
        <v>201804039926</v>
      </c>
      <c r="G1667" t="str">
        <f>"PET ADOPTION FEE REFUND"</f>
        <v>PET ADOPTION FEE REFUND</v>
      </c>
      <c r="H1667">
        <v>75</v>
      </c>
      <c r="I1667" t="str">
        <f>"PET ADOPTION FEE REFUND"</f>
        <v>PET ADOPTION FEE REFUND</v>
      </c>
    </row>
    <row r="1668" spans="1:10" x14ac:dyDescent="0.25">
      <c r="A1668" t="str">
        <f>"001445"</f>
        <v>001445</v>
      </c>
      <c r="B1668" t="s">
        <v>465</v>
      </c>
      <c r="C1668">
        <v>76405</v>
      </c>
      <c r="D1668" s="2">
        <v>142.74</v>
      </c>
      <c r="E1668" s="1">
        <v>43213</v>
      </c>
      <c r="F1668" t="str">
        <f>"2005337"</f>
        <v>2005337</v>
      </c>
      <c r="G1668" t="str">
        <f>"ACCT#17460002268 003/MARCH '18"</f>
        <v>ACCT#17460002268 003/MARCH '18</v>
      </c>
      <c r="H1668">
        <v>142.74</v>
      </c>
      <c r="I1668" t="str">
        <f>"ACCT#17460002268 003/MARCH '18"</f>
        <v>ACCT#17460002268 003/MARCH '18</v>
      </c>
    </row>
    <row r="1669" spans="1:10" x14ac:dyDescent="0.25">
      <c r="A1669" t="str">
        <f>"VI"</f>
        <v>VI</v>
      </c>
      <c r="B1669" t="s">
        <v>466</v>
      </c>
      <c r="C1669">
        <v>999999</v>
      </c>
      <c r="D1669" s="2">
        <v>2002.6</v>
      </c>
      <c r="E1669" s="1">
        <v>43214</v>
      </c>
      <c r="F1669" t="str">
        <f>"322345"</f>
        <v>322345</v>
      </c>
      <c r="G1669" t="str">
        <f>"Quote# 404499"</f>
        <v>Quote# 404499</v>
      </c>
      <c r="H1669">
        <v>792</v>
      </c>
      <c r="I1669" t="str">
        <f>"Item# 0856346"</f>
        <v>Item# 0856346</v>
      </c>
    </row>
    <row r="1670" spans="1:10" x14ac:dyDescent="0.25">
      <c r="A1670" t="str">
        <f>""</f>
        <v/>
      </c>
      <c r="F1670" t="str">
        <f>"322647"</f>
        <v>322647</v>
      </c>
      <c r="G1670" t="str">
        <f>"17BCP04A"</f>
        <v>17BCP04A</v>
      </c>
      <c r="H1670">
        <v>1210.5999999999999</v>
      </c>
      <c r="I1670" t="s">
        <v>467</v>
      </c>
    </row>
    <row r="1671" spans="1:10" x14ac:dyDescent="0.25">
      <c r="A1671" t="str">
        <f>""</f>
        <v/>
      </c>
      <c r="F1671" t="str">
        <f>""</f>
        <v/>
      </c>
      <c r="G1671" t="str">
        <f>""</f>
        <v/>
      </c>
      <c r="I1671" t="s">
        <v>468</v>
      </c>
    </row>
    <row r="1672" spans="1:10" x14ac:dyDescent="0.25">
      <c r="A1672" t="str">
        <f>"WMP"</f>
        <v>WMP</v>
      </c>
      <c r="B1672" t="s">
        <v>469</v>
      </c>
      <c r="C1672">
        <v>76406</v>
      </c>
      <c r="D1672" s="2">
        <v>12.55</v>
      </c>
      <c r="E1672" s="1">
        <v>43213</v>
      </c>
      <c r="F1672" t="s">
        <v>57</v>
      </c>
      <c r="G1672" t="s">
        <v>470</v>
      </c>
      <c r="H1672" t="str">
        <f>"RESTITUTION-R. WRIGHT"</f>
        <v>RESTITUTION-R. WRIGHT</v>
      </c>
      <c r="I1672" t="str">
        <f>"210-0000"</f>
        <v>210-0000</v>
      </c>
      <c r="J1672">
        <v>12.55</v>
      </c>
    </row>
    <row r="1673" spans="1:10" x14ac:dyDescent="0.25">
      <c r="A1673" t="str">
        <f>"003629"</f>
        <v>003629</v>
      </c>
      <c r="B1673" t="s">
        <v>471</v>
      </c>
      <c r="C1673">
        <v>999999</v>
      </c>
      <c r="D1673" s="2">
        <v>2539.9499999999998</v>
      </c>
      <c r="E1673" s="1">
        <v>43200</v>
      </c>
      <c r="F1673" t="str">
        <f>"13733"</f>
        <v>13733</v>
      </c>
      <c r="G1673" t="str">
        <f>"COLD MIX FREIGHT/PCT#4"</f>
        <v>COLD MIX FREIGHT/PCT#4</v>
      </c>
      <c r="H1673">
        <v>2539.9499999999998</v>
      </c>
      <c r="I1673" t="str">
        <f>"COLD MIX FREIGHT/PCT#4"</f>
        <v>COLD MIX FREIGHT/PCT#4</v>
      </c>
    </row>
    <row r="1674" spans="1:10" x14ac:dyDescent="0.25">
      <c r="A1674" t="str">
        <f>"003629"</f>
        <v>003629</v>
      </c>
      <c r="B1674" t="s">
        <v>471</v>
      </c>
      <c r="C1674">
        <v>999999</v>
      </c>
      <c r="D1674" s="2">
        <v>2540.98</v>
      </c>
      <c r="E1674" s="1">
        <v>43214</v>
      </c>
      <c r="F1674" t="str">
        <f>"13814"</f>
        <v>13814</v>
      </c>
      <c r="G1674" t="str">
        <f>"COLD MIX FREIGHT/PCT#4"</f>
        <v>COLD MIX FREIGHT/PCT#4</v>
      </c>
      <c r="H1674">
        <v>2540.98</v>
      </c>
      <c r="I1674" t="str">
        <f>"COLD MIX FREIGHT/PCT#4"</f>
        <v>COLD MIX FREIGHT/PCT#4</v>
      </c>
    </row>
    <row r="1675" spans="1:10" x14ac:dyDescent="0.25">
      <c r="A1675" t="str">
        <f>"WALMAR"</f>
        <v>WALMAR</v>
      </c>
      <c r="B1675" t="s">
        <v>472</v>
      </c>
      <c r="C1675">
        <v>76180</v>
      </c>
      <c r="D1675" s="2">
        <v>326.27</v>
      </c>
      <c r="E1675" s="1">
        <v>43199</v>
      </c>
      <c r="F1675" t="str">
        <f>"A#6032202005312476"</f>
        <v>A#6032202005312476</v>
      </c>
      <c r="G1675" t="str">
        <f>"Acct# 6032202005312476"</f>
        <v>Acct# 6032202005312476</v>
      </c>
      <c r="H1675">
        <v>326.27</v>
      </c>
      <c r="I1675" t="str">
        <f>"Inv# 000724"</f>
        <v>Inv# 000724</v>
      </c>
    </row>
    <row r="1676" spans="1:10" x14ac:dyDescent="0.25">
      <c r="A1676" t="str">
        <f>""</f>
        <v/>
      </c>
      <c r="F1676" t="str">
        <f>""</f>
        <v/>
      </c>
      <c r="G1676" t="str">
        <f>""</f>
        <v/>
      </c>
      <c r="I1676" t="str">
        <f>"Inv# 000895"</f>
        <v>Inv# 000895</v>
      </c>
    </row>
    <row r="1677" spans="1:10" x14ac:dyDescent="0.25">
      <c r="A1677" t="str">
        <f>""</f>
        <v/>
      </c>
      <c r="F1677" t="str">
        <f>""</f>
        <v/>
      </c>
      <c r="G1677" t="str">
        <f>""</f>
        <v/>
      </c>
      <c r="I1677" t="str">
        <f>"Inv# 008024"</f>
        <v>Inv# 008024</v>
      </c>
    </row>
    <row r="1678" spans="1:10" x14ac:dyDescent="0.25">
      <c r="A1678" t="str">
        <f>""</f>
        <v/>
      </c>
      <c r="F1678" t="str">
        <f>""</f>
        <v/>
      </c>
      <c r="G1678" t="str">
        <f>""</f>
        <v/>
      </c>
      <c r="I1678" t="str">
        <f>"Inv# 008572"</f>
        <v>Inv# 008572</v>
      </c>
    </row>
    <row r="1679" spans="1:10" x14ac:dyDescent="0.25">
      <c r="A1679" t="str">
        <f>""</f>
        <v/>
      </c>
      <c r="F1679" t="str">
        <f>""</f>
        <v/>
      </c>
      <c r="G1679" t="str">
        <f>""</f>
        <v/>
      </c>
      <c r="I1679" t="str">
        <f>"Inv# 009695"</f>
        <v>Inv# 009695</v>
      </c>
    </row>
    <row r="1680" spans="1:10" x14ac:dyDescent="0.25">
      <c r="A1680" t="str">
        <f>""</f>
        <v/>
      </c>
      <c r="F1680" t="str">
        <f>""</f>
        <v/>
      </c>
      <c r="G1680" t="str">
        <f>""</f>
        <v/>
      </c>
      <c r="I1680" t="str">
        <f>"Inv# 000870"</f>
        <v>Inv# 000870</v>
      </c>
    </row>
    <row r="1681" spans="1:9" x14ac:dyDescent="0.25">
      <c r="A1681" t="str">
        <f>""</f>
        <v/>
      </c>
      <c r="F1681" t="str">
        <f>""</f>
        <v/>
      </c>
      <c r="G1681" t="str">
        <f>""</f>
        <v/>
      </c>
      <c r="I1681" t="str">
        <f>"Inv# 005071"</f>
        <v>Inv# 005071</v>
      </c>
    </row>
    <row r="1682" spans="1:9" x14ac:dyDescent="0.25">
      <c r="A1682" t="str">
        <f>""</f>
        <v/>
      </c>
      <c r="F1682" t="str">
        <f>""</f>
        <v/>
      </c>
      <c r="G1682" t="str">
        <f>""</f>
        <v/>
      </c>
      <c r="I1682" t="str">
        <f>"Inv# 000430"</f>
        <v>Inv# 000430</v>
      </c>
    </row>
    <row r="1683" spans="1:9" x14ac:dyDescent="0.25">
      <c r="A1683" t="str">
        <f>""</f>
        <v/>
      </c>
      <c r="F1683" t="str">
        <f>""</f>
        <v/>
      </c>
      <c r="G1683" t="str">
        <f>""</f>
        <v/>
      </c>
      <c r="I1683" t="str">
        <f>"Inv# 000316"</f>
        <v>Inv# 000316</v>
      </c>
    </row>
    <row r="1684" spans="1:9" x14ac:dyDescent="0.25">
      <c r="A1684" t="str">
        <f>"004318"</f>
        <v>004318</v>
      </c>
      <c r="B1684" t="s">
        <v>473</v>
      </c>
      <c r="C1684">
        <v>76181</v>
      </c>
      <c r="D1684" s="2">
        <v>240</v>
      </c>
      <c r="E1684" s="1">
        <v>43199</v>
      </c>
      <c r="F1684" t="str">
        <f>"201803279755"</f>
        <v>201803279755</v>
      </c>
      <c r="G1684" t="str">
        <f>"FERAL HOGS"</f>
        <v>FERAL HOGS</v>
      </c>
      <c r="H1684">
        <v>240</v>
      </c>
      <c r="I1684" t="str">
        <f>"FERAL HOGS"</f>
        <v>FERAL HOGS</v>
      </c>
    </row>
    <row r="1685" spans="1:9" x14ac:dyDescent="0.25">
      <c r="A1685" t="str">
        <f>"002419"</f>
        <v>002419</v>
      </c>
      <c r="B1685" t="s">
        <v>474</v>
      </c>
      <c r="C1685">
        <v>76407</v>
      </c>
      <c r="D1685" s="2">
        <v>170</v>
      </c>
      <c r="E1685" s="1">
        <v>43213</v>
      </c>
      <c r="F1685" t="str">
        <f>"12717"</f>
        <v>12717</v>
      </c>
      <c r="G1685" t="str">
        <f>"SERVICE  12/08/17"</f>
        <v>SERVICE  12/08/17</v>
      </c>
      <c r="H1685">
        <v>170</v>
      </c>
      <c r="I1685" t="str">
        <f>"SERVICE  12/08/17"</f>
        <v>SERVICE  12/08/17</v>
      </c>
    </row>
    <row r="1686" spans="1:9" x14ac:dyDescent="0.25">
      <c r="A1686" t="str">
        <f>"004310"</f>
        <v>004310</v>
      </c>
      <c r="B1686" t="s">
        <v>475</v>
      </c>
      <c r="C1686">
        <v>76408</v>
      </c>
      <c r="D1686" s="2">
        <v>108.66</v>
      </c>
      <c r="E1686" s="1">
        <v>43213</v>
      </c>
      <c r="F1686" t="str">
        <f>"0036098-2162-8"</f>
        <v>0036098-2162-8</v>
      </c>
      <c r="G1686" t="str">
        <f>"CUST ID#16-27603-83003/ANIMAL"</f>
        <v>CUST ID#16-27603-83003/ANIMAL</v>
      </c>
      <c r="H1686">
        <v>108.66</v>
      </c>
      <c r="I1686" t="str">
        <f>"CUST ID#16-27603-83003/ANIMAL"</f>
        <v>CUST ID#16-27603-83003/ANIMAL</v>
      </c>
    </row>
    <row r="1687" spans="1:9" x14ac:dyDescent="0.25">
      <c r="A1687" t="str">
        <f>"T13139"</f>
        <v>T13139</v>
      </c>
      <c r="B1687" t="s">
        <v>476</v>
      </c>
      <c r="C1687">
        <v>76409</v>
      </c>
      <c r="D1687" s="2">
        <v>12794.6</v>
      </c>
      <c r="E1687" s="1">
        <v>43213</v>
      </c>
      <c r="F1687" t="str">
        <f>"WARINV002404"</f>
        <v>WARINV002404</v>
      </c>
      <c r="G1687" t="str">
        <f>"INV WARINV002404"</f>
        <v>INV WARINV002404</v>
      </c>
      <c r="H1687">
        <v>7292.6</v>
      </c>
      <c r="I1687" t="str">
        <f>"INV WARINV002404"</f>
        <v>INV WARINV002404</v>
      </c>
    </row>
    <row r="1688" spans="1:9" x14ac:dyDescent="0.25">
      <c r="A1688" t="str">
        <f>""</f>
        <v/>
      </c>
      <c r="F1688" t="str">
        <f>""</f>
        <v/>
      </c>
      <c r="G1688" t="str">
        <f>""</f>
        <v/>
      </c>
      <c r="I1688" t="str">
        <f>"SOFTWARE MAINTENANCE"</f>
        <v>SOFTWARE MAINTENANCE</v>
      </c>
    </row>
    <row r="1689" spans="1:9" x14ac:dyDescent="0.25">
      <c r="A1689" t="str">
        <f>""</f>
        <v/>
      </c>
      <c r="F1689" t="str">
        <f>"WARRANTY"</f>
        <v>WARRANTY</v>
      </c>
      <c r="G1689" t="str">
        <f>"INV WARINV002276"</f>
        <v>INV WARINV002276</v>
      </c>
      <c r="H1689">
        <v>5502</v>
      </c>
      <c r="I1689" t="str">
        <f>"WARRANTY"</f>
        <v>WARRANTY</v>
      </c>
    </row>
    <row r="1690" spans="1:9" x14ac:dyDescent="0.25">
      <c r="A1690" t="str">
        <f>""</f>
        <v/>
      </c>
      <c r="F1690" t="str">
        <f>""</f>
        <v/>
      </c>
      <c r="G1690" t="str">
        <f>""</f>
        <v/>
      </c>
      <c r="I1690" t="str">
        <f>"SOFTWARE MAINTENANCE"</f>
        <v>SOFTWARE MAINTENANCE</v>
      </c>
    </row>
    <row r="1691" spans="1:9" x14ac:dyDescent="0.25">
      <c r="A1691" t="str">
        <f>"004877"</f>
        <v>004877</v>
      </c>
      <c r="B1691" t="s">
        <v>477</v>
      </c>
      <c r="C1691">
        <v>76199</v>
      </c>
      <c r="D1691" s="2">
        <v>18279.060000000001</v>
      </c>
      <c r="E1691" s="1">
        <v>43209</v>
      </c>
      <c r="F1691" t="str">
        <f>"1701924656"</f>
        <v>1701924656</v>
      </c>
      <c r="G1691" t="str">
        <f>"ACCT#5151-005117630 / 033118"</f>
        <v>ACCT#5151-005117630 / 033118</v>
      </c>
      <c r="H1691">
        <v>238.37</v>
      </c>
      <c r="I1691" t="str">
        <f>"PROGRESSIVE WASTE SOLUTIONS OF"</f>
        <v>PROGRESSIVE WASTE SOLUTIONS OF</v>
      </c>
    </row>
    <row r="1692" spans="1:9" x14ac:dyDescent="0.25">
      <c r="A1692" t="str">
        <f>""</f>
        <v/>
      </c>
      <c r="F1692" t="str">
        <f>"1701924657"</f>
        <v>1701924657</v>
      </c>
      <c r="G1692" t="str">
        <f>"ACCT#5151-005117766 / 033118"</f>
        <v>ACCT#5151-005117766 / 033118</v>
      </c>
      <c r="H1692">
        <v>104.64</v>
      </c>
      <c r="I1692" t="str">
        <f>"ACCT#5151-005117766 / 033118"</f>
        <v>ACCT#5151-005117766 / 033118</v>
      </c>
    </row>
    <row r="1693" spans="1:9" x14ac:dyDescent="0.25">
      <c r="A1693" t="str">
        <f>""</f>
        <v/>
      </c>
      <c r="F1693" t="str">
        <f>"1701924658"</f>
        <v>1701924658</v>
      </c>
      <c r="G1693" t="str">
        <f>"ACCT#5151-005117838 / 033118"</f>
        <v>ACCT#5151-005117838 / 033118</v>
      </c>
      <c r="H1693">
        <v>96.85</v>
      </c>
      <c r="I1693" t="str">
        <f>"ACCT#5151-005117838 / 033118"</f>
        <v>ACCT#5151-005117838 / 033118</v>
      </c>
    </row>
    <row r="1694" spans="1:9" x14ac:dyDescent="0.25">
      <c r="A1694" t="str">
        <f>""</f>
        <v/>
      </c>
      <c r="F1694" t="str">
        <f>"1701924660"</f>
        <v>1701924660</v>
      </c>
      <c r="G1694" t="str">
        <f>"ACCT#5151-005117882 / 033118"</f>
        <v>ACCT#5151-005117882 / 033118</v>
      </c>
      <c r="H1694">
        <v>130.78</v>
      </c>
      <c r="I1694" t="str">
        <f>"PROGRESSIVE WASTE SOLUTIONS OF"</f>
        <v>PROGRESSIVE WASTE SOLUTIONS OF</v>
      </c>
    </row>
    <row r="1695" spans="1:9" x14ac:dyDescent="0.25">
      <c r="A1695" t="str">
        <f>""</f>
        <v/>
      </c>
      <c r="F1695" t="str">
        <f>"1701924663"</f>
        <v>1701924663</v>
      </c>
      <c r="G1695" t="str">
        <f>"ACCT#5151-005118183 / 033118"</f>
        <v>ACCT#5151-005118183 / 033118</v>
      </c>
      <c r="H1695">
        <v>561.41999999999996</v>
      </c>
      <c r="I1695" t="str">
        <f>"ACCT#5151-005118183 / 033118"</f>
        <v>ACCT#5151-005118183 / 033118</v>
      </c>
    </row>
    <row r="1696" spans="1:9" x14ac:dyDescent="0.25">
      <c r="A1696" t="str">
        <f>""</f>
        <v/>
      </c>
      <c r="F1696" t="str">
        <f>"1701924680"</f>
        <v>1701924680</v>
      </c>
      <c r="G1696" t="str">
        <f>"ACCT#5150-005129483 / 033118"</f>
        <v>ACCT#5150-005129483 / 033118</v>
      </c>
      <c r="H1696">
        <v>15572</v>
      </c>
      <c r="I1696" t="str">
        <f>"ACCT#5150-005129483 / 033118"</f>
        <v>ACCT#5150-005129483 / 033118</v>
      </c>
    </row>
    <row r="1697" spans="1:9" x14ac:dyDescent="0.25">
      <c r="A1697" t="str">
        <f>""</f>
        <v/>
      </c>
      <c r="F1697" t="str">
        <f>"1701924691"</f>
        <v>1701924691</v>
      </c>
      <c r="G1697" t="str">
        <f>"ACCT#5150-005135333 / 033118"</f>
        <v>ACCT#5150-005135333 / 033118</v>
      </c>
      <c r="H1697">
        <v>1575</v>
      </c>
      <c r="I1697" t="str">
        <f>"ACCT#5150-005135333 / 033118"</f>
        <v>ACCT#5150-005135333 / 033118</v>
      </c>
    </row>
    <row r="1698" spans="1:9" x14ac:dyDescent="0.25">
      <c r="A1698" t="str">
        <f>"004874"</f>
        <v>004874</v>
      </c>
      <c r="B1698" t="s">
        <v>478</v>
      </c>
      <c r="C1698">
        <v>76182</v>
      </c>
      <c r="D1698" s="2">
        <v>432</v>
      </c>
      <c r="E1698" s="1">
        <v>43199</v>
      </c>
      <c r="F1698" t="str">
        <f>"2489"</f>
        <v>2489</v>
      </c>
      <c r="G1698" t="str">
        <f>"CAPS / PCT #4"</f>
        <v>CAPS / PCT #4</v>
      </c>
      <c r="H1698">
        <v>432</v>
      </c>
      <c r="I1698" t="str">
        <f>"CAPS / PCT #4"</f>
        <v>CAPS / PCT #4</v>
      </c>
    </row>
    <row r="1699" spans="1:9" x14ac:dyDescent="0.25">
      <c r="A1699" t="str">
        <f>"004874"</f>
        <v>004874</v>
      </c>
      <c r="B1699" t="s">
        <v>478</v>
      </c>
      <c r="C1699">
        <v>76410</v>
      </c>
      <c r="D1699" s="2">
        <v>67</v>
      </c>
      <c r="E1699" s="1">
        <v>43213</v>
      </c>
      <c r="F1699" t="str">
        <f>"2510"</f>
        <v>2510</v>
      </c>
      <c r="G1699" t="str">
        <f>"SHIRTS/OEM"</f>
        <v>SHIRTS/OEM</v>
      </c>
      <c r="H1699">
        <v>67</v>
      </c>
      <c r="I1699" t="str">
        <f>"SHIRTS/OEM"</f>
        <v>SHIRTS/OEM</v>
      </c>
    </row>
    <row r="1700" spans="1:9" x14ac:dyDescent="0.25">
      <c r="A1700" t="str">
        <f>"LIN"</f>
        <v>LIN</v>
      </c>
      <c r="B1700" t="s">
        <v>479</v>
      </c>
      <c r="C1700">
        <v>999999</v>
      </c>
      <c r="D1700" s="2">
        <v>12500</v>
      </c>
      <c r="E1700" s="1">
        <v>43214</v>
      </c>
      <c r="F1700" t="str">
        <f>"201804100201"</f>
        <v>201804100201</v>
      </c>
      <c r="G1700" t="str">
        <f>"MEDICAL CONTRACT"</f>
        <v>MEDICAL CONTRACT</v>
      </c>
      <c r="H1700">
        <v>12500</v>
      </c>
      <c r="I1700" t="str">
        <f>"MEDICAL CONTRACT"</f>
        <v>MEDICAL CONTRACT</v>
      </c>
    </row>
    <row r="1701" spans="1:9" x14ac:dyDescent="0.25">
      <c r="A1701" t="str">
        <f>"WPC"</f>
        <v>WPC</v>
      </c>
      <c r="B1701" t="s">
        <v>480</v>
      </c>
      <c r="C1701">
        <v>76183</v>
      </c>
      <c r="D1701" s="2">
        <v>2550</v>
      </c>
      <c r="E1701" s="1">
        <v>43199</v>
      </c>
      <c r="F1701" t="str">
        <f>"837268886"</f>
        <v>837268886</v>
      </c>
      <c r="G1701" t="str">
        <f>"ACCT#1005022937/WEST INFO CHRG"</f>
        <v>ACCT#1005022937/WEST INFO CHRG</v>
      </c>
      <c r="H1701">
        <v>850</v>
      </c>
      <c r="I1701" t="str">
        <f>"ACCT#1005022937/WEST INFO CHRG"</f>
        <v>ACCT#1005022937/WEST INFO CHRG</v>
      </c>
    </row>
    <row r="1702" spans="1:9" x14ac:dyDescent="0.25">
      <c r="A1702" t="str">
        <f>""</f>
        <v/>
      </c>
      <c r="F1702" t="str">
        <f>"837453620"</f>
        <v>837453620</v>
      </c>
      <c r="G1702" t="str">
        <f>"ACCT#1005022937/WEST INFO CHRG"</f>
        <v>ACCT#1005022937/WEST INFO CHRG</v>
      </c>
      <c r="H1702">
        <v>850</v>
      </c>
      <c r="I1702" t="str">
        <f>"ACCT#1005022937/INFO CHRGS"</f>
        <v>ACCT#1005022937/INFO CHRGS</v>
      </c>
    </row>
    <row r="1703" spans="1:9" x14ac:dyDescent="0.25">
      <c r="A1703" t="str">
        <f>""</f>
        <v/>
      </c>
      <c r="F1703" t="str">
        <f>"837628047"</f>
        <v>837628047</v>
      </c>
      <c r="G1703" t="str">
        <f>"ACCT#1005022937/WEST INFO CHRG"</f>
        <v>ACCT#1005022937/WEST INFO CHRG</v>
      </c>
      <c r="H1703">
        <v>850</v>
      </c>
      <c r="I1703" t="str">
        <f>"ACCT#1005022937/WEST INFO CHRG"</f>
        <v>ACCT#1005022937/WEST INFO CHRG</v>
      </c>
    </row>
    <row r="1704" spans="1:9" x14ac:dyDescent="0.25">
      <c r="A1704" t="str">
        <f>"WPC"</f>
        <v>WPC</v>
      </c>
      <c r="B1704" t="s">
        <v>480</v>
      </c>
      <c r="C1704">
        <v>76411</v>
      </c>
      <c r="D1704" s="2">
        <v>1679.5</v>
      </c>
      <c r="E1704" s="1">
        <v>43213</v>
      </c>
      <c r="F1704" t="str">
        <f>"6120566594"</f>
        <v>6120566594</v>
      </c>
      <c r="G1704" t="str">
        <f>"Texas Local Government Co"</f>
        <v>Texas Local Government Co</v>
      </c>
      <c r="H1704">
        <v>85.5</v>
      </c>
      <c r="I1704" t="str">
        <f>"Texas Local Government Co"</f>
        <v>Texas Local Government Co</v>
      </c>
    </row>
    <row r="1705" spans="1:9" x14ac:dyDescent="0.25">
      <c r="A1705" t="str">
        <f>""</f>
        <v/>
      </c>
      <c r="F1705" t="str">
        <f>"837375067"</f>
        <v>837375067</v>
      </c>
      <c r="G1705" t="str">
        <f>"BILLING#1002053753/SUBSCRIPTIO"</f>
        <v>BILLING#1002053753/SUBSCRIPTIO</v>
      </c>
      <c r="H1705">
        <v>224</v>
      </c>
      <c r="I1705" t="str">
        <f>"BILLING#1002053753/SUBSCRIPTIO"</f>
        <v>BILLING#1002053753/SUBSCRIPTIO</v>
      </c>
    </row>
    <row r="1706" spans="1:9" x14ac:dyDescent="0.25">
      <c r="A1706" t="str">
        <f>""</f>
        <v/>
      </c>
      <c r="F1706" t="str">
        <f>"837941287"</f>
        <v>837941287</v>
      </c>
      <c r="G1706" t="str">
        <f>"ACCT#1000648597/WEST INFO CHRG"</f>
        <v>ACCT#1000648597/WEST INFO CHRG</v>
      </c>
      <c r="H1706">
        <v>520</v>
      </c>
      <c r="I1706" t="str">
        <f>"ACCT#1000648597/WEST INFO CHRG"</f>
        <v>ACCT#1000648597/WEST INFO CHRG</v>
      </c>
    </row>
    <row r="1707" spans="1:9" x14ac:dyDescent="0.25">
      <c r="A1707" t="str">
        <f>""</f>
        <v/>
      </c>
      <c r="F1707" t="str">
        <f>"837956501"</f>
        <v>837956501</v>
      </c>
      <c r="G1707" t="str">
        <f>"ACCT#1005022937/WEST INFO CHRG"</f>
        <v>ACCT#1005022937/WEST INFO CHRG</v>
      </c>
      <c r="H1707">
        <v>850</v>
      </c>
      <c r="I1707" t="str">
        <f>"ACCT#1005022937/WEST INFO CHRG"</f>
        <v>ACCT#1005022937/WEST INFO CHRG</v>
      </c>
    </row>
    <row r="1708" spans="1:9" x14ac:dyDescent="0.25">
      <c r="A1708" t="str">
        <f>"004074"</f>
        <v>004074</v>
      </c>
      <c r="B1708" t="s">
        <v>481</v>
      </c>
      <c r="C1708">
        <v>999999</v>
      </c>
      <c r="D1708" s="2">
        <v>7577.58</v>
      </c>
      <c r="E1708" s="1">
        <v>43214</v>
      </c>
      <c r="F1708" t="str">
        <f>"INV 20054"</f>
        <v>INV 20054</v>
      </c>
      <c r="G1708" t="str">
        <f>"INV 20054"</f>
        <v>INV 20054</v>
      </c>
      <c r="H1708">
        <v>7577.58</v>
      </c>
      <c r="I1708" t="str">
        <f>"INV 20054"</f>
        <v>INV 20054</v>
      </c>
    </row>
    <row r="1709" spans="1:9" x14ac:dyDescent="0.25">
      <c r="A1709" t="str">
        <f>"002351"</f>
        <v>002351</v>
      </c>
      <c r="B1709" t="s">
        <v>482</v>
      </c>
      <c r="C1709">
        <v>76412</v>
      </c>
      <c r="D1709" s="2">
        <v>70</v>
      </c>
      <c r="E1709" s="1">
        <v>43213</v>
      </c>
      <c r="F1709" t="str">
        <f>"12605"</f>
        <v>12605</v>
      </c>
      <c r="G1709" t="str">
        <f>"SERVICE  12/08/17"</f>
        <v>SERVICE  12/08/17</v>
      </c>
      <c r="H1709">
        <v>70</v>
      </c>
      <c r="I1709" t="str">
        <f>"SERVICE  12/08/17"</f>
        <v>SERVICE  12/08/17</v>
      </c>
    </row>
    <row r="1710" spans="1:9" x14ac:dyDescent="0.25">
      <c r="A1710" t="str">
        <f>"WCI"</f>
        <v>WCI</v>
      </c>
      <c r="B1710" t="s">
        <v>483</v>
      </c>
      <c r="C1710">
        <v>76413</v>
      </c>
      <c r="D1710" s="2">
        <v>12752.4</v>
      </c>
      <c r="E1710" s="1">
        <v>43213</v>
      </c>
      <c r="F1710" t="str">
        <f>"75637"</f>
        <v>75637</v>
      </c>
      <c r="G1710" t="str">
        <f>"Inv# 75637"</f>
        <v>Inv# 75637</v>
      </c>
      <c r="H1710">
        <v>12752.4</v>
      </c>
      <c r="I1710" t="str">
        <f>"24 X 30 - 16Gauge"</f>
        <v>24 X 30 - 16Gauge</v>
      </c>
    </row>
    <row r="1711" spans="1:9" x14ac:dyDescent="0.25">
      <c r="A1711" t="str">
        <f>""</f>
        <v/>
      </c>
      <c r="F1711" t="str">
        <f>""</f>
        <v/>
      </c>
      <c r="G1711" t="str">
        <f>""</f>
        <v/>
      </c>
      <c r="I1711" t="str">
        <f>"60 X 30 - 14gauge"</f>
        <v>60 X 30 - 14gauge</v>
      </c>
    </row>
    <row r="1712" spans="1:9" x14ac:dyDescent="0.25">
      <c r="A1712" t="str">
        <f>""</f>
        <v/>
      </c>
      <c r="F1712" t="str">
        <f>""</f>
        <v/>
      </c>
      <c r="G1712" t="str">
        <f>""</f>
        <v/>
      </c>
      <c r="I1712" t="str">
        <f>"60 X 40 - 14gauge"</f>
        <v>60 X 40 - 14gauge</v>
      </c>
    </row>
    <row r="1713" spans="1:9" x14ac:dyDescent="0.25">
      <c r="A1713" t="str">
        <f>""</f>
        <v/>
      </c>
      <c r="F1713" t="str">
        <f>""</f>
        <v/>
      </c>
      <c r="G1713" t="str">
        <f>""</f>
        <v/>
      </c>
      <c r="I1713" t="str">
        <f>"18 X 45 -16gauge"</f>
        <v>18 X 45 -16gauge</v>
      </c>
    </row>
    <row r="1714" spans="1:9" x14ac:dyDescent="0.25">
      <c r="A1714" t="str">
        <f>"004240"</f>
        <v>004240</v>
      </c>
      <c r="B1714" t="s">
        <v>484</v>
      </c>
      <c r="C1714">
        <v>76414</v>
      </c>
      <c r="D1714" s="2">
        <v>25540.25</v>
      </c>
      <c r="E1714" s="1">
        <v>43213</v>
      </c>
      <c r="F1714" t="str">
        <f>"1265"</f>
        <v>1265</v>
      </c>
      <c r="G1714" t="str">
        <f>"HAULING BULL ROCK-CONCRETE/P2"</f>
        <v>HAULING BULL ROCK-CONCRETE/P2</v>
      </c>
      <c r="H1714">
        <v>320</v>
      </c>
      <c r="I1714" t="str">
        <f>"HAULING BULL ROCK-CONCRETE/P2"</f>
        <v>HAULING BULL ROCK-CONCRETE/P2</v>
      </c>
    </row>
    <row r="1715" spans="1:9" x14ac:dyDescent="0.25">
      <c r="A1715" t="str">
        <f>""</f>
        <v/>
      </c>
      <c r="F1715" t="str">
        <f>"1266"</f>
        <v>1266</v>
      </c>
      <c r="G1715" t="str">
        <f>"HAUL OFF-BIG BOW/PCT#2"</f>
        <v>HAUL OFF-BIG BOW/PCT#2</v>
      </c>
      <c r="H1715">
        <v>570.25</v>
      </c>
      <c r="I1715" t="str">
        <f>"HAUL OFF-BIG BOW/PCT#2"</f>
        <v>HAUL OFF-BIG BOW/PCT#2</v>
      </c>
    </row>
    <row r="1716" spans="1:9" x14ac:dyDescent="0.25">
      <c r="A1716" t="str">
        <f>""</f>
        <v/>
      </c>
      <c r="F1716" t="str">
        <f>"1297"</f>
        <v>1297</v>
      </c>
      <c r="G1716" t="str">
        <f>"JOB#RFB:17BCP08C"</f>
        <v>JOB#RFB:17BCP08C</v>
      </c>
      <c r="H1716">
        <v>20000</v>
      </c>
      <c r="I1716" t="str">
        <f>"JOB#RFB:17BCP08C"</f>
        <v>JOB#RFB:17BCP08C</v>
      </c>
    </row>
    <row r="1717" spans="1:9" x14ac:dyDescent="0.25">
      <c r="A1717" t="str">
        <f>""</f>
        <v/>
      </c>
      <c r="F1717" t="str">
        <f>"1302"</f>
        <v>1302</v>
      </c>
      <c r="G1717" t="str">
        <f>"DEMOLITION OF BRIDGE CIRCLE DR"</f>
        <v>DEMOLITION OF BRIDGE CIRCLE DR</v>
      </c>
      <c r="H1717">
        <v>4650</v>
      </c>
      <c r="I1717" t="str">
        <f>"DEMOLITION OF BRIDGE CIRCLE DR"</f>
        <v>DEMOLITION OF BRIDGE CIRCLE DR</v>
      </c>
    </row>
    <row r="1718" spans="1:9" x14ac:dyDescent="0.25">
      <c r="A1718" t="str">
        <f>"XEROXC"</f>
        <v>XEROXC</v>
      </c>
      <c r="B1718" t="s">
        <v>485</v>
      </c>
      <c r="C1718">
        <v>76184</v>
      </c>
      <c r="D1718" s="2">
        <v>177.35</v>
      </c>
      <c r="E1718" s="1">
        <v>43199</v>
      </c>
      <c r="F1718" t="str">
        <f>"092772170"</f>
        <v>092772170</v>
      </c>
      <c r="G1718" t="str">
        <f>"CUST#662445931/REF#VTX00000X"</f>
        <v>CUST#662445931/REF#VTX00000X</v>
      </c>
      <c r="H1718">
        <v>106.45</v>
      </c>
      <c r="I1718" t="str">
        <f>"CUST#662445931/REF#VTX00000X"</f>
        <v>CUST#662445931/REF#VTX00000X</v>
      </c>
    </row>
    <row r="1719" spans="1:9" x14ac:dyDescent="0.25">
      <c r="A1719" t="str">
        <f>""</f>
        <v/>
      </c>
      <c r="F1719" t="str">
        <f>"092772171"</f>
        <v>092772171</v>
      </c>
      <c r="G1719" t="str">
        <f>"CUST#662445931/CONT#VTX000000X"</f>
        <v>CUST#662445931/CONT#VTX000000X</v>
      </c>
      <c r="H1719">
        <v>35.450000000000003</v>
      </c>
      <c r="I1719" t="str">
        <f>"CUST#662445931/CONT#VTX000000X"</f>
        <v>CUST#662445931/CONT#VTX000000X</v>
      </c>
    </row>
    <row r="1720" spans="1:9" x14ac:dyDescent="0.25">
      <c r="A1720" t="str">
        <f>""</f>
        <v/>
      </c>
      <c r="F1720" t="str">
        <f>"092772182"</f>
        <v>092772182</v>
      </c>
      <c r="G1720" t="str">
        <f>"CUST#723230843/CONT#VTX00000X"</f>
        <v>CUST#723230843/CONT#VTX00000X</v>
      </c>
      <c r="H1720">
        <v>35.450000000000003</v>
      </c>
      <c r="I1720" t="str">
        <f>"CUST#723230843/CONT#VTX00000X"</f>
        <v>CUST#723230843/CONT#VTX00000X</v>
      </c>
    </row>
    <row r="1721" spans="1:9" x14ac:dyDescent="0.25">
      <c r="A1721" t="str">
        <f>"005488"</f>
        <v>005488</v>
      </c>
      <c r="B1721" t="s">
        <v>486</v>
      </c>
      <c r="C1721">
        <v>76185</v>
      </c>
      <c r="D1721" s="2">
        <v>125</v>
      </c>
      <c r="E1721" s="1">
        <v>43199</v>
      </c>
      <c r="F1721" t="str">
        <f>"201804039921"</f>
        <v>201804039921</v>
      </c>
      <c r="G1721" t="str">
        <f>"PET ADOPTION FEE REFUND"</f>
        <v>PET ADOPTION FEE REFUND</v>
      </c>
      <c r="H1721">
        <v>125</v>
      </c>
      <c r="I1721" t="str">
        <f>"PET ADOPTION FEE REFUND"</f>
        <v>PET ADOPTION FEE REFUND</v>
      </c>
    </row>
    <row r="1722" spans="1:9" x14ac:dyDescent="0.25">
      <c r="A1722" t="str">
        <f>"T5024"</f>
        <v>T5024</v>
      </c>
      <c r="B1722" t="s">
        <v>487</v>
      </c>
      <c r="C1722">
        <v>76415</v>
      </c>
      <c r="D1722" s="2">
        <v>342</v>
      </c>
      <c r="E1722" s="1">
        <v>43213</v>
      </c>
      <c r="F1722" t="str">
        <f>"201804170383"</f>
        <v>201804170383</v>
      </c>
      <c r="G1722" t="str">
        <f>"REIMBURSE-FOOD/LODGING"</f>
        <v>REIMBURSE-FOOD/LODGING</v>
      </c>
      <c r="H1722">
        <v>342</v>
      </c>
      <c r="I1722" t="str">
        <f>"REIMBURSE-FOOD/LODGING"</f>
        <v>REIMBURSE-FOOD/LODGING</v>
      </c>
    </row>
    <row r="1723" spans="1:9" x14ac:dyDescent="0.25">
      <c r="A1723" t="str">
        <f>"004928"</f>
        <v>004928</v>
      </c>
      <c r="B1723" t="s">
        <v>488</v>
      </c>
      <c r="C1723">
        <v>76186</v>
      </c>
      <c r="D1723" s="2">
        <v>295.45999999999998</v>
      </c>
      <c r="E1723" s="1">
        <v>43199</v>
      </c>
      <c r="F1723" t="str">
        <f>"INV4262926"</f>
        <v>INV4262926</v>
      </c>
      <c r="G1723" t="str">
        <f>"Customer# 3900900"</f>
        <v>Customer# 3900900</v>
      </c>
      <c r="H1723">
        <v>295.45999999999998</v>
      </c>
      <c r="I1723" t="str">
        <f>"Safety Glasses"</f>
        <v>Safety Glasses</v>
      </c>
    </row>
    <row r="1724" spans="1:9" x14ac:dyDescent="0.25">
      <c r="A1724" t="str">
        <f>""</f>
        <v/>
      </c>
      <c r="F1724" t="str">
        <f>""</f>
        <v/>
      </c>
      <c r="G1724" t="str">
        <f>""</f>
        <v/>
      </c>
      <c r="I1724" t="str">
        <f>"Discount"</f>
        <v>Discount</v>
      </c>
    </row>
    <row r="1725" spans="1:9" x14ac:dyDescent="0.25">
      <c r="A1725" t="str">
        <f>""</f>
        <v/>
      </c>
      <c r="F1725" t="str">
        <f>""</f>
        <v/>
      </c>
      <c r="G1725" t="str">
        <f>""</f>
        <v/>
      </c>
      <c r="I1725" t="str">
        <f>"Grape Mix"</f>
        <v>Grape Mix</v>
      </c>
    </row>
    <row r="1726" spans="1:9" x14ac:dyDescent="0.25">
      <c r="A1726" t="str">
        <f>""</f>
        <v/>
      </c>
      <c r="F1726" t="str">
        <f>""</f>
        <v/>
      </c>
      <c r="G1726" t="str">
        <f>""</f>
        <v/>
      </c>
      <c r="I1726" t="str">
        <f>"Discount"</f>
        <v>Discount</v>
      </c>
    </row>
    <row r="1727" spans="1:9" x14ac:dyDescent="0.25">
      <c r="A1727" t="str">
        <f>""</f>
        <v/>
      </c>
      <c r="F1727" t="str">
        <f>""</f>
        <v/>
      </c>
      <c r="G1727" t="str">
        <f>""</f>
        <v/>
      </c>
      <c r="I1727" t="str">
        <f>"Fruit Punch Mix"</f>
        <v>Fruit Punch Mix</v>
      </c>
    </row>
    <row r="1728" spans="1:9" x14ac:dyDescent="0.25">
      <c r="A1728" t="str">
        <f>""</f>
        <v/>
      </c>
      <c r="F1728" t="str">
        <f>""</f>
        <v/>
      </c>
      <c r="G1728" t="str">
        <f>""</f>
        <v/>
      </c>
      <c r="I1728" t="str">
        <f>"Discount"</f>
        <v>Discount</v>
      </c>
    </row>
    <row r="1729" spans="1:9" x14ac:dyDescent="0.25">
      <c r="A1729" t="str">
        <f>""</f>
        <v/>
      </c>
      <c r="F1729" t="str">
        <f>""</f>
        <v/>
      </c>
      <c r="G1729" t="str">
        <f>""</f>
        <v/>
      </c>
      <c r="I1729" t="str">
        <f>"Lemon Lime Mix"</f>
        <v>Lemon Lime Mix</v>
      </c>
    </row>
    <row r="1730" spans="1:9" x14ac:dyDescent="0.25">
      <c r="A1730" t="str">
        <f>""</f>
        <v/>
      </c>
      <c r="F1730" t="str">
        <f>""</f>
        <v/>
      </c>
      <c r="G1730" t="str">
        <f>""</f>
        <v/>
      </c>
      <c r="I1730" t="str">
        <f>"Discount"</f>
        <v>Discount</v>
      </c>
    </row>
    <row r="1731" spans="1:9" x14ac:dyDescent="0.25">
      <c r="A1731" t="str">
        <f>""</f>
        <v/>
      </c>
      <c r="F1731" t="str">
        <f>""</f>
        <v/>
      </c>
      <c r="G1731" t="str">
        <f>""</f>
        <v/>
      </c>
      <c r="I1731" t="str">
        <f>"Orange Mix"</f>
        <v>Orange Mix</v>
      </c>
    </row>
    <row r="1732" spans="1:9" x14ac:dyDescent="0.25">
      <c r="A1732" t="str">
        <f>""</f>
        <v/>
      </c>
      <c r="F1732" t="str">
        <f>""</f>
        <v/>
      </c>
      <c r="G1732" t="str">
        <f>""</f>
        <v/>
      </c>
      <c r="I1732" t="str">
        <f>"Discount"</f>
        <v>Discount</v>
      </c>
    </row>
    <row r="1733" spans="1:9" x14ac:dyDescent="0.25">
      <c r="A1733" t="str">
        <f>""</f>
        <v/>
      </c>
      <c r="F1733" t="str">
        <f>""</f>
        <v/>
      </c>
      <c r="G1733" t="str">
        <f>""</f>
        <v/>
      </c>
      <c r="I1733" t="str">
        <f>"Orange PK"</f>
        <v>Orange PK</v>
      </c>
    </row>
    <row r="1734" spans="1:9" x14ac:dyDescent="0.25">
      <c r="A1734" t="str">
        <f>""</f>
        <v/>
      </c>
      <c r="F1734" t="str">
        <f>""</f>
        <v/>
      </c>
      <c r="G1734" t="str">
        <f>""</f>
        <v/>
      </c>
      <c r="I1734" t="str">
        <f>"Discount"</f>
        <v>Discount</v>
      </c>
    </row>
    <row r="1735" spans="1:9" x14ac:dyDescent="0.25">
      <c r="A1735" t="str">
        <f>""</f>
        <v/>
      </c>
      <c r="F1735" t="str">
        <f>""</f>
        <v/>
      </c>
      <c r="G1735" t="str">
        <f>""</f>
        <v/>
      </c>
      <c r="I1735" t="str">
        <f>"Lemonade Mix"</f>
        <v>Lemonade Mix</v>
      </c>
    </row>
    <row r="1736" spans="1:9" x14ac:dyDescent="0.25">
      <c r="A1736" t="str">
        <f>""</f>
        <v/>
      </c>
      <c r="F1736" t="str">
        <f>""</f>
        <v/>
      </c>
      <c r="G1736" t="str">
        <f>""</f>
        <v/>
      </c>
      <c r="I1736" t="str">
        <f>"Discount"</f>
        <v>Discount</v>
      </c>
    </row>
    <row r="1737" spans="1:9" x14ac:dyDescent="0.25">
      <c r="A1737" t="str">
        <f>""</f>
        <v/>
      </c>
      <c r="F1737" t="str">
        <f>""</f>
        <v/>
      </c>
      <c r="G1737" t="str">
        <f>""</f>
        <v/>
      </c>
      <c r="I1737" t="str">
        <f>"Fruit Punch PK"</f>
        <v>Fruit Punch PK</v>
      </c>
    </row>
    <row r="1738" spans="1:9" x14ac:dyDescent="0.25">
      <c r="A1738" t="str">
        <f>""</f>
        <v/>
      </c>
      <c r="F1738" t="str">
        <f>""</f>
        <v/>
      </c>
      <c r="G1738" t="str">
        <f>""</f>
        <v/>
      </c>
      <c r="I1738" t="str">
        <f>"Discount"</f>
        <v>Discount</v>
      </c>
    </row>
    <row r="1739" spans="1:9" x14ac:dyDescent="0.25">
      <c r="A1739" t="str">
        <f>""</f>
        <v/>
      </c>
      <c r="F1739" t="str">
        <f>""</f>
        <v/>
      </c>
      <c r="G1739" t="str">
        <f>""</f>
        <v/>
      </c>
      <c r="I1739" t="str">
        <f>"Lemon-Lime PK"</f>
        <v>Lemon-Lime PK</v>
      </c>
    </row>
    <row r="1740" spans="1:9" x14ac:dyDescent="0.25">
      <c r="A1740" t="str">
        <f>""</f>
        <v/>
      </c>
      <c r="F1740" t="str">
        <f>""</f>
        <v/>
      </c>
      <c r="G1740" t="str">
        <f>""</f>
        <v/>
      </c>
      <c r="I1740" t="str">
        <f>"Discount"</f>
        <v>Discount</v>
      </c>
    </row>
    <row r="1741" spans="1:9" x14ac:dyDescent="0.25">
      <c r="A1741" t="str">
        <f>""</f>
        <v/>
      </c>
      <c r="F1741" t="str">
        <f>""</f>
        <v/>
      </c>
      <c r="G1741" t="str">
        <f>""</f>
        <v/>
      </c>
      <c r="I1741" t="str">
        <f>"First Aid"</f>
        <v>First Aid</v>
      </c>
    </row>
    <row r="1742" spans="1:9" x14ac:dyDescent="0.25">
      <c r="A1742" t="str">
        <f>""</f>
        <v/>
      </c>
      <c r="F1742" t="str">
        <f>""</f>
        <v/>
      </c>
      <c r="G1742" t="str">
        <f>""</f>
        <v/>
      </c>
      <c r="I1742" t="str">
        <f>"Hat XL"</f>
        <v>Hat XL</v>
      </c>
    </row>
    <row r="1743" spans="1:9" x14ac:dyDescent="0.25">
      <c r="A1743" t="str">
        <f>""</f>
        <v/>
      </c>
      <c r="F1743" t="str">
        <f>""</f>
        <v/>
      </c>
      <c r="G1743" t="str">
        <f>""</f>
        <v/>
      </c>
      <c r="I1743" t="str">
        <f>"Discount"</f>
        <v>Discount</v>
      </c>
    </row>
    <row r="1744" spans="1:9" x14ac:dyDescent="0.25">
      <c r="A1744" t="str">
        <f>""</f>
        <v/>
      </c>
      <c r="F1744" t="str">
        <f>""</f>
        <v/>
      </c>
      <c r="G1744" t="str">
        <f>""</f>
        <v/>
      </c>
      <c r="I1744" t="str">
        <f>"Hat SM"</f>
        <v>Hat SM</v>
      </c>
    </row>
    <row r="1745" spans="1:9" x14ac:dyDescent="0.25">
      <c r="A1745" t="str">
        <f>""</f>
        <v/>
      </c>
      <c r="F1745" t="str">
        <f>""</f>
        <v/>
      </c>
      <c r="G1745" t="str">
        <f>""</f>
        <v/>
      </c>
      <c r="I1745" t="str">
        <f>"Discount"</f>
        <v>Discount</v>
      </c>
    </row>
    <row r="1746" spans="1:9" x14ac:dyDescent="0.25">
      <c r="A1746" t="str">
        <f>"004928"</f>
        <v>004928</v>
      </c>
      <c r="B1746" t="s">
        <v>488</v>
      </c>
      <c r="C1746">
        <v>76416</v>
      </c>
      <c r="D1746" s="2">
        <v>282.64</v>
      </c>
      <c r="E1746" s="1">
        <v>43213</v>
      </c>
      <c r="F1746" t="str">
        <f>"INV4344802"</f>
        <v>INV4344802</v>
      </c>
      <c r="G1746" t="str">
        <f>"Desiccant Air Dryer"</f>
        <v>Desiccant Air Dryer</v>
      </c>
      <c r="H1746">
        <v>258.08</v>
      </c>
      <c r="I1746" t="str">
        <f>"Desiccant Air Dryer"</f>
        <v>Desiccant Air Dryer</v>
      </c>
    </row>
    <row r="1747" spans="1:9" x14ac:dyDescent="0.25">
      <c r="A1747" t="str">
        <f>""</f>
        <v/>
      </c>
      <c r="F1747" t="str">
        <f>"INV4354031"</f>
        <v>INV4354031</v>
      </c>
      <c r="G1747" t="str">
        <f>"Zebra F301 0.7mm Blue"</f>
        <v>Zebra F301 0.7mm Blue</v>
      </c>
      <c r="H1747">
        <v>24.56</v>
      </c>
      <c r="I1747" t="str">
        <f>"Zebra F301 0.7mm Blue"</f>
        <v>Zebra F301 0.7mm Blue</v>
      </c>
    </row>
    <row r="1748" spans="1:9" x14ac:dyDescent="0.25">
      <c r="A1748" t="str">
        <f>""</f>
        <v/>
      </c>
      <c r="F1748" t="str">
        <f>""</f>
        <v/>
      </c>
      <c r="G1748" t="str">
        <f>""</f>
        <v/>
      </c>
      <c r="I1748" t="str">
        <f>"Shipping"</f>
        <v>Shipping</v>
      </c>
    </row>
    <row r="1749" spans="1:9" x14ac:dyDescent="0.25">
      <c r="A1749" t="str">
        <f>"005237"</f>
        <v>005237</v>
      </c>
      <c r="B1749" t="s">
        <v>24</v>
      </c>
      <c r="C1749">
        <v>76194</v>
      </c>
      <c r="D1749" s="2">
        <v>393.84</v>
      </c>
      <c r="E1749" s="1">
        <v>43201</v>
      </c>
      <c r="F1749" t="str">
        <f>"1HYFN1MTTNYT"</f>
        <v>1HYFN1MTTNYT</v>
      </c>
      <c r="G1749" t="str">
        <f>"COMPACT BODY CAMERAS/BOOT CAMP"</f>
        <v>COMPACT BODY CAMERAS/BOOT CAMP</v>
      </c>
      <c r="H1749">
        <v>393.84</v>
      </c>
      <c r="I1749" t="str">
        <f>"COMPACT BODY CAMERAS/BOOT CAMP"</f>
        <v>COMPACT BODY CAMERAS/BOOT CAMP</v>
      </c>
    </row>
    <row r="1750" spans="1:9" x14ac:dyDescent="0.25">
      <c r="A1750" t="str">
        <f>"AQUAB"</f>
        <v>AQUAB</v>
      </c>
      <c r="B1750" t="s">
        <v>35</v>
      </c>
      <c r="C1750">
        <v>76417</v>
      </c>
      <c r="D1750" s="2">
        <v>54.99</v>
      </c>
      <c r="E1750" s="1">
        <v>43213</v>
      </c>
      <c r="F1750" t="str">
        <f>"201804120299"</f>
        <v>201804120299</v>
      </c>
      <c r="G1750" t="str">
        <f>"ACCT#015397/JUVENILE BOOT CAMP"</f>
        <v>ACCT#015397/JUVENILE BOOT CAMP</v>
      </c>
      <c r="H1750">
        <v>54.99</v>
      </c>
      <c r="I1750" t="str">
        <f>"ACCT#015397/JUVENILE BOOT CAMP"</f>
        <v>ACCT#015397/JUVENILE BOOT CAMP</v>
      </c>
    </row>
    <row r="1751" spans="1:9" x14ac:dyDescent="0.25">
      <c r="A1751" t="str">
        <f>"B&amp;B"</f>
        <v>B&amp;B</v>
      </c>
      <c r="B1751" t="s">
        <v>54</v>
      </c>
      <c r="C1751">
        <v>76187</v>
      </c>
      <c r="D1751" s="2">
        <v>138.26</v>
      </c>
      <c r="E1751" s="1">
        <v>43199</v>
      </c>
      <c r="F1751" t="str">
        <f>"201804039917"</f>
        <v>201804039917</v>
      </c>
      <c r="G1751" t="str">
        <f>"CUST#1645/OEM"</f>
        <v>CUST#1645/OEM</v>
      </c>
      <c r="H1751">
        <v>138.26</v>
      </c>
      <c r="I1751" t="str">
        <f>"CUST#1645/OEM"</f>
        <v>CUST#1645/OEM</v>
      </c>
    </row>
    <row r="1752" spans="1:9" x14ac:dyDescent="0.25">
      <c r="A1752" t="str">
        <f>"BASCO"</f>
        <v>BASCO</v>
      </c>
      <c r="B1752" t="s">
        <v>66</v>
      </c>
      <c r="C1752">
        <v>76418</v>
      </c>
      <c r="D1752" s="2">
        <v>2.25</v>
      </c>
      <c r="E1752" s="1">
        <v>43213</v>
      </c>
      <c r="F1752" t="str">
        <f>"11261"</f>
        <v>11261</v>
      </c>
      <c r="G1752" t="str">
        <f>"ACCT#BC01"</f>
        <v>ACCT#BC01</v>
      </c>
      <c r="H1752">
        <v>2.25</v>
      </c>
      <c r="I1752" t="str">
        <f>"ACCT#BC01"</f>
        <v>ACCT#BC01</v>
      </c>
    </row>
    <row r="1753" spans="1:9" x14ac:dyDescent="0.25">
      <c r="A1753" t="str">
        <f>"T3799"</f>
        <v>T3799</v>
      </c>
      <c r="B1753" t="s">
        <v>68</v>
      </c>
      <c r="C1753">
        <v>76419</v>
      </c>
      <c r="D1753" s="2">
        <v>2817.82</v>
      </c>
      <c r="E1753" s="1">
        <v>43213</v>
      </c>
      <c r="F1753" t="str">
        <f>"185"</f>
        <v>185</v>
      </c>
      <c r="G1753" t="str">
        <f>"Inv# 185"</f>
        <v>Inv# 185</v>
      </c>
      <c r="H1753">
        <v>2817.82</v>
      </c>
      <c r="I1753" t="str">
        <f>"3.26.2018 Diesel"</f>
        <v>3.26.2018 Diesel</v>
      </c>
    </row>
    <row r="1754" spans="1:9" x14ac:dyDescent="0.25">
      <c r="A1754" t="str">
        <f>""</f>
        <v/>
      </c>
      <c r="F1754" t="str">
        <f>""</f>
        <v/>
      </c>
      <c r="G1754" t="str">
        <f>""</f>
        <v/>
      </c>
      <c r="I1754" t="str">
        <f>"2.26.2018 Unleaded"</f>
        <v>2.26.2018 Unleaded</v>
      </c>
    </row>
    <row r="1755" spans="1:9" x14ac:dyDescent="0.25">
      <c r="A1755" t="str">
        <f>""</f>
        <v/>
      </c>
      <c r="F1755" t="str">
        <f>""</f>
        <v/>
      </c>
      <c r="G1755" t="str">
        <f>""</f>
        <v/>
      </c>
      <c r="I1755" t="str">
        <f>"Vehicles using Pumps"</f>
        <v>Vehicles using Pumps</v>
      </c>
    </row>
    <row r="1756" spans="1:9" x14ac:dyDescent="0.25">
      <c r="A1756" t="str">
        <f>"BEC"</f>
        <v>BEC</v>
      </c>
      <c r="B1756" t="s">
        <v>85</v>
      </c>
      <c r="C1756">
        <v>76198</v>
      </c>
      <c r="D1756" s="2">
        <v>110.13</v>
      </c>
      <c r="E1756" s="1">
        <v>43203</v>
      </c>
      <c r="F1756" t="str">
        <f>"201804120304"</f>
        <v>201804120304</v>
      </c>
      <c r="G1756" t="str">
        <f>"ACCT#5000057374 / 04/03/2018"</f>
        <v>ACCT#5000057374 / 04/03/2018</v>
      </c>
      <c r="H1756">
        <v>110.13</v>
      </c>
      <c r="I1756" t="str">
        <f>"ACCT#5000057374 / 04/03/2018"</f>
        <v>ACCT#5000057374 / 04/03/2018</v>
      </c>
    </row>
    <row r="1757" spans="1:9" x14ac:dyDescent="0.25">
      <c r="A1757" t="str">
        <f>"005399"</f>
        <v>005399</v>
      </c>
      <c r="B1757" t="s">
        <v>489</v>
      </c>
      <c r="C1757">
        <v>76188</v>
      </c>
      <c r="D1757" s="2">
        <v>35.99</v>
      </c>
      <c r="E1757" s="1">
        <v>43199</v>
      </c>
      <c r="F1757" t="str">
        <f>"1399"</f>
        <v>1399</v>
      </c>
      <c r="G1757" t="str">
        <f>"PAPERTOWELS / BOOT CAMP"</f>
        <v>PAPERTOWELS / BOOT CAMP</v>
      </c>
      <c r="H1757">
        <v>35.99</v>
      </c>
      <c r="I1757" t="str">
        <f>"PAPERTOWELS / BOOT CAMP"</f>
        <v>PAPERTOWELS / BOOT CAMP</v>
      </c>
    </row>
    <row r="1758" spans="1:9" x14ac:dyDescent="0.25">
      <c r="A1758" t="str">
        <f>"AT&amp;EI"</f>
        <v>AT&amp;EI</v>
      </c>
      <c r="B1758" t="s">
        <v>184</v>
      </c>
      <c r="C1758">
        <v>76189</v>
      </c>
      <c r="D1758" s="2">
        <v>129533</v>
      </c>
      <c r="E1758" s="1">
        <v>43199</v>
      </c>
      <c r="F1758" t="str">
        <f>"2019 FREIGHTLINER"</f>
        <v>2019 FREIGHTLINER</v>
      </c>
      <c r="G1758" t="str">
        <f>"AUSTIN TRUCK &amp; EQUIP LTD"</f>
        <v>AUSTIN TRUCK &amp; EQUIP LTD</v>
      </c>
      <c r="H1758">
        <v>129533</v>
      </c>
      <c r="I1758" t="str">
        <f>"2019 Freightliner"</f>
        <v>2019 Freightliner</v>
      </c>
    </row>
    <row r="1759" spans="1:9" x14ac:dyDescent="0.25">
      <c r="A1759" t="str">
        <f>"AT&amp;EI"</f>
        <v>AT&amp;EI</v>
      </c>
      <c r="B1759" t="s">
        <v>184</v>
      </c>
      <c r="C1759">
        <v>76420</v>
      </c>
      <c r="D1759" s="2">
        <v>400</v>
      </c>
      <c r="E1759" s="1">
        <v>43213</v>
      </c>
      <c r="F1759" t="str">
        <f>"BUYBOARD FEE"</f>
        <v>BUYBOARD FEE</v>
      </c>
      <c r="G1759" t="str">
        <f>"Buyboard Fee"</f>
        <v>Buyboard Fee</v>
      </c>
      <c r="H1759">
        <v>400</v>
      </c>
      <c r="I1759" t="str">
        <f>"Buyboard Fee"</f>
        <v>Buyboard Fee</v>
      </c>
    </row>
    <row r="1760" spans="1:9" x14ac:dyDescent="0.25">
      <c r="A1760" t="str">
        <f>"003545"</f>
        <v>003545</v>
      </c>
      <c r="B1760" t="s">
        <v>222</v>
      </c>
      <c r="C1760">
        <v>76421</v>
      </c>
      <c r="D1760" s="2">
        <v>9</v>
      </c>
      <c r="E1760" s="1">
        <v>43213</v>
      </c>
      <c r="F1760" t="str">
        <f>"171439"</f>
        <v>171439</v>
      </c>
      <c r="G1760" t="str">
        <f>"ITEM#568-910/OEM"</f>
        <v>ITEM#568-910/OEM</v>
      </c>
      <c r="H1760">
        <v>9</v>
      </c>
      <c r="I1760" t="str">
        <f>"ITEM#568-910/OEM"</f>
        <v>ITEM#568-910/OEM</v>
      </c>
    </row>
    <row r="1761" spans="1:9" x14ac:dyDescent="0.25">
      <c r="A1761" t="str">
        <f>""</f>
        <v/>
      </c>
      <c r="F1761" t="str">
        <f>""</f>
        <v/>
      </c>
      <c r="G1761" t="str">
        <f>""</f>
        <v/>
      </c>
      <c r="I1761" t="str">
        <f>"ITEM#568-910/OEM"</f>
        <v>ITEM#568-910/OEM</v>
      </c>
    </row>
    <row r="1762" spans="1:9" x14ac:dyDescent="0.25">
      <c r="A1762" t="str">
        <f>"005119"</f>
        <v>005119</v>
      </c>
      <c r="B1762" t="s">
        <v>490</v>
      </c>
      <c r="C1762">
        <v>76422</v>
      </c>
      <c r="D1762" s="2">
        <v>15538.42</v>
      </c>
      <c r="E1762" s="1">
        <v>43213</v>
      </c>
      <c r="F1762" t="str">
        <f>"201803095"</f>
        <v>201803095</v>
      </c>
      <c r="G1762" t="str">
        <f>"PROJ#2017072/911 ER &amp; IT CENTE"</f>
        <v>PROJ#2017072/911 ER &amp; IT CENTE</v>
      </c>
      <c r="H1762">
        <v>15538.42</v>
      </c>
      <c r="I1762" t="str">
        <f>"PROJ#2017072/911 ER &amp; IT CENTE"</f>
        <v>PROJ#2017072/911 ER &amp; IT CENTE</v>
      </c>
    </row>
    <row r="1763" spans="1:9" x14ac:dyDescent="0.25">
      <c r="A1763" t="str">
        <f>"T13475"</f>
        <v>T13475</v>
      </c>
      <c r="B1763" t="s">
        <v>491</v>
      </c>
      <c r="C1763">
        <v>76190</v>
      </c>
      <c r="D1763" s="2">
        <v>2500</v>
      </c>
      <c r="E1763" s="1">
        <v>43199</v>
      </c>
      <c r="F1763" t="str">
        <f>"3442"</f>
        <v>3442</v>
      </c>
      <c r="G1763" t="str">
        <f>"HMGP ADMIN/DR 4223-044"</f>
        <v>HMGP ADMIN/DR 4223-044</v>
      </c>
      <c r="H1763">
        <v>2500</v>
      </c>
      <c r="I1763" t="str">
        <f>"HMGP ADMIN/DR 4223-044"</f>
        <v>HMGP ADMIN/DR 4223-044</v>
      </c>
    </row>
    <row r="1764" spans="1:9" x14ac:dyDescent="0.25">
      <c r="A1764" t="str">
        <f>"T13475"</f>
        <v>T13475</v>
      </c>
      <c r="B1764" t="s">
        <v>491</v>
      </c>
      <c r="C1764">
        <v>76191</v>
      </c>
      <c r="D1764" s="2">
        <v>3571.7</v>
      </c>
      <c r="E1764" s="1">
        <v>43199</v>
      </c>
      <c r="F1764" t="str">
        <f>"3452"</f>
        <v>3452</v>
      </c>
      <c r="G1764" t="str">
        <f>"HMGP ADMIN/DR 4245-017"</f>
        <v>HMGP ADMIN/DR 4245-017</v>
      </c>
      <c r="H1764">
        <v>3571.7</v>
      </c>
      <c r="I1764" t="str">
        <f>"HMGP ADMIN/DR 4245-017"</f>
        <v>HMGP ADMIN/DR 4245-017</v>
      </c>
    </row>
    <row r="1765" spans="1:9" x14ac:dyDescent="0.25">
      <c r="A1765" t="str">
        <f>"002647"</f>
        <v>002647</v>
      </c>
      <c r="B1765" t="s">
        <v>492</v>
      </c>
      <c r="C1765">
        <v>76423</v>
      </c>
      <c r="D1765" s="2">
        <v>1596</v>
      </c>
      <c r="E1765" s="1">
        <v>43213</v>
      </c>
      <c r="F1765" t="str">
        <f>"B34138"</f>
        <v>B34138</v>
      </c>
      <c r="G1765" t="str">
        <f>"EXCAVATOR RENTAL"</f>
        <v>EXCAVATOR RENTAL</v>
      </c>
      <c r="H1765">
        <v>1596</v>
      </c>
      <c r="I1765" t="str">
        <f>"EXCAVATOR RENTAL"</f>
        <v>EXCAVATOR RENTAL</v>
      </c>
    </row>
    <row r="1766" spans="1:9" x14ac:dyDescent="0.25">
      <c r="A1766" t="str">
        <f>"004401"</f>
        <v>004401</v>
      </c>
      <c r="B1766" t="s">
        <v>493</v>
      </c>
      <c r="C1766">
        <v>76192</v>
      </c>
      <c r="D1766" s="2">
        <v>14262.46</v>
      </c>
      <c r="E1766" s="1">
        <v>43199</v>
      </c>
      <c r="F1766" t="str">
        <f>"A029780/A029910"</f>
        <v>A029780/A029910</v>
      </c>
      <c r="G1766" t="str">
        <f>"Inv# A029780 &amp; A029910"</f>
        <v>Inv# A029780 &amp; A029910</v>
      </c>
      <c r="H1766">
        <v>14067.01</v>
      </c>
      <c r="I1766" t="str">
        <f>"Inv# A029780"</f>
        <v>Inv# A029780</v>
      </c>
    </row>
    <row r="1767" spans="1:9" x14ac:dyDescent="0.25">
      <c r="A1767" t="str">
        <f>""</f>
        <v/>
      </c>
      <c r="F1767" t="str">
        <f>""</f>
        <v/>
      </c>
      <c r="G1767" t="str">
        <f>""</f>
        <v/>
      </c>
      <c r="I1767" t="str">
        <f>"Inv# A029910"</f>
        <v>Inv# A029910</v>
      </c>
    </row>
    <row r="1768" spans="1:9" x14ac:dyDescent="0.25">
      <c r="A1768" t="str">
        <f>""</f>
        <v/>
      </c>
      <c r="F1768" t="str">
        <f>"PART4641370"</f>
        <v>PART4641370</v>
      </c>
      <c r="G1768" t="str">
        <f>"CUST#1006635/PARTS/OEM"</f>
        <v>CUST#1006635/PARTS/OEM</v>
      </c>
      <c r="H1768">
        <v>195.45</v>
      </c>
      <c r="I1768" t="str">
        <f>"CUST#1006635/PARTS/OEM"</f>
        <v>CUST#1006635/PARTS/OEM</v>
      </c>
    </row>
    <row r="1769" spans="1:9" x14ac:dyDescent="0.25">
      <c r="A1769" t="str">
        <f>"T10195"</f>
        <v>T10195</v>
      </c>
      <c r="B1769" t="s">
        <v>405</v>
      </c>
      <c r="C1769">
        <v>76424</v>
      </c>
      <c r="D1769" s="2">
        <v>8740</v>
      </c>
      <c r="E1769" s="1">
        <v>43213</v>
      </c>
      <c r="F1769" t="str">
        <f>"GB00265642"</f>
        <v>GB00265642</v>
      </c>
      <c r="G1769" t="str">
        <f>"SHI GOVERNMENT SOLUTION"</f>
        <v>SHI GOVERNMENT SOLUTION</v>
      </c>
      <c r="H1769">
        <v>8740</v>
      </c>
      <c r="I1769" t="str">
        <f>"SOLUTION ARCHITECT"</f>
        <v>SOLUTION ARCHITECT</v>
      </c>
    </row>
    <row r="1770" spans="1:9" x14ac:dyDescent="0.25">
      <c r="A1770" t="str">
        <f>""</f>
        <v/>
      </c>
      <c r="F1770" t="str">
        <f>""</f>
        <v/>
      </c>
      <c r="G1770" t="str">
        <f>""</f>
        <v/>
      </c>
      <c r="I1770" t="str">
        <f>"PROJECT MANAGEMENT"</f>
        <v>PROJECT MANAGEMENT</v>
      </c>
    </row>
    <row r="1771" spans="1:9" x14ac:dyDescent="0.25">
      <c r="A1771" t="str">
        <f>"TACUE"</f>
        <v>TACUE</v>
      </c>
      <c r="B1771" t="s">
        <v>432</v>
      </c>
      <c r="C1771">
        <v>76193</v>
      </c>
      <c r="D1771" s="2">
        <v>45.44</v>
      </c>
      <c r="E1771" s="1">
        <v>43199</v>
      </c>
      <c r="F1771" t="str">
        <f>"UF-2018-1-110"</f>
        <v>UF-2018-1-110</v>
      </c>
      <c r="G1771" t="str">
        <f>"UF-1 QTR ENDING 3/31/18/ENT110"</f>
        <v>UF-1 QTR ENDING 3/31/18/ENT110</v>
      </c>
      <c r="H1771">
        <v>45.44</v>
      </c>
      <c r="I1771" t="str">
        <f>"UF-1 QTR ENDING 3/31/18/ENT110"</f>
        <v>UF-1 QTR ENDING 3/31/18/ENT110</v>
      </c>
    </row>
    <row r="1772" spans="1:9" x14ac:dyDescent="0.25">
      <c r="A1772" t="str">
        <f>"ALLSTA"</f>
        <v>ALLSTA</v>
      </c>
      <c r="B1772" t="s">
        <v>494</v>
      </c>
      <c r="C1772">
        <v>0</v>
      </c>
      <c r="D1772" s="2">
        <v>7668.45</v>
      </c>
      <c r="E1772" s="1">
        <v>43214</v>
      </c>
      <c r="F1772" t="str">
        <f>"201804240424"</f>
        <v>201804240424</v>
      </c>
      <c r="G1772" t="str">
        <f>"ALLSTATE-AMERICAN HERITAGE LIF"</f>
        <v>ALLSTATE-AMERICAN HERITAGE LIF</v>
      </c>
      <c r="H1772">
        <v>7.0000000000000007E-2</v>
      </c>
      <c r="I1772" t="str">
        <f>"ALLSTATE-AMERICAN HERITAGE LIF"</f>
        <v>ALLSTATE-AMERICAN HERITAGE LIF</v>
      </c>
    </row>
    <row r="1773" spans="1:9" x14ac:dyDescent="0.25">
      <c r="A1773" t="str">
        <f>""</f>
        <v/>
      </c>
      <c r="F1773" t="str">
        <f>"AS 201804049962"</f>
        <v>AS 201804049962</v>
      </c>
      <c r="G1773" t="str">
        <f t="shared" ref="G1773:G1786" si="23">"ALLSTATE"</f>
        <v>ALLSTATE</v>
      </c>
      <c r="H1773">
        <v>751.7</v>
      </c>
      <c r="I1773" t="str">
        <f t="shared" ref="I1773:I1786" si="24">"ALLSTATE"</f>
        <v>ALLSTATE</v>
      </c>
    </row>
    <row r="1774" spans="1:9" x14ac:dyDescent="0.25">
      <c r="A1774" t="str">
        <f>""</f>
        <v/>
      </c>
      <c r="F1774" t="str">
        <f>"AS 201804049989"</f>
        <v>AS 201804049989</v>
      </c>
      <c r="G1774" t="str">
        <f t="shared" si="23"/>
        <v>ALLSTATE</v>
      </c>
      <c r="H1774">
        <v>36.14</v>
      </c>
      <c r="I1774" t="str">
        <f t="shared" si="24"/>
        <v>ALLSTATE</v>
      </c>
    </row>
    <row r="1775" spans="1:9" x14ac:dyDescent="0.25">
      <c r="A1775" t="str">
        <f>""</f>
        <v/>
      </c>
      <c r="F1775" t="str">
        <f>"AS 201804180391"</f>
        <v>AS 201804180391</v>
      </c>
      <c r="G1775" t="str">
        <f t="shared" si="23"/>
        <v>ALLSTATE</v>
      </c>
      <c r="H1775">
        <v>751.7</v>
      </c>
      <c r="I1775" t="str">
        <f t="shared" si="24"/>
        <v>ALLSTATE</v>
      </c>
    </row>
    <row r="1776" spans="1:9" x14ac:dyDescent="0.25">
      <c r="A1776" t="str">
        <f>""</f>
        <v/>
      </c>
      <c r="F1776" t="str">
        <f>"AS 201804180392"</f>
        <v>AS 201804180392</v>
      </c>
      <c r="G1776" t="str">
        <f t="shared" si="23"/>
        <v>ALLSTATE</v>
      </c>
      <c r="H1776">
        <v>36.14</v>
      </c>
      <c r="I1776" t="str">
        <f t="shared" si="24"/>
        <v>ALLSTATE</v>
      </c>
    </row>
    <row r="1777" spans="1:9" x14ac:dyDescent="0.25">
      <c r="A1777" t="str">
        <f>""</f>
        <v/>
      </c>
      <c r="F1777" t="str">
        <f>"ASD201804049962"</f>
        <v>ASD201804049962</v>
      </c>
      <c r="G1777" t="str">
        <f t="shared" si="23"/>
        <v>ALLSTATE</v>
      </c>
      <c r="H1777">
        <v>267.73</v>
      </c>
      <c r="I1777" t="str">
        <f t="shared" si="24"/>
        <v>ALLSTATE</v>
      </c>
    </row>
    <row r="1778" spans="1:9" x14ac:dyDescent="0.25">
      <c r="A1778" t="str">
        <f>""</f>
        <v/>
      </c>
      <c r="F1778" t="str">
        <f>"ASD201804180391"</f>
        <v>ASD201804180391</v>
      </c>
      <c r="G1778" t="str">
        <f t="shared" si="23"/>
        <v>ALLSTATE</v>
      </c>
      <c r="H1778">
        <v>267.73</v>
      </c>
      <c r="I1778" t="str">
        <f t="shared" si="24"/>
        <v>ALLSTATE</v>
      </c>
    </row>
    <row r="1779" spans="1:9" x14ac:dyDescent="0.25">
      <c r="A1779" t="str">
        <f>""</f>
        <v/>
      </c>
      <c r="F1779" t="str">
        <f>"ASI201804049962"</f>
        <v>ASI201804049962</v>
      </c>
      <c r="G1779" t="str">
        <f t="shared" si="23"/>
        <v>ALLSTATE</v>
      </c>
      <c r="H1779">
        <v>970.66</v>
      </c>
      <c r="I1779" t="str">
        <f t="shared" si="24"/>
        <v>ALLSTATE</v>
      </c>
    </row>
    <row r="1780" spans="1:9" x14ac:dyDescent="0.25">
      <c r="A1780" t="str">
        <f>""</f>
        <v/>
      </c>
      <c r="F1780" t="str">
        <f>"ASI201804049989"</f>
        <v>ASI201804049989</v>
      </c>
      <c r="G1780" t="str">
        <f t="shared" si="23"/>
        <v>ALLSTATE</v>
      </c>
      <c r="H1780">
        <v>100.63</v>
      </c>
      <c r="I1780" t="str">
        <f t="shared" si="24"/>
        <v>ALLSTATE</v>
      </c>
    </row>
    <row r="1781" spans="1:9" x14ac:dyDescent="0.25">
      <c r="A1781" t="str">
        <f>""</f>
        <v/>
      </c>
      <c r="F1781" t="str">
        <f>"ASI201804180391"</f>
        <v>ASI201804180391</v>
      </c>
      <c r="G1781" t="str">
        <f t="shared" si="23"/>
        <v>ALLSTATE</v>
      </c>
      <c r="H1781">
        <v>970.66</v>
      </c>
      <c r="I1781" t="str">
        <f t="shared" si="24"/>
        <v>ALLSTATE</v>
      </c>
    </row>
    <row r="1782" spans="1:9" x14ac:dyDescent="0.25">
      <c r="A1782" t="str">
        <f>""</f>
        <v/>
      </c>
      <c r="F1782" t="str">
        <f>"ASI201804180392"</f>
        <v>ASI201804180392</v>
      </c>
      <c r="G1782" t="str">
        <f t="shared" si="23"/>
        <v>ALLSTATE</v>
      </c>
      <c r="H1782">
        <v>100.63</v>
      </c>
      <c r="I1782" t="str">
        <f t="shared" si="24"/>
        <v>ALLSTATE</v>
      </c>
    </row>
    <row r="1783" spans="1:9" x14ac:dyDescent="0.25">
      <c r="A1783" t="str">
        <f>""</f>
        <v/>
      </c>
      <c r="F1783" t="str">
        <f>"AST201804049962"</f>
        <v>AST201804049962</v>
      </c>
      <c r="G1783" t="str">
        <f t="shared" si="23"/>
        <v>ALLSTATE</v>
      </c>
      <c r="H1783">
        <v>1653.5</v>
      </c>
      <c r="I1783" t="str">
        <f t="shared" si="24"/>
        <v>ALLSTATE</v>
      </c>
    </row>
    <row r="1784" spans="1:9" x14ac:dyDescent="0.25">
      <c r="A1784" t="str">
        <f>""</f>
        <v/>
      </c>
      <c r="F1784" t="str">
        <f>"AST201804049989"</f>
        <v>AST201804049989</v>
      </c>
      <c r="G1784" t="str">
        <f t="shared" si="23"/>
        <v>ALLSTATE</v>
      </c>
      <c r="H1784">
        <v>53.83</v>
      </c>
      <c r="I1784" t="str">
        <f t="shared" si="24"/>
        <v>ALLSTATE</v>
      </c>
    </row>
    <row r="1785" spans="1:9" x14ac:dyDescent="0.25">
      <c r="A1785" t="str">
        <f>""</f>
        <v/>
      </c>
      <c r="F1785" t="str">
        <f>"AST201804180391"</f>
        <v>AST201804180391</v>
      </c>
      <c r="G1785" t="str">
        <f t="shared" si="23"/>
        <v>ALLSTATE</v>
      </c>
      <c r="H1785">
        <v>1653.5</v>
      </c>
      <c r="I1785" t="str">
        <f t="shared" si="24"/>
        <v>ALLSTATE</v>
      </c>
    </row>
    <row r="1786" spans="1:9" x14ac:dyDescent="0.25">
      <c r="A1786" t="str">
        <f>""</f>
        <v/>
      </c>
      <c r="F1786" t="str">
        <f>"AST201804180392"</f>
        <v>AST201804180392</v>
      </c>
      <c r="G1786" t="str">
        <f t="shared" si="23"/>
        <v>ALLSTATE</v>
      </c>
      <c r="H1786">
        <v>53.83</v>
      </c>
      <c r="I1786" t="str">
        <f t="shared" si="24"/>
        <v>ALLSTATE</v>
      </c>
    </row>
    <row r="1787" spans="1:9" x14ac:dyDescent="0.25">
      <c r="A1787" t="str">
        <f>"T12180"</f>
        <v>T12180</v>
      </c>
      <c r="B1787" t="s">
        <v>495</v>
      </c>
      <c r="C1787">
        <v>0</v>
      </c>
      <c r="D1787" s="2">
        <v>3153.21</v>
      </c>
      <c r="E1787" s="1">
        <v>43196</v>
      </c>
      <c r="F1787" t="str">
        <f>"DDP201804049990"</f>
        <v>DDP201804049990</v>
      </c>
      <c r="G1787" t="str">
        <f>"AP - TEXAS DISCOUNT DENTAL"</f>
        <v>AP - TEXAS DISCOUNT DENTAL</v>
      </c>
      <c r="H1787">
        <v>6.53</v>
      </c>
      <c r="I1787" t="str">
        <f>"AP - TEXAS DISCOUNT DENTAL"</f>
        <v>AP - TEXAS DISCOUNT DENTAL</v>
      </c>
    </row>
    <row r="1788" spans="1:9" x14ac:dyDescent="0.25">
      <c r="A1788" t="str">
        <f>""</f>
        <v/>
      </c>
      <c r="F1788" t="str">
        <f>"DHM201804049990"</f>
        <v>DHM201804049990</v>
      </c>
      <c r="G1788" t="str">
        <f>"AP - DENTAL HMO"</f>
        <v>AP - DENTAL HMO</v>
      </c>
      <c r="H1788">
        <v>30.7</v>
      </c>
      <c r="I1788" t="str">
        <f>"AP - DENTAL HMO"</f>
        <v>AP - DENTAL HMO</v>
      </c>
    </row>
    <row r="1789" spans="1:9" x14ac:dyDescent="0.25">
      <c r="A1789" t="str">
        <f>""</f>
        <v/>
      </c>
      <c r="F1789" t="str">
        <f>"DTX201804049990"</f>
        <v>DTX201804049990</v>
      </c>
      <c r="G1789" t="str">
        <f>"AP - TEXAS DENTAL"</f>
        <v>AP - TEXAS DENTAL</v>
      </c>
      <c r="H1789">
        <v>397.64</v>
      </c>
      <c r="I1789" t="str">
        <f>"AP - TEXAS DENTAL"</f>
        <v>AP - TEXAS DENTAL</v>
      </c>
    </row>
    <row r="1790" spans="1:9" x14ac:dyDescent="0.25">
      <c r="A1790" t="str">
        <f>""</f>
        <v/>
      </c>
      <c r="F1790" t="str">
        <f>"FD 201804049990"</f>
        <v>FD 201804049990</v>
      </c>
      <c r="G1790" t="str">
        <f>"AP - FT DEARBORN PRE-TAX"</f>
        <v>AP - FT DEARBORN PRE-TAX</v>
      </c>
      <c r="H1790">
        <v>223.43</v>
      </c>
      <c r="I1790" t="str">
        <f>"AP - FT DEARBORN PRE-TAX"</f>
        <v>AP - FT DEARBORN PRE-TAX</v>
      </c>
    </row>
    <row r="1791" spans="1:9" x14ac:dyDescent="0.25">
      <c r="A1791" t="str">
        <f>""</f>
        <v/>
      </c>
      <c r="F1791" t="str">
        <f>"FDT201804049990"</f>
        <v>FDT201804049990</v>
      </c>
      <c r="G1791" t="str">
        <f>"AP - FT DEARBORN AFTER TAX"</f>
        <v>AP - FT DEARBORN AFTER TAX</v>
      </c>
      <c r="H1791">
        <v>86.54</v>
      </c>
      <c r="I1791" t="str">
        <f>"AP - FT DEARBORN AFTER TAX"</f>
        <v>AP - FT DEARBORN AFTER TAX</v>
      </c>
    </row>
    <row r="1792" spans="1:9" x14ac:dyDescent="0.25">
      <c r="A1792" t="str">
        <f>""</f>
        <v/>
      </c>
      <c r="F1792" t="str">
        <f>"FLX201804049990"</f>
        <v>FLX201804049990</v>
      </c>
      <c r="G1792" t="str">
        <f>"AP - TEX FLEX"</f>
        <v>AP - TEX FLEX</v>
      </c>
      <c r="H1792">
        <v>312</v>
      </c>
      <c r="I1792" t="str">
        <f>"AP - TEX FLEX"</f>
        <v>AP - TEX FLEX</v>
      </c>
    </row>
    <row r="1793" spans="1:9" x14ac:dyDescent="0.25">
      <c r="A1793" t="str">
        <f>""</f>
        <v/>
      </c>
      <c r="F1793" t="str">
        <f>"MHS201804049990"</f>
        <v>MHS201804049990</v>
      </c>
      <c r="G1793" t="str">
        <f>"AP - HEALTH SELECT MEDICAL"</f>
        <v>AP - HEALTH SELECT MEDICAL</v>
      </c>
      <c r="H1793">
        <v>1787.8</v>
      </c>
      <c r="I1793" t="str">
        <f>"AP - HEALTH SELECT MEDICAL"</f>
        <v>AP - HEALTH SELECT MEDICAL</v>
      </c>
    </row>
    <row r="1794" spans="1:9" x14ac:dyDescent="0.25">
      <c r="A1794" t="str">
        <f>""</f>
        <v/>
      </c>
      <c r="F1794" t="str">
        <f>"MSW201804049990"</f>
        <v>MSW201804049990</v>
      </c>
      <c r="G1794" t="str">
        <f>"AP - SCOTT &amp; WHITE MEDICAL"</f>
        <v>AP - SCOTT &amp; WHITE MEDICAL</v>
      </c>
      <c r="H1794">
        <v>291.82</v>
      </c>
      <c r="I1794" t="str">
        <f>"AP - SCOTT &amp; WHITE MEDICAL"</f>
        <v>AP - SCOTT &amp; WHITE MEDICAL</v>
      </c>
    </row>
    <row r="1795" spans="1:9" x14ac:dyDescent="0.25">
      <c r="A1795" t="str">
        <f>""</f>
        <v/>
      </c>
      <c r="F1795" t="str">
        <f>"SPE201804049990"</f>
        <v>SPE201804049990</v>
      </c>
      <c r="G1795" t="str">
        <f>"AP - STATE VISION"</f>
        <v>AP - STATE VISION</v>
      </c>
      <c r="H1795">
        <v>16.75</v>
      </c>
      <c r="I1795" t="str">
        <f>"AP - STATE VISION"</f>
        <v>AP - STATE VISION</v>
      </c>
    </row>
    <row r="1796" spans="1:9" x14ac:dyDescent="0.25">
      <c r="A1796" t="str">
        <f>"T12180"</f>
        <v>T12180</v>
      </c>
      <c r="B1796" t="s">
        <v>495</v>
      </c>
      <c r="C1796">
        <v>0</v>
      </c>
      <c r="D1796" s="2">
        <v>3153.21</v>
      </c>
      <c r="E1796" s="1">
        <v>43210</v>
      </c>
      <c r="F1796" t="str">
        <f>"DDP201804180393"</f>
        <v>DDP201804180393</v>
      </c>
      <c r="G1796" t="str">
        <f>"AP - TEXAS DISCOUNT DENTAL"</f>
        <v>AP - TEXAS DISCOUNT DENTAL</v>
      </c>
      <c r="H1796">
        <v>6.53</v>
      </c>
      <c r="I1796" t="str">
        <f>"AP - TEXAS DISCOUNT DENTAL"</f>
        <v>AP - TEXAS DISCOUNT DENTAL</v>
      </c>
    </row>
    <row r="1797" spans="1:9" x14ac:dyDescent="0.25">
      <c r="A1797" t="str">
        <f>""</f>
        <v/>
      </c>
      <c r="F1797" t="str">
        <f>"DHM201804180393"</f>
        <v>DHM201804180393</v>
      </c>
      <c r="G1797" t="str">
        <f>"AP - DENTAL HMO"</f>
        <v>AP - DENTAL HMO</v>
      </c>
      <c r="H1797">
        <v>30.7</v>
      </c>
      <c r="I1797" t="str">
        <f>"AP - DENTAL HMO"</f>
        <v>AP - DENTAL HMO</v>
      </c>
    </row>
    <row r="1798" spans="1:9" x14ac:dyDescent="0.25">
      <c r="A1798" t="str">
        <f>""</f>
        <v/>
      </c>
      <c r="F1798" t="str">
        <f>"DTX201804180393"</f>
        <v>DTX201804180393</v>
      </c>
      <c r="G1798" t="str">
        <f>"AP - TEXAS DENTAL"</f>
        <v>AP - TEXAS DENTAL</v>
      </c>
      <c r="H1798">
        <v>397.64</v>
      </c>
      <c r="I1798" t="str">
        <f>"AP - TEXAS DENTAL"</f>
        <v>AP - TEXAS DENTAL</v>
      </c>
    </row>
    <row r="1799" spans="1:9" x14ac:dyDescent="0.25">
      <c r="A1799" t="str">
        <f>""</f>
        <v/>
      </c>
      <c r="F1799" t="str">
        <f>"FD 201804180393"</f>
        <v>FD 201804180393</v>
      </c>
      <c r="G1799" t="str">
        <f>"AP - FT DEARBORN PRE-TAX"</f>
        <v>AP - FT DEARBORN PRE-TAX</v>
      </c>
      <c r="H1799">
        <v>223.43</v>
      </c>
      <c r="I1799" t="str">
        <f>"AP - FT DEARBORN PRE-TAX"</f>
        <v>AP - FT DEARBORN PRE-TAX</v>
      </c>
    </row>
    <row r="1800" spans="1:9" x14ac:dyDescent="0.25">
      <c r="A1800" t="str">
        <f>""</f>
        <v/>
      </c>
      <c r="F1800" t="str">
        <f>"FDT201804180393"</f>
        <v>FDT201804180393</v>
      </c>
      <c r="G1800" t="str">
        <f>"AP - FT DEARBORN AFTER TAX"</f>
        <v>AP - FT DEARBORN AFTER TAX</v>
      </c>
      <c r="H1800">
        <v>86.54</v>
      </c>
      <c r="I1800" t="str">
        <f>"AP - FT DEARBORN AFTER TAX"</f>
        <v>AP - FT DEARBORN AFTER TAX</v>
      </c>
    </row>
    <row r="1801" spans="1:9" x14ac:dyDescent="0.25">
      <c r="A1801" t="str">
        <f>""</f>
        <v/>
      </c>
      <c r="F1801" t="str">
        <f>"FLX201804180393"</f>
        <v>FLX201804180393</v>
      </c>
      <c r="G1801" t="str">
        <f>"AP - TEX FLEX"</f>
        <v>AP - TEX FLEX</v>
      </c>
      <c r="H1801">
        <v>312</v>
      </c>
      <c r="I1801" t="str">
        <f>"AP - TEX FLEX"</f>
        <v>AP - TEX FLEX</v>
      </c>
    </row>
    <row r="1802" spans="1:9" x14ac:dyDescent="0.25">
      <c r="A1802" t="str">
        <f>""</f>
        <v/>
      </c>
      <c r="F1802" t="str">
        <f>"MHS201804180393"</f>
        <v>MHS201804180393</v>
      </c>
      <c r="G1802" t="str">
        <f>"AP - HEALTH SELECT MEDICAL"</f>
        <v>AP - HEALTH SELECT MEDICAL</v>
      </c>
      <c r="H1802">
        <v>1787.8</v>
      </c>
      <c r="I1802" t="str">
        <f>"AP - HEALTH SELECT MEDICAL"</f>
        <v>AP - HEALTH SELECT MEDICAL</v>
      </c>
    </row>
    <row r="1803" spans="1:9" x14ac:dyDescent="0.25">
      <c r="A1803" t="str">
        <f>""</f>
        <v/>
      </c>
      <c r="F1803" t="str">
        <f>"MSW201804180393"</f>
        <v>MSW201804180393</v>
      </c>
      <c r="G1803" t="str">
        <f>"AP - SCOTT &amp; WHITE MEDICAL"</f>
        <v>AP - SCOTT &amp; WHITE MEDICAL</v>
      </c>
      <c r="H1803">
        <v>291.82</v>
      </c>
      <c r="I1803" t="str">
        <f>"AP - SCOTT &amp; WHITE MEDICAL"</f>
        <v>AP - SCOTT &amp; WHITE MEDICAL</v>
      </c>
    </row>
    <row r="1804" spans="1:9" x14ac:dyDescent="0.25">
      <c r="A1804" t="str">
        <f>""</f>
        <v/>
      </c>
      <c r="F1804" t="str">
        <f>"SPE201804180393"</f>
        <v>SPE201804180393</v>
      </c>
      <c r="G1804" t="str">
        <f>"AP - STATE VISION"</f>
        <v>AP - STATE VISION</v>
      </c>
      <c r="H1804">
        <v>16.75</v>
      </c>
      <c r="I1804" t="str">
        <f>"AP - STATE VISION"</f>
        <v>AP - STATE VISION</v>
      </c>
    </row>
    <row r="1805" spans="1:9" x14ac:dyDescent="0.25">
      <c r="A1805" t="str">
        <f>"COLONI"</f>
        <v>COLONI</v>
      </c>
      <c r="B1805" t="s">
        <v>496</v>
      </c>
      <c r="C1805">
        <v>0</v>
      </c>
      <c r="D1805" s="2">
        <v>5144.66</v>
      </c>
      <c r="E1805" s="1">
        <v>43214</v>
      </c>
      <c r="F1805" t="str">
        <f>"CL 201804049962"</f>
        <v>CL 201804049962</v>
      </c>
      <c r="G1805" t="str">
        <f t="shared" ref="G1805:G1826" si="25">"COLONIAL"</f>
        <v>COLONIAL</v>
      </c>
      <c r="H1805">
        <v>790.75</v>
      </c>
      <c r="I1805" t="str">
        <f t="shared" ref="I1805:I1826" si="26">"COLONIAL"</f>
        <v>COLONIAL</v>
      </c>
    </row>
    <row r="1806" spans="1:9" x14ac:dyDescent="0.25">
      <c r="A1806" t="str">
        <f>""</f>
        <v/>
      </c>
      <c r="F1806" t="str">
        <f>"CL 201804049989"</f>
        <v>CL 201804049989</v>
      </c>
      <c r="G1806" t="str">
        <f t="shared" si="25"/>
        <v>COLONIAL</v>
      </c>
      <c r="H1806">
        <v>14.49</v>
      </c>
      <c r="I1806" t="str">
        <f t="shared" si="26"/>
        <v>COLONIAL</v>
      </c>
    </row>
    <row r="1807" spans="1:9" x14ac:dyDescent="0.25">
      <c r="A1807" t="str">
        <f>""</f>
        <v/>
      </c>
      <c r="F1807" t="str">
        <f>"CL 201804180391"</f>
        <v>CL 201804180391</v>
      </c>
      <c r="G1807" t="str">
        <f t="shared" si="25"/>
        <v>COLONIAL</v>
      </c>
      <c r="H1807">
        <v>790.75</v>
      </c>
      <c r="I1807" t="str">
        <f t="shared" si="26"/>
        <v>COLONIAL</v>
      </c>
    </row>
    <row r="1808" spans="1:9" x14ac:dyDescent="0.25">
      <c r="A1808" t="str">
        <f>""</f>
        <v/>
      </c>
      <c r="F1808" t="str">
        <f>"CL 201804180392"</f>
        <v>CL 201804180392</v>
      </c>
      <c r="G1808" t="str">
        <f t="shared" si="25"/>
        <v>COLONIAL</v>
      </c>
      <c r="H1808">
        <v>14.49</v>
      </c>
      <c r="I1808" t="str">
        <f t="shared" si="26"/>
        <v>COLONIAL</v>
      </c>
    </row>
    <row r="1809" spans="1:9" x14ac:dyDescent="0.25">
      <c r="A1809" t="str">
        <f>""</f>
        <v/>
      </c>
      <c r="F1809" t="str">
        <f>"CLC201804049962"</f>
        <v>CLC201804049962</v>
      </c>
      <c r="G1809" t="str">
        <f t="shared" si="25"/>
        <v>COLONIAL</v>
      </c>
      <c r="H1809">
        <v>50.32</v>
      </c>
      <c r="I1809" t="str">
        <f t="shared" si="26"/>
        <v>COLONIAL</v>
      </c>
    </row>
    <row r="1810" spans="1:9" x14ac:dyDescent="0.25">
      <c r="A1810" t="str">
        <f>""</f>
        <v/>
      </c>
      <c r="F1810" t="str">
        <f>"CLC201804180391"</f>
        <v>CLC201804180391</v>
      </c>
      <c r="G1810" t="str">
        <f t="shared" si="25"/>
        <v>COLONIAL</v>
      </c>
      <c r="H1810">
        <v>50.32</v>
      </c>
      <c r="I1810" t="str">
        <f t="shared" si="26"/>
        <v>COLONIAL</v>
      </c>
    </row>
    <row r="1811" spans="1:9" x14ac:dyDescent="0.25">
      <c r="A1811" t="str">
        <f>""</f>
        <v/>
      </c>
      <c r="F1811" t="str">
        <f>"CLI201804049962"</f>
        <v>CLI201804049962</v>
      </c>
      <c r="G1811" t="str">
        <f t="shared" si="25"/>
        <v>COLONIAL</v>
      </c>
      <c r="H1811">
        <v>639.01</v>
      </c>
      <c r="I1811" t="str">
        <f t="shared" si="26"/>
        <v>COLONIAL</v>
      </c>
    </row>
    <row r="1812" spans="1:9" x14ac:dyDescent="0.25">
      <c r="A1812" t="str">
        <f>""</f>
        <v/>
      </c>
      <c r="F1812" t="str">
        <f>"CLI201804049989"</f>
        <v>CLI201804049989</v>
      </c>
      <c r="G1812" t="str">
        <f t="shared" si="25"/>
        <v>COLONIAL</v>
      </c>
      <c r="H1812">
        <v>17.53</v>
      </c>
      <c r="I1812" t="str">
        <f t="shared" si="26"/>
        <v>COLONIAL</v>
      </c>
    </row>
    <row r="1813" spans="1:9" x14ac:dyDescent="0.25">
      <c r="A1813" t="str">
        <f>""</f>
        <v/>
      </c>
      <c r="F1813" t="str">
        <f>"CLI201804180391"</f>
        <v>CLI201804180391</v>
      </c>
      <c r="G1813" t="str">
        <f t="shared" si="25"/>
        <v>COLONIAL</v>
      </c>
      <c r="H1813">
        <v>639.01</v>
      </c>
      <c r="I1813" t="str">
        <f t="shared" si="26"/>
        <v>COLONIAL</v>
      </c>
    </row>
    <row r="1814" spans="1:9" x14ac:dyDescent="0.25">
      <c r="A1814" t="str">
        <f>""</f>
        <v/>
      </c>
      <c r="F1814" t="str">
        <f>"CLI201804180392"</f>
        <v>CLI201804180392</v>
      </c>
      <c r="G1814" t="str">
        <f t="shared" si="25"/>
        <v>COLONIAL</v>
      </c>
      <c r="H1814">
        <v>17.53</v>
      </c>
      <c r="I1814" t="str">
        <f t="shared" si="26"/>
        <v>COLONIAL</v>
      </c>
    </row>
    <row r="1815" spans="1:9" x14ac:dyDescent="0.25">
      <c r="A1815" t="str">
        <f>""</f>
        <v/>
      </c>
      <c r="F1815" t="str">
        <f>"CLK201804049962"</f>
        <v>CLK201804049962</v>
      </c>
      <c r="G1815" t="str">
        <f t="shared" si="25"/>
        <v>COLONIAL</v>
      </c>
      <c r="H1815">
        <v>27.09</v>
      </c>
      <c r="I1815" t="str">
        <f t="shared" si="26"/>
        <v>COLONIAL</v>
      </c>
    </row>
    <row r="1816" spans="1:9" x14ac:dyDescent="0.25">
      <c r="A1816" t="str">
        <f>""</f>
        <v/>
      </c>
      <c r="F1816" t="str">
        <f>"CLK201804180391"</f>
        <v>CLK201804180391</v>
      </c>
      <c r="G1816" t="str">
        <f t="shared" si="25"/>
        <v>COLONIAL</v>
      </c>
      <c r="H1816">
        <v>27.09</v>
      </c>
      <c r="I1816" t="str">
        <f t="shared" si="26"/>
        <v>COLONIAL</v>
      </c>
    </row>
    <row r="1817" spans="1:9" x14ac:dyDescent="0.25">
      <c r="A1817" t="str">
        <f>""</f>
        <v/>
      </c>
      <c r="F1817" t="str">
        <f>"CLS201804049962"</f>
        <v>CLS201804049962</v>
      </c>
      <c r="G1817" t="str">
        <f t="shared" si="25"/>
        <v>COLONIAL</v>
      </c>
      <c r="H1817">
        <v>431.06</v>
      </c>
      <c r="I1817" t="str">
        <f t="shared" si="26"/>
        <v>COLONIAL</v>
      </c>
    </row>
    <row r="1818" spans="1:9" x14ac:dyDescent="0.25">
      <c r="A1818" t="str">
        <f>""</f>
        <v/>
      </c>
      <c r="F1818" t="str">
        <f>"CLS201804049989"</f>
        <v>CLS201804049989</v>
      </c>
      <c r="G1818" t="str">
        <f t="shared" si="25"/>
        <v>COLONIAL</v>
      </c>
      <c r="H1818">
        <v>12.84</v>
      </c>
      <c r="I1818" t="str">
        <f t="shared" si="26"/>
        <v>COLONIAL</v>
      </c>
    </row>
    <row r="1819" spans="1:9" x14ac:dyDescent="0.25">
      <c r="A1819" t="str">
        <f>""</f>
        <v/>
      </c>
      <c r="F1819" t="str">
        <f>"CLS201804180391"</f>
        <v>CLS201804180391</v>
      </c>
      <c r="G1819" t="str">
        <f t="shared" si="25"/>
        <v>COLONIAL</v>
      </c>
      <c r="H1819">
        <v>431.06</v>
      </c>
      <c r="I1819" t="str">
        <f t="shared" si="26"/>
        <v>COLONIAL</v>
      </c>
    </row>
    <row r="1820" spans="1:9" x14ac:dyDescent="0.25">
      <c r="A1820" t="str">
        <f>""</f>
        <v/>
      </c>
      <c r="F1820" t="str">
        <f>"CLS201804180392"</f>
        <v>CLS201804180392</v>
      </c>
      <c r="G1820" t="str">
        <f t="shared" si="25"/>
        <v>COLONIAL</v>
      </c>
      <c r="H1820">
        <v>12.84</v>
      </c>
      <c r="I1820" t="str">
        <f t="shared" si="26"/>
        <v>COLONIAL</v>
      </c>
    </row>
    <row r="1821" spans="1:9" x14ac:dyDescent="0.25">
      <c r="A1821" t="str">
        <f>""</f>
        <v/>
      </c>
      <c r="F1821" t="str">
        <f>"CLT201804049962"</f>
        <v>CLT201804049962</v>
      </c>
      <c r="G1821" t="str">
        <f t="shared" si="25"/>
        <v>COLONIAL</v>
      </c>
      <c r="H1821">
        <v>356.24</v>
      </c>
      <c r="I1821" t="str">
        <f t="shared" si="26"/>
        <v>COLONIAL</v>
      </c>
    </row>
    <row r="1822" spans="1:9" x14ac:dyDescent="0.25">
      <c r="A1822" t="str">
        <f>""</f>
        <v/>
      </c>
      <c r="F1822" t="str">
        <f>"CLT201804180391"</f>
        <v>CLT201804180391</v>
      </c>
      <c r="G1822" t="str">
        <f t="shared" si="25"/>
        <v>COLONIAL</v>
      </c>
      <c r="H1822">
        <v>356.24</v>
      </c>
      <c r="I1822" t="str">
        <f t="shared" si="26"/>
        <v>COLONIAL</v>
      </c>
    </row>
    <row r="1823" spans="1:9" x14ac:dyDescent="0.25">
      <c r="A1823" t="str">
        <f>""</f>
        <v/>
      </c>
      <c r="F1823" t="str">
        <f>"CLU201804049962"</f>
        <v>CLU201804049962</v>
      </c>
      <c r="G1823" t="str">
        <f t="shared" si="25"/>
        <v>COLONIAL</v>
      </c>
      <c r="H1823">
        <v>174.94</v>
      </c>
      <c r="I1823" t="str">
        <f t="shared" si="26"/>
        <v>COLONIAL</v>
      </c>
    </row>
    <row r="1824" spans="1:9" x14ac:dyDescent="0.25">
      <c r="A1824" t="str">
        <f>""</f>
        <v/>
      </c>
      <c r="F1824" t="str">
        <f>"CLU201804180391"</f>
        <v>CLU201804180391</v>
      </c>
      <c r="G1824" t="str">
        <f t="shared" si="25"/>
        <v>COLONIAL</v>
      </c>
      <c r="H1824">
        <v>174.94</v>
      </c>
      <c r="I1824" t="str">
        <f t="shared" si="26"/>
        <v>COLONIAL</v>
      </c>
    </row>
    <row r="1825" spans="1:9" x14ac:dyDescent="0.25">
      <c r="A1825" t="str">
        <f>""</f>
        <v/>
      </c>
      <c r="F1825" t="str">
        <f>"CLW201804049962"</f>
        <v>CLW201804049962</v>
      </c>
      <c r="G1825" t="str">
        <f t="shared" si="25"/>
        <v>COLONIAL</v>
      </c>
      <c r="H1825">
        <v>58.06</v>
      </c>
      <c r="I1825" t="str">
        <f t="shared" si="26"/>
        <v>COLONIAL</v>
      </c>
    </row>
    <row r="1826" spans="1:9" x14ac:dyDescent="0.25">
      <c r="A1826" t="str">
        <f>""</f>
        <v/>
      </c>
      <c r="F1826" t="str">
        <f>"CLW201804180391"</f>
        <v>CLW201804180391</v>
      </c>
      <c r="G1826" t="str">
        <f t="shared" si="25"/>
        <v>COLONIAL</v>
      </c>
      <c r="H1826">
        <v>58.06</v>
      </c>
      <c r="I1826" t="str">
        <f t="shared" si="26"/>
        <v>COLONIAL</v>
      </c>
    </row>
    <row r="1827" spans="1:9" x14ac:dyDescent="0.25">
      <c r="A1827" t="str">
        <f>"T14390"</f>
        <v>T14390</v>
      </c>
      <c r="B1827" t="s">
        <v>497</v>
      </c>
      <c r="C1827">
        <v>0</v>
      </c>
      <c r="D1827" s="2">
        <v>7505.83</v>
      </c>
      <c r="E1827" s="1">
        <v>43196</v>
      </c>
      <c r="F1827" t="str">
        <f>"CPI201804049962"</f>
        <v>CPI201804049962</v>
      </c>
      <c r="G1827" t="str">
        <f>"DEFERRED COMP 457B PAYABLE"</f>
        <v>DEFERRED COMP 457B PAYABLE</v>
      </c>
      <c r="H1827">
        <v>7398.33</v>
      </c>
      <c r="I1827" t="str">
        <f>"DEFERRED COMP 457B PAYABLE"</f>
        <v>DEFERRED COMP 457B PAYABLE</v>
      </c>
    </row>
    <row r="1828" spans="1:9" x14ac:dyDescent="0.25">
      <c r="A1828" t="str">
        <f>""</f>
        <v/>
      </c>
      <c r="F1828" t="str">
        <f>"CPI201804049989"</f>
        <v>CPI201804049989</v>
      </c>
      <c r="G1828" t="str">
        <f>"DEFERRED COMP 457B PAYABLE"</f>
        <v>DEFERRED COMP 457B PAYABLE</v>
      </c>
      <c r="H1828">
        <v>107.5</v>
      </c>
      <c r="I1828" t="str">
        <f>"DEFERRED COMP 457B PAYABLE"</f>
        <v>DEFERRED COMP 457B PAYABLE</v>
      </c>
    </row>
    <row r="1829" spans="1:9" x14ac:dyDescent="0.25">
      <c r="A1829" t="str">
        <f>"T14390"</f>
        <v>T14390</v>
      </c>
      <c r="B1829" t="s">
        <v>497</v>
      </c>
      <c r="C1829">
        <v>0</v>
      </c>
      <c r="D1829" s="2">
        <v>7503.64</v>
      </c>
      <c r="E1829" s="1">
        <v>43210</v>
      </c>
      <c r="F1829" t="str">
        <f>"CPI201804180391"</f>
        <v>CPI201804180391</v>
      </c>
      <c r="G1829" t="str">
        <f>"DEFERRED COMP 457B PAYABLE"</f>
        <v>DEFERRED COMP 457B PAYABLE</v>
      </c>
      <c r="H1829">
        <v>7396.14</v>
      </c>
      <c r="I1829" t="str">
        <f>"DEFERRED COMP 457B PAYABLE"</f>
        <v>DEFERRED COMP 457B PAYABLE</v>
      </c>
    </row>
    <row r="1830" spans="1:9" x14ac:dyDescent="0.25">
      <c r="A1830" t="str">
        <f>""</f>
        <v/>
      </c>
      <c r="F1830" t="str">
        <f>"CPI201804180392"</f>
        <v>CPI201804180392</v>
      </c>
      <c r="G1830" t="str">
        <f>"DEFERRED COMP 457B PAYABLE"</f>
        <v>DEFERRED COMP 457B PAYABLE</v>
      </c>
      <c r="H1830">
        <v>107.5</v>
      </c>
      <c r="I1830" t="str">
        <f>"DEFERRED COMP 457B PAYABLE"</f>
        <v>DEFERRED COMP 457B PAYABLE</v>
      </c>
    </row>
    <row r="1831" spans="1:9" x14ac:dyDescent="0.25">
      <c r="A1831" t="str">
        <f>"T10761"</f>
        <v>T10761</v>
      </c>
      <c r="B1831" t="s">
        <v>498</v>
      </c>
      <c r="C1831">
        <v>46261</v>
      </c>
      <c r="D1831" s="2">
        <v>1368.7</v>
      </c>
      <c r="E1831" s="1">
        <v>43196</v>
      </c>
      <c r="F1831" t="str">
        <f>"B13201804049962"</f>
        <v>B13201804049962</v>
      </c>
      <c r="G1831" t="str">
        <f>"Rosa Warren 15-10357-TMD"</f>
        <v>Rosa Warren 15-10357-TMD</v>
      </c>
      <c r="H1831">
        <v>853.85</v>
      </c>
      <c r="I1831" t="str">
        <f>"Rosa Warren 15-10357-TMD"</f>
        <v>Rosa Warren 15-10357-TMD</v>
      </c>
    </row>
    <row r="1832" spans="1:9" x14ac:dyDescent="0.25">
      <c r="A1832" t="str">
        <f>""</f>
        <v/>
      </c>
      <c r="F1832" t="str">
        <f>"BJL201804049962"</f>
        <v>BJL201804049962</v>
      </c>
      <c r="G1832" t="str">
        <f>"Julian Luna 14-10230-TMD"</f>
        <v>Julian Luna 14-10230-TMD</v>
      </c>
      <c r="H1832">
        <v>514.85</v>
      </c>
      <c r="I1832" t="str">
        <f>"Julian Luna 14-10230-TMD"</f>
        <v>Julian Luna 14-10230-TMD</v>
      </c>
    </row>
    <row r="1833" spans="1:9" x14ac:dyDescent="0.25">
      <c r="A1833" t="str">
        <f>"T10761"</f>
        <v>T10761</v>
      </c>
      <c r="B1833" t="s">
        <v>498</v>
      </c>
      <c r="C1833">
        <v>46283</v>
      </c>
      <c r="D1833" s="2">
        <v>1368.7</v>
      </c>
      <c r="E1833" s="1">
        <v>43210</v>
      </c>
      <c r="F1833" t="str">
        <f>"B13201804180391"</f>
        <v>B13201804180391</v>
      </c>
      <c r="G1833" t="str">
        <f>"Rosa Warren 15-10357-TMD"</f>
        <v>Rosa Warren 15-10357-TMD</v>
      </c>
      <c r="H1833">
        <v>853.85</v>
      </c>
      <c r="I1833" t="str">
        <f>"Rosa Warren 15-10357-TMD"</f>
        <v>Rosa Warren 15-10357-TMD</v>
      </c>
    </row>
    <row r="1834" spans="1:9" x14ac:dyDescent="0.25">
      <c r="A1834" t="str">
        <f>""</f>
        <v/>
      </c>
      <c r="F1834" t="str">
        <f>"BJL201804180391"</f>
        <v>BJL201804180391</v>
      </c>
      <c r="G1834" t="str">
        <f>"Julian Luna 14-10230-TMD"</f>
        <v>Julian Luna 14-10230-TMD</v>
      </c>
      <c r="H1834">
        <v>514.85</v>
      </c>
      <c r="I1834" t="str">
        <f>"Julian Luna 14-10230-TMD"</f>
        <v>Julian Luna 14-10230-TMD</v>
      </c>
    </row>
    <row r="1835" spans="1:9" x14ac:dyDescent="0.25">
      <c r="A1835" t="str">
        <f>"GUARD"</f>
        <v>GUARD</v>
      </c>
      <c r="B1835" t="s">
        <v>499</v>
      </c>
      <c r="C1835">
        <v>0</v>
      </c>
      <c r="D1835" s="2">
        <v>37425.300000000003</v>
      </c>
      <c r="E1835" s="1">
        <v>43214</v>
      </c>
      <c r="F1835" t="str">
        <f>"201804230409"</f>
        <v>201804230409</v>
      </c>
      <c r="G1835" t="str">
        <f>"GUARDIAN DENTAL APRIL 2018"</f>
        <v>GUARDIAN DENTAL APRIL 2018</v>
      </c>
      <c r="H1835">
        <v>-5.95</v>
      </c>
      <c r="I1835" t="str">
        <f>"GUARDIAN DENTAL APRIL 2018"</f>
        <v>GUARDIAN DENTAL APRIL 2018</v>
      </c>
    </row>
    <row r="1836" spans="1:9" x14ac:dyDescent="0.25">
      <c r="A1836" t="str">
        <f>""</f>
        <v/>
      </c>
      <c r="F1836" t="str">
        <f>"201804230411"</f>
        <v>201804230411</v>
      </c>
      <c r="G1836" t="str">
        <f>"GUARDIAN LIFE INS ROUNDING"</f>
        <v>GUARDIAN LIFE INS ROUNDING</v>
      </c>
      <c r="H1836">
        <v>-0.33</v>
      </c>
      <c r="I1836" t="str">
        <f>"GUARDIAN"</f>
        <v>GUARDIAN</v>
      </c>
    </row>
    <row r="1837" spans="1:9" x14ac:dyDescent="0.25">
      <c r="A1837" t="str">
        <f>""</f>
        <v/>
      </c>
      <c r="F1837" t="str">
        <f>"201804230412"</f>
        <v>201804230412</v>
      </c>
      <c r="G1837" t="str">
        <f>"GUARDIAN LTD ROUNDING"</f>
        <v>GUARDIAN LTD ROUNDING</v>
      </c>
      <c r="H1837">
        <v>-0.09</v>
      </c>
      <c r="I1837" t="str">
        <f>"GUARDIAN LTD ROUNDING"</f>
        <v>GUARDIAN LTD ROUNDING</v>
      </c>
    </row>
    <row r="1838" spans="1:9" x14ac:dyDescent="0.25">
      <c r="A1838" t="str">
        <f>""</f>
        <v/>
      </c>
      <c r="F1838" t="str">
        <f>"201804230408"</f>
        <v>201804230408</v>
      </c>
      <c r="G1838" t="str">
        <f>"GUARDIAN COBRA APRIL 2018"</f>
        <v>GUARDIAN COBRA APRIL 2018</v>
      </c>
      <c r="H1838">
        <v>2960.85</v>
      </c>
      <c r="I1838" t="str">
        <f>"GUARDIAN COBRA APRIL 2018"</f>
        <v>GUARDIAN COBRA APRIL 2018</v>
      </c>
    </row>
    <row r="1839" spans="1:9" x14ac:dyDescent="0.25">
      <c r="A1839" t="str">
        <f>""</f>
        <v/>
      </c>
      <c r="F1839" t="str">
        <f>"201804230410"</f>
        <v>201804230410</v>
      </c>
      <c r="G1839" t="str">
        <f>"GUARDIAN RETIREE LIFE APRIL 18"</f>
        <v>GUARDIAN RETIREE LIFE APRIL 18</v>
      </c>
      <c r="H1839">
        <v>136.18</v>
      </c>
      <c r="I1839" t="str">
        <f>"GUARDIAN RETIREE LIFE APRIL 18"</f>
        <v>GUARDIAN RETIREE LIFE APRIL 18</v>
      </c>
    </row>
    <row r="1840" spans="1:9" x14ac:dyDescent="0.25">
      <c r="A1840" t="str">
        <f>""</f>
        <v/>
      </c>
      <c r="F1840" t="str">
        <f>"ADC201804049962"</f>
        <v>ADC201804049962</v>
      </c>
      <c r="G1840" t="str">
        <f t="shared" ref="G1840:G1852" si="27">"GUARDIAN"</f>
        <v>GUARDIAN</v>
      </c>
      <c r="H1840">
        <v>4.99</v>
      </c>
      <c r="I1840" t="str">
        <f t="shared" ref="I1840:I1903" si="28">"GUARDIAN"</f>
        <v>GUARDIAN</v>
      </c>
    </row>
    <row r="1841" spans="1:9" x14ac:dyDescent="0.25">
      <c r="A1841" t="str">
        <f>""</f>
        <v/>
      </c>
      <c r="F1841" t="str">
        <f>"ADC201804049989"</f>
        <v>ADC201804049989</v>
      </c>
      <c r="G1841" t="str">
        <f t="shared" si="27"/>
        <v>GUARDIAN</v>
      </c>
      <c r="H1841">
        <v>0.16</v>
      </c>
      <c r="I1841" t="str">
        <f t="shared" si="28"/>
        <v>GUARDIAN</v>
      </c>
    </row>
    <row r="1842" spans="1:9" x14ac:dyDescent="0.25">
      <c r="A1842" t="str">
        <f>""</f>
        <v/>
      </c>
      <c r="F1842" t="str">
        <f>"ADC201804180391"</f>
        <v>ADC201804180391</v>
      </c>
      <c r="G1842" t="str">
        <f t="shared" si="27"/>
        <v>GUARDIAN</v>
      </c>
      <c r="H1842">
        <v>4.99</v>
      </c>
      <c r="I1842" t="str">
        <f t="shared" si="28"/>
        <v>GUARDIAN</v>
      </c>
    </row>
    <row r="1843" spans="1:9" x14ac:dyDescent="0.25">
      <c r="A1843" t="str">
        <f>""</f>
        <v/>
      </c>
      <c r="F1843" t="str">
        <f>"ADC201804180392"</f>
        <v>ADC201804180392</v>
      </c>
      <c r="G1843" t="str">
        <f t="shared" si="27"/>
        <v>GUARDIAN</v>
      </c>
      <c r="H1843">
        <v>0.16</v>
      </c>
      <c r="I1843" t="str">
        <f t="shared" si="28"/>
        <v>GUARDIAN</v>
      </c>
    </row>
    <row r="1844" spans="1:9" x14ac:dyDescent="0.25">
      <c r="A1844" t="str">
        <f>""</f>
        <v/>
      </c>
      <c r="F1844" t="str">
        <f>"ADE201804049962"</f>
        <v>ADE201804049962</v>
      </c>
      <c r="G1844" t="str">
        <f t="shared" si="27"/>
        <v>GUARDIAN</v>
      </c>
      <c r="H1844">
        <v>200.6</v>
      </c>
      <c r="I1844" t="str">
        <f t="shared" si="28"/>
        <v>GUARDIAN</v>
      </c>
    </row>
    <row r="1845" spans="1:9" x14ac:dyDescent="0.25">
      <c r="A1845" t="str">
        <f>""</f>
        <v/>
      </c>
      <c r="F1845" t="str">
        <f>"ADE201804049989"</f>
        <v>ADE201804049989</v>
      </c>
      <c r="G1845" t="str">
        <f t="shared" si="27"/>
        <v>GUARDIAN</v>
      </c>
      <c r="H1845">
        <v>7.8</v>
      </c>
      <c r="I1845" t="str">
        <f t="shared" si="28"/>
        <v>GUARDIAN</v>
      </c>
    </row>
    <row r="1846" spans="1:9" x14ac:dyDescent="0.25">
      <c r="A1846" t="str">
        <f>""</f>
        <v/>
      </c>
      <c r="F1846" t="str">
        <f>"ADE201804180391"</f>
        <v>ADE201804180391</v>
      </c>
      <c r="G1846" t="str">
        <f t="shared" si="27"/>
        <v>GUARDIAN</v>
      </c>
      <c r="H1846">
        <v>200.6</v>
      </c>
      <c r="I1846" t="str">
        <f t="shared" si="28"/>
        <v>GUARDIAN</v>
      </c>
    </row>
    <row r="1847" spans="1:9" x14ac:dyDescent="0.25">
      <c r="A1847" t="str">
        <f>""</f>
        <v/>
      </c>
      <c r="F1847" t="str">
        <f>"ADE201804180392"</f>
        <v>ADE201804180392</v>
      </c>
      <c r="G1847" t="str">
        <f t="shared" si="27"/>
        <v>GUARDIAN</v>
      </c>
      <c r="H1847">
        <v>7.8</v>
      </c>
      <c r="I1847" t="str">
        <f t="shared" si="28"/>
        <v>GUARDIAN</v>
      </c>
    </row>
    <row r="1848" spans="1:9" x14ac:dyDescent="0.25">
      <c r="A1848" t="str">
        <f>""</f>
        <v/>
      </c>
      <c r="F1848" t="str">
        <f>"ADS201804049962"</f>
        <v>ADS201804049962</v>
      </c>
      <c r="G1848" t="str">
        <f t="shared" si="27"/>
        <v>GUARDIAN</v>
      </c>
      <c r="H1848">
        <v>30.35</v>
      </c>
      <c r="I1848" t="str">
        <f t="shared" si="28"/>
        <v>GUARDIAN</v>
      </c>
    </row>
    <row r="1849" spans="1:9" x14ac:dyDescent="0.25">
      <c r="A1849" t="str">
        <f>""</f>
        <v/>
      </c>
      <c r="F1849" t="str">
        <f>"ADS201804049989"</f>
        <v>ADS201804049989</v>
      </c>
      <c r="G1849" t="str">
        <f t="shared" si="27"/>
        <v>GUARDIAN</v>
      </c>
      <c r="H1849">
        <v>0.98</v>
      </c>
      <c r="I1849" t="str">
        <f t="shared" si="28"/>
        <v>GUARDIAN</v>
      </c>
    </row>
    <row r="1850" spans="1:9" x14ac:dyDescent="0.25">
      <c r="A1850" t="str">
        <f>""</f>
        <v/>
      </c>
      <c r="F1850" t="str">
        <f>"ADS201804180391"</f>
        <v>ADS201804180391</v>
      </c>
      <c r="G1850" t="str">
        <f t="shared" si="27"/>
        <v>GUARDIAN</v>
      </c>
      <c r="H1850">
        <v>30.35</v>
      </c>
      <c r="I1850" t="str">
        <f t="shared" si="28"/>
        <v>GUARDIAN</v>
      </c>
    </row>
    <row r="1851" spans="1:9" x14ac:dyDescent="0.25">
      <c r="A1851" t="str">
        <f>""</f>
        <v/>
      </c>
      <c r="F1851" t="str">
        <f>"ADS201804180392"</f>
        <v>ADS201804180392</v>
      </c>
      <c r="G1851" t="str">
        <f t="shared" si="27"/>
        <v>GUARDIAN</v>
      </c>
      <c r="H1851">
        <v>0.98</v>
      </c>
      <c r="I1851" t="str">
        <f t="shared" si="28"/>
        <v>GUARDIAN</v>
      </c>
    </row>
    <row r="1852" spans="1:9" x14ac:dyDescent="0.25">
      <c r="A1852" t="str">
        <f>""</f>
        <v/>
      </c>
      <c r="F1852" t="str">
        <f>"GDC201804049962"</f>
        <v>GDC201804049962</v>
      </c>
      <c r="G1852" t="str">
        <f t="shared" si="27"/>
        <v>GUARDIAN</v>
      </c>
      <c r="H1852">
        <v>2579.35</v>
      </c>
      <c r="I1852" t="str">
        <f t="shared" si="28"/>
        <v>GUARDIAN</v>
      </c>
    </row>
    <row r="1853" spans="1:9" x14ac:dyDescent="0.25">
      <c r="A1853" t="str">
        <f>""</f>
        <v/>
      </c>
      <c r="F1853" t="str">
        <f>""</f>
        <v/>
      </c>
      <c r="G1853" t="str">
        <f>""</f>
        <v/>
      </c>
      <c r="I1853" t="str">
        <f t="shared" si="28"/>
        <v>GUARDIAN</v>
      </c>
    </row>
    <row r="1854" spans="1:9" x14ac:dyDescent="0.25">
      <c r="A1854" t="str">
        <f>""</f>
        <v/>
      </c>
      <c r="F1854" t="str">
        <f>""</f>
        <v/>
      </c>
      <c r="G1854" t="str">
        <f>""</f>
        <v/>
      </c>
      <c r="I1854" t="str">
        <f t="shared" si="28"/>
        <v>GUARDIAN</v>
      </c>
    </row>
    <row r="1855" spans="1:9" x14ac:dyDescent="0.25">
      <c r="A1855" t="str">
        <f>""</f>
        <v/>
      </c>
      <c r="F1855" t="str">
        <f>""</f>
        <v/>
      </c>
      <c r="G1855" t="str">
        <f>""</f>
        <v/>
      </c>
      <c r="I1855" t="str">
        <f t="shared" si="28"/>
        <v>GUARDIAN</v>
      </c>
    </row>
    <row r="1856" spans="1:9" x14ac:dyDescent="0.25">
      <c r="A1856" t="str">
        <f>""</f>
        <v/>
      </c>
      <c r="F1856" t="str">
        <f>""</f>
        <v/>
      </c>
      <c r="G1856" t="str">
        <f>""</f>
        <v/>
      </c>
      <c r="I1856" t="str">
        <f t="shared" si="28"/>
        <v>GUARDIAN</v>
      </c>
    </row>
    <row r="1857" spans="1:9" x14ac:dyDescent="0.25">
      <c r="A1857" t="str">
        <f>""</f>
        <v/>
      </c>
      <c r="F1857" t="str">
        <f>""</f>
        <v/>
      </c>
      <c r="G1857" t="str">
        <f>""</f>
        <v/>
      </c>
      <c r="I1857" t="str">
        <f t="shared" si="28"/>
        <v>GUARDIAN</v>
      </c>
    </row>
    <row r="1858" spans="1:9" x14ac:dyDescent="0.25">
      <c r="A1858" t="str">
        <f>""</f>
        <v/>
      </c>
      <c r="F1858" t="str">
        <f>""</f>
        <v/>
      </c>
      <c r="G1858" t="str">
        <f>""</f>
        <v/>
      </c>
      <c r="I1858" t="str">
        <f t="shared" si="28"/>
        <v>GUARDIAN</v>
      </c>
    </row>
    <row r="1859" spans="1:9" x14ac:dyDescent="0.25">
      <c r="A1859" t="str">
        <f>""</f>
        <v/>
      </c>
      <c r="F1859" t="str">
        <f>""</f>
        <v/>
      </c>
      <c r="G1859" t="str">
        <f>""</f>
        <v/>
      </c>
      <c r="I1859" t="str">
        <f t="shared" si="28"/>
        <v>GUARDIAN</v>
      </c>
    </row>
    <row r="1860" spans="1:9" x14ac:dyDescent="0.25">
      <c r="A1860" t="str">
        <f>""</f>
        <v/>
      </c>
      <c r="F1860" t="str">
        <f>""</f>
        <v/>
      </c>
      <c r="G1860" t="str">
        <f>""</f>
        <v/>
      </c>
      <c r="I1860" t="str">
        <f t="shared" si="28"/>
        <v>GUARDIAN</v>
      </c>
    </row>
    <row r="1861" spans="1:9" x14ac:dyDescent="0.25">
      <c r="A1861" t="str">
        <f>""</f>
        <v/>
      </c>
      <c r="F1861" t="str">
        <f>""</f>
        <v/>
      </c>
      <c r="G1861" t="str">
        <f>""</f>
        <v/>
      </c>
      <c r="I1861" t="str">
        <f t="shared" si="28"/>
        <v>GUARDIAN</v>
      </c>
    </row>
    <row r="1862" spans="1:9" x14ac:dyDescent="0.25">
      <c r="A1862" t="str">
        <f>""</f>
        <v/>
      </c>
      <c r="F1862" t="str">
        <f>""</f>
        <v/>
      </c>
      <c r="G1862" t="str">
        <f>""</f>
        <v/>
      </c>
      <c r="I1862" t="str">
        <f t="shared" si="28"/>
        <v>GUARDIAN</v>
      </c>
    </row>
    <row r="1863" spans="1:9" x14ac:dyDescent="0.25">
      <c r="A1863" t="str">
        <f>""</f>
        <v/>
      </c>
      <c r="F1863" t="str">
        <f>""</f>
        <v/>
      </c>
      <c r="G1863" t="str">
        <f>""</f>
        <v/>
      </c>
      <c r="I1863" t="str">
        <f t="shared" si="28"/>
        <v>GUARDIAN</v>
      </c>
    </row>
    <row r="1864" spans="1:9" x14ac:dyDescent="0.25">
      <c r="A1864" t="str">
        <f>""</f>
        <v/>
      </c>
      <c r="F1864" t="str">
        <f>""</f>
        <v/>
      </c>
      <c r="G1864" t="str">
        <f>""</f>
        <v/>
      </c>
      <c r="I1864" t="str">
        <f t="shared" si="28"/>
        <v>GUARDIAN</v>
      </c>
    </row>
    <row r="1865" spans="1:9" x14ac:dyDescent="0.25">
      <c r="A1865" t="str">
        <f>""</f>
        <v/>
      </c>
      <c r="F1865" t="str">
        <f>""</f>
        <v/>
      </c>
      <c r="G1865" t="str">
        <f>""</f>
        <v/>
      </c>
      <c r="I1865" t="str">
        <f t="shared" si="28"/>
        <v>GUARDIAN</v>
      </c>
    </row>
    <row r="1866" spans="1:9" x14ac:dyDescent="0.25">
      <c r="A1866" t="str">
        <f>""</f>
        <v/>
      </c>
      <c r="F1866" t="str">
        <f>""</f>
        <v/>
      </c>
      <c r="G1866" t="str">
        <f>""</f>
        <v/>
      </c>
      <c r="I1866" t="str">
        <f t="shared" si="28"/>
        <v>GUARDIAN</v>
      </c>
    </row>
    <row r="1867" spans="1:9" x14ac:dyDescent="0.25">
      <c r="A1867" t="str">
        <f>""</f>
        <v/>
      </c>
      <c r="F1867" t="str">
        <f>""</f>
        <v/>
      </c>
      <c r="G1867" t="str">
        <f>""</f>
        <v/>
      </c>
      <c r="I1867" t="str">
        <f t="shared" si="28"/>
        <v>GUARDIAN</v>
      </c>
    </row>
    <row r="1868" spans="1:9" x14ac:dyDescent="0.25">
      <c r="A1868" t="str">
        <f>""</f>
        <v/>
      </c>
      <c r="F1868" t="str">
        <f>""</f>
        <v/>
      </c>
      <c r="G1868" t="str">
        <f>""</f>
        <v/>
      </c>
      <c r="I1868" t="str">
        <f t="shared" si="28"/>
        <v>GUARDIAN</v>
      </c>
    </row>
    <row r="1869" spans="1:9" x14ac:dyDescent="0.25">
      <c r="A1869" t="str">
        <f>""</f>
        <v/>
      </c>
      <c r="F1869" t="str">
        <f>""</f>
        <v/>
      </c>
      <c r="G1869" t="str">
        <f>""</f>
        <v/>
      </c>
      <c r="I1869" t="str">
        <f t="shared" si="28"/>
        <v>GUARDIAN</v>
      </c>
    </row>
    <row r="1870" spans="1:9" x14ac:dyDescent="0.25">
      <c r="A1870" t="str">
        <f>""</f>
        <v/>
      </c>
      <c r="F1870" t="str">
        <f>""</f>
        <v/>
      </c>
      <c r="G1870" t="str">
        <f>""</f>
        <v/>
      </c>
      <c r="I1870" t="str">
        <f t="shared" si="28"/>
        <v>GUARDIAN</v>
      </c>
    </row>
    <row r="1871" spans="1:9" x14ac:dyDescent="0.25">
      <c r="A1871" t="str">
        <f>""</f>
        <v/>
      </c>
      <c r="F1871" t="str">
        <f>""</f>
        <v/>
      </c>
      <c r="G1871" t="str">
        <f>""</f>
        <v/>
      </c>
      <c r="I1871" t="str">
        <f t="shared" si="28"/>
        <v>GUARDIAN</v>
      </c>
    </row>
    <row r="1872" spans="1:9" x14ac:dyDescent="0.25">
      <c r="A1872" t="str">
        <f>""</f>
        <v/>
      </c>
      <c r="F1872" t="str">
        <f>""</f>
        <v/>
      </c>
      <c r="G1872" t="str">
        <f>""</f>
        <v/>
      </c>
      <c r="I1872" t="str">
        <f t="shared" si="28"/>
        <v>GUARDIAN</v>
      </c>
    </row>
    <row r="1873" spans="1:9" x14ac:dyDescent="0.25">
      <c r="A1873" t="str">
        <f>""</f>
        <v/>
      </c>
      <c r="F1873" t="str">
        <f>""</f>
        <v/>
      </c>
      <c r="G1873" t="str">
        <f>""</f>
        <v/>
      </c>
      <c r="I1873" t="str">
        <f t="shared" si="28"/>
        <v>GUARDIAN</v>
      </c>
    </row>
    <row r="1874" spans="1:9" x14ac:dyDescent="0.25">
      <c r="A1874" t="str">
        <f>""</f>
        <v/>
      </c>
      <c r="F1874" t="str">
        <f>""</f>
        <v/>
      </c>
      <c r="G1874" t="str">
        <f>""</f>
        <v/>
      </c>
      <c r="I1874" t="str">
        <f t="shared" si="28"/>
        <v>GUARDIAN</v>
      </c>
    </row>
    <row r="1875" spans="1:9" x14ac:dyDescent="0.25">
      <c r="A1875" t="str">
        <f>""</f>
        <v/>
      </c>
      <c r="F1875" t="str">
        <f>""</f>
        <v/>
      </c>
      <c r="G1875" t="str">
        <f>""</f>
        <v/>
      </c>
      <c r="I1875" t="str">
        <f t="shared" si="28"/>
        <v>GUARDIAN</v>
      </c>
    </row>
    <row r="1876" spans="1:9" x14ac:dyDescent="0.25">
      <c r="A1876" t="str">
        <f>""</f>
        <v/>
      </c>
      <c r="F1876" t="str">
        <f>""</f>
        <v/>
      </c>
      <c r="G1876" t="str">
        <f>""</f>
        <v/>
      </c>
      <c r="I1876" t="str">
        <f t="shared" si="28"/>
        <v>GUARDIAN</v>
      </c>
    </row>
    <row r="1877" spans="1:9" x14ac:dyDescent="0.25">
      <c r="A1877" t="str">
        <f>""</f>
        <v/>
      </c>
      <c r="F1877" t="str">
        <f>""</f>
        <v/>
      </c>
      <c r="G1877" t="str">
        <f>""</f>
        <v/>
      </c>
      <c r="I1877" t="str">
        <f t="shared" si="28"/>
        <v>GUARDIAN</v>
      </c>
    </row>
    <row r="1878" spans="1:9" x14ac:dyDescent="0.25">
      <c r="A1878" t="str">
        <f>""</f>
        <v/>
      </c>
      <c r="F1878" t="str">
        <f>""</f>
        <v/>
      </c>
      <c r="G1878" t="str">
        <f>""</f>
        <v/>
      </c>
      <c r="I1878" t="str">
        <f t="shared" si="28"/>
        <v>GUARDIAN</v>
      </c>
    </row>
    <row r="1879" spans="1:9" x14ac:dyDescent="0.25">
      <c r="A1879" t="str">
        <f>""</f>
        <v/>
      </c>
      <c r="F1879" t="str">
        <f>""</f>
        <v/>
      </c>
      <c r="G1879" t="str">
        <f>""</f>
        <v/>
      </c>
      <c r="I1879" t="str">
        <f t="shared" si="28"/>
        <v>GUARDIAN</v>
      </c>
    </row>
    <row r="1880" spans="1:9" x14ac:dyDescent="0.25">
      <c r="A1880" t="str">
        <f>""</f>
        <v/>
      </c>
      <c r="F1880" t="str">
        <f>""</f>
        <v/>
      </c>
      <c r="G1880" t="str">
        <f>""</f>
        <v/>
      </c>
      <c r="I1880" t="str">
        <f t="shared" si="28"/>
        <v>GUARDIAN</v>
      </c>
    </row>
    <row r="1881" spans="1:9" x14ac:dyDescent="0.25">
      <c r="A1881" t="str">
        <f>""</f>
        <v/>
      </c>
      <c r="F1881" t="str">
        <f>""</f>
        <v/>
      </c>
      <c r="G1881" t="str">
        <f>""</f>
        <v/>
      </c>
      <c r="I1881" t="str">
        <f t="shared" si="28"/>
        <v>GUARDIAN</v>
      </c>
    </row>
    <row r="1882" spans="1:9" x14ac:dyDescent="0.25">
      <c r="A1882" t="str">
        <f>""</f>
        <v/>
      </c>
      <c r="F1882" t="str">
        <f>""</f>
        <v/>
      </c>
      <c r="G1882" t="str">
        <f>""</f>
        <v/>
      </c>
      <c r="I1882" t="str">
        <f t="shared" si="28"/>
        <v>GUARDIAN</v>
      </c>
    </row>
    <row r="1883" spans="1:9" x14ac:dyDescent="0.25">
      <c r="A1883" t="str">
        <f>""</f>
        <v/>
      </c>
      <c r="F1883" t="str">
        <f>""</f>
        <v/>
      </c>
      <c r="G1883" t="str">
        <f>""</f>
        <v/>
      </c>
      <c r="I1883" t="str">
        <f t="shared" si="28"/>
        <v>GUARDIAN</v>
      </c>
    </row>
    <row r="1884" spans="1:9" x14ac:dyDescent="0.25">
      <c r="A1884" t="str">
        <f>""</f>
        <v/>
      </c>
      <c r="F1884" t="str">
        <f>"GDC201804049989"</f>
        <v>GDC201804049989</v>
      </c>
      <c r="G1884" t="str">
        <f>"GUARDIAN"</f>
        <v>GUARDIAN</v>
      </c>
      <c r="H1884">
        <v>97.95</v>
      </c>
      <c r="I1884" t="str">
        <f t="shared" si="28"/>
        <v>GUARDIAN</v>
      </c>
    </row>
    <row r="1885" spans="1:9" x14ac:dyDescent="0.25">
      <c r="A1885" t="str">
        <f>""</f>
        <v/>
      </c>
      <c r="F1885" t="str">
        <f>""</f>
        <v/>
      </c>
      <c r="G1885" t="str">
        <f>""</f>
        <v/>
      </c>
      <c r="I1885" t="str">
        <f t="shared" si="28"/>
        <v>GUARDIAN</v>
      </c>
    </row>
    <row r="1886" spans="1:9" x14ac:dyDescent="0.25">
      <c r="A1886" t="str">
        <f>""</f>
        <v/>
      </c>
      <c r="F1886" t="str">
        <f>"GDC201804180391"</f>
        <v>GDC201804180391</v>
      </c>
      <c r="G1886" t="str">
        <f>"GUARDIAN"</f>
        <v>GUARDIAN</v>
      </c>
      <c r="H1886">
        <v>2579.35</v>
      </c>
      <c r="I1886" t="str">
        <f t="shared" si="28"/>
        <v>GUARDIAN</v>
      </c>
    </row>
    <row r="1887" spans="1:9" x14ac:dyDescent="0.25">
      <c r="A1887" t="str">
        <f>""</f>
        <v/>
      </c>
      <c r="F1887" t="str">
        <f>""</f>
        <v/>
      </c>
      <c r="G1887" t="str">
        <f>""</f>
        <v/>
      </c>
      <c r="I1887" t="str">
        <f t="shared" si="28"/>
        <v>GUARDIAN</v>
      </c>
    </row>
    <row r="1888" spans="1:9" x14ac:dyDescent="0.25">
      <c r="A1888" t="str">
        <f>""</f>
        <v/>
      </c>
      <c r="F1888" t="str">
        <f>""</f>
        <v/>
      </c>
      <c r="G1888" t="str">
        <f>""</f>
        <v/>
      </c>
      <c r="I1888" t="str">
        <f t="shared" si="28"/>
        <v>GUARDIAN</v>
      </c>
    </row>
    <row r="1889" spans="1:9" x14ac:dyDescent="0.25">
      <c r="A1889" t="str">
        <f>""</f>
        <v/>
      </c>
      <c r="F1889" t="str">
        <f>""</f>
        <v/>
      </c>
      <c r="G1889" t="str">
        <f>""</f>
        <v/>
      </c>
      <c r="I1889" t="str">
        <f t="shared" si="28"/>
        <v>GUARDIAN</v>
      </c>
    </row>
    <row r="1890" spans="1:9" x14ac:dyDescent="0.25">
      <c r="A1890" t="str">
        <f>""</f>
        <v/>
      </c>
      <c r="F1890" t="str">
        <f>""</f>
        <v/>
      </c>
      <c r="G1890" t="str">
        <f>""</f>
        <v/>
      </c>
      <c r="I1890" t="str">
        <f t="shared" si="28"/>
        <v>GUARDIAN</v>
      </c>
    </row>
    <row r="1891" spans="1:9" x14ac:dyDescent="0.25">
      <c r="A1891" t="str">
        <f>""</f>
        <v/>
      </c>
      <c r="F1891" t="str">
        <f>""</f>
        <v/>
      </c>
      <c r="G1891" t="str">
        <f>""</f>
        <v/>
      </c>
      <c r="I1891" t="str">
        <f t="shared" si="28"/>
        <v>GUARDIAN</v>
      </c>
    </row>
    <row r="1892" spans="1:9" x14ac:dyDescent="0.25">
      <c r="A1892" t="str">
        <f>""</f>
        <v/>
      </c>
      <c r="F1892" t="str">
        <f>""</f>
        <v/>
      </c>
      <c r="G1892" t="str">
        <f>""</f>
        <v/>
      </c>
      <c r="I1892" t="str">
        <f t="shared" si="28"/>
        <v>GUARDIAN</v>
      </c>
    </row>
    <row r="1893" spans="1:9" x14ac:dyDescent="0.25">
      <c r="A1893" t="str">
        <f>""</f>
        <v/>
      </c>
      <c r="F1893" t="str">
        <f>""</f>
        <v/>
      </c>
      <c r="G1893" t="str">
        <f>""</f>
        <v/>
      </c>
      <c r="I1893" t="str">
        <f t="shared" si="28"/>
        <v>GUARDIAN</v>
      </c>
    </row>
    <row r="1894" spans="1:9" x14ac:dyDescent="0.25">
      <c r="A1894" t="str">
        <f>""</f>
        <v/>
      </c>
      <c r="F1894" t="str">
        <f>""</f>
        <v/>
      </c>
      <c r="G1894" t="str">
        <f>""</f>
        <v/>
      </c>
      <c r="I1894" t="str">
        <f t="shared" si="28"/>
        <v>GUARDIAN</v>
      </c>
    </row>
    <row r="1895" spans="1:9" x14ac:dyDescent="0.25">
      <c r="A1895" t="str">
        <f>""</f>
        <v/>
      </c>
      <c r="F1895" t="str">
        <f>""</f>
        <v/>
      </c>
      <c r="G1895" t="str">
        <f>""</f>
        <v/>
      </c>
      <c r="I1895" t="str">
        <f t="shared" si="28"/>
        <v>GUARDIAN</v>
      </c>
    </row>
    <row r="1896" spans="1:9" x14ac:dyDescent="0.25">
      <c r="A1896" t="str">
        <f>""</f>
        <v/>
      </c>
      <c r="F1896" t="str">
        <f>""</f>
        <v/>
      </c>
      <c r="G1896" t="str">
        <f>""</f>
        <v/>
      </c>
      <c r="I1896" t="str">
        <f t="shared" si="28"/>
        <v>GUARDIAN</v>
      </c>
    </row>
    <row r="1897" spans="1:9" x14ac:dyDescent="0.25">
      <c r="A1897" t="str">
        <f>""</f>
        <v/>
      </c>
      <c r="F1897" t="str">
        <f>""</f>
        <v/>
      </c>
      <c r="G1897" t="str">
        <f>""</f>
        <v/>
      </c>
      <c r="I1897" t="str">
        <f t="shared" si="28"/>
        <v>GUARDIAN</v>
      </c>
    </row>
    <row r="1898" spans="1:9" x14ac:dyDescent="0.25">
      <c r="A1898" t="str">
        <f>""</f>
        <v/>
      </c>
      <c r="F1898" t="str">
        <f>""</f>
        <v/>
      </c>
      <c r="G1898" t="str">
        <f>""</f>
        <v/>
      </c>
      <c r="I1898" t="str">
        <f t="shared" si="28"/>
        <v>GUARDIAN</v>
      </c>
    </row>
    <row r="1899" spans="1:9" x14ac:dyDescent="0.25">
      <c r="A1899" t="str">
        <f>""</f>
        <v/>
      </c>
      <c r="F1899" t="str">
        <f>""</f>
        <v/>
      </c>
      <c r="G1899" t="str">
        <f>""</f>
        <v/>
      </c>
      <c r="I1899" t="str">
        <f t="shared" si="28"/>
        <v>GUARDIAN</v>
      </c>
    </row>
    <row r="1900" spans="1:9" x14ac:dyDescent="0.25">
      <c r="A1900" t="str">
        <f>""</f>
        <v/>
      </c>
      <c r="F1900" t="str">
        <f>""</f>
        <v/>
      </c>
      <c r="G1900" t="str">
        <f>""</f>
        <v/>
      </c>
      <c r="I1900" t="str">
        <f t="shared" si="28"/>
        <v>GUARDIAN</v>
      </c>
    </row>
    <row r="1901" spans="1:9" x14ac:dyDescent="0.25">
      <c r="A1901" t="str">
        <f>""</f>
        <v/>
      </c>
      <c r="F1901" t="str">
        <f>""</f>
        <v/>
      </c>
      <c r="G1901" t="str">
        <f>""</f>
        <v/>
      </c>
      <c r="I1901" t="str">
        <f t="shared" si="28"/>
        <v>GUARDIAN</v>
      </c>
    </row>
    <row r="1902" spans="1:9" x14ac:dyDescent="0.25">
      <c r="A1902" t="str">
        <f>""</f>
        <v/>
      </c>
      <c r="F1902" t="str">
        <f>""</f>
        <v/>
      </c>
      <c r="G1902" t="str">
        <f>""</f>
        <v/>
      </c>
      <c r="I1902" t="str">
        <f t="shared" si="28"/>
        <v>GUARDIAN</v>
      </c>
    </row>
    <row r="1903" spans="1:9" x14ac:dyDescent="0.25">
      <c r="A1903" t="str">
        <f>""</f>
        <v/>
      </c>
      <c r="F1903" t="str">
        <f>""</f>
        <v/>
      </c>
      <c r="G1903" t="str">
        <f>""</f>
        <v/>
      </c>
      <c r="I1903" t="str">
        <f t="shared" si="28"/>
        <v>GUARDIAN</v>
      </c>
    </row>
    <row r="1904" spans="1:9" x14ac:dyDescent="0.25">
      <c r="A1904" t="str">
        <f>""</f>
        <v/>
      </c>
      <c r="F1904" t="str">
        <f>""</f>
        <v/>
      </c>
      <c r="G1904" t="str">
        <f>""</f>
        <v/>
      </c>
      <c r="I1904" t="str">
        <f t="shared" ref="I1904:I1967" si="29">"GUARDIAN"</f>
        <v>GUARDIAN</v>
      </c>
    </row>
    <row r="1905" spans="1:9" x14ac:dyDescent="0.25">
      <c r="A1905" t="str">
        <f>""</f>
        <v/>
      </c>
      <c r="F1905" t="str">
        <f>""</f>
        <v/>
      </c>
      <c r="G1905" t="str">
        <f>""</f>
        <v/>
      </c>
      <c r="I1905" t="str">
        <f t="shared" si="29"/>
        <v>GUARDIAN</v>
      </c>
    </row>
    <row r="1906" spans="1:9" x14ac:dyDescent="0.25">
      <c r="A1906" t="str">
        <f>""</f>
        <v/>
      </c>
      <c r="F1906" t="str">
        <f>""</f>
        <v/>
      </c>
      <c r="G1906" t="str">
        <f>""</f>
        <v/>
      </c>
      <c r="I1906" t="str">
        <f t="shared" si="29"/>
        <v>GUARDIAN</v>
      </c>
    </row>
    <row r="1907" spans="1:9" x14ac:dyDescent="0.25">
      <c r="A1907" t="str">
        <f>""</f>
        <v/>
      </c>
      <c r="F1907" t="str">
        <f>""</f>
        <v/>
      </c>
      <c r="G1907" t="str">
        <f>""</f>
        <v/>
      </c>
      <c r="I1907" t="str">
        <f t="shared" si="29"/>
        <v>GUARDIAN</v>
      </c>
    </row>
    <row r="1908" spans="1:9" x14ac:dyDescent="0.25">
      <c r="A1908" t="str">
        <f>""</f>
        <v/>
      </c>
      <c r="F1908" t="str">
        <f>""</f>
        <v/>
      </c>
      <c r="G1908" t="str">
        <f>""</f>
        <v/>
      </c>
      <c r="I1908" t="str">
        <f t="shared" si="29"/>
        <v>GUARDIAN</v>
      </c>
    </row>
    <row r="1909" spans="1:9" x14ac:dyDescent="0.25">
      <c r="A1909" t="str">
        <f>""</f>
        <v/>
      </c>
      <c r="F1909" t="str">
        <f>""</f>
        <v/>
      </c>
      <c r="G1909" t="str">
        <f>""</f>
        <v/>
      </c>
      <c r="I1909" t="str">
        <f t="shared" si="29"/>
        <v>GUARDIAN</v>
      </c>
    </row>
    <row r="1910" spans="1:9" x14ac:dyDescent="0.25">
      <c r="A1910" t="str">
        <f>""</f>
        <v/>
      </c>
      <c r="F1910" t="str">
        <f>""</f>
        <v/>
      </c>
      <c r="G1910" t="str">
        <f>""</f>
        <v/>
      </c>
      <c r="I1910" t="str">
        <f t="shared" si="29"/>
        <v>GUARDIAN</v>
      </c>
    </row>
    <row r="1911" spans="1:9" x14ac:dyDescent="0.25">
      <c r="A1911" t="str">
        <f>""</f>
        <v/>
      </c>
      <c r="F1911" t="str">
        <f>""</f>
        <v/>
      </c>
      <c r="G1911" t="str">
        <f>""</f>
        <v/>
      </c>
      <c r="I1911" t="str">
        <f t="shared" si="29"/>
        <v>GUARDIAN</v>
      </c>
    </row>
    <row r="1912" spans="1:9" x14ac:dyDescent="0.25">
      <c r="A1912" t="str">
        <f>""</f>
        <v/>
      </c>
      <c r="F1912" t="str">
        <f>""</f>
        <v/>
      </c>
      <c r="G1912" t="str">
        <f>""</f>
        <v/>
      </c>
      <c r="I1912" t="str">
        <f t="shared" si="29"/>
        <v>GUARDIAN</v>
      </c>
    </row>
    <row r="1913" spans="1:9" x14ac:dyDescent="0.25">
      <c r="A1913" t="str">
        <f>""</f>
        <v/>
      </c>
      <c r="F1913" t="str">
        <f>""</f>
        <v/>
      </c>
      <c r="G1913" t="str">
        <f>""</f>
        <v/>
      </c>
      <c r="I1913" t="str">
        <f t="shared" si="29"/>
        <v>GUARDIAN</v>
      </c>
    </row>
    <row r="1914" spans="1:9" x14ac:dyDescent="0.25">
      <c r="A1914" t="str">
        <f>""</f>
        <v/>
      </c>
      <c r="F1914" t="str">
        <f>""</f>
        <v/>
      </c>
      <c r="G1914" t="str">
        <f>""</f>
        <v/>
      </c>
      <c r="I1914" t="str">
        <f t="shared" si="29"/>
        <v>GUARDIAN</v>
      </c>
    </row>
    <row r="1915" spans="1:9" x14ac:dyDescent="0.25">
      <c r="A1915" t="str">
        <f>""</f>
        <v/>
      </c>
      <c r="F1915" t="str">
        <f>""</f>
        <v/>
      </c>
      <c r="G1915" t="str">
        <f>""</f>
        <v/>
      </c>
      <c r="I1915" t="str">
        <f t="shared" si="29"/>
        <v>GUARDIAN</v>
      </c>
    </row>
    <row r="1916" spans="1:9" x14ac:dyDescent="0.25">
      <c r="A1916" t="str">
        <f>""</f>
        <v/>
      </c>
      <c r="F1916" t="str">
        <f>""</f>
        <v/>
      </c>
      <c r="G1916" t="str">
        <f>""</f>
        <v/>
      </c>
      <c r="I1916" t="str">
        <f t="shared" si="29"/>
        <v>GUARDIAN</v>
      </c>
    </row>
    <row r="1917" spans="1:9" x14ac:dyDescent="0.25">
      <c r="A1917" t="str">
        <f>""</f>
        <v/>
      </c>
      <c r="F1917" t="str">
        <f>""</f>
        <v/>
      </c>
      <c r="G1917" t="str">
        <f>""</f>
        <v/>
      </c>
      <c r="I1917" t="str">
        <f t="shared" si="29"/>
        <v>GUARDIAN</v>
      </c>
    </row>
    <row r="1918" spans="1:9" x14ac:dyDescent="0.25">
      <c r="A1918" t="str">
        <f>""</f>
        <v/>
      </c>
      <c r="F1918" t="str">
        <f>"GDC201804180392"</f>
        <v>GDC201804180392</v>
      </c>
      <c r="G1918" t="str">
        <f>"GUARDIAN"</f>
        <v>GUARDIAN</v>
      </c>
      <c r="H1918">
        <v>97.95</v>
      </c>
      <c r="I1918" t="str">
        <f t="shared" si="29"/>
        <v>GUARDIAN</v>
      </c>
    </row>
    <row r="1919" spans="1:9" x14ac:dyDescent="0.25">
      <c r="A1919" t="str">
        <f>""</f>
        <v/>
      </c>
      <c r="F1919" t="str">
        <f>""</f>
        <v/>
      </c>
      <c r="G1919" t="str">
        <f>""</f>
        <v/>
      </c>
      <c r="I1919" t="str">
        <f t="shared" si="29"/>
        <v>GUARDIAN</v>
      </c>
    </row>
    <row r="1920" spans="1:9" x14ac:dyDescent="0.25">
      <c r="A1920" t="str">
        <f>""</f>
        <v/>
      </c>
      <c r="F1920" t="str">
        <f>"GDE201804049962"</f>
        <v>GDE201804049962</v>
      </c>
      <c r="G1920" t="str">
        <f>"GUARDIAN"</f>
        <v>GUARDIAN</v>
      </c>
      <c r="H1920">
        <v>3907.2</v>
      </c>
      <c r="I1920" t="str">
        <f t="shared" si="29"/>
        <v>GUARDIAN</v>
      </c>
    </row>
    <row r="1921" spans="1:9" x14ac:dyDescent="0.25">
      <c r="A1921" t="str">
        <f>""</f>
        <v/>
      </c>
      <c r="F1921" t="str">
        <f>""</f>
        <v/>
      </c>
      <c r="G1921" t="str">
        <f>""</f>
        <v/>
      </c>
      <c r="I1921" t="str">
        <f t="shared" si="29"/>
        <v>GUARDIAN</v>
      </c>
    </row>
    <row r="1922" spans="1:9" x14ac:dyDescent="0.25">
      <c r="A1922" t="str">
        <f>""</f>
        <v/>
      </c>
      <c r="F1922" t="str">
        <f>""</f>
        <v/>
      </c>
      <c r="G1922" t="str">
        <f>""</f>
        <v/>
      </c>
      <c r="I1922" t="str">
        <f t="shared" si="29"/>
        <v>GUARDIAN</v>
      </c>
    </row>
    <row r="1923" spans="1:9" x14ac:dyDescent="0.25">
      <c r="A1923" t="str">
        <f>""</f>
        <v/>
      </c>
      <c r="F1923" t="str">
        <f>""</f>
        <v/>
      </c>
      <c r="G1923" t="str">
        <f>""</f>
        <v/>
      </c>
      <c r="I1923" t="str">
        <f t="shared" si="29"/>
        <v>GUARDIAN</v>
      </c>
    </row>
    <row r="1924" spans="1:9" x14ac:dyDescent="0.25">
      <c r="A1924" t="str">
        <f>""</f>
        <v/>
      </c>
      <c r="F1924" t="str">
        <f>""</f>
        <v/>
      </c>
      <c r="G1924" t="str">
        <f>""</f>
        <v/>
      </c>
      <c r="I1924" t="str">
        <f t="shared" si="29"/>
        <v>GUARDIAN</v>
      </c>
    </row>
    <row r="1925" spans="1:9" x14ac:dyDescent="0.25">
      <c r="A1925" t="str">
        <f>""</f>
        <v/>
      </c>
      <c r="F1925" t="str">
        <f>""</f>
        <v/>
      </c>
      <c r="G1925" t="str">
        <f>""</f>
        <v/>
      </c>
      <c r="I1925" t="str">
        <f t="shared" si="29"/>
        <v>GUARDIAN</v>
      </c>
    </row>
    <row r="1926" spans="1:9" x14ac:dyDescent="0.25">
      <c r="A1926" t="str">
        <f>""</f>
        <v/>
      </c>
      <c r="F1926" t="str">
        <f>""</f>
        <v/>
      </c>
      <c r="G1926" t="str">
        <f>""</f>
        <v/>
      </c>
      <c r="I1926" t="str">
        <f t="shared" si="29"/>
        <v>GUARDIAN</v>
      </c>
    </row>
    <row r="1927" spans="1:9" x14ac:dyDescent="0.25">
      <c r="A1927" t="str">
        <f>""</f>
        <v/>
      </c>
      <c r="F1927" t="str">
        <f>""</f>
        <v/>
      </c>
      <c r="G1927" t="str">
        <f>""</f>
        <v/>
      </c>
      <c r="I1927" t="str">
        <f t="shared" si="29"/>
        <v>GUARDIAN</v>
      </c>
    </row>
    <row r="1928" spans="1:9" x14ac:dyDescent="0.25">
      <c r="A1928" t="str">
        <f>""</f>
        <v/>
      </c>
      <c r="F1928" t="str">
        <f>""</f>
        <v/>
      </c>
      <c r="G1928" t="str">
        <f>""</f>
        <v/>
      </c>
      <c r="I1928" t="str">
        <f t="shared" si="29"/>
        <v>GUARDIAN</v>
      </c>
    </row>
    <row r="1929" spans="1:9" x14ac:dyDescent="0.25">
      <c r="A1929" t="str">
        <f>""</f>
        <v/>
      </c>
      <c r="F1929" t="str">
        <f>""</f>
        <v/>
      </c>
      <c r="G1929" t="str">
        <f>""</f>
        <v/>
      </c>
      <c r="I1929" t="str">
        <f t="shared" si="29"/>
        <v>GUARDIAN</v>
      </c>
    </row>
    <row r="1930" spans="1:9" x14ac:dyDescent="0.25">
      <c r="A1930" t="str">
        <f>""</f>
        <v/>
      </c>
      <c r="F1930" t="str">
        <f>""</f>
        <v/>
      </c>
      <c r="G1930" t="str">
        <f>""</f>
        <v/>
      </c>
      <c r="I1930" t="str">
        <f t="shared" si="29"/>
        <v>GUARDIAN</v>
      </c>
    </row>
    <row r="1931" spans="1:9" x14ac:dyDescent="0.25">
      <c r="A1931" t="str">
        <f>""</f>
        <v/>
      </c>
      <c r="F1931" t="str">
        <f>""</f>
        <v/>
      </c>
      <c r="G1931" t="str">
        <f>""</f>
        <v/>
      </c>
      <c r="I1931" t="str">
        <f t="shared" si="29"/>
        <v>GUARDIAN</v>
      </c>
    </row>
    <row r="1932" spans="1:9" x14ac:dyDescent="0.25">
      <c r="A1932" t="str">
        <f>""</f>
        <v/>
      </c>
      <c r="F1932" t="str">
        <f>""</f>
        <v/>
      </c>
      <c r="G1932" t="str">
        <f>""</f>
        <v/>
      </c>
      <c r="I1932" t="str">
        <f t="shared" si="29"/>
        <v>GUARDIAN</v>
      </c>
    </row>
    <row r="1933" spans="1:9" x14ac:dyDescent="0.25">
      <c r="A1933" t="str">
        <f>""</f>
        <v/>
      </c>
      <c r="F1933" t="str">
        <f>""</f>
        <v/>
      </c>
      <c r="G1933" t="str">
        <f>""</f>
        <v/>
      </c>
      <c r="I1933" t="str">
        <f t="shared" si="29"/>
        <v>GUARDIAN</v>
      </c>
    </row>
    <row r="1934" spans="1:9" x14ac:dyDescent="0.25">
      <c r="A1934" t="str">
        <f>""</f>
        <v/>
      </c>
      <c r="F1934" t="str">
        <f>""</f>
        <v/>
      </c>
      <c r="G1934" t="str">
        <f>""</f>
        <v/>
      </c>
      <c r="I1934" t="str">
        <f t="shared" si="29"/>
        <v>GUARDIAN</v>
      </c>
    </row>
    <row r="1935" spans="1:9" x14ac:dyDescent="0.25">
      <c r="A1935" t="str">
        <f>""</f>
        <v/>
      </c>
      <c r="F1935" t="str">
        <f>""</f>
        <v/>
      </c>
      <c r="G1935" t="str">
        <f>""</f>
        <v/>
      </c>
      <c r="I1935" t="str">
        <f t="shared" si="29"/>
        <v>GUARDIAN</v>
      </c>
    </row>
    <row r="1936" spans="1:9" x14ac:dyDescent="0.25">
      <c r="A1936" t="str">
        <f>""</f>
        <v/>
      </c>
      <c r="F1936" t="str">
        <f>""</f>
        <v/>
      </c>
      <c r="G1936" t="str">
        <f>""</f>
        <v/>
      </c>
      <c r="I1936" t="str">
        <f t="shared" si="29"/>
        <v>GUARDIAN</v>
      </c>
    </row>
    <row r="1937" spans="1:9" x14ac:dyDescent="0.25">
      <c r="A1937" t="str">
        <f>""</f>
        <v/>
      </c>
      <c r="F1937" t="str">
        <f>""</f>
        <v/>
      </c>
      <c r="G1937" t="str">
        <f>""</f>
        <v/>
      </c>
      <c r="I1937" t="str">
        <f t="shared" si="29"/>
        <v>GUARDIAN</v>
      </c>
    </row>
    <row r="1938" spans="1:9" x14ac:dyDescent="0.25">
      <c r="A1938" t="str">
        <f>""</f>
        <v/>
      </c>
      <c r="F1938" t="str">
        <f>""</f>
        <v/>
      </c>
      <c r="G1938" t="str">
        <f>""</f>
        <v/>
      </c>
      <c r="I1938" t="str">
        <f t="shared" si="29"/>
        <v>GUARDIAN</v>
      </c>
    </row>
    <row r="1939" spans="1:9" x14ac:dyDescent="0.25">
      <c r="A1939" t="str">
        <f>""</f>
        <v/>
      </c>
      <c r="F1939" t="str">
        <f>""</f>
        <v/>
      </c>
      <c r="G1939" t="str">
        <f>""</f>
        <v/>
      </c>
      <c r="I1939" t="str">
        <f t="shared" si="29"/>
        <v>GUARDIAN</v>
      </c>
    </row>
    <row r="1940" spans="1:9" x14ac:dyDescent="0.25">
      <c r="A1940" t="str">
        <f>""</f>
        <v/>
      </c>
      <c r="F1940" t="str">
        <f>""</f>
        <v/>
      </c>
      <c r="G1940" t="str">
        <f>""</f>
        <v/>
      </c>
      <c r="I1940" t="str">
        <f t="shared" si="29"/>
        <v>GUARDIAN</v>
      </c>
    </row>
    <row r="1941" spans="1:9" x14ac:dyDescent="0.25">
      <c r="A1941" t="str">
        <f>""</f>
        <v/>
      </c>
      <c r="F1941" t="str">
        <f>""</f>
        <v/>
      </c>
      <c r="G1941" t="str">
        <f>""</f>
        <v/>
      </c>
      <c r="I1941" t="str">
        <f t="shared" si="29"/>
        <v>GUARDIAN</v>
      </c>
    </row>
    <row r="1942" spans="1:9" x14ac:dyDescent="0.25">
      <c r="A1942" t="str">
        <f>""</f>
        <v/>
      </c>
      <c r="F1942" t="str">
        <f>""</f>
        <v/>
      </c>
      <c r="G1942" t="str">
        <f>""</f>
        <v/>
      </c>
      <c r="I1942" t="str">
        <f t="shared" si="29"/>
        <v>GUARDIAN</v>
      </c>
    </row>
    <row r="1943" spans="1:9" x14ac:dyDescent="0.25">
      <c r="A1943" t="str">
        <f>""</f>
        <v/>
      </c>
      <c r="F1943" t="str">
        <f>""</f>
        <v/>
      </c>
      <c r="G1943" t="str">
        <f>""</f>
        <v/>
      </c>
      <c r="I1943" t="str">
        <f t="shared" si="29"/>
        <v>GUARDIAN</v>
      </c>
    </row>
    <row r="1944" spans="1:9" x14ac:dyDescent="0.25">
      <c r="A1944" t="str">
        <f>""</f>
        <v/>
      </c>
      <c r="F1944" t="str">
        <f>""</f>
        <v/>
      </c>
      <c r="G1944" t="str">
        <f>""</f>
        <v/>
      </c>
      <c r="I1944" t="str">
        <f t="shared" si="29"/>
        <v>GUARDIAN</v>
      </c>
    </row>
    <row r="1945" spans="1:9" x14ac:dyDescent="0.25">
      <c r="A1945" t="str">
        <f>""</f>
        <v/>
      </c>
      <c r="F1945" t="str">
        <f>""</f>
        <v/>
      </c>
      <c r="G1945" t="str">
        <f>""</f>
        <v/>
      </c>
      <c r="I1945" t="str">
        <f t="shared" si="29"/>
        <v>GUARDIAN</v>
      </c>
    </row>
    <row r="1946" spans="1:9" x14ac:dyDescent="0.25">
      <c r="A1946" t="str">
        <f>""</f>
        <v/>
      </c>
      <c r="F1946" t="str">
        <f>""</f>
        <v/>
      </c>
      <c r="G1946" t="str">
        <f>""</f>
        <v/>
      </c>
      <c r="I1946" t="str">
        <f t="shared" si="29"/>
        <v>GUARDIAN</v>
      </c>
    </row>
    <row r="1947" spans="1:9" x14ac:dyDescent="0.25">
      <c r="A1947" t="str">
        <f>""</f>
        <v/>
      </c>
      <c r="F1947" t="str">
        <f>""</f>
        <v/>
      </c>
      <c r="G1947" t="str">
        <f>""</f>
        <v/>
      </c>
      <c r="I1947" t="str">
        <f t="shared" si="29"/>
        <v>GUARDIAN</v>
      </c>
    </row>
    <row r="1948" spans="1:9" x14ac:dyDescent="0.25">
      <c r="A1948" t="str">
        <f>""</f>
        <v/>
      </c>
      <c r="F1948" t="str">
        <f>""</f>
        <v/>
      </c>
      <c r="G1948" t="str">
        <f>""</f>
        <v/>
      </c>
      <c r="I1948" t="str">
        <f t="shared" si="29"/>
        <v>GUARDIAN</v>
      </c>
    </row>
    <row r="1949" spans="1:9" x14ac:dyDescent="0.25">
      <c r="A1949" t="str">
        <f>""</f>
        <v/>
      </c>
      <c r="F1949" t="str">
        <f>""</f>
        <v/>
      </c>
      <c r="G1949" t="str">
        <f>""</f>
        <v/>
      </c>
      <c r="I1949" t="str">
        <f t="shared" si="29"/>
        <v>GUARDIAN</v>
      </c>
    </row>
    <row r="1950" spans="1:9" x14ac:dyDescent="0.25">
      <c r="A1950" t="str">
        <f>""</f>
        <v/>
      </c>
      <c r="F1950" t="str">
        <f>""</f>
        <v/>
      </c>
      <c r="G1950" t="str">
        <f>""</f>
        <v/>
      </c>
      <c r="I1950" t="str">
        <f t="shared" si="29"/>
        <v>GUARDIAN</v>
      </c>
    </row>
    <row r="1951" spans="1:9" x14ac:dyDescent="0.25">
      <c r="A1951" t="str">
        <f>""</f>
        <v/>
      </c>
      <c r="F1951" t="str">
        <f>""</f>
        <v/>
      </c>
      <c r="G1951" t="str">
        <f>""</f>
        <v/>
      </c>
      <c r="I1951" t="str">
        <f t="shared" si="29"/>
        <v>GUARDIAN</v>
      </c>
    </row>
    <row r="1952" spans="1:9" x14ac:dyDescent="0.25">
      <c r="A1952" t="str">
        <f>""</f>
        <v/>
      </c>
      <c r="F1952" t="str">
        <f>""</f>
        <v/>
      </c>
      <c r="G1952" t="str">
        <f>""</f>
        <v/>
      </c>
      <c r="I1952" t="str">
        <f t="shared" si="29"/>
        <v>GUARDIAN</v>
      </c>
    </row>
    <row r="1953" spans="1:9" x14ac:dyDescent="0.25">
      <c r="A1953" t="str">
        <f>""</f>
        <v/>
      </c>
      <c r="F1953" t="str">
        <f>""</f>
        <v/>
      </c>
      <c r="G1953" t="str">
        <f>""</f>
        <v/>
      </c>
      <c r="I1953" t="str">
        <f t="shared" si="29"/>
        <v>GUARDIAN</v>
      </c>
    </row>
    <row r="1954" spans="1:9" x14ac:dyDescent="0.25">
      <c r="A1954" t="str">
        <f>""</f>
        <v/>
      </c>
      <c r="F1954" t="str">
        <f>""</f>
        <v/>
      </c>
      <c r="G1954" t="str">
        <f>""</f>
        <v/>
      </c>
      <c r="I1954" t="str">
        <f t="shared" si="29"/>
        <v>GUARDIAN</v>
      </c>
    </row>
    <row r="1955" spans="1:9" x14ac:dyDescent="0.25">
      <c r="A1955" t="str">
        <f>""</f>
        <v/>
      </c>
      <c r="F1955" t="str">
        <f>""</f>
        <v/>
      </c>
      <c r="G1955" t="str">
        <f>""</f>
        <v/>
      </c>
      <c r="I1955" t="str">
        <f t="shared" si="29"/>
        <v>GUARDIAN</v>
      </c>
    </row>
    <row r="1956" spans="1:9" x14ac:dyDescent="0.25">
      <c r="A1956" t="str">
        <f>""</f>
        <v/>
      </c>
      <c r="F1956" t="str">
        <f>""</f>
        <v/>
      </c>
      <c r="G1956" t="str">
        <f>""</f>
        <v/>
      </c>
      <c r="I1956" t="str">
        <f t="shared" si="29"/>
        <v>GUARDIAN</v>
      </c>
    </row>
    <row r="1957" spans="1:9" x14ac:dyDescent="0.25">
      <c r="A1957" t="str">
        <f>""</f>
        <v/>
      </c>
      <c r="F1957" t="str">
        <f>""</f>
        <v/>
      </c>
      <c r="G1957" t="str">
        <f>""</f>
        <v/>
      </c>
      <c r="I1957" t="str">
        <f t="shared" si="29"/>
        <v>GUARDIAN</v>
      </c>
    </row>
    <row r="1958" spans="1:9" x14ac:dyDescent="0.25">
      <c r="A1958" t="str">
        <f>""</f>
        <v/>
      </c>
      <c r="F1958" t="str">
        <f>""</f>
        <v/>
      </c>
      <c r="G1958" t="str">
        <f>""</f>
        <v/>
      </c>
      <c r="I1958" t="str">
        <f t="shared" si="29"/>
        <v>GUARDIAN</v>
      </c>
    </row>
    <row r="1959" spans="1:9" x14ac:dyDescent="0.25">
      <c r="A1959" t="str">
        <f>""</f>
        <v/>
      </c>
      <c r="F1959" t="str">
        <f>""</f>
        <v/>
      </c>
      <c r="G1959" t="str">
        <f>""</f>
        <v/>
      </c>
      <c r="I1959" t="str">
        <f t="shared" si="29"/>
        <v>GUARDIAN</v>
      </c>
    </row>
    <row r="1960" spans="1:9" x14ac:dyDescent="0.25">
      <c r="A1960" t="str">
        <f>""</f>
        <v/>
      </c>
      <c r="F1960" t="str">
        <f>""</f>
        <v/>
      </c>
      <c r="G1960" t="str">
        <f>""</f>
        <v/>
      </c>
      <c r="I1960" t="str">
        <f t="shared" si="29"/>
        <v>GUARDIAN</v>
      </c>
    </row>
    <row r="1961" spans="1:9" x14ac:dyDescent="0.25">
      <c r="A1961" t="str">
        <f>""</f>
        <v/>
      </c>
      <c r="F1961" t="str">
        <f>"GDE201804049989"</f>
        <v>GDE201804049989</v>
      </c>
      <c r="G1961" t="str">
        <f>"GUARDIAN"</f>
        <v>GUARDIAN</v>
      </c>
      <c r="H1961">
        <v>148</v>
      </c>
      <c r="I1961" t="str">
        <f t="shared" si="29"/>
        <v>GUARDIAN</v>
      </c>
    </row>
    <row r="1962" spans="1:9" x14ac:dyDescent="0.25">
      <c r="A1962" t="str">
        <f>""</f>
        <v/>
      </c>
      <c r="F1962" t="str">
        <f>"GDE201804180391"</f>
        <v>GDE201804180391</v>
      </c>
      <c r="G1962" t="str">
        <f>"GUARDIAN"</f>
        <v>GUARDIAN</v>
      </c>
      <c r="H1962">
        <v>3907.2</v>
      </c>
      <c r="I1962" t="str">
        <f t="shared" si="29"/>
        <v>GUARDIAN</v>
      </c>
    </row>
    <row r="1963" spans="1:9" x14ac:dyDescent="0.25">
      <c r="A1963" t="str">
        <f>""</f>
        <v/>
      </c>
      <c r="F1963" t="str">
        <f>""</f>
        <v/>
      </c>
      <c r="G1963" t="str">
        <f>""</f>
        <v/>
      </c>
      <c r="I1963" t="str">
        <f t="shared" si="29"/>
        <v>GUARDIAN</v>
      </c>
    </row>
    <row r="1964" spans="1:9" x14ac:dyDescent="0.25">
      <c r="A1964" t="str">
        <f>""</f>
        <v/>
      </c>
      <c r="F1964" t="str">
        <f>""</f>
        <v/>
      </c>
      <c r="G1964" t="str">
        <f>""</f>
        <v/>
      </c>
      <c r="I1964" t="str">
        <f t="shared" si="29"/>
        <v>GUARDIAN</v>
      </c>
    </row>
    <row r="1965" spans="1:9" x14ac:dyDescent="0.25">
      <c r="A1965" t="str">
        <f>""</f>
        <v/>
      </c>
      <c r="F1965" t="str">
        <f>""</f>
        <v/>
      </c>
      <c r="G1965" t="str">
        <f>""</f>
        <v/>
      </c>
      <c r="I1965" t="str">
        <f t="shared" si="29"/>
        <v>GUARDIAN</v>
      </c>
    </row>
    <row r="1966" spans="1:9" x14ac:dyDescent="0.25">
      <c r="A1966" t="str">
        <f>""</f>
        <v/>
      </c>
      <c r="F1966" t="str">
        <f>""</f>
        <v/>
      </c>
      <c r="G1966" t="str">
        <f>""</f>
        <v/>
      </c>
      <c r="I1966" t="str">
        <f t="shared" si="29"/>
        <v>GUARDIAN</v>
      </c>
    </row>
    <row r="1967" spans="1:9" x14ac:dyDescent="0.25">
      <c r="A1967" t="str">
        <f>""</f>
        <v/>
      </c>
      <c r="F1967" t="str">
        <f>""</f>
        <v/>
      </c>
      <c r="G1967" t="str">
        <f>""</f>
        <v/>
      </c>
      <c r="I1967" t="str">
        <f t="shared" si="29"/>
        <v>GUARDIAN</v>
      </c>
    </row>
    <row r="1968" spans="1:9" x14ac:dyDescent="0.25">
      <c r="A1968" t="str">
        <f>""</f>
        <v/>
      </c>
      <c r="F1968" t="str">
        <f>""</f>
        <v/>
      </c>
      <c r="G1968" t="str">
        <f>""</f>
        <v/>
      </c>
      <c r="I1968" t="str">
        <f t="shared" ref="I1968:I2031" si="30">"GUARDIAN"</f>
        <v>GUARDIAN</v>
      </c>
    </row>
    <row r="1969" spans="1:9" x14ac:dyDescent="0.25">
      <c r="A1969" t="str">
        <f>""</f>
        <v/>
      </c>
      <c r="F1969" t="str">
        <f>""</f>
        <v/>
      </c>
      <c r="G1969" t="str">
        <f>""</f>
        <v/>
      </c>
      <c r="I1969" t="str">
        <f t="shared" si="30"/>
        <v>GUARDIAN</v>
      </c>
    </row>
    <row r="1970" spans="1:9" x14ac:dyDescent="0.25">
      <c r="A1970" t="str">
        <f>""</f>
        <v/>
      </c>
      <c r="F1970" t="str">
        <f>""</f>
        <v/>
      </c>
      <c r="G1970" t="str">
        <f>""</f>
        <v/>
      </c>
      <c r="I1970" t="str">
        <f t="shared" si="30"/>
        <v>GUARDIAN</v>
      </c>
    </row>
    <row r="1971" spans="1:9" x14ac:dyDescent="0.25">
      <c r="A1971" t="str">
        <f>""</f>
        <v/>
      </c>
      <c r="F1971" t="str">
        <f>""</f>
        <v/>
      </c>
      <c r="G1971" t="str">
        <f>""</f>
        <v/>
      </c>
      <c r="I1971" t="str">
        <f t="shared" si="30"/>
        <v>GUARDIAN</v>
      </c>
    </row>
    <row r="1972" spans="1:9" x14ac:dyDescent="0.25">
      <c r="A1972" t="str">
        <f>""</f>
        <v/>
      </c>
      <c r="F1972" t="str">
        <f>""</f>
        <v/>
      </c>
      <c r="G1972" t="str">
        <f>""</f>
        <v/>
      </c>
      <c r="I1972" t="str">
        <f t="shared" si="30"/>
        <v>GUARDIAN</v>
      </c>
    </row>
    <row r="1973" spans="1:9" x14ac:dyDescent="0.25">
      <c r="A1973" t="str">
        <f>""</f>
        <v/>
      </c>
      <c r="F1973" t="str">
        <f>""</f>
        <v/>
      </c>
      <c r="G1973" t="str">
        <f>""</f>
        <v/>
      </c>
      <c r="I1973" t="str">
        <f t="shared" si="30"/>
        <v>GUARDIAN</v>
      </c>
    </row>
    <row r="1974" spans="1:9" x14ac:dyDescent="0.25">
      <c r="A1974" t="str">
        <f>""</f>
        <v/>
      </c>
      <c r="F1974" t="str">
        <f>""</f>
        <v/>
      </c>
      <c r="G1974" t="str">
        <f>""</f>
        <v/>
      </c>
      <c r="I1974" t="str">
        <f t="shared" si="30"/>
        <v>GUARDIAN</v>
      </c>
    </row>
    <row r="1975" spans="1:9" x14ac:dyDescent="0.25">
      <c r="A1975" t="str">
        <f>""</f>
        <v/>
      </c>
      <c r="F1975" t="str">
        <f>""</f>
        <v/>
      </c>
      <c r="G1975" t="str">
        <f>""</f>
        <v/>
      </c>
      <c r="I1975" t="str">
        <f t="shared" si="30"/>
        <v>GUARDIAN</v>
      </c>
    </row>
    <row r="1976" spans="1:9" x14ac:dyDescent="0.25">
      <c r="A1976" t="str">
        <f>""</f>
        <v/>
      </c>
      <c r="F1976" t="str">
        <f>""</f>
        <v/>
      </c>
      <c r="G1976" t="str">
        <f>""</f>
        <v/>
      </c>
      <c r="I1976" t="str">
        <f t="shared" si="30"/>
        <v>GUARDIAN</v>
      </c>
    </row>
    <row r="1977" spans="1:9" x14ac:dyDescent="0.25">
      <c r="A1977" t="str">
        <f>""</f>
        <v/>
      </c>
      <c r="F1977" t="str">
        <f>""</f>
        <v/>
      </c>
      <c r="G1977" t="str">
        <f>""</f>
        <v/>
      </c>
      <c r="I1977" t="str">
        <f t="shared" si="30"/>
        <v>GUARDIAN</v>
      </c>
    </row>
    <row r="1978" spans="1:9" x14ac:dyDescent="0.25">
      <c r="A1978" t="str">
        <f>""</f>
        <v/>
      </c>
      <c r="F1978" t="str">
        <f>""</f>
        <v/>
      </c>
      <c r="G1978" t="str">
        <f>""</f>
        <v/>
      </c>
      <c r="I1978" t="str">
        <f t="shared" si="30"/>
        <v>GUARDIAN</v>
      </c>
    </row>
    <row r="1979" spans="1:9" x14ac:dyDescent="0.25">
      <c r="A1979" t="str">
        <f>""</f>
        <v/>
      </c>
      <c r="F1979" t="str">
        <f>""</f>
        <v/>
      </c>
      <c r="G1979" t="str">
        <f>""</f>
        <v/>
      </c>
      <c r="I1979" t="str">
        <f t="shared" si="30"/>
        <v>GUARDIAN</v>
      </c>
    </row>
    <row r="1980" spans="1:9" x14ac:dyDescent="0.25">
      <c r="A1980" t="str">
        <f>""</f>
        <v/>
      </c>
      <c r="F1980" t="str">
        <f>""</f>
        <v/>
      </c>
      <c r="G1980" t="str">
        <f>""</f>
        <v/>
      </c>
      <c r="I1980" t="str">
        <f t="shared" si="30"/>
        <v>GUARDIAN</v>
      </c>
    </row>
    <row r="1981" spans="1:9" x14ac:dyDescent="0.25">
      <c r="A1981" t="str">
        <f>""</f>
        <v/>
      </c>
      <c r="F1981" t="str">
        <f>""</f>
        <v/>
      </c>
      <c r="G1981" t="str">
        <f>""</f>
        <v/>
      </c>
      <c r="I1981" t="str">
        <f t="shared" si="30"/>
        <v>GUARDIAN</v>
      </c>
    </row>
    <row r="1982" spans="1:9" x14ac:dyDescent="0.25">
      <c r="A1982" t="str">
        <f>""</f>
        <v/>
      </c>
      <c r="F1982" t="str">
        <f>""</f>
        <v/>
      </c>
      <c r="G1982" t="str">
        <f>""</f>
        <v/>
      </c>
      <c r="I1982" t="str">
        <f t="shared" si="30"/>
        <v>GUARDIAN</v>
      </c>
    </row>
    <row r="1983" spans="1:9" x14ac:dyDescent="0.25">
      <c r="A1983" t="str">
        <f>""</f>
        <v/>
      </c>
      <c r="F1983" t="str">
        <f>""</f>
        <v/>
      </c>
      <c r="G1983" t="str">
        <f>""</f>
        <v/>
      </c>
      <c r="I1983" t="str">
        <f t="shared" si="30"/>
        <v>GUARDIAN</v>
      </c>
    </row>
    <row r="1984" spans="1:9" x14ac:dyDescent="0.25">
      <c r="A1984" t="str">
        <f>""</f>
        <v/>
      </c>
      <c r="F1984" t="str">
        <f>""</f>
        <v/>
      </c>
      <c r="G1984" t="str">
        <f>""</f>
        <v/>
      </c>
      <c r="I1984" t="str">
        <f t="shared" si="30"/>
        <v>GUARDIAN</v>
      </c>
    </row>
    <row r="1985" spans="1:9" x14ac:dyDescent="0.25">
      <c r="A1985" t="str">
        <f>""</f>
        <v/>
      </c>
      <c r="F1985" t="str">
        <f>""</f>
        <v/>
      </c>
      <c r="G1985" t="str">
        <f>""</f>
        <v/>
      </c>
      <c r="I1985" t="str">
        <f t="shared" si="30"/>
        <v>GUARDIAN</v>
      </c>
    </row>
    <row r="1986" spans="1:9" x14ac:dyDescent="0.25">
      <c r="A1986" t="str">
        <f>""</f>
        <v/>
      </c>
      <c r="F1986" t="str">
        <f>""</f>
        <v/>
      </c>
      <c r="G1986" t="str">
        <f>""</f>
        <v/>
      </c>
      <c r="I1986" t="str">
        <f t="shared" si="30"/>
        <v>GUARDIAN</v>
      </c>
    </row>
    <row r="1987" spans="1:9" x14ac:dyDescent="0.25">
      <c r="A1987" t="str">
        <f>""</f>
        <v/>
      </c>
      <c r="F1987" t="str">
        <f>""</f>
        <v/>
      </c>
      <c r="G1987" t="str">
        <f>""</f>
        <v/>
      </c>
      <c r="I1987" t="str">
        <f t="shared" si="30"/>
        <v>GUARDIAN</v>
      </c>
    </row>
    <row r="1988" spans="1:9" x14ac:dyDescent="0.25">
      <c r="A1988" t="str">
        <f>""</f>
        <v/>
      </c>
      <c r="F1988" t="str">
        <f>""</f>
        <v/>
      </c>
      <c r="G1988" t="str">
        <f>""</f>
        <v/>
      </c>
      <c r="I1988" t="str">
        <f t="shared" si="30"/>
        <v>GUARDIAN</v>
      </c>
    </row>
    <row r="1989" spans="1:9" x14ac:dyDescent="0.25">
      <c r="A1989" t="str">
        <f>""</f>
        <v/>
      </c>
      <c r="F1989" t="str">
        <f>""</f>
        <v/>
      </c>
      <c r="G1989" t="str">
        <f>""</f>
        <v/>
      </c>
      <c r="I1989" t="str">
        <f t="shared" si="30"/>
        <v>GUARDIAN</v>
      </c>
    </row>
    <row r="1990" spans="1:9" x14ac:dyDescent="0.25">
      <c r="A1990" t="str">
        <f>""</f>
        <v/>
      </c>
      <c r="F1990" t="str">
        <f>""</f>
        <v/>
      </c>
      <c r="G1990" t="str">
        <f>""</f>
        <v/>
      </c>
      <c r="I1990" t="str">
        <f t="shared" si="30"/>
        <v>GUARDIAN</v>
      </c>
    </row>
    <row r="1991" spans="1:9" x14ac:dyDescent="0.25">
      <c r="A1991" t="str">
        <f>""</f>
        <v/>
      </c>
      <c r="F1991" t="str">
        <f>""</f>
        <v/>
      </c>
      <c r="G1991" t="str">
        <f>""</f>
        <v/>
      </c>
      <c r="I1991" t="str">
        <f t="shared" si="30"/>
        <v>GUARDIAN</v>
      </c>
    </row>
    <row r="1992" spans="1:9" x14ac:dyDescent="0.25">
      <c r="A1992" t="str">
        <f>""</f>
        <v/>
      </c>
      <c r="F1992" t="str">
        <f>""</f>
        <v/>
      </c>
      <c r="G1992" t="str">
        <f>""</f>
        <v/>
      </c>
      <c r="I1992" t="str">
        <f t="shared" si="30"/>
        <v>GUARDIAN</v>
      </c>
    </row>
    <row r="1993" spans="1:9" x14ac:dyDescent="0.25">
      <c r="A1993" t="str">
        <f>""</f>
        <v/>
      </c>
      <c r="F1993" t="str">
        <f>""</f>
        <v/>
      </c>
      <c r="G1993" t="str">
        <f>""</f>
        <v/>
      </c>
      <c r="I1993" t="str">
        <f t="shared" si="30"/>
        <v>GUARDIAN</v>
      </c>
    </row>
    <row r="1994" spans="1:9" x14ac:dyDescent="0.25">
      <c r="A1994" t="str">
        <f>""</f>
        <v/>
      </c>
      <c r="F1994" t="str">
        <f>""</f>
        <v/>
      </c>
      <c r="G1994" t="str">
        <f>""</f>
        <v/>
      </c>
      <c r="I1994" t="str">
        <f t="shared" si="30"/>
        <v>GUARDIAN</v>
      </c>
    </row>
    <row r="1995" spans="1:9" x14ac:dyDescent="0.25">
      <c r="A1995" t="str">
        <f>""</f>
        <v/>
      </c>
      <c r="F1995" t="str">
        <f>""</f>
        <v/>
      </c>
      <c r="G1995" t="str">
        <f>""</f>
        <v/>
      </c>
      <c r="I1995" t="str">
        <f t="shared" si="30"/>
        <v>GUARDIAN</v>
      </c>
    </row>
    <row r="1996" spans="1:9" x14ac:dyDescent="0.25">
      <c r="A1996" t="str">
        <f>""</f>
        <v/>
      </c>
      <c r="F1996" t="str">
        <f>""</f>
        <v/>
      </c>
      <c r="G1996" t="str">
        <f>""</f>
        <v/>
      </c>
      <c r="I1996" t="str">
        <f t="shared" si="30"/>
        <v>GUARDIAN</v>
      </c>
    </row>
    <row r="1997" spans="1:9" x14ac:dyDescent="0.25">
      <c r="A1997" t="str">
        <f>""</f>
        <v/>
      </c>
      <c r="F1997" t="str">
        <f>""</f>
        <v/>
      </c>
      <c r="G1997" t="str">
        <f>""</f>
        <v/>
      </c>
      <c r="I1997" t="str">
        <f t="shared" si="30"/>
        <v>GUARDIAN</v>
      </c>
    </row>
    <row r="1998" spans="1:9" x14ac:dyDescent="0.25">
      <c r="A1998" t="str">
        <f>""</f>
        <v/>
      </c>
      <c r="F1998" t="str">
        <f>""</f>
        <v/>
      </c>
      <c r="G1998" t="str">
        <f>""</f>
        <v/>
      </c>
      <c r="I1998" t="str">
        <f t="shared" si="30"/>
        <v>GUARDIAN</v>
      </c>
    </row>
    <row r="1999" spans="1:9" x14ac:dyDescent="0.25">
      <c r="A1999" t="str">
        <f>""</f>
        <v/>
      </c>
      <c r="F1999" t="str">
        <f>""</f>
        <v/>
      </c>
      <c r="G1999" t="str">
        <f>""</f>
        <v/>
      </c>
      <c r="I1999" t="str">
        <f t="shared" si="30"/>
        <v>GUARDIAN</v>
      </c>
    </row>
    <row r="2000" spans="1:9" x14ac:dyDescent="0.25">
      <c r="A2000" t="str">
        <f>""</f>
        <v/>
      </c>
      <c r="F2000" t="str">
        <f>""</f>
        <v/>
      </c>
      <c r="G2000" t="str">
        <f>""</f>
        <v/>
      </c>
      <c r="I2000" t="str">
        <f t="shared" si="30"/>
        <v>GUARDIAN</v>
      </c>
    </row>
    <row r="2001" spans="1:9" x14ac:dyDescent="0.25">
      <c r="A2001" t="str">
        <f>""</f>
        <v/>
      </c>
      <c r="F2001" t="str">
        <f>""</f>
        <v/>
      </c>
      <c r="G2001" t="str">
        <f>""</f>
        <v/>
      </c>
      <c r="I2001" t="str">
        <f t="shared" si="30"/>
        <v>GUARDIAN</v>
      </c>
    </row>
    <row r="2002" spans="1:9" x14ac:dyDescent="0.25">
      <c r="A2002" t="str">
        <f>""</f>
        <v/>
      </c>
      <c r="F2002" t="str">
        <f>""</f>
        <v/>
      </c>
      <c r="G2002" t="str">
        <f>""</f>
        <v/>
      </c>
      <c r="I2002" t="str">
        <f t="shared" si="30"/>
        <v>GUARDIAN</v>
      </c>
    </row>
    <row r="2003" spans="1:9" x14ac:dyDescent="0.25">
      <c r="A2003" t="str">
        <f>""</f>
        <v/>
      </c>
      <c r="F2003" t="str">
        <f>"GDE201804180392"</f>
        <v>GDE201804180392</v>
      </c>
      <c r="G2003" t="str">
        <f>"GUARDIAN"</f>
        <v>GUARDIAN</v>
      </c>
      <c r="H2003">
        <v>148</v>
      </c>
      <c r="I2003" t="str">
        <f t="shared" si="30"/>
        <v>GUARDIAN</v>
      </c>
    </row>
    <row r="2004" spans="1:9" x14ac:dyDescent="0.25">
      <c r="A2004" t="str">
        <f>""</f>
        <v/>
      </c>
      <c r="F2004" t="str">
        <f>"GDF201804049962"</f>
        <v>GDF201804049962</v>
      </c>
      <c r="G2004" t="str">
        <f>"GUARDIAN"</f>
        <v>GUARDIAN</v>
      </c>
      <c r="H2004">
        <v>2172.6</v>
      </c>
      <c r="I2004" t="str">
        <f t="shared" si="30"/>
        <v>GUARDIAN</v>
      </c>
    </row>
    <row r="2005" spans="1:9" x14ac:dyDescent="0.25">
      <c r="A2005" t="str">
        <f>""</f>
        <v/>
      </c>
      <c r="F2005" t="str">
        <f>""</f>
        <v/>
      </c>
      <c r="G2005" t="str">
        <f>""</f>
        <v/>
      </c>
      <c r="I2005" t="str">
        <f t="shared" si="30"/>
        <v>GUARDIAN</v>
      </c>
    </row>
    <row r="2006" spans="1:9" x14ac:dyDescent="0.25">
      <c r="A2006" t="str">
        <f>""</f>
        <v/>
      </c>
      <c r="F2006" t="str">
        <f>""</f>
        <v/>
      </c>
      <c r="G2006" t="str">
        <f>""</f>
        <v/>
      </c>
      <c r="I2006" t="str">
        <f t="shared" si="30"/>
        <v>GUARDIAN</v>
      </c>
    </row>
    <row r="2007" spans="1:9" x14ac:dyDescent="0.25">
      <c r="A2007" t="str">
        <f>""</f>
        <v/>
      </c>
      <c r="F2007" t="str">
        <f>""</f>
        <v/>
      </c>
      <c r="G2007" t="str">
        <f>""</f>
        <v/>
      </c>
      <c r="I2007" t="str">
        <f t="shared" si="30"/>
        <v>GUARDIAN</v>
      </c>
    </row>
    <row r="2008" spans="1:9" x14ac:dyDescent="0.25">
      <c r="A2008" t="str">
        <f>""</f>
        <v/>
      </c>
      <c r="F2008" t="str">
        <f>""</f>
        <v/>
      </c>
      <c r="G2008" t="str">
        <f>""</f>
        <v/>
      </c>
      <c r="I2008" t="str">
        <f t="shared" si="30"/>
        <v>GUARDIAN</v>
      </c>
    </row>
    <row r="2009" spans="1:9" x14ac:dyDescent="0.25">
      <c r="A2009" t="str">
        <f>""</f>
        <v/>
      </c>
      <c r="F2009" t="str">
        <f>""</f>
        <v/>
      </c>
      <c r="G2009" t="str">
        <f>""</f>
        <v/>
      </c>
      <c r="I2009" t="str">
        <f t="shared" si="30"/>
        <v>GUARDIAN</v>
      </c>
    </row>
    <row r="2010" spans="1:9" x14ac:dyDescent="0.25">
      <c r="A2010" t="str">
        <f>""</f>
        <v/>
      </c>
      <c r="F2010" t="str">
        <f>""</f>
        <v/>
      </c>
      <c r="G2010" t="str">
        <f>""</f>
        <v/>
      </c>
      <c r="I2010" t="str">
        <f t="shared" si="30"/>
        <v>GUARDIAN</v>
      </c>
    </row>
    <row r="2011" spans="1:9" x14ac:dyDescent="0.25">
      <c r="A2011" t="str">
        <f>""</f>
        <v/>
      </c>
      <c r="F2011" t="str">
        <f>""</f>
        <v/>
      </c>
      <c r="G2011" t="str">
        <f>""</f>
        <v/>
      </c>
      <c r="I2011" t="str">
        <f t="shared" si="30"/>
        <v>GUARDIAN</v>
      </c>
    </row>
    <row r="2012" spans="1:9" x14ac:dyDescent="0.25">
      <c r="A2012" t="str">
        <f>""</f>
        <v/>
      </c>
      <c r="F2012" t="str">
        <f>""</f>
        <v/>
      </c>
      <c r="G2012" t="str">
        <f>""</f>
        <v/>
      </c>
      <c r="I2012" t="str">
        <f t="shared" si="30"/>
        <v>GUARDIAN</v>
      </c>
    </row>
    <row r="2013" spans="1:9" x14ac:dyDescent="0.25">
      <c r="A2013" t="str">
        <f>""</f>
        <v/>
      </c>
      <c r="F2013" t="str">
        <f>""</f>
        <v/>
      </c>
      <c r="G2013" t="str">
        <f>""</f>
        <v/>
      </c>
      <c r="I2013" t="str">
        <f t="shared" si="30"/>
        <v>GUARDIAN</v>
      </c>
    </row>
    <row r="2014" spans="1:9" x14ac:dyDescent="0.25">
      <c r="A2014" t="str">
        <f>""</f>
        <v/>
      </c>
      <c r="F2014" t="str">
        <f>""</f>
        <v/>
      </c>
      <c r="G2014" t="str">
        <f>""</f>
        <v/>
      </c>
      <c r="I2014" t="str">
        <f t="shared" si="30"/>
        <v>GUARDIAN</v>
      </c>
    </row>
    <row r="2015" spans="1:9" x14ac:dyDescent="0.25">
      <c r="A2015" t="str">
        <f>""</f>
        <v/>
      </c>
      <c r="F2015" t="str">
        <f>""</f>
        <v/>
      </c>
      <c r="G2015" t="str">
        <f>""</f>
        <v/>
      </c>
      <c r="I2015" t="str">
        <f t="shared" si="30"/>
        <v>GUARDIAN</v>
      </c>
    </row>
    <row r="2016" spans="1:9" x14ac:dyDescent="0.25">
      <c r="A2016" t="str">
        <f>""</f>
        <v/>
      </c>
      <c r="F2016" t="str">
        <f>""</f>
        <v/>
      </c>
      <c r="G2016" t="str">
        <f>""</f>
        <v/>
      </c>
      <c r="I2016" t="str">
        <f t="shared" si="30"/>
        <v>GUARDIAN</v>
      </c>
    </row>
    <row r="2017" spans="1:9" x14ac:dyDescent="0.25">
      <c r="A2017" t="str">
        <f>""</f>
        <v/>
      </c>
      <c r="F2017" t="str">
        <f>""</f>
        <v/>
      </c>
      <c r="G2017" t="str">
        <f>""</f>
        <v/>
      </c>
      <c r="I2017" t="str">
        <f t="shared" si="30"/>
        <v>GUARDIAN</v>
      </c>
    </row>
    <row r="2018" spans="1:9" x14ac:dyDescent="0.25">
      <c r="A2018" t="str">
        <f>""</f>
        <v/>
      </c>
      <c r="F2018" t="str">
        <f>""</f>
        <v/>
      </c>
      <c r="G2018" t="str">
        <f>""</f>
        <v/>
      </c>
      <c r="I2018" t="str">
        <f t="shared" si="30"/>
        <v>GUARDIAN</v>
      </c>
    </row>
    <row r="2019" spans="1:9" x14ac:dyDescent="0.25">
      <c r="A2019" t="str">
        <f>""</f>
        <v/>
      </c>
      <c r="F2019" t="str">
        <f>""</f>
        <v/>
      </c>
      <c r="G2019" t="str">
        <f>""</f>
        <v/>
      </c>
      <c r="I2019" t="str">
        <f t="shared" si="30"/>
        <v>GUARDIAN</v>
      </c>
    </row>
    <row r="2020" spans="1:9" x14ac:dyDescent="0.25">
      <c r="A2020" t="str">
        <f>""</f>
        <v/>
      </c>
      <c r="F2020" t="str">
        <f>""</f>
        <v/>
      </c>
      <c r="G2020" t="str">
        <f>""</f>
        <v/>
      </c>
      <c r="I2020" t="str">
        <f t="shared" si="30"/>
        <v>GUARDIAN</v>
      </c>
    </row>
    <row r="2021" spans="1:9" x14ac:dyDescent="0.25">
      <c r="A2021" t="str">
        <f>""</f>
        <v/>
      </c>
      <c r="F2021" t="str">
        <f>""</f>
        <v/>
      </c>
      <c r="G2021" t="str">
        <f>""</f>
        <v/>
      </c>
      <c r="I2021" t="str">
        <f t="shared" si="30"/>
        <v>GUARDIAN</v>
      </c>
    </row>
    <row r="2022" spans="1:9" x14ac:dyDescent="0.25">
      <c r="A2022" t="str">
        <f>""</f>
        <v/>
      </c>
      <c r="F2022" t="str">
        <f>""</f>
        <v/>
      </c>
      <c r="G2022" t="str">
        <f>""</f>
        <v/>
      </c>
      <c r="I2022" t="str">
        <f t="shared" si="30"/>
        <v>GUARDIAN</v>
      </c>
    </row>
    <row r="2023" spans="1:9" x14ac:dyDescent="0.25">
      <c r="A2023" t="str">
        <f>""</f>
        <v/>
      </c>
      <c r="F2023" t="str">
        <f>""</f>
        <v/>
      </c>
      <c r="G2023" t="str">
        <f>""</f>
        <v/>
      </c>
      <c r="I2023" t="str">
        <f t="shared" si="30"/>
        <v>GUARDIAN</v>
      </c>
    </row>
    <row r="2024" spans="1:9" x14ac:dyDescent="0.25">
      <c r="A2024" t="str">
        <f>""</f>
        <v/>
      </c>
      <c r="F2024" t="str">
        <f>""</f>
        <v/>
      </c>
      <c r="G2024" t="str">
        <f>""</f>
        <v/>
      </c>
      <c r="I2024" t="str">
        <f t="shared" si="30"/>
        <v>GUARDIAN</v>
      </c>
    </row>
    <row r="2025" spans="1:9" x14ac:dyDescent="0.25">
      <c r="A2025" t="str">
        <f>""</f>
        <v/>
      </c>
      <c r="F2025" t="str">
        <f>"GDF201804049989"</f>
        <v>GDF201804049989</v>
      </c>
      <c r="G2025" t="str">
        <f>"GUARDIAN"</f>
        <v>GUARDIAN</v>
      </c>
      <c r="H2025">
        <v>144.84</v>
      </c>
      <c r="I2025" t="str">
        <f t="shared" si="30"/>
        <v>GUARDIAN</v>
      </c>
    </row>
    <row r="2026" spans="1:9" x14ac:dyDescent="0.25">
      <c r="A2026" t="str">
        <f>""</f>
        <v/>
      </c>
      <c r="F2026" t="str">
        <f>""</f>
        <v/>
      </c>
      <c r="G2026" t="str">
        <f>""</f>
        <v/>
      </c>
      <c r="I2026" t="str">
        <f t="shared" si="30"/>
        <v>GUARDIAN</v>
      </c>
    </row>
    <row r="2027" spans="1:9" x14ac:dyDescent="0.25">
      <c r="A2027" t="str">
        <f>""</f>
        <v/>
      </c>
      <c r="F2027" t="str">
        <f>"GDF201804180391"</f>
        <v>GDF201804180391</v>
      </c>
      <c r="G2027" t="str">
        <f>"GUARDIAN"</f>
        <v>GUARDIAN</v>
      </c>
      <c r="H2027">
        <v>2172.6</v>
      </c>
      <c r="I2027" t="str">
        <f t="shared" si="30"/>
        <v>GUARDIAN</v>
      </c>
    </row>
    <row r="2028" spans="1:9" x14ac:dyDescent="0.25">
      <c r="A2028" t="str">
        <f>""</f>
        <v/>
      </c>
      <c r="F2028" t="str">
        <f>""</f>
        <v/>
      </c>
      <c r="G2028" t="str">
        <f>""</f>
        <v/>
      </c>
      <c r="I2028" t="str">
        <f t="shared" si="30"/>
        <v>GUARDIAN</v>
      </c>
    </row>
    <row r="2029" spans="1:9" x14ac:dyDescent="0.25">
      <c r="A2029" t="str">
        <f>""</f>
        <v/>
      </c>
      <c r="F2029" t="str">
        <f>""</f>
        <v/>
      </c>
      <c r="G2029" t="str">
        <f>""</f>
        <v/>
      </c>
      <c r="I2029" t="str">
        <f t="shared" si="30"/>
        <v>GUARDIAN</v>
      </c>
    </row>
    <row r="2030" spans="1:9" x14ac:dyDescent="0.25">
      <c r="A2030" t="str">
        <f>""</f>
        <v/>
      </c>
      <c r="F2030" t="str">
        <f>""</f>
        <v/>
      </c>
      <c r="G2030" t="str">
        <f>""</f>
        <v/>
      </c>
      <c r="I2030" t="str">
        <f t="shared" si="30"/>
        <v>GUARDIAN</v>
      </c>
    </row>
    <row r="2031" spans="1:9" x14ac:dyDescent="0.25">
      <c r="A2031" t="str">
        <f>""</f>
        <v/>
      </c>
      <c r="F2031" t="str">
        <f>""</f>
        <v/>
      </c>
      <c r="G2031" t="str">
        <f>""</f>
        <v/>
      </c>
      <c r="I2031" t="str">
        <f t="shared" si="30"/>
        <v>GUARDIAN</v>
      </c>
    </row>
    <row r="2032" spans="1:9" x14ac:dyDescent="0.25">
      <c r="A2032" t="str">
        <f>""</f>
        <v/>
      </c>
      <c r="F2032" t="str">
        <f>""</f>
        <v/>
      </c>
      <c r="G2032" t="str">
        <f>""</f>
        <v/>
      </c>
      <c r="I2032" t="str">
        <f t="shared" ref="I2032:I2095" si="31">"GUARDIAN"</f>
        <v>GUARDIAN</v>
      </c>
    </row>
    <row r="2033" spans="1:9" x14ac:dyDescent="0.25">
      <c r="A2033" t="str">
        <f>""</f>
        <v/>
      </c>
      <c r="F2033" t="str">
        <f>""</f>
        <v/>
      </c>
      <c r="G2033" t="str">
        <f>""</f>
        <v/>
      </c>
      <c r="I2033" t="str">
        <f t="shared" si="31"/>
        <v>GUARDIAN</v>
      </c>
    </row>
    <row r="2034" spans="1:9" x14ac:dyDescent="0.25">
      <c r="A2034" t="str">
        <f>""</f>
        <v/>
      </c>
      <c r="F2034" t="str">
        <f>""</f>
        <v/>
      </c>
      <c r="G2034" t="str">
        <f>""</f>
        <v/>
      </c>
      <c r="I2034" t="str">
        <f t="shared" si="31"/>
        <v>GUARDIAN</v>
      </c>
    </row>
    <row r="2035" spans="1:9" x14ac:dyDescent="0.25">
      <c r="A2035" t="str">
        <f>""</f>
        <v/>
      </c>
      <c r="F2035" t="str">
        <f>""</f>
        <v/>
      </c>
      <c r="G2035" t="str">
        <f>""</f>
        <v/>
      </c>
      <c r="I2035" t="str">
        <f t="shared" si="31"/>
        <v>GUARDIAN</v>
      </c>
    </row>
    <row r="2036" spans="1:9" x14ac:dyDescent="0.25">
      <c r="A2036" t="str">
        <f>""</f>
        <v/>
      </c>
      <c r="F2036" t="str">
        <f>""</f>
        <v/>
      </c>
      <c r="G2036" t="str">
        <f>""</f>
        <v/>
      </c>
      <c r="I2036" t="str">
        <f t="shared" si="31"/>
        <v>GUARDIAN</v>
      </c>
    </row>
    <row r="2037" spans="1:9" x14ac:dyDescent="0.25">
      <c r="A2037" t="str">
        <f>""</f>
        <v/>
      </c>
      <c r="F2037" t="str">
        <f>""</f>
        <v/>
      </c>
      <c r="G2037" t="str">
        <f>""</f>
        <v/>
      </c>
      <c r="I2037" t="str">
        <f t="shared" si="31"/>
        <v>GUARDIAN</v>
      </c>
    </row>
    <row r="2038" spans="1:9" x14ac:dyDescent="0.25">
      <c r="A2038" t="str">
        <f>""</f>
        <v/>
      </c>
      <c r="F2038" t="str">
        <f>""</f>
        <v/>
      </c>
      <c r="G2038" t="str">
        <f>""</f>
        <v/>
      </c>
      <c r="I2038" t="str">
        <f t="shared" si="31"/>
        <v>GUARDIAN</v>
      </c>
    </row>
    <row r="2039" spans="1:9" x14ac:dyDescent="0.25">
      <c r="A2039" t="str">
        <f>""</f>
        <v/>
      </c>
      <c r="F2039" t="str">
        <f>""</f>
        <v/>
      </c>
      <c r="G2039" t="str">
        <f>""</f>
        <v/>
      </c>
      <c r="I2039" t="str">
        <f t="shared" si="31"/>
        <v>GUARDIAN</v>
      </c>
    </row>
    <row r="2040" spans="1:9" x14ac:dyDescent="0.25">
      <c r="A2040" t="str">
        <f>""</f>
        <v/>
      </c>
      <c r="F2040" t="str">
        <f>""</f>
        <v/>
      </c>
      <c r="G2040" t="str">
        <f>""</f>
        <v/>
      </c>
      <c r="I2040" t="str">
        <f t="shared" si="31"/>
        <v>GUARDIAN</v>
      </c>
    </row>
    <row r="2041" spans="1:9" x14ac:dyDescent="0.25">
      <c r="A2041" t="str">
        <f>""</f>
        <v/>
      </c>
      <c r="F2041" t="str">
        <f>""</f>
        <v/>
      </c>
      <c r="G2041" t="str">
        <f>""</f>
        <v/>
      </c>
      <c r="I2041" t="str">
        <f t="shared" si="31"/>
        <v>GUARDIAN</v>
      </c>
    </row>
    <row r="2042" spans="1:9" x14ac:dyDescent="0.25">
      <c r="A2042" t="str">
        <f>""</f>
        <v/>
      </c>
      <c r="F2042" t="str">
        <f>""</f>
        <v/>
      </c>
      <c r="G2042" t="str">
        <f>""</f>
        <v/>
      </c>
      <c r="I2042" t="str">
        <f t="shared" si="31"/>
        <v>GUARDIAN</v>
      </c>
    </row>
    <row r="2043" spans="1:9" x14ac:dyDescent="0.25">
      <c r="A2043" t="str">
        <f>""</f>
        <v/>
      </c>
      <c r="F2043" t="str">
        <f>""</f>
        <v/>
      </c>
      <c r="G2043" t="str">
        <f>""</f>
        <v/>
      </c>
      <c r="I2043" t="str">
        <f t="shared" si="31"/>
        <v>GUARDIAN</v>
      </c>
    </row>
    <row r="2044" spans="1:9" x14ac:dyDescent="0.25">
      <c r="A2044" t="str">
        <f>""</f>
        <v/>
      </c>
      <c r="F2044" t="str">
        <f>""</f>
        <v/>
      </c>
      <c r="G2044" t="str">
        <f>""</f>
        <v/>
      </c>
      <c r="I2044" t="str">
        <f t="shared" si="31"/>
        <v>GUARDIAN</v>
      </c>
    </row>
    <row r="2045" spans="1:9" x14ac:dyDescent="0.25">
      <c r="A2045" t="str">
        <f>""</f>
        <v/>
      </c>
      <c r="F2045" t="str">
        <f>""</f>
        <v/>
      </c>
      <c r="G2045" t="str">
        <f>""</f>
        <v/>
      </c>
      <c r="I2045" t="str">
        <f t="shared" si="31"/>
        <v>GUARDIAN</v>
      </c>
    </row>
    <row r="2046" spans="1:9" x14ac:dyDescent="0.25">
      <c r="A2046" t="str">
        <f>""</f>
        <v/>
      </c>
      <c r="F2046" t="str">
        <f>""</f>
        <v/>
      </c>
      <c r="G2046" t="str">
        <f>""</f>
        <v/>
      </c>
      <c r="I2046" t="str">
        <f t="shared" si="31"/>
        <v>GUARDIAN</v>
      </c>
    </row>
    <row r="2047" spans="1:9" x14ac:dyDescent="0.25">
      <c r="A2047" t="str">
        <f>""</f>
        <v/>
      </c>
      <c r="F2047" t="str">
        <f>""</f>
        <v/>
      </c>
      <c r="G2047" t="str">
        <f>""</f>
        <v/>
      </c>
      <c r="I2047" t="str">
        <f t="shared" si="31"/>
        <v>GUARDIAN</v>
      </c>
    </row>
    <row r="2048" spans="1:9" x14ac:dyDescent="0.25">
      <c r="A2048" t="str">
        <f>""</f>
        <v/>
      </c>
      <c r="F2048" t="str">
        <f>""</f>
        <v/>
      </c>
      <c r="G2048" t="str">
        <f>""</f>
        <v/>
      </c>
      <c r="I2048" t="str">
        <f t="shared" si="31"/>
        <v>GUARDIAN</v>
      </c>
    </row>
    <row r="2049" spans="1:9" x14ac:dyDescent="0.25">
      <c r="A2049" t="str">
        <f>""</f>
        <v/>
      </c>
      <c r="F2049" t="str">
        <f>"GDF201804180392"</f>
        <v>GDF201804180392</v>
      </c>
      <c r="G2049" t="str">
        <f>"GUARDIAN"</f>
        <v>GUARDIAN</v>
      </c>
      <c r="H2049">
        <v>144.84</v>
      </c>
      <c r="I2049" t="str">
        <f t="shared" si="31"/>
        <v>GUARDIAN</v>
      </c>
    </row>
    <row r="2050" spans="1:9" x14ac:dyDescent="0.25">
      <c r="A2050" t="str">
        <f>""</f>
        <v/>
      </c>
      <c r="F2050" t="str">
        <f>""</f>
        <v/>
      </c>
      <c r="G2050" t="str">
        <f>""</f>
        <v/>
      </c>
      <c r="I2050" t="str">
        <f t="shared" si="31"/>
        <v>GUARDIAN</v>
      </c>
    </row>
    <row r="2051" spans="1:9" x14ac:dyDescent="0.25">
      <c r="A2051" t="str">
        <f>""</f>
        <v/>
      </c>
      <c r="F2051" t="str">
        <f>"GDS201804049962"</f>
        <v>GDS201804049962</v>
      </c>
      <c r="G2051" t="str">
        <f>"GUARDIAN"</f>
        <v>GUARDIAN</v>
      </c>
      <c r="H2051">
        <v>1729.56</v>
      </c>
      <c r="I2051" t="str">
        <f t="shared" si="31"/>
        <v>GUARDIAN</v>
      </c>
    </row>
    <row r="2052" spans="1:9" x14ac:dyDescent="0.25">
      <c r="A2052" t="str">
        <f>""</f>
        <v/>
      </c>
      <c r="F2052" t="str">
        <f>""</f>
        <v/>
      </c>
      <c r="G2052" t="str">
        <f>""</f>
        <v/>
      </c>
      <c r="I2052" t="str">
        <f t="shared" si="31"/>
        <v>GUARDIAN</v>
      </c>
    </row>
    <row r="2053" spans="1:9" x14ac:dyDescent="0.25">
      <c r="A2053" t="str">
        <f>""</f>
        <v/>
      </c>
      <c r="F2053" t="str">
        <f>""</f>
        <v/>
      </c>
      <c r="G2053" t="str">
        <f>""</f>
        <v/>
      </c>
      <c r="I2053" t="str">
        <f t="shared" si="31"/>
        <v>GUARDIAN</v>
      </c>
    </row>
    <row r="2054" spans="1:9" x14ac:dyDescent="0.25">
      <c r="A2054" t="str">
        <f>""</f>
        <v/>
      </c>
      <c r="F2054" t="str">
        <f>""</f>
        <v/>
      </c>
      <c r="G2054" t="str">
        <f>""</f>
        <v/>
      </c>
      <c r="I2054" t="str">
        <f t="shared" si="31"/>
        <v>GUARDIAN</v>
      </c>
    </row>
    <row r="2055" spans="1:9" x14ac:dyDescent="0.25">
      <c r="A2055" t="str">
        <f>""</f>
        <v/>
      </c>
      <c r="F2055" t="str">
        <f>""</f>
        <v/>
      </c>
      <c r="G2055" t="str">
        <f>""</f>
        <v/>
      </c>
      <c r="I2055" t="str">
        <f t="shared" si="31"/>
        <v>GUARDIAN</v>
      </c>
    </row>
    <row r="2056" spans="1:9" x14ac:dyDescent="0.25">
      <c r="A2056" t="str">
        <f>""</f>
        <v/>
      </c>
      <c r="F2056" t="str">
        <f>""</f>
        <v/>
      </c>
      <c r="G2056" t="str">
        <f>""</f>
        <v/>
      </c>
      <c r="I2056" t="str">
        <f t="shared" si="31"/>
        <v>GUARDIAN</v>
      </c>
    </row>
    <row r="2057" spans="1:9" x14ac:dyDescent="0.25">
      <c r="A2057" t="str">
        <f>""</f>
        <v/>
      </c>
      <c r="F2057" t="str">
        <f>""</f>
        <v/>
      </c>
      <c r="G2057" t="str">
        <f>""</f>
        <v/>
      </c>
      <c r="I2057" t="str">
        <f t="shared" si="31"/>
        <v>GUARDIAN</v>
      </c>
    </row>
    <row r="2058" spans="1:9" x14ac:dyDescent="0.25">
      <c r="A2058" t="str">
        <f>""</f>
        <v/>
      </c>
      <c r="F2058" t="str">
        <f>""</f>
        <v/>
      </c>
      <c r="G2058" t="str">
        <f>""</f>
        <v/>
      </c>
      <c r="I2058" t="str">
        <f t="shared" si="31"/>
        <v>GUARDIAN</v>
      </c>
    </row>
    <row r="2059" spans="1:9" x14ac:dyDescent="0.25">
      <c r="A2059" t="str">
        <f>""</f>
        <v/>
      </c>
      <c r="F2059" t="str">
        <f>""</f>
        <v/>
      </c>
      <c r="G2059" t="str">
        <f>""</f>
        <v/>
      </c>
      <c r="I2059" t="str">
        <f t="shared" si="31"/>
        <v>GUARDIAN</v>
      </c>
    </row>
    <row r="2060" spans="1:9" x14ac:dyDescent="0.25">
      <c r="A2060" t="str">
        <f>""</f>
        <v/>
      </c>
      <c r="F2060" t="str">
        <f>""</f>
        <v/>
      </c>
      <c r="G2060" t="str">
        <f>""</f>
        <v/>
      </c>
      <c r="I2060" t="str">
        <f t="shared" si="31"/>
        <v>GUARDIAN</v>
      </c>
    </row>
    <row r="2061" spans="1:9" x14ac:dyDescent="0.25">
      <c r="A2061" t="str">
        <f>""</f>
        <v/>
      </c>
      <c r="F2061" t="str">
        <f>""</f>
        <v/>
      </c>
      <c r="G2061" t="str">
        <f>""</f>
        <v/>
      </c>
      <c r="I2061" t="str">
        <f t="shared" si="31"/>
        <v>GUARDIAN</v>
      </c>
    </row>
    <row r="2062" spans="1:9" x14ac:dyDescent="0.25">
      <c r="A2062" t="str">
        <f>""</f>
        <v/>
      </c>
      <c r="F2062" t="str">
        <f>""</f>
        <v/>
      </c>
      <c r="G2062" t="str">
        <f>""</f>
        <v/>
      </c>
      <c r="I2062" t="str">
        <f t="shared" si="31"/>
        <v>GUARDIAN</v>
      </c>
    </row>
    <row r="2063" spans="1:9" x14ac:dyDescent="0.25">
      <c r="A2063" t="str">
        <f>""</f>
        <v/>
      </c>
      <c r="F2063" t="str">
        <f>""</f>
        <v/>
      </c>
      <c r="G2063" t="str">
        <f>""</f>
        <v/>
      </c>
      <c r="I2063" t="str">
        <f t="shared" si="31"/>
        <v>GUARDIAN</v>
      </c>
    </row>
    <row r="2064" spans="1:9" x14ac:dyDescent="0.25">
      <c r="A2064" t="str">
        <f>""</f>
        <v/>
      </c>
      <c r="F2064" t="str">
        <f>""</f>
        <v/>
      </c>
      <c r="G2064" t="str">
        <f>""</f>
        <v/>
      </c>
      <c r="I2064" t="str">
        <f t="shared" si="31"/>
        <v>GUARDIAN</v>
      </c>
    </row>
    <row r="2065" spans="1:9" x14ac:dyDescent="0.25">
      <c r="A2065" t="str">
        <f>""</f>
        <v/>
      </c>
      <c r="F2065" t="str">
        <f>""</f>
        <v/>
      </c>
      <c r="G2065" t="str">
        <f>""</f>
        <v/>
      </c>
      <c r="I2065" t="str">
        <f t="shared" si="31"/>
        <v>GUARDIAN</v>
      </c>
    </row>
    <row r="2066" spans="1:9" x14ac:dyDescent="0.25">
      <c r="A2066" t="str">
        <f>""</f>
        <v/>
      </c>
      <c r="F2066" t="str">
        <f>""</f>
        <v/>
      </c>
      <c r="G2066" t="str">
        <f>""</f>
        <v/>
      </c>
      <c r="I2066" t="str">
        <f t="shared" si="31"/>
        <v>GUARDIAN</v>
      </c>
    </row>
    <row r="2067" spans="1:9" x14ac:dyDescent="0.25">
      <c r="A2067" t="str">
        <f>""</f>
        <v/>
      </c>
      <c r="F2067" t="str">
        <f>""</f>
        <v/>
      </c>
      <c r="G2067" t="str">
        <f>""</f>
        <v/>
      </c>
      <c r="I2067" t="str">
        <f t="shared" si="31"/>
        <v>GUARDIAN</v>
      </c>
    </row>
    <row r="2068" spans="1:9" x14ac:dyDescent="0.25">
      <c r="A2068" t="str">
        <f>""</f>
        <v/>
      </c>
      <c r="F2068" t="str">
        <f>""</f>
        <v/>
      </c>
      <c r="G2068" t="str">
        <f>""</f>
        <v/>
      </c>
      <c r="I2068" t="str">
        <f t="shared" si="31"/>
        <v>GUARDIAN</v>
      </c>
    </row>
    <row r="2069" spans="1:9" x14ac:dyDescent="0.25">
      <c r="A2069" t="str">
        <f>""</f>
        <v/>
      </c>
      <c r="F2069" t="str">
        <f>""</f>
        <v/>
      </c>
      <c r="G2069" t="str">
        <f>""</f>
        <v/>
      </c>
      <c r="I2069" t="str">
        <f t="shared" si="31"/>
        <v>GUARDIAN</v>
      </c>
    </row>
    <row r="2070" spans="1:9" x14ac:dyDescent="0.25">
      <c r="A2070" t="str">
        <f>""</f>
        <v/>
      </c>
      <c r="F2070" t="str">
        <f>""</f>
        <v/>
      </c>
      <c r="G2070" t="str">
        <f>""</f>
        <v/>
      </c>
      <c r="I2070" t="str">
        <f t="shared" si="31"/>
        <v>GUARDIAN</v>
      </c>
    </row>
    <row r="2071" spans="1:9" x14ac:dyDescent="0.25">
      <c r="A2071" t="str">
        <f>""</f>
        <v/>
      </c>
      <c r="F2071" t="str">
        <f>""</f>
        <v/>
      </c>
      <c r="G2071" t="str">
        <f>""</f>
        <v/>
      </c>
      <c r="I2071" t="str">
        <f t="shared" si="31"/>
        <v>GUARDIAN</v>
      </c>
    </row>
    <row r="2072" spans="1:9" x14ac:dyDescent="0.25">
      <c r="A2072" t="str">
        <f>""</f>
        <v/>
      </c>
      <c r="F2072" t="str">
        <f>""</f>
        <v/>
      </c>
      <c r="G2072" t="str">
        <f>""</f>
        <v/>
      </c>
      <c r="I2072" t="str">
        <f t="shared" si="31"/>
        <v>GUARDIAN</v>
      </c>
    </row>
    <row r="2073" spans="1:9" x14ac:dyDescent="0.25">
      <c r="A2073" t="str">
        <f>""</f>
        <v/>
      </c>
      <c r="F2073" t="str">
        <f>""</f>
        <v/>
      </c>
      <c r="G2073" t="str">
        <f>""</f>
        <v/>
      </c>
      <c r="I2073" t="str">
        <f t="shared" si="31"/>
        <v>GUARDIAN</v>
      </c>
    </row>
    <row r="2074" spans="1:9" x14ac:dyDescent="0.25">
      <c r="A2074" t="str">
        <f>""</f>
        <v/>
      </c>
      <c r="F2074" t="str">
        <f>""</f>
        <v/>
      </c>
      <c r="G2074" t="str">
        <f>""</f>
        <v/>
      </c>
      <c r="I2074" t="str">
        <f t="shared" si="31"/>
        <v>GUARDIAN</v>
      </c>
    </row>
    <row r="2075" spans="1:9" x14ac:dyDescent="0.25">
      <c r="A2075" t="str">
        <f>""</f>
        <v/>
      </c>
      <c r="F2075" t="str">
        <f>""</f>
        <v/>
      </c>
      <c r="G2075" t="str">
        <f>""</f>
        <v/>
      </c>
      <c r="I2075" t="str">
        <f t="shared" si="31"/>
        <v>GUARDIAN</v>
      </c>
    </row>
    <row r="2076" spans="1:9" x14ac:dyDescent="0.25">
      <c r="A2076" t="str">
        <f>""</f>
        <v/>
      </c>
      <c r="F2076" t="str">
        <f>""</f>
        <v/>
      </c>
      <c r="G2076" t="str">
        <f>""</f>
        <v/>
      </c>
      <c r="I2076" t="str">
        <f t="shared" si="31"/>
        <v>GUARDIAN</v>
      </c>
    </row>
    <row r="2077" spans="1:9" x14ac:dyDescent="0.25">
      <c r="A2077" t="str">
        <f>""</f>
        <v/>
      </c>
      <c r="F2077" t="str">
        <f>"GDS201804049989"</f>
        <v>GDS201804049989</v>
      </c>
      <c r="G2077" t="str">
        <f>"GUARDIAN"</f>
        <v>GUARDIAN</v>
      </c>
      <c r="H2077">
        <v>29.82</v>
      </c>
      <c r="I2077" t="str">
        <f t="shared" si="31"/>
        <v>GUARDIAN</v>
      </c>
    </row>
    <row r="2078" spans="1:9" x14ac:dyDescent="0.25">
      <c r="A2078" t="str">
        <f>""</f>
        <v/>
      </c>
      <c r="F2078" t="str">
        <f>""</f>
        <v/>
      </c>
      <c r="G2078" t="str">
        <f>""</f>
        <v/>
      </c>
      <c r="I2078" t="str">
        <f t="shared" si="31"/>
        <v>GUARDIAN</v>
      </c>
    </row>
    <row r="2079" spans="1:9" x14ac:dyDescent="0.25">
      <c r="A2079" t="str">
        <f>""</f>
        <v/>
      </c>
      <c r="F2079" t="str">
        <f>"GDS201804180391"</f>
        <v>GDS201804180391</v>
      </c>
      <c r="G2079" t="str">
        <f>"GUARDIAN"</f>
        <v>GUARDIAN</v>
      </c>
      <c r="H2079">
        <v>1729.56</v>
      </c>
      <c r="I2079" t="str">
        <f t="shared" si="31"/>
        <v>GUARDIAN</v>
      </c>
    </row>
    <row r="2080" spans="1:9" x14ac:dyDescent="0.25">
      <c r="A2080" t="str">
        <f>""</f>
        <v/>
      </c>
      <c r="F2080" t="str">
        <f>""</f>
        <v/>
      </c>
      <c r="G2080" t="str">
        <f>""</f>
        <v/>
      </c>
      <c r="I2080" t="str">
        <f t="shared" si="31"/>
        <v>GUARDIAN</v>
      </c>
    </row>
    <row r="2081" spans="1:9" x14ac:dyDescent="0.25">
      <c r="A2081" t="str">
        <f>""</f>
        <v/>
      </c>
      <c r="F2081" t="str">
        <f>""</f>
        <v/>
      </c>
      <c r="G2081" t="str">
        <f>""</f>
        <v/>
      </c>
      <c r="I2081" t="str">
        <f t="shared" si="31"/>
        <v>GUARDIAN</v>
      </c>
    </row>
    <row r="2082" spans="1:9" x14ac:dyDescent="0.25">
      <c r="A2082" t="str">
        <f>""</f>
        <v/>
      </c>
      <c r="F2082" t="str">
        <f>""</f>
        <v/>
      </c>
      <c r="G2082" t="str">
        <f>""</f>
        <v/>
      </c>
      <c r="I2082" t="str">
        <f t="shared" si="31"/>
        <v>GUARDIAN</v>
      </c>
    </row>
    <row r="2083" spans="1:9" x14ac:dyDescent="0.25">
      <c r="A2083" t="str">
        <f>""</f>
        <v/>
      </c>
      <c r="F2083" t="str">
        <f>""</f>
        <v/>
      </c>
      <c r="G2083" t="str">
        <f>""</f>
        <v/>
      </c>
      <c r="I2083" t="str">
        <f t="shared" si="31"/>
        <v>GUARDIAN</v>
      </c>
    </row>
    <row r="2084" spans="1:9" x14ac:dyDescent="0.25">
      <c r="A2084" t="str">
        <f>""</f>
        <v/>
      </c>
      <c r="F2084" t="str">
        <f>""</f>
        <v/>
      </c>
      <c r="G2084" t="str">
        <f>""</f>
        <v/>
      </c>
      <c r="I2084" t="str">
        <f t="shared" si="31"/>
        <v>GUARDIAN</v>
      </c>
    </row>
    <row r="2085" spans="1:9" x14ac:dyDescent="0.25">
      <c r="A2085" t="str">
        <f>""</f>
        <v/>
      </c>
      <c r="F2085" t="str">
        <f>""</f>
        <v/>
      </c>
      <c r="G2085" t="str">
        <f>""</f>
        <v/>
      </c>
      <c r="I2085" t="str">
        <f t="shared" si="31"/>
        <v>GUARDIAN</v>
      </c>
    </row>
    <row r="2086" spans="1:9" x14ac:dyDescent="0.25">
      <c r="A2086" t="str">
        <f>""</f>
        <v/>
      </c>
      <c r="F2086" t="str">
        <f>""</f>
        <v/>
      </c>
      <c r="G2086" t="str">
        <f>""</f>
        <v/>
      </c>
      <c r="I2086" t="str">
        <f t="shared" si="31"/>
        <v>GUARDIAN</v>
      </c>
    </row>
    <row r="2087" spans="1:9" x14ac:dyDescent="0.25">
      <c r="A2087" t="str">
        <f>""</f>
        <v/>
      </c>
      <c r="F2087" t="str">
        <f>""</f>
        <v/>
      </c>
      <c r="G2087" t="str">
        <f>""</f>
        <v/>
      </c>
      <c r="I2087" t="str">
        <f t="shared" si="31"/>
        <v>GUARDIAN</v>
      </c>
    </row>
    <row r="2088" spans="1:9" x14ac:dyDescent="0.25">
      <c r="A2088" t="str">
        <f>""</f>
        <v/>
      </c>
      <c r="F2088" t="str">
        <f>""</f>
        <v/>
      </c>
      <c r="G2088" t="str">
        <f>""</f>
        <v/>
      </c>
      <c r="I2088" t="str">
        <f t="shared" si="31"/>
        <v>GUARDIAN</v>
      </c>
    </row>
    <row r="2089" spans="1:9" x14ac:dyDescent="0.25">
      <c r="A2089" t="str">
        <f>""</f>
        <v/>
      </c>
      <c r="F2089" t="str">
        <f>""</f>
        <v/>
      </c>
      <c r="G2089" t="str">
        <f>""</f>
        <v/>
      </c>
      <c r="I2089" t="str">
        <f t="shared" si="31"/>
        <v>GUARDIAN</v>
      </c>
    </row>
    <row r="2090" spans="1:9" x14ac:dyDescent="0.25">
      <c r="A2090" t="str">
        <f>""</f>
        <v/>
      </c>
      <c r="F2090" t="str">
        <f>""</f>
        <v/>
      </c>
      <c r="G2090" t="str">
        <f>""</f>
        <v/>
      </c>
      <c r="I2090" t="str">
        <f t="shared" si="31"/>
        <v>GUARDIAN</v>
      </c>
    </row>
    <row r="2091" spans="1:9" x14ac:dyDescent="0.25">
      <c r="A2091" t="str">
        <f>""</f>
        <v/>
      </c>
      <c r="F2091" t="str">
        <f>""</f>
        <v/>
      </c>
      <c r="G2091" t="str">
        <f>""</f>
        <v/>
      </c>
      <c r="I2091" t="str">
        <f t="shared" si="31"/>
        <v>GUARDIAN</v>
      </c>
    </row>
    <row r="2092" spans="1:9" x14ac:dyDescent="0.25">
      <c r="A2092" t="str">
        <f>""</f>
        <v/>
      </c>
      <c r="F2092" t="str">
        <f>""</f>
        <v/>
      </c>
      <c r="G2092" t="str">
        <f>""</f>
        <v/>
      </c>
      <c r="I2092" t="str">
        <f t="shared" si="31"/>
        <v>GUARDIAN</v>
      </c>
    </row>
    <row r="2093" spans="1:9" x14ac:dyDescent="0.25">
      <c r="A2093" t="str">
        <f>""</f>
        <v/>
      </c>
      <c r="F2093" t="str">
        <f>""</f>
        <v/>
      </c>
      <c r="G2093" t="str">
        <f>""</f>
        <v/>
      </c>
      <c r="I2093" t="str">
        <f t="shared" si="31"/>
        <v>GUARDIAN</v>
      </c>
    </row>
    <row r="2094" spans="1:9" x14ac:dyDescent="0.25">
      <c r="A2094" t="str">
        <f>""</f>
        <v/>
      </c>
      <c r="F2094" t="str">
        <f>""</f>
        <v/>
      </c>
      <c r="G2094" t="str">
        <f>""</f>
        <v/>
      </c>
      <c r="I2094" t="str">
        <f t="shared" si="31"/>
        <v>GUARDIAN</v>
      </c>
    </row>
    <row r="2095" spans="1:9" x14ac:dyDescent="0.25">
      <c r="A2095" t="str">
        <f>""</f>
        <v/>
      </c>
      <c r="F2095" t="str">
        <f>""</f>
        <v/>
      </c>
      <c r="G2095" t="str">
        <f>""</f>
        <v/>
      </c>
      <c r="I2095" t="str">
        <f t="shared" si="31"/>
        <v>GUARDIAN</v>
      </c>
    </row>
    <row r="2096" spans="1:9" x14ac:dyDescent="0.25">
      <c r="A2096" t="str">
        <f>""</f>
        <v/>
      </c>
      <c r="F2096" t="str">
        <f>""</f>
        <v/>
      </c>
      <c r="G2096" t="str">
        <f>""</f>
        <v/>
      </c>
      <c r="I2096" t="str">
        <f t="shared" ref="I2096:I2106" si="32">"GUARDIAN"</f>
        <v>GUARDIAN</v>
      </c>
    </row>
    <row r="2097" spans="1:9" x14ac:dyDescent="0.25">
      <c r="A2097" t="str">
        <f>""</f>
        <v/>
      </c>
      <c r="F2097" t="str">
        <f>""</f>
        <v/>
      </c>
      <c r="G2097" t="str">
        <f>""</f>
        <v/>
      </c>
      <c r="I2097" t="str">
        <f t="shared" si="32"/>
        <v>GUARDIAN</v>
      </c>
    </row>
    <row r="2098" spans="1:9" x14ac:dyDescent="0.25">
      <c r="A2098" t="str">
        <f>""</f>
        <v/>
      </c>
      <c r="F2098" t="str">
        <f>""</f>
        <v/>
      </c>
      <c r="G2098" t="str">
        <f>""</f>
        <v/>
      </c>
      <c r="I2098" t="str">
        <f t="shared" si="32"/>
        <v>GUARDIAN</v>
      </c>
    </row>
    <row r="2099" spans="1:9" x14ac:dyDescent="0.25">
      <c r="A2099" t="str">
        <f>""</f>
        <v/>
      </c>
      <c r="F2099" t="str">
        <f>""</f>
        <v/>
      </c>
      <c r="G2099" t="str">
        <f>""</f>
        <v/>
      </c>
      <c r="I2099" t="str">
        <f t="shared" si="32"/>
        <v>GUARDIAN</v>
      </c>
    </row>
    <row r="2100" spans="1:9" x14ac:dyDescent="0.25">
      <c r="A2100" t="str">
        <f>""</f>
        <v/>
      </c>
      <c r="F2100" t="str">
        <f>""</f>
        <v/>
      </c>
      <c r="G2100" t="str">
        <f>""</f>
        <v/>
      </c>
      <c r="I2100" t="str">
        <f t="shared" si="32"/>
        <v>GUARDIAN</v>
      </c>
    </row>
    <row r="2101" spans="1:9" x14ac:dyDescent="0.25">
      <c r="A2101" t="str">
        <f>""</f>
        <v/>
      </c>
      <c r="F2101" t="str">
        <f>""</f>
        <v/>
      </c>
      <c r="G2101" t="str">
        <f>""</f>
        <v/>
      </c>
      <c r="I2101" t="str">
        <f t="shared" si="32"/>
        <v>GUARDIAN</v>
      </c>
    </row>
    <row r="2102" spans="1:9" x14ac:dyDescent="0.25">
      <c r="A2102" t="str">
        <f>""</f>
        <v/>
      </c>
      <c r="F2102" t="str">
        <f>""</f>
        <v/>
      </c>
      <c r="G2102" t="str">
        <f>""</f>
        <v/>
      </c>
      <c r="I2102" t="str">
        <f t="shared" si="32"/>
        <v>GUARDIAN</v>
      </c>
    </row>
    <row r="2103" spans="1:9" x14ac:dyDescent="0.25">
      <c r="A2103" t="str">
        <f>""</f>
        <v/>
      </c>
      <c r="F2103" t="str">
        <f>""</f>
        <v/>
      </c>
      <c r="G2103" t="str">
        <f>""</f>
        <v/>
      </c>
      <c r="I2103" t="str">
        <f t="shared" si="32"/>
        <v>GUARDIAN</v>
      </c>
    </row>
    <row r="2104" spans="1:9" x14ac:dyDescent="0.25">
      <c r="A2104" t="str">
        <f>""</f>
        <v/>
      </c>
      <c r="F2104" t="str">
        <f>""</f>
        <v/>
      </c>
      <c r="G2104" t="str">
        <f>""</f>
        <v/>
      </c>
      <c r="I2104" t="str">
        <f t="shared" si="32"/>
        <v>GUARDIAN</v>
      </c>
    </row>
    <row r="2105" spans="1:9" x14ac:dyDescent="0.25">
      <c r="A2105" t="str">
        <f>""</f>
        <v/>
      </c>
      <c r="F2105" t="str">
        <f>"GDS201804180392"</f>
        <v>GDS201804180392</v>
      </c>
      <c r="G2105" t="str">
        <f>"GUARDIAN"</f>
        <v>GUARDIAN</v>
      </c>
      <c r="H2105">
        <v>29.82</v>
      </c>
      <c r="I2105" t="str">
        <f t="shared" si="32"/>
        <v>GUARDIAN</v>
      </c>
    </row>
    <row r="2106" spans="1:9" x14ac:dyDescent="0.25">
      <c r="A2106" t="str">
        <f>""</f>
        <v/>
      </c>
      <c r="F2106" t="str">
        <f>""</f>
        <v/>
      </c>
      <c r="G2106" t="str">
        <f>""</f>
        <v/>
      </c>
      <c r="I2106" t="str">
        <f t="shared" si="32"/>
        <v>GUARDIAN</v>
      </c>
    </row>
    <row r="2107" spans="1:9" x14ac:dyDescent="0.25">
      <c r="A2107" t="str">
        <f>""</f>
        <v/>
      </c>
      <c r="F2107" t="str">
        <f>"GV1201804049962"</f>
        <v>GV1201804049962</v>
      </c>
      <c r="G2107" t="str">
        <f>"GUARDIAN VISION"</f>
        <v>GUARDIAN VISION</v>
      </c>
      <c r="H2107">
        <v>375.2</v>
      </c>
      <c r="I2107" t="str">
        <f>"GUARDIAN VISION"</f>
        <v>GUARDIAN VISION</v>
      </c>
    </row>
    <row r="2108" spans="1:9" x14ac:dyDescent="0.25">
      <c r="A2108" t="str">
        <f>""</f>
        <v/>
      </c>
      <c r="F2108" t="str">
        <f>"GV1201804049989"</f>
        <v>GV1201804049989</v>
      </c>
      <c r="G2108" t="str">
        <f>"GUARDIAN VISION"</f>
        <v>GUARDIAN VISION</v>
      </c>
      <c r="H2108">
        <v>5.6</v>
      </c>
      <c r="I2108" t="str">
        <f>"GUARDIAN VISION"</f>
        <v>GUARDIAN VISION</v>
      </c>
    </row>
    <row r="2109" spans="1:9" x14ac:dyDescent="0.25">
      <c r="A2109" t="str">
        <f>""</f>
        <v/>
      </c>
      <c r="F2109" t="str">
        <f>"GV1201804180391"</f>
        <v>GV1201804180391</v>
      </c>
      <c r="G2109" t="str">
        <f>"GUARDIAN VISION"</f>
        <v>GUARDIAN VISION</v>
      </c>
      <c r="H2109">
        <v>375.2</v>
      </c>
      <c r="I2109" t="str">
        <f>"GUARDIAN VISION"</f>
        <v>GUARDIAN VISION</v>
      </c>
    </row>
    <row r="2110" spans="1:9" x14ac:dyDescent="0.25">
      <c r="A2110" t="str">
        <f>""</f>
        <v/>
      </c>
      <c r="F2110" t="str">
        <f>"GV1201804180392"</f>
        <v>GV1201804180392</v>
      </c>
      <c r="G2110" t="str">
        <f>"GUARDIAN VISION"</f>
        <v>GUARDIAN VISION</v>
      </c>
      <c r="H2110">
        <v>5.6</v>
      </c>
      <c r="I2110" t="str">
        <f>"GUARDIAN VISION"</f>
        <v>GUARDIAN VISION</v>
      </c>
    </row>
    <row r="2111" spans="1:9" x14ac:dyDescent="0.25">
      <c r="A2111" t="str">
        <f>""</f>
        <v/>
      </c>
      <c r="F2111" t="str">
        <f>"GVE201804049962"</f>
        <v>GVE201804049962</v>
      </c>
      <c r="G2111" t="str">
        <f>"GUARDIAN VISION VENDOR"</f>
        <v>GUARDIAN VISION VENDOR</v>
      </c>
      <c r="H2111">
        <v>546.12</v>
      </c>
      <c r="I2111" t="str">
        <f>"GUARDIAN VISION VENDOR"</f>
        <v>GUARDIAN VISION VENDOR</v>
      </c>
    </row>
    <row r="2112" spans="1:9" x14ac:dyDescent="0.25">
      <c r="A2112" t="str">
        <f>""</f>
        <v/>
      </c>
      <c r="F2112" t="str">
        <f>"GVE201804049989"</f>
        <v>GVE201804049989</v>
      </c>
      <c r="G2112" t="str">
        <f>"GUARDIAN VISION VENDOR"</f>
        <v>GUARDIAN VISION VENDOR</v>
      </c>
      <c r="H2112">
        <v>25.83</v>
      </c>
      <c r="I2112" t="str">
        <f>"GUARDIAN VISION VENDOR"</f>
        <v>GUARDIAN VISION VENDOR</v>
      </c>
    </row>
    <row r="2113" spans="1:9" x14ac:dyDescent="0.25">
      <c r="A2113" t="str">
        <f>""</f>
        <v/>
      </c>
      <c r="F2113" t="str">
        <f>"GVE201804180391"</f>
        <v>GVE201804180391</v>
      </c>
      <c r="G2113" t="str">
        <f>"GUARDIAN VISION VENDOR"</f>
        <v>GUARDIAN VISION VENDOR</v>
      </c>
      <c r="H2113">
        <v>546.12</v>
      </c>
      <c r="I2113" t="str">
        <f>"GUARDIAN VISION VENDOR"</f>
        <v>GUARDIAN VISION VENDOR</v>
      </c>
    </row>
    <row r="2114" spans="1:9" x14ac:dyDescent="0.25">
      <c r="A2114" t="str">
        <f>""</f>
        <v/>
      </c>
      <c r="F2114" t="str">
        <f>"GVE201804180392"</f>
        <v>GVE201804180392</v>
      </c>
      <c r="G2114" t="str">
        <f>"GUARDIAN VISION VENDOR"</f>
        <v>GUARDIAN VISION VENDOR</v>
      </c>
      <c r="H2114">
        <v>25.83</v>
      </c>
      <c r="I2114" t="str">
        <f>"GUARDIAN VISION VENDOR"</f>
        <v>GUARDIAN VISION VENDOR</v>
      </c>
    </row>
    <row r="2115" spans="1:9" x14ac:dyDescent="0.25">
      <c r="A2115" t="str">
        <f>""</f>
        <v/>
      </c>
      <c r="F2115" t="str">
        <f>"GVF201804049962"</f>
        <v>GVF201804049962</v>
      </c>
      <c r="G2115" t="str">
        <f>"GUARDIAN VISION"</f>
        <v>GUARDIAN VISION</v>
      </c>
      <c r="H2115">
        <v>462.95</v>
      </c>
      <c r="I2115" t="str">
        <f>"GUARDIAN VISION"</f>
        <v>GUARDIAN VISION</v>
      </c>
    </row>
    <row r="2116" spans="1:9" x14ac:dyDescent="0.25">
      <c r="A2116" t="str">
        <f>""</f>
        <v/>
      </c>
      <c r="F2116" t="str">
        <f>"GVF201804049989"</f>
        <v>GVF201804049989</v>
      </c>
      <c r="G2116" t="str">
        <f>"GUARDIAN VISION VENDOR"</f>
        <v>GUARDIAN VISION VENDOR</v>
      </c>
      <c r="H2116">
        <v>29.55</v>
      </c>
      <c r="I2116" t="str">
        <f>"GUARDIAN VISION VENDOR"</f>
        <v>GUARDIAN VISION VENDOR</v>
      </c>
    </row>
    <row r="2117" spans="1:9" x14ac:dyDescent="0.25">
      <c r="A2117" t="str">
        <f>""</f>
        <v/>
      </c>
      <c r="F2117" t="str">
        <f>"GVF201804180391"</f>
        <v>GVF201804180391</v>
      </c>
      <c r="G2117" t="str">
        <f>"GUARDIAN VISION"</f>
        <v>GUARDIAN VISION</v>
      </c>
      <c r="H2117">
        <v>462.95</v>
      </c>
      <c r="I2117" t="str">
        <f>"GUARDIAN VISION"</f>
        <v>GUARDIAN VISION</v>
      </c>
    </row>
    <row r="2118" spans="1:9" x14ac:dyDescent="0.25">
      <c r="A2118" t="str">
        <f>""</f>
        <v/>
      </c>
      <c r="F2118" t="str">
        <f>"GVF201804180392"</f>
        <v>GVF201804180392</v>
      </c>
      <c r="G2118" t="str">
        <f>"GUARDIAN VISION VENDOR"</f>
        <v>GUARDIAN VISION VENDOR</v>
      </c>
      <c r="H2118">
        <v>29.55</v>
      </c>
      <c r="I2118" t="str">
        <f>"GUARDIAN VISION VENDOR"</f>
        <v>GUARDIAN VISION VENDOR</v>
      </c>
    </row>
    <row r="2119" spans="1:9" x14ac:dyDescent="0.25">
      <c r="A2119" t="str">
        <f>""</f>
        <v/>
      </c>
      <c r="F2119" t="str">
        <f>"LIA201804049962"</f>
        <v>LIA201804049962</v>
      </c>
      <c r="G2119" t="str">
        <f>"GUARDIAN"</f>
        <v>GUARDIAN</v>
      </c>
      <c r="H2119">
        <v>169.04</v>
      </c>
      <c r="I2119" t="str">
        <f t="shared" ref="I2119:I2150" si="33">"GUARDIAN"</f>
        <v>GUARDIAN</v>
      </c>
    </row>
    <row r="2120" spans="1:9" x14ac:dyDescent="0.25">
      <c r="A2120" t="str">
        <f>""</f>
        <v/>
      </c>
      <c r="F2120" t="str">
        <f>""</f>
        <v/>
      </c>
      <c r="G2120" t="str">
        <f>""</f>
        <v/>
      </c>
      <c r="I2120" t="str">
        <f t="shared" si="33"/>
        <v>GUARDIAN</v>
      </c>
    </row>
    <row r="2121" spans="1:9" x14ac:dyDescent="0.25">
      <c r="A2121" t="str">
        <f>""</f>
        <v/>
      </c>
      <c r="F2121" t="str">
        <f>""</f>
        <v/>
      </c>
      <c r="G2121" t="str">
        <f>""</f>
        <v/>
      </c>
      <c r="I2121" t="str">
        <f t="shared" si="33"/>
        <v>GUARDIAN</v>
      </c>
    </row>
    <row r="2122" spans="1:9" x14ac:dyDescent="0.25">
      <c r="A2122" t="str">
        <f>""</f>
        <v/>
      </c>
      <c r="F2122" t="str">
        <f>""</f>
        <v/>
      </c>
      <c r="G2122" t="str">
        <f>""</f>
        <v/>
      </c>
      <c r="I2122" t="str">
        <f t="shared" si="33"/>
        <v>GUARDIAN</v>
      </c>
    </row>
    <row r="2123" spans="1:9" x14ac:dyDescent="0.25">
      <c r="A2123" t="str">
        <f>""</f>
        <v/>
      </c>
      <c r="F2123" t="str">
        <f>""</f>
        <v/>
      </c>
      <c r="G2123" t="str">
        <f>""</f>
        <v/>
      </c>
      <c r="I2123" t="str">
        <f t="shared" si="33"/>
        <v>GUARDIAN</v>
      </c>
    </row>
    <row r="2124" spans="1:9" x14ac:dyDescent="0.25">
      <c r="A2124" t="str">
        <f>""</f>
        <v/>
      </c>
      <c r="F2124" t="str">
        <f>""</f>
        <v/>
      </c>
      <c r="G2124" t="str">
        <f>""</f>
        <v/>
      </c>
      <c r="I2124" t="str">
        <f t="shared" si="33"/>
        <v>GUARDIAN</v>
      </c>
    </row>
    <row r="2125" spans="1:9" x14ac:dyDescent="0.25">
      <c r="A2125" t="str">
        <f>""</f>
        <v/>
      </c>
      <c r="F2125" t="str">
        <f>""</f>
        <v/>
      </c>
      <c r="G2125" t="str">
        <f>""</f>
        <v/>
      </c>
      <c r="I2125" t="str">
        <f t="shared" si="33"/>
        <v>GUARDIAN</v>
      </c>
    </row>
    <row r="2126" spans="1:9" x14ac:dyDescent="0.25">
      <c r="A2126" t="str">
        <f>""</f>
        <v/>
      </c>
      <c r="F2126" t="str">
        <f>""</f>
        <v/>
      </c>
      <c r="G2126" t="str">
        <f>""</f>
        <v/>
      </c>
      <c r="I2126" t="str">
        <f t="shared" si="33"/>
        <v>GUARDIAN</v>
      </c>
    </row>
    <row r="2127" spans="1:9" x14ac:dyDescent="0.25">
      <c r="A2127" t="str">
        <f>""</f>
        <v/>
      </c>
      <c r="F2127" t="str">
        <f>""</f>
        <v/>
      </c>
      <c r="G2127" t="str">
        <f>""</f>
        <v/>
      </c>
      <c r="I2127" t="str">
        <f t="shared" si="33"/>
        <v>GUARDIAN</v>
      </c>
    </row>
    <row r="2128" spans="1:9" x14ac:dyDescent="0.25">
      <c r="A2128" t="str">
        <f>""</f>
        <v/>
      </c>
      <c r="F2128" t="str">
        <f>""</f>
        <v/>
      </c>
      <c r="G2128" t="str">
        <f>""</f>
        <v/>
      </c>
      <c r="I2128" t="str">
        <f t="shared" si="33"/>
        <v>GUARDIAN</v>
      </c>
    </row>
    <row r="2129" spans="1:9" x14ac:dyDescent="0.25">
      <c r="A2129" t="str">
        <f>""</f>
        <v/>
      </c>
      <c r="F2129" t="str">
        <f>""</f>
        <v/>
      </c>
      <c r="G2129" t="str">
        <f>""</f>
        <v/>
      </c>
      <c r="I2129" t="str">
        <f t="shared" si="33"/>
        <v>GUARDIAN</v>
      </c>
    </row>
    <row r="2130" spans="1:9" x14ac:dyDescent="0.25">
      <c r="A2130" t="str">
        <f>""</f>
        <v/>
      </c>
      <c r="F2130" t="str">
        <f>""</f>
        <v/>
      </c>
      <c r="G2130" t="str">
        <f>""</f>
        <v/>
      </c>
      <c r="I2130" t="str">
        <f t="shared" si="33"/>
        <v>GUARDIAN</v>
      </c>
    </row>
    <row r="2131" spans="1:9" x14ac:dyDescent="0.25">
      <c r="A2131" t="str">
        <f>""</f>
        <v/>
      </c>
      <c r="F2131" t="str">
        <f>""</f>
        <v/>
      </c>
      <c r="G2131" t="str">
        <f>""</f>
        <v/>
      </c>
      <c r="I2131" t="str">
        <f t="shared" si="33"/>
        <v>GUARDIAN</v>
      </c>
    </row>
    <row r="2132" spans="1:9" x14ac:dyDescent="0.25">
      <c r="A2132" t="str">
        <f>""</f>
        <v/>
      </c>
      <c r="F2132" t="str">
        <f>""</f>
        <v/>
      </c>
      <c r="G2132" t="str">
        <f>""</f>
        <v/>
      </c>
      <c r="I2132" t="str">
        <f t="shared" si="33"/>
        <v>GUARDIAN</v>
      </c>
    </row>
    <row r="2133" spans="1:9" x14ac:dyDescent="0.25">
      <c r="A2133" t="str">
        <f>""</f>
        <v/>
      </c>
      <c r="F2133" t="str">
        <f>""</f>
        <v/>
      </c>
      <c r="G2133" t="str">
        <f>""</f>
        <v/>
      </c>
      <c r="I2133" t="str">
        <f t="shared" si="33"/>
        <v>GUARDIAN</v>
      </c>
    </row>
    <row r="2134" spans="1:9" x14ac:dyDescent="0.25">
      <c r="A2134" t="str">
        <f>""</f>
        <v/>
      </c>
      <c r="F2134" t="str">
        <f>""</f>
        <v/>
      </c>
      <c r="G2134" t="str">
        <f>""</f>
        <v/>
      </c>
      <c r="I2134" t="str">
        <f t="shared" si="33"/>
        <v>GUARDIAN</v>
      </c>
    </row>
    <row r="2135" spans="1:9" x14ac:dyDescent="0.25">
      <c r="A2135" t="str">
        <f>""</f>
        <v/>
      </c>
      <c r="F2135" t="str">
        <f>""</f>
        <v/>
      </c>
      <c r="G2135" t="str">
        <f>""</f>
        <v/>
      </c>
      <c r="I2135" t="str">
        <f t="shared" si="33"/>
        <v>GUARDIAN</v>
      </c>
    </row>
    <row r="2136" spans="1:9" x14ac:dyDescent="0.25">
      <c r="A2136" t="str">
        <f>""</f>
        <v/>
      </c>
      <c r="F2136" t="str">
        <f>""</f>
        <v/>
      </c>
      <c r="G2136" t="str">
        <f>""</f>
        <v/>
      </c>
      <c r="I2136" t="str">
        <f t="shared" si="33"/>
        <v>GUARDIAN</v>
      </c>
    </row>
    <row r="2137" spans="1:9" x14ac:dyDescent="0.25">
      <c r="A2137" t="str">
        <f>""</f>
        <v/>
      </c>
      <c r="F2137" t="str">
        <f>""</f>
        <v/>
      </c>
      <c r="G2137" t="str">
        <f>""</f>
        <v/>
      </c>
      <c r="I2137" t="str">
        <f t="shared" si="33"/>
        <v>GUARDIAN</v>
      </c>
    </row>
    <row r="2138" spans="1:9" x14ac:dyDescent="0.25">
      <c r="A2138" t="str">
        <f>""</f>
        <v/>
      </c>
      <c r="F2138" t="str">
        <f>""</f>
        <v/>
      </c>
      <c r="G2138" t="str">
        <f>""</f>
        <v/>
      </c>
      <c r="I2138" t="str">
        <f t="shared" si="33"/>
        <v>GUARDIAN</v>
      </c>
    </row>
    <row r="2139" spans="1:9" x14ac:dyDescent="0.25">
      <c r="A2139" t="str">
        <f>""</f>
        <v/>
      </c>
      <c r="F2139" t="str">
        <f>""</f>
        <v/>
      </c>
      <c r="G2139" t="str">
        <f>""</f>
        <v/>
      </c>
      <c r="I2139" t="str">
        <f t="shared" si="33"/>
        <v>GUARDIAN</v>
      </c>
    </row>
    <row r="2140" spans="1:9" x14ac:dyDescent="0.25">
      <c r="A2140" t="str">
        <f>""</f>
        <v/>
      </c>
      <c r="F2140" t="str">
        <f>""</f>
        <v/>
      </c>
      <c r="G2140" t="str">
        <f>""</f>
        <v/>
      </c>
      <c r="I2140" t="str">
        <f t="shared" si="33"/>
        <v>GUARDIAN</v>
      </c>
    </row>
    <row r="2141" spans="1:9" x14ac:dyDescent="0.25">
      <c r="A2141" t="str">
        <f>""</f>
        <v/>
      </c>
      <c r="F2141" t="str">
        <f>"LIA201804049989"</f>
        <v>LIA201804049989</v>
      </c>
      <c r="G2141" t="str">
        <f>"GUARDIAN"</f>
        <v>GUARDIAN</v>
      </c>
      <c r="H2141">
        <v>25.78</v>
      </c>
      <c r="I2141" t="str">
        <f t="shared" si="33"/>
        <v>GUARDIAN</v>
      </c>
    </row>
    <row r="2142" spans="1:9" x14ac:dyDescent="0.25">
      <c r="A2142" t="str">
        <f>""</f>
        <v/>
      </c>
      <c r="F2142" t="str">
        <f>""</f>
        <v/>
      </c>
      <c r="G2142" t="str">
        <f>""</f>
        <v/>
      </c>
      <c r="I2142" t="str">
        <f t="shared" si="33"/>
        <v>GUARDIAN</v>
      </c>
    </row>
    <row r="2143" spans="1:9" x14ac:dyDescent="0.25">
      <c r="A2143" t="str">
        <f>""</f>
        <v/>
      </c>
      <c r="F2143" t="str">
        <f>"LIA201804180391"</f>
        <v>LIA201804180391</v>
      </c>
      <c r="G2143" t="str">
        <f>"GUARDIAN"</f>
        <v>GUARDIAN</v>
      </c>
      <c r="H2143">
        <v>169.04</v>
      </c>
      <c r="I2143" t="str">
        <f t="shared" si="33"/>
        <v>GUARDIAN</v>
      </c>
    </row>
    <row r="2144" spans="1:9" x14ac:dyDescent="0.25">
      <c r="A2144" t="str">
        <f>""</f>
        <v/>
      </c>
      <c r="F2144" t="str">
        <f>""</f>
        <v/>
      </c>
      <c r="G2144" t="str">
        <f>""</f>
        <v/>
      </c>
      <c r="I2144" t="str">
        <f t="shared" si="33"/>
        <v>GUARDIAN</v>
      </c>
    </row>
    <row r="2145" spans="1:9" x14ac:dyDescent="0.25">
      <c r="A2145" t="str">
        <f>""</f>
        <v/>
      </c>
      <c r="F2145" t="str">
        <f>""</f>
        <v/>
      </c>
      <c r="G2145" t="str">
        <f>""</f>
        <v/>
      </c>
      <c r="I2145" t="str">
        <f t="shared" si="33"/>
        <v>GUARDIAN</v>
      </c>
    </row>
    <row r="2146" spans="1:9" x14ac:dyDescent="0.25">
      <c r="A2146" t="str">
        <f>""</f>
        <v/>
      </c>
      <c r="F2146" t="str">
        <f>""</f>
        <v/>
      </c>
      <c r="G2146" t="str">
        <f>""</f>
        <v/>
      </c>
      <c r="I2146" t="str">
        <f t="shared" si="33"/>
        <v>GUARDIAN</v>
      </c>
    </row>
    <row r="2147" spans="1:9" x14ac:dyDescent="0.25">
      <c r="A2147" t="str">
        <f>""</f>
        <v/>
      </c>
      <c r="F2147" t="str">
        <f>""</f>
        <v/>
      </c>
      <c r="G2147" t="str">
        <f>""</f>
        <v/>
      </c>
      <c r="I2147" t="str">
        <f t="shared" si="33"/>
        <v>GUARDIAN</v>
      </c>
    </row>
    <row r="2148" spans="1:9" x14ac:dyDescent="0.25">
      <c r="A2148" t="str">
        <f>""</f>
        <v/>
      </c>
      <c r="F2148" t="str">
        <f>""</f>
        <v/>
      </c>
      <c r="G2148" t="str">
        <f>""</f>
        <v/>
      </c>
      <c r="I2148" t="str">
        <f t="shared" si="33"/>
        <v>GUARDIAN</v>
      </c>
    </row>
    <row r="2149" spans="1:9" x14ac:dyDescent="0.25">
      <c r="A2149" t="str">
        <f>""</f>
        <v/>
      </c>
      <c r="F2149" t="str">
        <f>""</f>
        <v/>
      </c>
      <c r="G2149" t="str">
        <f>""</f>
        <v/>
      </c>
      <c r="I2149" t="str">
        <f t="shared" si="33"/>
        <v>GUARDIAN</v>
      </c>
    </row>
    <row r="2150" spans="1:9" x14ac:dyDescent="0.25">
      <c r="A2150" t="str">
        <f>""</f>
        <v/>
      </c>
      <c r="F2150" t="str">
        <f>""</f>
        <v/>
      </c>
      <c r="G2150" t="str">
        <f>""</f>
        <v/>
      </c>
      <c r="I2150" t="str">
        <f t="shared" si="33"/>
        <v>GUARDIAN</v>
      </c>
    </row>
    <row r="2151" spans="1:9" x14ac:dyDescent="0.25">
      <c r="A2151" t="str">
        <f>""</f>
        <v/>
      </c>
      <c r="F2151" t="str">
        <f>""</f>
        <v/>
      </c>
      <c r="G2151" t="str">
        <f>""</f>
        <v/>
      </c>
      <c r="I2151" t="str">
        <f t="shared" ref="I2151:I2182" si="34">"GUARDIAN"</f>
        <v>GUARDIAN</v>
      </c>
    </row>
    <row r="2152" spans="1:9" x14ac:dyDescent="0.25">
      <c r="A2152" t="str">
        <f>""</f>
        <v/>
      </c>
      <c r="F2152" t="str">
        <f>""</f>
        <v/>
      </c>
      <c r="G2152" t="str">
        <f>""</f>
        <v/>
      </c>
      <c r="I2152" t="str">
        <f t="shared" si="34"/>
        <v>GUARDIAN</v>
      </c>
    </row>
    <row r="2153" spans="1:9" x14ac:dyDescent="0.25">
      <c r="A2153" t="str">
        <f>""</f>
        <v/>
      </c>
      <c r="F2153" t="str">
        <f>""</f>
        <v/>
      </c>
      <c r="G2153" t="str">
        <f>""</f>
        <v/>
      </c>
      <c r="I2153" t="str">
        <f t="shared" si="34"/>
        <v>GUARDIAN</v>
      </c>
    </row>
    <row r="2154" spans="1:9" x14ac:dyDescent="0.25">
      <c r="A2154" t="str">
        <f>""</f>
        <v/>
      </c>
      <c r="F2154" t="str">
        <f>""</f>
        <v/>
      </c>
      <c r="G2154" t="str">
        <f>""</f>
        <v/>
      </c>
      <c r="I2154" t="str">
        <f t="shared" si="34"/>
        <v>GUARDIAN</v>
      </c>
    </row>
    <row r="2155" spans="1:9" x14ac:dyDescent="0.25">
      <c r="A2155" t="str">
        <f>""</f>
        <v/>
      </c>
      <c r="F2155" t="str">
        <f>""</f>
        <v/>
      </c>
      <c r="G2155" t="str">
        <f>""</f>
        <v/>
      </c>
      <c r="I2155" t="str">
        <f t="shared" si="34"/>
        <v>GUARDIAN</v>
      </c>
    </row>
    <row r="2156" spans="1:9" x14ac:dyDescent="0.25">
      <c r="A2156" t="str">
        <f>""</f>
        <v/>
      </c>
      <c r="F2156" t="str">
        <f>""</f>
        <v/>
      </c>
      <c r="G2156" t="str">
        <f>""</f>
        <v/>
      </c>
      <c r="I2156" t="str">
        <f t="shared" si="34"/>
        <v>GUARDIAN</v>
      </c>
    </row>
    <row r="2157" spans="1:9" x14ac:dyDescent="0.25">
      <c r="A2157" t="str">
        <f>""</f>
        <v/>
      </c>
      <c r="F2157" t="str">
        <f>""</f>
        <v/>
      </c>
      <c r="G2157" t="str">
        <f>""</f>
        <v/>
      </c>
      <c r="I2157" t="str">
        <f t="shared" si="34"/>
        <v>GUARDIAN</v>
      </c>
    </row>
    <row r="2158" spans="1:9" x14ac:dyDescent="0.25">
      <c r="A2158" t="str">
        <f>""</f>
        <v/>
      </c>
      <c r="F2158" t="str">
        <f>""</f>
        <v/>
      </c>
      <c r="G2158" t="str">
        <f>""</f>
        <v/>
      </c>
      <c r="I2158" t="str">
        <f t="shared" si="34"/>
        <v>GUARDIAN</v>
      </c>
    </row>
    <row r="2159" spans="1:9" x14ac:dyDescent="0.25">
      <c r="A2159" t="str">
        <f>""</f>
        <v/>
      </c>
      <c r="F2159" t="str">
        <f>""</f>
        <v/>
      </c>
      <c r="G2159" t="str">
        <f>""</f>
        <v/>
      </c>
      <c r="I2159" t="str">
        <f t="shared" si="34"/>
        <v>GUARDIAN</v>
      </c>
    </row>
    <row r="2160" spans="1:9" x14ac:dyDescent="0.25">
      <c r="A2160" t="str">
        <f>""</f>
        <v/>
      </c>
      <c r="F2160" t="str">
        <f>""</f>
        <v/>
      </c>
      <c r="G2160" t="str">
        <f>""</f>
        <v/>
      </c>
      <c r="I2160" t="str">
        <f t="shared" si="34"/>
        <v>GUARDIAN</v>
      </c>
    </row>
    <row r="2161" spans="1:9" x14ac:dyDescent="0.25">
      <c r="A2161" t="str">
        <f>""</f>
        <v/>
      </c>
      <c r="F2161" t="str">
        <f>""</f>
        <v/>
      </c>
      <c r="G2161" t="str">
        <f>""</f>
        <v/>
      </c>
      <c r="I2161" t="str">
        <f t="shared" si="34"/>
        <v>GUARDIAN</v>
      </c>
    </row>
    <row r="2162" spans="1:9" x14ac:dyDescent="0.25">
      <c r="A2162" t="str">
        <f>""</f>
        <v/>
      </c>
      <c r="F2162" t="str">
        <f>""</f>
        <v/>
      </c>
      <c r="G2162" t="str">
        <f>""</f>
        <v/>
      </c>
      <c r="I2162" t="str">
        <f t="shared" si="34"/>
        <v>GUARDIAN</v>
      </c>
    </row>
    <row r="2163" spans="1:9" x14ac:dyDescent="0.25">
      <c r="A2163" t="str">
        <f>""</f>
        <v/>
      </c>
      <c r="F2163" t="str">
        <f>""</f>
        <v/>
      </c>
      <c r="G2163" t="str">
        <f>""</f>
        <v/>
      </c>
      <c r="I2163" t="str">
        <f t="shared" si="34"/>
        <v>GUARDIAN</v>
      </c>
    </row>
    <row r="2164" spans="1:9" x14ac:dyDescent="0.25">
      <c r="A2164" t="str">
        <f>""</f>
        <v/>
      </c>
      <c r="F2164" t="str">
        <f>""</f>
        <v/>
      </c>
      <c r="G2164" t="str">
        <f>""</f>
        <v/>
      </c>
      <c r="I2164" t="str">
        <f t="shared" si="34"/>
        <v>GUARDIAN</v>
      </c>
    </row>
    <row r="2165" spans="1:9" x14ac:dyDescent="0.25">
      <c r="A2165" t="str">
        <f>""</f>
        <v/>
      </c>
      <c r="F2165" t="str">
        <f>"LIA201804180392"</f>
        <v>LIA201804180392</v>
      </c>
      <c r="G2165" t="str">
        <f>"GUARDIAN"</f>
        <v>GUARDIAN</v>
      </c>
      <c r="H2165">
        <v>25.78</v>
      </c>
      <c r="I2165" t="str">
        <f t="shared" si="34"/>
        <v>GUARDIAN</v>
      </c>
    </row>
    <row r="2166" spans="1:9" x14ac:dyDescent="0.25">
      <c r="A2166" t="str">
        <f>""</f>
        <v/>
      </c>
      <c r="F2166" t="str">
        <f>""</f>
        <v/>
      </c>
      <c r="G2166" t="str">
        <f>""</f>
        <v/>
      </c>
      <c r="I2166" t="str">
        <f t="shared" si="34"/>
        <v>GUARDIAN</v>
      </c>
    </row>
    <row r="2167" spans="1:9" x14ac:dyDescent="0.25">
      <c r="A2167" t="str">
        <f>""</f>
        <v/>
      </c>
      <c r="F2167" t="str">
        <f>"LIC201804049962"</f>
        <v>LIC201804049962</v>
      </c>
      <c r="G2167" t="str">
        <f>"GUARDIAN"</f>
        <v>GUARDIAN</v>
      </c>
      <c r="H2167">
        <v>34.6</v>
      </c>
      <c r="I2167" t="str">
        <f t="shared" si="34"/>
        <v>GUARDIAN</v>
      </c>
    </row>
    <row r="2168" spans="1:9" x14ac:dyDescent="0.25">
      <c r="A2168" t="str">
        <f>""</f>
        <v/>
      </c>
      <c r="F2168" t="str">
        <f>"LIC201804049989"</f>
        <v>LIC201804049989</v>
      </c>
      <c r="G2168" t="str">
        <f>"GUARDIAN"</f>
        <v>GUARDIAN</v>
      </c>
      <c r="H2168">
        <v>1.05</v>
      </c>
      <c r="I2168" t="str">
        <f t="shared" si="34"/>
        <v>GUARDIAN</v>
      </c>
    </row>
    <row r="2169" spans="1:9" x14ac:dyDescent="0.25">
      <c r="A2169" t="str">
        <f>""</f>
        <v/>
      </c>
      <c r="F2169" t="str">
        <f>"LIC201804180391"</f>
        <v>LIC201804180391</v>
      </c>
      <c r="G2169" t="str">
        <f>"GUARDIAN"</f>
        <v>GUARDIAN</v>
      </c>
      <c r="H2169">
        <v>34.6</v>
      </c>
      <c r="I2169" t="str">
        <f t="shared" si="34"/>
        <v>GUARDIAN</v>
      </c>
    </row>
    <row r="2170" spans="1:9" x14ac:dyDescent="0.25">
      <c r="A2170" t="str">
        <f>""</f>
        <v/>
      </c>
      <c r="F2170" t="str">
        <f>"LIC201804180392"</f>
        <v>LIC201804180392</v>
      </c>
      <c r="G2170" t="str">
        <f>"GUARDIAN"</f>
        <v>GUARDIAN</v>
      </c>
      <c r="H2170">
        <v>1.05</v>
      </c>
      <c r="I2170" t="str">
        <f t="shared" si="34"/>
        <v>GUARDIAN</v>
      </c>
    </row>
    <row r="2171" spans="1:9" x14ac:dyDescent="0.25">
      <c r="A2171" t="str">
        <f>""</f>
        <v/>
      </c>
      <c r="F2171" t="str">
        <f>"LIE201804049962"</f>
        <v>LIE201804049962</v>
      </c>
      <c r="G2171" t="str">
        <f>"GUARDIAN"</f>
        <v>GUARDIAN</v>
      </c>
      <c r="H2171">
        <v>3172.35</v>
      </c>
      <c r="I2171" t="str">
        <f t="shared" si="34"/>
        <v>GUARDIAN</v>
      </c>
    </row>
    <row r="2172" spans="1:9" x14ac:dyDescent="0.25">
      <c r="A2172" t="str">
        <f>""</f>
        <v/>
      </c>
      <c r="F2172" t="str">
        <f>""</f>
        <v/>
      </c>
      <c r="G2172" t="str">
        <f>""</f>
        <v/>
      </c>
      <c r="I2172" t="str">
        <f t="shared" si="34"/>
        <v>GUARDIAN</v>
      </c>
    </row>
    <row r="2173" spans="1:9" x14ac:dyDescent="0.25">
      <c r="A2173" t="str">
        <f>""</f>
        <v/>
      </c>
      <c r="F2173" t="str">
        <f>""</f>
        <v/>
      </c>
      <c r="G2173" t="str">
        <f>""</f>
        <v/>
      </c>
      <c r="I2173" t="str">
        <f t="shared" si="34"/>
        <v>GUARDIAN</v>
      </c>
    </row>
    <row r="2174" spans="1:9" x14ac:dyDescent="0.25">
      <c r="A2174" t="str">
        <f>""</f>
        <v/>
      </c>
      <c r="F2174" t="str">
        <f>""</f>
        <v/>
      </c>
      <c r="G2174" t="str">
        <f>""</f>
        <v/>
      </c>
      <c r="I2174" t="str">
        <f t="shared" si="34"/>
        <v>GUARDIAN</v>
      </c>
    </row>
    <row r="2175" spans="1:9" x14ac:dyDescent="0.25">
      <c r="A2175" t="str">
        <f>""</f>
        <v/>
      </c>
      <c r="F2175" t="str">
        <f>""</f>
        <v/>
      </c>
      <c r="G2175" t="str">
        <f>""</f>
        <v/>
      </c>
      <c r="I2175" t="str">
        <f t="shared" si="34"/>
        <v>GUARDIAN</v>
      </c>
    </row>
    <row r="2176" spans="1:9" x14ac:dyDescent="0.25">
      <c r="A2176" t="str">
        <f>""</f>
        <v/>
      </c>
      <c r="F2176" t="str">
        <f>""</f>
        <v/>
      </c>
      <c r="G2176" t="str">
        <f>""</f>
        <v/>
      </c>
      <c r="I2176" t="str">
        <f t="shared" si="34"/>
        <v>GUARDIAN</v>
      </c>
    </row>
    <row r="2177" spans="1:9" x14ac:dyDescent="0.25">
      <c r="A2177" t="str">
        <f>""</f>
        <v/>
      </c>
      <c r="F2177" t="str">
        <f>""</f>
        <v/>
      </c>
      <c r="G2177" t="str">
        <f>""</f>
        <v/>
      </c>
      <c r="I2177" t="str">
        <f t="shared" si="34"/>
        <v>GUARDIAN</v>
      </c>
    </row>
    <row r="2178" spans="1:9" x14ac:dyDescent="0.25">
      <c r="A2178" t="str">
        <f>""</f>
        <v/>
      </c>
      <c r="F2178" t="str">
        <f>""</f>
        <v/>
      </c>
      <c r="G2178" t="str">
        <f>""</f>
        <v/>
      </c>
      <c r="I2178" t="str">
        <f t="shared" si="34"/>
        <v>GUARDIAN</v>
      </c>
    </row>
    <row r="2179" spans="1:9" x14ac:dyDescent="0.25">
      <c r="A2179" t="str">
        <f>""</f>
        <v/>
      </c>
      <c r="F2179" t="str">
        <f>""</f>
        <v/>
      </c>
      <c r="G2179" t="str">
        <f>""</f>
        <v/>
      </c>
      <c r="I2179" t="str">
        <f t="shared" si="34"/>
        <v>GUARDIAN</v>
      </c>
    </row>
    <row r="2180" spans="1:9" x14ac:dyDescent="0.25">
      <c r="A2180" t="str">
        <f>""</f>
        <v/>
      </c>
      <c r="F2180" t="str">
        <f>""</f>
        <v/>
      </c>
      <c r="G2180" t="str">
        <f>""</f>
        <v/>
      </c>
      <c r="I2180" t="str">
        <f t="shared" si="34"/>
        <v>GUARDIAN</v>
      </c>
    </row>
    <row r="2181" spans="1:9" x14ac:dyDescent="0.25">
      <c r="A2181" t="str">
        <f>""</f>
        <v/>
      </c>
      <c r="F2181" t="str">
        <f>""</f>
        <v/>
      </c>
      <c r="G2181" t="str">
        <f>""</f>
        <v/>
      </c>
      <c r="I2181" t="str">
        <f t="shared" si="34"/>
        <v>GUARDIAN</v>
      </c>
    </row>
    <row r="2182" spans="1:9" x14ac:dyDescent="0.25">
      <c r="A2182" t="str">
        <f>""</f>
        <v/>
      </c>
      <c r="F2182" t="str">
        <f>""</f>
        <v/>
      </c>
      <c r="G2182" t="str">
        <f>""</f>
        <v/>
      </c>
      <c r="I2182" t="str">
        <f t="shared" si="34"/>
        <v>GUARDIAN</v>
      </c>
    </row>
    <row r="2183" spans="1:9" x14ac:dyDescent="0.25">
      <c r="A2183" t="str">
        <f>""</f>
        <v/>
      </c>
      <c r="F2183" t="str">
        <f>""</f>
        <v/>
      </c>
      <c r="G2183" t="str">
        <f>""</f>
        <v/>
      </c>
      <c r="I2183" t="str">
        <f t="shared" ref="I2183:I2214" si="35">"GUARDIAN"</f>
        <v>GUARDIAN</v>
      </c>
    </row>
    <row r="2184" spans="1:9" x14ac:dyDescent="0.25">
      <c r="A2184" t="str">
        <f>""</f>
        <v/>
      </c>
      <c r="F2184" t="str">
        <f>""</f>
        <v/>
      </c>
      <c r="G2184" t="str">
        <f>""</f>
        <v/>
      </c>
      <c r="I2184" t="str">
        <f t="shared" si="35"/>
        <v>GUARDIAN</v>
      </c>
    </row>
    <row r="2185" spans="1:9" x14ac:dyDescent="0.25">
      <c r="A2185" t="str">
        <f>""</f>
        <v/>
      </c>
      <c r="F2185" t="str">
        <f>""</f>
        <v/>
      </c>
      <c r="G2185" t="str">
        <f>""</f>
        <v/>
      </c>
      <c r="I2185" t="str">
        <f t="shared" si="35"/>
        <v>GUARDIAN</v>
      </c>
    </row>
    <row r="2186" spans="1:9" x14ac:dyDescent="0.25">
      <c r="A2186" t="str">
        <f>""</f>
        <v/>
      </c>
      <c r="F2186" t="str">
        <f>""</f>
        <v/>
      </c>
      <c r="G2186" t="str">
        <f>""</f>
        <v/>
      </c>
      <c r="I2186" t="str">
        <f t="shared" si="35"/>
        <v>GUARDIAN</v>
      </c>
    </row>
    <row r="2187" spans="1:9" x14ac:dyDescent="0.25">
      <c r="A2187" t="str">
        <f>""</f>
        <v/>
      </c>
      <c r="F2187" t="str">
        <f>""</f>
        <v/>
      </c>
      <c r="G2187" t="str">
        <f>""</f>
        <v/>
      </c>
      <c r="I2187" t="str">
        <f t="shared" si="35"/>
        <v>GUARDIAN</v>
      </c>
    </row>
    <row r="2188" spans="1:9" x14ac:dyDescent="0.25">
      <c r="A2188" t="str">
        <f>""</f>
        <v/>
      </c>
      <c r="F2188" t="str">
        <f>""</f>
        <v/>
      </c>
      <c r="G2188" t="str">
        <f>""</f>
        <v/>
      </c>
      <c r="I2188" t="str">
        <f t="shared" si="35"/>
        <v>GUARDIAN</v>
      </c>
    </row>
    <row r="2189" spans="1:9" x14ac:dyDescent="0.25">
      <c r="A2189" t="str">
        <f>""</f>
        <v/>
      </c>
      <c r="F2189" t="str">
        <f>""</f>
        <v/>
      </c>
      <c r="G2189" t="str">
        <f>""</f>
        <v/>
      </c>
      <c r="I2189" t="str">
        <f t="shared" si="35"/>
        <v>GUARDIAN</v>
      </c>
    </row>
    <row r="2190" spans="1:9" x14ac:dyDescent="0.25">
      <c r="A2190" t="str">
        <f>""</f>
        <v/>
      </c>
      <c r="F2190" t="str">
        <f>""</f>
        <v/>
      </c>
      <c r="G2190" t="str">
        <f>""</f>
        <v/>
      </c>
      <c r="I2190" t="str">
        <f t="shared" si="35"/>
        <v>GUARDIAN</v>
      </c>
    </row>
    <row r="2191" spans="1:9" x14ac:dyDescent="0.25">
      <c r="A2191" t="str">
        <f>""</f>
        <v/>
      </c>
      <c r="F2191" t="str">
        <f>""</f>
        <v/>
      </c>
      <c r="G2191" t="str">
        <f>""</f>
        <v/>
      </c>
      <c r="I2191" t="str">
        <f t="shared" si="35"/>
        <v>GUARDIAN</v>
      </c>
    </row>
    <row r="2192" spans="1:9" x14ac:dyDescent="0.25">
      <c r="A2192" t="str">
        <f>""</f>
        <v/>
      </c>
      <c r="F2192" t="str">
        <f>""</f>
        <v/>
      </c>
      <c r="G2192" t="str">
        <f>""</f>
        <v/>
      </c>
      <c r="I2192" t="str">
        <f t="shared" si="35"/>
        <v>GUARDIAN</v>
      </c>
    </row>
    <row r="2193" spans="1:9" x14ac:dyDescent="0.25">
      <c r="A2193" t="str">
        <f>""</f>
        <v/>
      </c>
      <c r="F2193" t="str">
        <f>""</f>
        <v/>
      </c>
      <c r="G2193" t="str">
        <f>""</f>
        <v/>
      </c>
      <c r="I2193" t="str">
        <f t="shared" si="35"/>
        <v>GUARDIAN</v>
      </c>
    </row>
    <row r="2194" spans="1:9" x14ac:dyDescent="0.25">
      <c r="A2194" t="str">
        <f>""</f>
        <v/>
      </c>
      <c r="F2194" t="str">
        <f>""</f>
        <v/>
      </c>
      <c r="G2194" t="str">
        <f>""</f>
        <v/>
      </c>
      <c r="I2194" t="str">
        <f t="shared" si="35"/>
        <v>GUARDIAN</v>
      </c>
    </row>
    <row r="2195" spans="1:9" x14ac:dyDescent="0.25">
      <c r="A2195" t="str">
        <f>""</f>
        <v/>
      </c>
      <c r="F2195" t="str">
        <f>""</f>
        <v/>
      </c>
      <c r="G2195" t="str">
        <f>""</f>
        <v/>
      </c>
      <c r="I2195" t="str">
        <f t="shared" si="35"/>
        <v>GUARDIAN</v>
      </c>
    </row>
    <row r="2196" spans="1:9" x14ac:dyDescent="0.25">
      <c r="A2196" t="str">
        <f>""</f>
        <v/>
      </c>
      <c r="F2196" t="str">
        <f>""</f>
        <v/>
      </c>
      <c r="G2196" t="str">
        <f>""</f>
        <v/>
      </c>
      <c r="I2196" t="str">
        <f t="shared" si="35"/>
        <v>GUARDIAN</v>
      </c>
    </row>
    <row r="2197" spans="1:9" x14ac:dyDescent="0.25">
      <c r="A2197" t="str">
        <f>""</f>
        <v/>
      </c>
      <c r="F2197" t="str">
        <f>""</f>
        <v/>
      </c>
      <c r="G2197" t="str">
        <f>""</f>
        <v/>
      </c>
      <c r="I2197" t="str">
        <f t="shared" si="35"/>
        <v>GUARDIAN</v>
      </c>
    </row>
    <row r="2198" spans="1:9" x14ac:dyDescent="0.25">
      <c r="A2198" t="str">
        <f>""</f>
        <v/>
      </c>
      <c r="F2198" t="str">
        <f>""</f>
        <v/>
      </c>
      <c r="G2198" t="str">
        <f>""</f>
        <v/>
      </c>
      <c r="I2198" t="str">
        <f t="shared" si="35"/>
        <v>GUARDIAN</v>
      </c>
    </row>
    <row r="2199" spans="1:9" x14ac:dyDescent="0.25">
      <c r="A2199" t="str">
        <f>""</f>
        <v/>
      </c>
      <c r="F2199" t="str">
        <f>""</f>
        <v/>
      </c>
      <c r="G2199" t="str">
        <f>""</f>
        <v/>
      </c>
      <c r="I2199" t="str">
        <f t="shared" si="35"/>
        <v>GUARDIAN</v>
      </c>
    </row>
    <row r="2200" spans="1:9" x14ac:dyDescent="0.25">
      <c r="A2200" t="str">
        <f>""</f>
        <v/>
      </c>
      <c r="F2200" t="str">
        <f>""</f>
        <v/>
      </c>
      <c r="G2200" t="str">
        <f>""</f>
        <v/>
      </c>
      <c r="I2200" t="str">
        <f t="shared" si="35"/>
        <v>GUARDIAN</v>
      </c>
    </row>
    <row r="2201" spans="1:9" x14ac:dyDescent="0.25">
      <c r="A2201" t="str">
        <f>""</f>
        <v/>
      </c>
      <c r="F2201" t="str">
        <f>""</f>
        <v/>
      </c>
      <c r="G2201" t="str">
        <f>""</f>
        <v/>
      </c>
      <c r="I2201" t="str">
        <f t="shared" si="35"/>
        <v>GUARDIAN</v>
      </c>
    </row>
    <row r="2202" spans="1:9" x14ac:dyDescent="0.25">
      <c r="A2202" t="str">
        <f>""</f>
        <v/>
      </c>
      <c r="F2202" t="str">
        <f>""</f>
        <v/>
      </c>
      <c r="G2202" t="str">
        <f>""</f>
        <v/>
      </c>
      <c r="I2202" t="str">
        <f t="shared" si="35"/>
        <v>GUARDIAN</v>
      </c>
    </row>
    <row r="2203" spans="1:9" x14ac:dyDescent="0.25">
      <c r="A2203" t="str">
        <f>""</f>
        <v/>
      </c>
      <c r="F2203" t="str">
        <f>""</f>
        <v/>
      </c>
      <c r="G2203" t="str">
        <f>""</f>
        <v/>
      </c>
      <c r="I2203" t="str">
        <f t="shared" si="35"/>
        <v>GUARDIAN</v>
      </c>
    </row>
    <row r="2204" spans="1:9" x14ac:dyDescent="0.25">
      <c r="A2204" t="str">
        <f>""</f>
        <v/>
      </c>
      <c r="F2204" t="str">
        <f>""</f>
        <v/>
      </c>
      <c r="G2204" t="str">
        <f>""</f>
        <v/>
      </c>
      <c r="I2204" t="str">
        <f t="shared" si="35"/>
        <v>GUARDIAN</v>
      </c>
    </row>
    <row r="2205" spans="1:9" x14ac:dyDescent="0.25">
      <c r="A2205" t="str">
        <f>""</f>
        <v/>
      </c>
      <c r="F2205" t="str">
        <f>""</f>
        <v/>
      </c>
      <c r="G2205" t="str">
        <f>""</f>
        <v/>
      </c>
      <c r="I2205" t="str">
        <f t="shared" si="35"/>
        <v>GUARDIAN</v>
      </c>
    </row>
    <row r="2206" spans="1:9" x14ac:dyDescent="0.25">
      <c r="A2206" t="str">
        <f>""</f>
        <v/>
      </c>
      <c r="F2206" t="str">
        <f>""</f>
        <v/>
      </c>
      <c r="G2206" t="str">
        <f>""</f>
        <v/>
      </c>
      <c r="I2206" t="str">
        <f t="shared" si="35"/>
        <v>GUARDIAN</v>
      </c>
    </row>
    <row r="2207" spans="1:9" x14ac:dyDescent="0.25">
      <c r="A2207" t="str">
        <f>""</f>
        <v/>
      </c>
      <c r="F2207" t="str">
        <f>""</f>
        <v/>
      </c>
      <c r="G2207" t="str">
        <f>""</f>
        <v/>
      </c>
      <c r="I2207" t="str">
        <f t="shared" si="35"/>
        <v>GUARDIAN</v>
      </c>
    </row>
    <row r="2208" spans="1:9" x14ac:dyDescent="0.25">
      <c r="A2208" t="str">
        <f>""</f>
        <v/>
      </c>
      <c r="F2208" t="str">
        <f>""</f>
        <v/>
      </c>
      <c r="G2208" t="str">
        <f>""</f>
        <v/>
      </c>
      <c r="I2208" t="str">
        <f t="shared" si="35"/>
        <v>GUARDIAN</v>
      </c>
    </row>
    <row r="2209" spans="1:9" x14ac:dyDescent="0.25">
      <c r="A2209" t="str">
        <f>""</f>
        <v/>
      </c>
      <c r="F2209" t="str">
        <f>""</f>
        <v/>
      </c>
      <c r="G2209" t="str">
        <f>""</f>
        <v/>
      </c>
      <c r="I2209" t="str">
        <f t="shared" si="35"/>
        <v>GUARDIAN</v>
      </c>
    </row>
    <row r="2210" spans="1:9" x14ac:dyDescent="0.25">
      <c r="A2210" t="str">
        <f>""</f>
        <v/>
      </c>
      <c r="F2210" t="str">
        <f>""</f>
        <v/>
      </c>
      <c r="G2210" t="str">
        <f>""</f>
        <v/>
      </c>
      <c r="I2210" t="str">
        <f t="shared" si="35"/>
        <v>GUARDIAN</v>
      </c>
    </row>
    <row r="2211" spans="1:9" x14ac:dyDescent="0.25">
      <c r="A2211" t="str">
        <f>""</f>
        <v/>
      </c>
      <c r="F2211" t="str">
        <f>""</f>
        <v/>
      </c>
      <c r="G2211" t="str">
        <f>""</f>
        <v/>
      </c>
      <c r="I2211" t="str">
        <f t="shared" si="35"/>
        <v>GUARDIAN</v>
      </c>
    </row>
    <row r="2212" spans="1:9" x14ac:dyDescent="0.25">
      <c r="A2212" t="str">
        <f>""</f>
        <v/>
      </c>
      <c r="F2212" t="str">
        <f>""</f>
        <v/>
      </c>
      <c r="G2212" t="str">
        <f>""</f>
        <v/>
      </c>
      <c r="I2212" t="str">
        <f t="shared" si="35"/>
        <v>GUARDIAN</v>
      </c>
    </row>
    <row r="2213" spans="1:9" x14ac:dyDescent="0.25">
      <c r="A2213" t="str">
        <f>""</f>
        <v/>
      </c>
      <c r="F2213" t="str">
        <f>""</f>
        <v/>
      </c>
      <c r="G2213" t="str">
        <f>""</f>
        <v/>
      </c>
      <c r="I2213" t="str">
        <f t="shared" si="35"/>
        <v>GUARDIAN</v>
      </c>
    </row>
    <row r="2214" spans="1:9" x14ac:dyDescent="0.25">
      <c r="A2214" t="str">
        <f>""</f>
        <v/>
      </c>
      <c r="F2214" t="str">
        <f>""</f>
        <v/>
      </c>
      <c r="G2214" t="str">
        <f>""</f>
        <v/>
      </c>
      <c r="I2214" t="str">
        <f t="shared" si="35"/>
        <v>GUARDIAN</v>
      </c>
    </row>
    <row r="2215" spans="1:9" x14ac:dyDescent="0.25">
      <c r="A2215" t="str">
        <f>""</f>
        <v/>
      </c>
      <c r="F2215" t="str">
        <f>""</f>
        <v/>
      </c>
      <c r="G2215" t="str">
        <f>""</f>
        <v/>
      </c>
      <c r="I2215" t="str">
        <f t="shared" ref="I2215:I2246" si="36">"GUARDIAN"</f>
        <v>GUARDIAN</v>
      </c>
    </row>
    <row r="2216" spans="1:9" x14ac:dyDescent="0.25">
      <c r="A2216" t="str">
        <f>""</f>
        <v/>
      </c>
      <c r="F2216" t="str">
        <f>""</f>
        <v/>
      </c>
      <c r="G2216" t="str">
        <f>""</f>
        <v/>
      </c>
      <c r="I2216" t="str">
        <f t="shared" si="36"/>
        <v>GUARDIAN</v>
      </c>
    </row>
    <row r="2217" spans="1:9" x14ac:dyDescent="0.25">
      <c r="A2217" t="str">
        <f>""</f>
        <v/>
      </c>
      <c r="F2217" t="str">
        <f>""</f>
        <v/>
      </c>
      <c r="G2217" t="str">
        <f>""</f>
        <v/>
      </c>
      <c r="I2217" t="str">
        <f t="shared" si="36"/>
        <v>GUARDIAN</v>
      </c>
    </row>
    <row r="2218" spans="1:9" x14ac:dyDescent="0.25">
      <c r="A2218" t="str">
        <f>""</f>
        <v/>
      </c>
      <c r="F2218" t="str">
        <f>""</f>
        <v/>
      </c>
      <c r="G2218" t="str">
        <f>""</f>
        <v/>
      </c>
      <c r="I2218" t="str">
        <f t="shared" si="36"/>
        <v>GUARDIAN</v>
      </c>
    </row>
    <row r="2219" spans="1:9" x14ac:dyDescent="0.25">
      <c r="A2219" t="str">
        <f>""</f>
        <v/>
      </c>
      <c r="F2219" t="str">
        <f>""</f>
        <v/>
      </c>
      <c r="G2219" t="str">
        <f>""</f>
        <v/>
      </c>
      <c r="I2219" t="str">
        <f t="shared" si="36"/>
        <v>GUARDIAN</v>
      </c>
    </row>
    <row r="2220" spans="1:9" x14ac:dyDescent="0.25">
      <c r="A2220" t="str">
        <f>""</f>
        <v/>
      </c>
      <c r="F2220" t="str">
        <f>""</f>
        <v/>
      </c>
      <c r="G2220" t="str">
        <f>""</f>
        <v/>
      </c>
      <c r="I2220" t="str">
        <f t="shared" si="36"/>
        <v>GUARDIAN</v>
      </c>
    </row>
    <row r="2221" spans="1:9" x14ac:dyDescent="0.25">
      <c r="A2221" t="str">
        <f>""</f>
        <v/>
      </c>
      <c r="F2221" t="str">
        <f>"LIE201804049989"</f>
        <v>LIE201804049989</v>
      </c>
      <c r="G2221" t="str">
        <f>"GUARDIAN"</f>
        <v>GUARDIAN</v>
      </c>
      <c r="H2221">
        <v>97.35</v>
      </c>
      <c r="I2221" t="str">
        <f t="shared" si="36"/>
        <v>GUARDIAN</v>
      </c>
    </row>
    <row r="2222" spans="1:9" x14ac:dyDescent="0.25">
      <c r="A2222" t="str">
        <f>""</f>
        <v/>
      </c>
      <c r="F2222" t="str">
        <f>""</f>
        <v/>
      </c>
      <c r="G2222" t="str">
        <f>""</f>
        <v/>
      </c>
      <c r="I2222" t="str">
        <f t="shared" si="36"/>
        <v>GUARDIAN</v>
      </c>
    </row>
    <row r="2223" spans="1:9" x14ac:dyDescent="0.25">
      <c r="A2223" t="str">
        <f>""</f>
        <v/>
      </c>
      <c r="F2223" t="str">
        <f>"LIE201804180391"</f>
        <v>LIE201804180391</v>
      </c>
      <c r="G2223" t="str">
        <f>"GUARDIAN"</f>
        <v>GUARDIAN</v>
      </c>
      <c r="H2223">
        <v>3172.35</v>
      </c>
      <c r="I2223" t="str">
        <f t="shared" si="36"/>
        <v>GUARDIAN</v>
      </c>
    </row>
    <row r="2224" spans="1:9" x14ac:dyDescent="0.25">
      <c r="A2224" t="str">
        <f>""</f>
        <v/>
      </c>
      <c r="F2224" t="str">
        <f>""</f>
        <v/>
      </c>
      <c r="G2224" t="str">
        <f>""</f>
        <v/>
      </c>
      <c r="I2224" t="str">
        <f t="shared" si="36"/>
        <v>GUARDIAN</v>
      </c>
    </row>
    <row r="2225" spans="1:9" x14ac:dyDescent="0.25">
      <c r="A2225" t="str">
        <f>""</f>
        <v/>
      </c>
      <c r="F2225" t="str">
        <f>""</f>
        <v/>
      </c>
      <c r="G2225" t="str">
        <f>""</f>
        <v/>
      </c>
      <c r="I2225" t="str">
        <f t="shared" si="36"/>
        <v>GUARDIAN</v>
      </c>
    </row>
    <row r="2226" spans="1:9" x14ac:dyDescent="0.25">
      <c r="A2226" t="str">
        <f>""</f>
        <v/>
      </c>
      <c r="F2226" t="str">
        <f>""</f>
        <v/>
      </c>
      <c r="G2226" t="str">
        <f>""</f>
        <v/>
      </c>
      <c r="I2226" t="str">
        <f t="shared" si="36"/>
        <v>GUARDIAN</v>
      </c>
    </row>
    <row r="2227" spans="1:9" x14ac:dyDescent="0.25">
      <c r="A2227" t="str">
        <f>""</f>
        <v/>
      </c>
      <c r="F2227" t="str">
        <f>""</f>
        <v/>
      </c>
      <c r="G2227" t="str">
        <f>""</f>
        <v/>
      </c>
      <c r="I2227" t="str">
        <f t="shared" si="36"/>
        <v>GUARDIAN</v>
      </c>
    </row>
    <row r="2228" spans="1:9" x14ac:dyDescent="0.25">
      <c r="A2228" t="str">
        <f>""</f>
        <v/>
      </c>
      <c r="F2228" t="str">
        <f>""</f>
        <v/>
      </c>
      <c r="G2228" t="str">
        <f>""</f>
        <v/>
      </c>
      <c r="I2228" t="str">
        <f t="shared" si="36"/>
        <v>GUARDIAN</v>
      </c>
    </row>
    <row r="2229" spans="1:9" x14ac:dyDescent="0.25">
      <c r="A2229" t="str">
        <f>""</f>
        <v/>
      </c>
      <c r="F2229" t="str">
        <f>""</f>
        <v/>
      </c>
      <c r="G2229" t="str">
        <f>""</f>
        <v/>
      </c>
      <c r="I2229" t="str">
        <f t="shared" si="36"/>
        <v>GUARDIAN</v>
      </c>
    </row>
    <row r="2230" spans="1:9" x14ac:dyDescent="0.25">
      <c r="A2230" t="str">
        <f>""</f>
        <v/>
      </c>
      <c r="F2230" t="str">
        <f>""</f>
        <v/>
      </c>
      <c r="G2230" t="str">
        <f>""</f>
        <v/>
      </c>
      <c r="I2230" t="str">
        <f t="shared" si="36"/>
        <v>GUARDIAN</v>
      </c>
    </row>
    <row r="2231" spans="1:9" x14ac:dyDescent="0.25">
      <c r="A2231" t="str">
        <f>""</f>
        <v/>
      </c>
      <c r="F2231" t="str">
        <f>""</f>
        <v/>
      </c>
      <c r="G2231" t="str">
        <f>""</f>
        <v/>
      </c>
      <c r="I2231" t="str">
        <f t="shared" si="36"/>
        <v>GUARDIAN</v>
      </c>
    </row>
    <row r="2232" spans="1:9" x14ac:dyDescent="0.25">
      <c r="A2232" t="str">
        <f>""</f>
        <v/>
      </c>
      <c r="F2232" t="str">
        <f>""</f>
        <v/>
      </c>
      <c r="G2232" t="str">
        <f>""</f>
        <v/>
      </c>
      <c r="I2232" t="str">
        <f t="shared" si="36"/>
        <v>GUARDIAN</v>
      </c>
    </row>
    <row r="2233" spans="1:9" x14ac:dyDescent="0.25">
      <c r="A2233" t="str">
        <f>""</f>
        <v/>
      </c>
      <c r="F2233" t="str">
        <f>""</f>
        <v/>
      </c>
      <c r="G2233" t="str">
        <f>""</f>
        <v/>
      </c>
      <c r="I2233" t="str">
        <f t="shared" si="36"/>
        <v>GUARDIAN</v>
      </c>
    </row>
    <row r="2234" spans="1:9" x14ac:dyDescent="0.25">
      <c r="A2234" t="str">
        <f>""</f>
        <v/>
      </c>
      <c r="F2234" t="str">
        <f>""</f>
        <v/>
      </c>
      <c r="G2234" t="str">
        <f>""</f>
        <v/>
      </c>
      <c r="I2234" t="str">
        <f t="shared" si="36"/>
        <v>GUARDIAN</v>
      </c>
    </row>
    <row r="2235" spans="1:9" x14ac:dyDescent="0.25">
      <c r="A2235" t="str">
        <f>""</f>
        <v/>
      </c>
      <c r="F2235" t="str">
        <f>""</f>
        <v/>
      </c>
      <c r="G2235" t="str">
        <f>""</f>
        <v/>
      </c>
      <c r="I2235" t="str">
        <f t="shared" si="36"/>
        <v>GUARDIAN</v>
      </c>
    </row>
    <row r="2236" spans="1:9" x14ac:dyDescent="0.25">
      <c r="A2236" t="str">
        <f>""</f>
        <v/>
      </c>
      <c r="F2236" t="str">
        <f>""</f>
        <v/>
      </c>
      <c r="G2236" t="str">
        <f>""</f>
        <v/>
      </c>
      <c r="I2236" t="str">
        <f t="shared" si="36"/>
        <v>GUARDIAN</v>
      </c>
    </row>
    <row r="2237" spans="1:9" x14ac:dyDescent="0.25">
      <c r="A2237" t="str">
        <f>""</f>
        <v/>
      </c>
      <c r="F2237" t="str">
        <f>""</f>
        <v/>
      </c>
      <c r="G2237" t="str">
        <f>""</f>
        <v/>
      </c>
      <c r="I2237" t="str">
        <f t="shared" si="36"/>
        <v>GUARDIAN</v>
      </c>
    </row>
    <row r="2238" spans="1:9" x14ac:dyDescent="0.25">
      <c r="A2238" t="str">
        <f>""</f>
        <v/>
      </c>
      <c r="F2238" t="str">
        <f>""</f>
        <v/>
      </c>
      <c r="G2238" t="str">
        <f>""</f>
        <v/>
      </c>
      <c r="I2238" t="str">
        <f t="shared" si="36"/>
        <v>GUARDIAN</v>
      </c>
    </row>
    <row r="2239" spans="1:9" x14ac:dyDescent="0.25">
      <c r="A2239" t="str">
        <f>""</f>
        <v/>
      </c>
      <c r="F2239" t="str">
        <f>""</f>
        <v/>
      </c>
      <c r="G2239" t="str">
        <f>""</f>
        <v/>
      </c>
      <c r="I2239" t="str">
        <f t="shared" si="36"/>
        <v>GUARDIAN</v>
      </c>
    </row>
    <row r="2240" spans="1:9" x14ac:dyDescent="0.25">
      <c r="A2240" t="str">
        <f>""</f>
        <v/>
      </c>
      <c r="F2240" t="str">
        <f>""</f>
        <v/>
      </c>
      <c r="G2240" t="str">
        <f>""</f>
        <v/>
      </c>
      <c r="I2240" t="str">
        <f t="shared" si="36"/>
        <v>GUARDIAN</v>
      </c>
    </row>
    <row r="2241" spans="1:9" x14ac:dyDescent="0.25">
      <c r="A2241" t="str">
        <f>""</f>
        <v/>
      </c>
      <c r="F2241" t="str">
        <f>""</f>
        <v/>
      </c>
      <c r="G2241" t="str">
        <f>""</f>
        <v/>
      </c>
      <c r="I2241" t="str">
        <f t="shared" si="36"/>
        <v>GUARDIAN</v>
      </c>
    </row>
    <row r="2242" spans="1:9" x14ac:dyDescent="0.25">
      <c r="A2242" t="str">
        <f>""</f>
        <v/>
      </c>
      <c r="F2242" t="str">
        <f>""</f>
        <v/>
      </c>
      <c r="G2242" t="str">
        <f>""</f>
        <v/>
      </c>
      <c r="I2242" t="str">
        <f t="shared" si="36"/>
        <v>GUARDIAN</v>
      </c>
    </row>
    <row r="2243" spans="1:9" x14ac:dyDescent="0.25">
      <c r="A2243" t="str">
        <f>""</f>
        <v/>
      </c>
      <c r="F2243" t="str">
        <f>""</f>
        <v/>
      </c>
      <c r="G2243" t="str">
        <f>""</f>
        <v/>
      </c>
      <c r="I2243" t="str">
        <f t="shared" si="36"/>
        <v>GUARDIAN</v>
      </c>
    </row>
    <row r="2244" spans="1:9" x14ac:dyDescent="0.25">
      <c r="A2244" t="str">
        <f>""</f>
        <v/>
      </c>
      <c r="F2244" t="str">
        <f>""</f>
        <v/>
      </c>
      <c r="G2244" t="str">
        <f>""</f>
        <v/>
      </c>
      <c r="I2244" t="str">
        <f t="shared" si="36"/>
        <v>GUARDIAN</v>
      </c>
    </row>
    <row r="2245" spans="1:9" x14ac:dyDescent="0.25">
      <c r="A2245" t="str">
        <f>""</f>
        <v/>
      </c>
      <c r="F2245" t="str">
        <f>""</f>
        <v/>
      </c>
      <c r="G2245" t="str">
        <f>""</f>
        <v/>
      </c>
      <c r="I2245" t="str">
        <f t="shared" si="36"/>
        <v>GUARDIAN</v>
      </c>
    </row>
    <row r="2246" spans="1:9" x14ac:dyDescent="0.25">
      <c r="A2246" t="str">
        <f>""</f>
        <v/>
      </c>
      <c r="F2246" t="str">
        <f>""</f>
        <v/>
      </c>
      <c r="G2246" t="str">
        <f>""</f>
        <v/>
      </c>
      <c r="I2246" t="str">
        <f t="shared" si="36"/>
        <v>GUARDIAN</v>
      </c>
    </row>
    <row r="2247" spans="1:9" x14ac:dyDescent="0.25">
      <c r="A2247" t="str">
        <f>""</f>
        <v/>
      </c>
      <c r="F2247" t="str">
        <f>""</f>
        <v/>
      </c>
      <c r="G2247" t="str">
        <f>""</f>
        <v/>
      </c>
      <c r="I2247" t="str">
        <f t="shared" ref="I2247:I2278" si="37">"GUARDIAN"</f>
        <v>GUARDIAN</v>
      </c>
    </row>
    <row r="2248" spans="1:9" x14ac:dyDescent="0.25">
      <c r="A2248" t="str">
        <f>""</f>
        <v/>
      </c>
      <c r="F2248" t="str">
        <f>""</f>
        <v/>
      </c>
      <c r="G2248" t="str">
        <f>""</f>
        <v/>
      </c>
      <c r="I2248" t="str">
        <f t="shared" si="37"/>
        <v>GUARDIAN</v>
      </c>
    </row>
    <row r="2249" spans="1:9" x14ac:dyDescent="0.25">
      <c r="A2249" t="str">
        <f>""</f>
        <v/>
      </c>
      <c r="F2249" t="str">
        <f>""</f>
        <v/>
      </c>
      <c r="G2249" t="str">
        <f>""</f>
        <v/>
      </c>
      <c r="I2249" t="str">
        <f t="shared" si="37"/>
        <v>GUARDIAN</v>
      </c>
    </row>
    <row r="2250" spans="1:9" x14ac:dyDescent="0.25">
      <c r="A2250" t="str">
        <f>""</f>
        <v/>
      </c>
      <c r="F2250" t="str">
        <f>""</f>
        <v/>
      </c>
      <c r="G2250" t="str">
        <f>""</f>
        <v/>
      </c>
      <c r="I2250" t="str">
        <f t="shared" si="37"/>
        <v>GUARDIAN</v>
      </c>
    </row>
    <row r="2251" spans="1:9" x14ac:dyDescent="0.25">
      <c r="A2251" t="str">
        <f>""</f>
        <v/>
      </c>
      <c r="F2251" t="str">
        <f>""</f>
        <v/>
      </c>
      <c r="G2251" t="str">
        <f>""</f>
        <v/>
      </c>
      <c r="I2251" t="str">
        <f t="shared" si="37"/>
        <v>GUARDIAN</v>
      </c>
    </row>
    <row r="2252" spans="1:9" x14ac:dyDescent="0.25">
      <c r="A2252" t="str">
        <f>""</f>
        <v/>
      </c>
      <c r="F2252" t="str">
        <f>""</f>
        <v/>
      </c>
      <c r="G2252" t="str">
        <f>""</f>
        <v/>
      </c>
      <c r="I2252" t="str">
        <f t="shared" si="37"/>
        <v>GUARDIAN</v>
      </c>
    </row>
    <row r="2253" spans="1:9" x14ac:dyDescent="0.25">
      <c r="A2253" t="str">
        <f>""</f>
        <v/>
      </c>
      <c r="F2253" t="str">
        <f>""</f>
        <v/>
      </c>
      <c r="G2253" t="str">
        <f>""</f>
        <v/>
      </c>
      <c r="I2253" t="str">
        <f t="shared" si="37"/>
        <v>GUARDIAN</v>
      </c>
    </row>
    <row r="2254" spans="1:9" x14ac:dyDescent="0.25">
      <c r="A2254" t="str">
        <f>""</f>
        <v/>
      </c>
      <c r="F2254" t="str">
        <f>""</f>
        <v/>
      </c>
      <c r="G2254" t="str">
        <f>""</f>
        <v/>
      </c>
      <c r="I2254" t="str">
        <f t="shared" si="37"/>
        <v>GUARDIAN</v>
      </c>
    </row>
    <row r="2255" spans="1:9" x14ac:dyDescent="0.25">
      <c r="A2255" t="str">
        <f>""</f>
        <v/>
      </c>
      <c r="F2255" t="str">
        <f>""</f>
        <v/>
      </c>
      <c r="G2255" t="str">
        <f>""</f>
        <v/>
      </c>
      <c r="I2255" t="str">
        <f t="shared" si="37"/>
        <v>GUARDIAN</v>
      </c>
    </row>
    <row r="2256" spans="1:9" x14ac:dyDescent="0.25">
      <c r="A2256" t="str">
        <f>""</f>
        <v/>
      </c>
      <c r="F2256" t="str">
        <f>""</f>
        <v/>
      </c>
      <c r="G2256" t="str">
        <f>""</f>
        <v/>
      </c>
      <c r="I2256" t="str">
        <f t="shared" si="37"/>
        <v>GUARDIAN</v>
      </c>
    </row>
    <row r="2257" spans="1:9" x14ac:dyDescent="0.25">
      <c r="A2257" t="str">
        <f>""</f>
        <v/>
      </c>
      <c r="F2257" t="str">
        <f>""</f>
        <v/>
      </c>
      <c r="G2257" t="str">
        <f>""</f>
        <v/>
      </c>
      <c r="I2257" t="str">
        <f t="shared" si="37"/>
        <v>GUARDIAN</v>
      </c>
    </row>
    <row r="2258" spans="1:9" x14ac:dyDescent="0.25">
      <c r="A2258" t="str">
        <f>""</f>
        <v/>
      </c>
      <c r="F2258" t="str">
        <f>""</f>
        <v/>
      </c>
      <c r="G2258" t="str">
        <f>""</f>
        <v/>
      </c>
      <c r="I2258" t="str">
        <f t="shared" si="37"/>
        <v>GUARDIAN</v>
      </c>
    </row>
    <row r="2259" spans="1:9" x14ac:dyDescent="0.25">
      <c r="A2259" t="str">
        <f>""</f>
        <v/>
      </c>
      <c r="F2259" t="str">
        <f>""</f>
        <v/>
      </c>
      <c r="G2259" t="str">
        <f>""</f>
        <v/>
      </c>
      <c r="I2259" t="str">
        <f t="shared" si="37"/>
        <v>GUARDIAN</v>
      </c>
    </row>
    <row r="2260" spans="1:9" x14ac:dyDescent="0.25">
      <c r="A2260" t="str">
        <f>""</f>
        <v/>
      </c>
      <c r="F2260" t="str">
        <f>""</f>
        <v/>
      </c>
      <c r="G2260" t="str">
        <f>""</f>
        <v/>
      </c>
      <c r="I2260" t="str">
        <f t="shared" si="37"/>
        <v>GUARDIAN</v>
      </c>
    </row>
    <row r="2261" spans="1:9" x14ac:dyDescent="0.25">
      <c r="A2261" t="str">
        <f>""</f>
        <v/>
      </c>
      <c r="F2261" t="str">
        <f>""</f>
        <v/>
      </c>
      <c r="G2261" t="str">
        <f>""</f>
        <v/>
      </c>
      <c r="I2261" t="str">
        <f t="shared" si="37"/>
        <v>GUARDIAN</v>
      </c>
    </row>
    <row r="2262" spans="1:9" x14ac:dyDescent="0.25">
      <c r="A2262" t="str">
        <f>""</f>
        <v/>
      </c>
      <c r="F2262" t="str">
        <f>""</f>
        <v/>
      </c>
      <c r="G2262" t="str">
        <f>""</f>
        <v/>
      </c>
      <c r="I2262" t="str">
        <f t="shared" si="37"/>
        <v>GUARDIAN</v>
      </c>
    </row>
    <row r="2263" spans="1:9" x14ac:dyDescent="0.25">
      <c r="A2263" t="str">
        <f>""</f>
        <v/>
      </c>
      <c r="F2263" t="str">
        <f>""</f>
        <v/>
      </c>
      <c r="G2263" t="str">
        <f>""</f>
        <v/>
      </c>
      <c r="I2263" t="str">
        <f t="shared" si="37"/>
        <v>GUARDIAN</v>
      </c>
    </row>
    <row r="2264" spans="1:9" x14ac:dyDescent="0.25">
      <c r="A2264" t="str">
        <f>""</f>
        <v/>
      </c>
      <c r="F2264" t="str">
        <f>""</f>
        <v/>
      </c>
      <c r="G2264" t="str">
        <f>""</f>
        <v/>
      </c>
      <c r="I2264" t="str">
        <f t="shared" si="37"/>
        <v>GUARDIAN</v>
      </c>
    </row>
    <row r="2265" spans="1:9" x14ac:dyDescent="0.25">
      <c r="A2265" t="str">
        <f>""</f>
        <v/>
      </c>
      <c r="F2265" t="str">
        <f>""</f>
        <v/>
      </c>
      <c r="G2265" t="str">
        <f>""</f>
        <v/>
      </c>
      <c r="I2265" t="str">
        <f t="shared" si="37"/>
        <v>GUARDIAN</v>
      </c>
    </row>
    <row r="2266" spans="1:9" x14ac:dyDescent="0.25">
      <c r="A2266" t="str">
        <f>""</f>
        <v/>
      </c>
      <c r="F2266" t="str">
        <f>""</f>
        <v/>
      </c>
      <c r="G2266" t="str">
        <f>""</f>
        <v/>
      </c>
      <c r="I2266" t="str">
        <f t="shared" si="37"/>
        <v>GUARDIAN</v>
      </c>
    </row>
    <row r="2267" spans="1:9" x14ac:dyDescent="0.25">
      <c r="A2267" t="str">
        <f>""</f>
        <v/>
      </c>
      <c r="F2267" t="str">
        <f>""</f>
        <v/>
      </c>
      <c r="G2267" t="str">
        <f>""</f>
        <v/>
      </c>
      <c r="I2267" t="str">
        <f t="shared" si="37"/>
        <v>GUARDIAN</v>
      </c>
    </row>
    <row r="2268" spans="1:9" x14ac:dyDescent="0.25">
      <c r="A2268" t="str">
        <f>""</f>
        <v/>
      </c>
      <c r="F2268" t="str">
        <f>""</f>
        <v/>
      </c>
      <c r="G2268" t="str">
        <f>""</f>
        <v/>
      </c>
      <c r="I2268" t="str">
        <f t="shared" si="37"/>
        <v>GUARDIAN</v>
      </c>
    </row>
    <row r="2269" spans="1:9" x14ac:dyDescent="0.25">
      <c r="A2269" t="str">
        <f>""</f>
        <v/>
      </c>
      <c r="F2269" t="str">
        <f>""</f>
        <v/>
      </c>
      <c r="G2269" t="str">
        <f>""</f>
        <v/>
      </c>
      <c r="I2269" t="str">
        <f t="shared" si="37"/>
        <v>GUARDIAN</v>
      </c>
    </row>
    <row r="2270" spans="1:9" x14ac:dyDescent="0.25">
      <c r="A2270" t="str">
        <f>""</f>
        <v/>
      </c>
      <c r="F2270" t="str">
        <f>""</f>
        <v/>
      </c>
      <c r="G2270" t="str">
        <f>""</f>
        <v/>
      </c>
      <c r="I2270" t="str">
        <f t="shared" si="37"/>
        <v>GUARDIAN</v>
      </c>
    </row>
    <row r="2271" spans="1:9" x14ac:dyDescent="0.25">
      <c r="A2271" t="str">
        <f>""</f>
        <v/>
      </c>
      <c r="F2271" t="str">
        <f>""</f>
        <v/>
      </c>
      <c r="G2271" t="str">
        <f>""</f>
        <v/>
      </c>
      <c r="I2271" t="str">
        <f t="shared" si="37"/>
        <v>GUARDIAN</v>
      </c>
    </row>
    <row r="2272" spans="1:9" x14ac:dyDescent="0.25">
      <c r="A2272" t="str">
        <f>""</f>
        <v/>
      </c>
      <c r="F2272" t="str">
        <f>""</f>
        <v/>
      </c>
      <c r="G2272" t="str">
        <f>""</f>
        <v/>
      </c>
      <c r="I2272" t="str">
        <f t="shared" si="37"/>
        <v>GUARDIAN</v>
      </c>
    </row>
    <row r="2273" spans="1:9" x14ac:dyDescent="0.25">
      <c r="A2273" t="str">
        <f>""</f>
        <v/>
      </c>
      <c r="F2273" t="str">
        <f>"LIE201804180392"</f>
        <v>LIE201804180392</v>
      </c>
      <c r="G2273" t="str">
        <f>"GUARDIAN"</f>
        <v>GUARDIAN</v>
      </c>
      <c r="H2273">
        <v>97.35</v>
      </c>
      <c r="I2273" t="str">
        <f t="shared" si="37"/>
        <v>GUARDIAN</v>
      </c>
    </row>
    <row r="2274" spans="1:9" x14ac:dyDescent="0.25">
      <c r="A2274" t="str">
        <f>""</f>
        <v/>
      </c>
      <c r="F2274" t="str">
        <f>""</f>
        <v/>
      </c>
      <c r="G2274" t="str">
        <f>""</f>
        <v/>
      </c>
      <c r="I2274" t="str">
        <f t="shared" si="37"/>
        <v>GUARDIAN</v>
      </c>
    </row>
    <row r="2275" spans="1:9" x14ac:dyDescent="0.25">
      <c r="A2275" t="str">
        <f>""</f>
        <v/>
      </c>
      <c r="F2275" t="str">
        <f>"LIS201804049962"</f>
        <v>LIS201804049962</v>
      </c>
      <c r="G2275" t="str">
        <f t="shared" ref="G2275:G2284" si="38">"GUARDIAN"</f>
        <v>GUARDIAN</v>
      </c>
      <c r="H2275">
        <v>384.02</v>
      </c>
      <c r="I2275" t="str">
        <f t="shared" si="37"/>
        <v>GUARDIAN</v>
      </c>
    </row>
    <row r="2276" spans="1:9" x14ac:dyDescent="0.25">
      <c r="A2276" t="str">
        <f>""</f>
        <v/>
      </c>
      <c r="F2276" t="str">
        <f>"LIS201804049989"</f>
        <v>LIS201804049989</v>
      </c>
      <c r="G2276" t="str">
        <f t="shared" si="38"/>
        <v>GUARDIAN</v>
      </c>
      <c r="H2276">
        <v>31.03</v>
      </c>
      <c r="I2276" t="str">
        <f t="shared" si="37"/>
        <v>GUARDIAN</v>
      </c>
    </row>
    <row r="2277" spans="1:9" x14ac:dyDescent="0.25">
      <c r="A2277" t="str">
        <f>""</f>
        <v/>
      </c>
      <c r="F2277" t="str">
        <f>"LIS201804180391"</f>
        <v>LIS201804180391</v>
      </c>
      <c r="G2277" t="str">
        <f t="shared" si="38"/>
        <v>GUARDIAN</v>
      </c>
      <c r="H2277">
        <v>384.02</v>
      </c>
      <c r="I2277" t="str">
        <f t="shared" si="37"/>
        <v>GUARDIAN</v>
      </c>
    </row>
    <row r="2278" spans="1:9" x14ac:dyDescent="0.25">
      <c r="A2278" t="str">
        <f>""</f>
        <v/>
      </c>
      <c r="F2278" t="str">
        <f>"LIS201804180392"</f>
        <v>LIS201804180392</v>
      </c>
      <c r="G2278" t="str">
        <f t="shared" si="38"/>
        <v>GUARDIAN</v>
      </c>
      <c r="H2278">
        <v>31.03</v>
      </c>
      <c r="I2278" t="str">
        <f t="shared" si="37"/>
        <v>GUARDIAN</v>
      </c>
    </row>
    <row r="2279" spans="1:9" x14ac:dyDescent="0.25">
      <c r="A2279" t="str">
        <f>""</f>
        <v/>
      </c>
      <c r="F2279" t="str">
        <f>"LTD201804049962"</f>
        <v>LTD201804049962</v>
      </c>
      <c r="G2279" t="str">
        <f t="shared" si="38"/>
        <v>GUARDIAN</v>
      </c>
      <c r="H2279">
        <v>752.65</v>
      </c>
      <c r="I2279" t="str">
        <f t="shared" ref="I2279:I2284" si="39">"GUARDIAN"</f>
        <v>GUARDIAN</v>
      </c>
    </row>
    <row r="2280" spans="1:9" x14ac:dyDescent="0.25">
      <c r="A2280" t="str">
        <f>""</f>
        <v/>
      </c>
      <c r="F2280" t="str">
        <f>"LTD201804180391"</f>
        <v>LTD201804180391</v>
      </c>
      <c r="G2280" t="str">
        <f t="shared" si="38"/>
        <v>GUARDIAN</v>
      </c>
      <c r="H2280">
        <v>752.65</v>
      </c>
      <c r="I2280" t="str">
        <f t="shared" si="39"/>
        <v>GUARDIAN</v>
      </c>
    </row>
    <row r="2281" spans="1:9" x14ac:dyDescent="0.25">
      <c r="A2281" t="str">
        <f>"GUARDI"</f>
        <v>GUARDI</v>
      </c>
      <c r="B2281" t="s">
        <v>499</v>
      </c>
      <c r="C2281">
        <v>0</v>
      </c>
      <c r="D2281" s="2">
        <v>112.44</v>
      </c>
      <c r="E2281" s="1">
        <v>43214</v>
      </c>
      <c r="F2281" t="str">
        <f>"AEG201804049962"</f>
        <v>AEG201804049962</v>
      </c>
      <c r="G2281" t="str">
        <f t="shared" si="38"/>
        <v>GUARDIAN</v>
      </c>
      <c r="H2281">
        <v>6.66</v>
      </c>
      <c r="I2281" t="str">
        <f t="shared" si="39"/>
        <v>GUARDIAN</v>
      </c>
    </row>
    <row r="2282" spans="1:9" x14ac:dyDescent="0.25">
      <c r="A2282" t="str">
        <f>""</f>
        <v/>
      </c>
      <c r="F2282" t="str">
        <f>"AEG201804180391"</f>
        <v>AEG201804180391</v>
      </c>
      <c r="G2282" t="str">
        <f t="shared" si="38"/>
        <v>GUARDIAN</v>
      </c>
      <c r="H2282">
        <v>6.66</v>
      </c>
      <c r="I2282" t="str">
        <f t="shared" si="39"/>
        <v>GUARDIAN</v>
      </c>
    </row>
    <row r="2283" spans="1:9" x14ac:dyDescent="0.25">
      <c r="A2283" t="str">
        <f>""</f>
        <v/>
      </c>
      <c r="F2283" t="str">
        <f>"AFG201804049962"</f>
        <v>AFG201804049962</v>
      </c>
      <c r="G2283" t="str">
        <f t="shared" si="38"/>
        <v>GUARDIAN</v>
      </c>
      <c r="H2283">
        <v>49.56</v>
      </c>
      <c r="I2283" t="str">
        <f t="shared" si="39"/>
        <v>GUARDIAN</v>
      </c>
    </row>
    <row r="2284" spans="1:9" x14ac:dyDescent="0.25">
      <c r="A2284" t="str">
        <f>""</f>
        <v/>
      </c>
      <c r="F2284" t="str">
        <f>"AFG201804180391"</f>
        <v>AFG201804180391</v>
      </c>
      <c r="G2284" t="str">
        <f t="shared" si="38"/>
        <v>GUARDIAN</v>
      </c>
      <c r="H2284">
        <v>49.56</v>
      </c>
      <c r="I2284" t="str">
        <f t="shared" si="39"/>
        <v>GUARDIAN</v>
      </c>
    </row>
    <row r="2285" spans="1:9" x14ac:dyDescent="0.25">
      <c r="A2285" t="str">
        <f>"IRSACS"</f>
        <v>IRSACS</v>
      </c>
      <c r="B2285" t="s">
        <v>500</v>
      </c>
      <c r="C2285">
        <v>46260</v>
      </c>
      <c r="D2285" s="2">
        <v>238.43</v>
      </c>
      <c r="E2285" s="1">
        <v>43196</v>
      </c>
      <c r="F2285" t="str">
        <f>"IJ2201804049962"</f>
        <v>IJ2201804049962</v>
      </c>
      <c r="G2285" t="str">
        <f>"LISA JACKSON 2 IRS LEVY"</f>
        <v>LISA JACKSON 2 IRS LEVY</v>
      </c>
      <c r="H2285">
        <v>238.43</v>
      </c>
      <c r="I2285" t="str">
        <f>"LISA JACKSON 2 IRS LEVY"</f>
        <v>LISA JACKSON 2 IRS LEVY</v>
      </c>
    </row>
    <row r="2286" spans="1:9" x14ac:dyDescent="0.25">
      <c r="A2286" t="str">
        <f>"IRSACS"</f>
        <v>IRSACS</v>
      </c>
      <c r="B2286" t="s">
        <v>500</v>
      </c>
      <c r="C2286">
        <v>46282</v>
      </c>
      <c r="D2286" s="2">
        <v>238.43</v>
      </c>
      <c r="E2286" s="1">
        <v>43210</v>
      </c>
      <c r="F2286" t="str">
        <f>"IJ2201804180391"</f>
        <v>IJ2201804180391</v>
      </c>
      <c r="G2286" t="str">
        <f>"LISA JACKSON 2 IRS LEVY"</f>
        <v>LISA JACKSON 2 IRS LEVY</v>
      </c>
      <c r="H2286">
        <v>238.43</v>
      </c>
      <c r="I2286" t="str">
        <f>"LISA JACKSON 2 IRS LEVY"</f>
        <v>LISA JACKSON 2 IRS LEVY</v>
      </c>
    </row>
    <row r="2287" spans="1:9" x14ac:dyDescent="0.25">
      <c r="A2287" t="str">
        <f>"IRSPY"</f>
        <v>IRSPY</v>
      </c>
      <c r="B2287" t="s">
        <v>501</v>
      </c>
      <c r="C2287">
        <v>0</v>
      </c>
      <c r="D2287" s="2">
        <v>206077.88</v>
      </c>
      <c r="E2287" s="1">
        <v>43196</v>
      </c>
      <c r="F2287" t="str">
        <f>"T1 201804049962"</f>
        <v>T1 201804049962</v>
      </c>
      <c r="G2287" t="str">
        <f>"FEDERAL WITHHOLDING"</f>
        <v>FEDERAL WITHHOLDING</v>
      </c>
      <c r="H2287">
        <v>65608.41</v>
      </c>
      <c r="I2287" t="str">
        <f>"FEDERAL WITHHOLDING"</f>
        <v>FEDERAL WITHHOLDING</v>
      </c>
    </row>
    <row r="2288" spans="1:9" x14ac:dyDescent="0.25">
      <c r="A2288" t="str">
        <f>""</f>
        <v/>
      </c>
      <c r="F2288" t="str">
        <f>"T1 201804049989"</f>
        <v>T1 201804049989</v>
      </c>
      <c r="G2288" t="str">
        <f>"FEDERAL WITHHOLDING"</f>
        <v>FEDERAL WITHHOLDING</v>
      </c>
      <c r="H2288">
        <v>2771.94</v>
      </c>
      <c r="I2288" t="str">
        <f>"FEDERAL WITHHOLDING"</f>
        <v>FEDERAL WITHHOLDING</v>
      </c>
    </row>
    <row r="2289" spans="1:9" x14ac:dyDescent="0.25">
      <c r="A2289" t="str">
        <f>""</f>
        <v/>
      </c>
      <c r="F2289" t="str">
        <f>"T1 201804049990"</f>
        <v>T1 201804049990</v>
      </c>
      <c r="G2289" t="str">
        <f>"FEDERAL WITHHOLDING"</f>
        <v>FEDERAL WITHHOLDING</v>
      </c>
      <c r="H2289">
        <v>3713.65</v>
      </c>
      <c r="I2289" t="str">
        <f>"FEDERAL WITHHOLDING"</f>
        <v>FEDERAL WITHHOLDING</v>
      </c>
    </row>
    <row r="2290" spans="1:9" x14ac:dyDescent="0.25">
      <c r="A2290" t="str">
        <f>""</f>
        <v/>
      </c>
      <c r="F2290" t="str">
        <f>"T3 201804049962"</f>
        <v>T3 201804049962</v>
      </c>
      <c r="G2290" t="str">
        <f>"SOCIAL SECURITY TAXES"</f>
        <v>SOCIAL SECURITY TAXES</v>
      </c>
      <c r="H2290">
        <v>98976.3</v>
      </c>
      <c r="I2290" t="str">
        <f t="shared" ref="I2290:I2321" si="40">"SOCIAL SECURITY TAXES"</f>
        <v>SOCIAL SECURITY TAXES</v>
      </c>
    </row>
    <row r="2291" spans="1:9" x14ac:dyDescent="0.25">
      <c r="A2291" t="str">
        <f>""</f>
        <v/>
      </c>
      <c r="F2291" t="str">
        <f>""</f>
        <v/>
      </c>
      <c r="G2291" t="str">
        <f>""</f>
        <v/>
      </c>
      <c r="I2291" t="str">
        <f t="shared" si="40"/>
        <v>SOCIAL SECURITY TAXES</v>
      </c>
    </row>
    <row r="2292" spans="1:9" x14ac:dyDescent="0.25">
      <c r="A2292" t="str">
        <f>""</f>
        <v/>
      </c>
      <c r="F2292" t="str">
        <f>""</f>
        <v/>
      </c>
      <c r="G2292" t="str">
        <f>""</f>
        <v/>
      </c>
      <c r="I2292" t="str">
        <f t="shared" si="40"/>
        <v>SOCIAL SECURITY TAXES</v>
      </c>
    </row>
    <row r="2293" spans="1:9" x14ac:dyDescent="0.25">
      <c r="A2293" t="str">
        <f>""</f>
        <v/>
      </c>
      <c r="F2293" t="str">
        <f>""</f>
        <v/>
      </c>
      <c r="G2293" t="str">
        <f>""</f>
        <v/>
      </c>
      <c r="I2293" t="str">
        <f t="shared" si="40"/>
        <v>SOCIAL SECURITY TAXES</v>
      </c>
    </row>
    <row r="2294" spans="1:9" x14ac:dyDescent="0.25">
      <c r="A2294" t="str">
        <f>""</f>
        <v/>
      </c>
      <c r="F2294" t="str">
        <f>""</f>
        <v/>
      </c>
      <c r="G2294" t="str">
        <f>""</f>
        <v/>
      </c>
      <c r="I2294" t="str">
        <f t="shared" si="40"/>
        <v>SOCIAL SECURITY TAXES</v>
      </c>
    </row>
    <row r="2295" spans="1:9" x14ac:dyDescent="0.25">
      <c r="A2295" t="str">
        <f>""</f>
        <v/>
      </c>
      <c r="F2295" t="str">
        <f>""</f>
        <v/>
      </c>
      <c r="G2295" t="str">
        <f>""</f>
        <v/>
      </c>
      <c r="I2295" t="str">
        <f t="shared" si="40"/>
        <v>SOCIAL SECURITY TAXES</v>
      </c>
    </row>
    <row r="2296" spans="1:9" x14ac:dyDescent="0.25">
      <c r="A2296" t="str">
        <f>""</f>
        <v/>
      </c>
      <c r="F2296" t="str">
        <f>""</f>
        <v/>
      </c>
      <c r="G2296" t="str">
        <f>""</f>
        <v/>
      </c>
      <c r="I2296" t="str">
        <f t="shared" si="40"/>
        <v>SOCIAL SECURITY TAXES</v>
      </c>
    </row>
    <row r="2297" spans="1:9" x14ac:dyDescent="0.25">
      <c r="A2297" t="str">
        <f>""</f>
        <v/>
      </c>
      <c r="F2297" t="str">
        <f>""</f>
        <v/>
      </c>
      <c r="G2297" t="str">
        <f>""</f>
        <v/>
      </c>
      <c r="I2297" t="str">
        <f t="shared" si="40"/>
        <v>SOCIAL SECURITY TAXES</v>
      </c>
    </row>
    <row r="2298" spans="1:9" x14ac:dyDescent="0.25">
      <c r="A2298" t="str">
        <f>""</f>
        <v/>
      </c>
      <c r="F2298" t="str">
        <f>""</f>
        <v/>
      </c>
      <c r="G2298" t="str">
        <f>""</f>
        <v/>
      </c>
      <c r="I2298" t="str">
        <f t="shared" si="40"/>
        <v>SOCIAL SECURITY TAXES</v>
      </c>
    </row>
    <row r="2299" spans="1:9" x14ac:dyDescent="0.25">
      <c r="A2299" t="str">
        <f>""</f>
        <v/>
      </c>
      <c r="F2299" t="str">
        <f>""</f>
        <v/>
      </c>
      <c r="G2299" t="str">
        <f>""</f>
        <v/>
      </c>
      <c r="I2299" t="str">
        <f t="shared" si="40"/>
        <v>SOCIAL SECURITY TAXES</v>
      </c>
    </row>
    <row r="2300" spans="1:9" x14ac:dyDescent="0.25">
      <c r="A2300" t="str">
        <f>""</f>
        <v/>
      </c>
      <c r="F2300" t="str">
        <f>""</f>
        <v/>
      </c>
      <c r="G2300" t="str">
        <f>""</f>
        <v/>
      </c>
      <c r="I2300" t="str">
        <f t="shared" si="40"/>
        <v>SOCIAL SECURITY TAXES</v>
      </c>
    </row>
    <row r="2301" spans="1:9" x14ac:dyDescent="0.25">
      <c r="A2301" t="str">
        <f>""</f>
        <v/>
      </c>
      <c r="F2301" t="str">
        <f>""</f>
        <v/>
      </c>
      <c r="G2301" t="str">
        <f>""</f>
        <v/>
      </c>
      <c r="I2301" t="str">
        <f t="shared" si="40"/>
        <v>SOCIAL SECURITY TAXES</v>
      </c>
    </row>
    <row r="2302" spans="1:9" x14ac:dyDescent="0.25">
      <c r="A2302" t="str">
        <f>""</f>
        <v/>
      </c>
      <c r="F2302" t="str">
        <f>""</f>
        <v/>
      </c>
      <c r="G2302" t="str">
        <f>""</f>
        <v/>
      </c>
      <c r="I2302" t="str">
        <f t="shared" si="40"/>
        <v>SOCIAL SECURITY TAXES</v>
      </c>
    </row>
    <row r="2303" spans="1:9" x14ac:dyDescent="0.25">
      <c r="A2303" t="str">
        <f>""</f>
        <v/>
      </c>
      <c r="F2303" t="str">
        <f>""</f>
        <v/>
      </c>
      <c r="G2303" t="str">
        <f>""</f>
        <v/>
      </c>
      <c r="I2303" t="str">
        <f t="shared" si="40"/>
        <v>SOCIAL SECURITY TAXES</v>
      </c>
    </row>
    <row r="2304" spans="1:9" x14ac:dyDescent="0.25">
      <c r="A2304" t="str">
        <f>""</f>
        <v/>
      </c>
      <c r="F2304" t="str">
        <f>""</f>
        <v/>
      </c>
      <c r="G2304" t="str">
        <f>""</f>
        <v/>
      </c>
      <c r="I2304" t="str">
        <f t="shared" si="40"/>
        <v>SOCIAL SECURITY TAXES</v>
      </c>
    </row>
    <row r="2305" spans="1:9" x14ac:dyDescent="0.25">
      <c r="A2305" t="str">
        <f>""</f>
        <v/>
      </c>
      <c r="F2305" t="str">
        <f>""</f>
        <v/>
      </c>
      <c r="G2305" t="str">
        <f>""</f>
        <v/>
      </c>
      <c r="I2305" t="str">
        <f t="shared" si="40"/>
        <v>SOCIAL SECURITY TAXES</v>
      </c>
    </row>
    <row r="2306" spans="1:9" x14ac:dyDescent="0.25">
      <c r="A2306" t="str">
        <f>""</f>
        <v/>
      </c>
      <c r="F2306" t="str">
        <f>""</f>
        <v/>
      </c>
      <c r="G2306" t="str">
        <f>""</f>
        <v/>
      </c>
      <c r="I2306" t="str">
        <f t="shared" si="40"/>
        <v>SOCIAL SECURITY TAXES</v>
      </c>
    </row>
    <row r="2307" spans="1:9" x14ac:dyDescent="0.25">
      <c r="A2307" t="str">
        <f>""</f>
        <v/>
      </c>
      <c r="F2307" t="str">
        <f>""</f>
        <v/>
      </c>
      <c r="G2307" t="str">
        <f>""</f>
        <v/>
      </c>
      <c r="I2307" t="str">
        <f t="shared" si="40"/>
        <v>SOCIAL SECURITY TAXES</v>
      </c>
    </row>
    <row r="2308" spans="1:9" x14ac:dyDescent="0.25">
      <c r="A2308" t="str">
        <f>""</f>
        <v/>
      </c>
      <c r="F2308" t="str">
        <f>""</f>
        <v/>
      </c>
      <c r="G2308" t="str">
        <f>""</f>
        <v/>
      </c>
      <c r="I2308" t="str">
        <f t="shared" si="40"/>
        <v>SOCIAL SECURITY TAXES</v>
      </c>
    </row>
    <row r="2309" spans="1:9" x14ac:dyDescent="0.25">
      <c r="A2309" t="str">
        <f>""</f>
        <v/>
      </c>
      <c r="F2309" t="str">
        <f>""</f>
        <v/>
      </c>
      <c r="G2309" t="str">
        <f>""</f>
        <v/>
      </c>
      <c r="I2309" t="str">
        <f t="shared" si="40"/>
        <v>SOCIAL SECURITY TAXES</v>
      </c>
    </row>
    <row r="2310" spans="1:9" x14ac:dyDescent="0.25">
      <c r="A2310" t="str">
        <f>""</f>
        <v/>
      </c>
      <c r="F2310" t="str">
        <f>""</f>
        <v/>
      </c>
      <c r="G2310" t="str">
        <f>""</f>
        <v/>
      </c>
      <c r="I2310" t="str">
        <f t="shared" si="40"/>
        <v>SOCIAL SECURITY TAXES</v>
      </c>
    </row>
    <row r="2311" spans="1:9" x14ac:dyDescent="0.25">
      <c r="A2311" t="str">
        <f>""</f>
        <v/>
      </c>
      <c r="F2311" t="str">
        <f>""</f>
        <v/>
      </c>
      <c r="G2311" t="str">
        <f>""</f>
        <v/>
      </c>
      <c r="I2311" t="str">
        <f t="shared" si="40"/>
        <v>SOCIAL SECURITY TAXES</v>
      </c>
    </row>
    <row r="2312" spans="1:9" x14ac:dyDescent="0.25">
      <c r="A2312" t="str">
        <f>""</f>
        <v/>
      </c>
      <c r="F2312" t="str">
        <f>""</f>
        <v/>
      </c>
      <c r="G2312" t="str">
        <f>""</f>
        <v/>
      </c>
      <c r="I2312" t="str">
        <f t="shared" si="40"/>
        <v>SOCIAL SECURITY TAXES</v>
      </c>
    </row>
    <row r="2313" spans="1:9" x14ac:dyDescent="0.25">
      <c r="A2313" t="str">
        <f>""</f>
        <v/>
      </c>
      <c r="F2313" t="str">
        <f>""</f>
        <v/>
      </c>
      <c r="G2313" t="str">
        <f>""</f>
        <v/>
      </c>
      <c r="I2313" t="str">
        <f t="shared" si="40"/>
        <v>SOCIAL SECURITY TAXES</v>
      </c>
    </row>
    <row r="2314" spans="1:9" x14ac:dyDescent="0.25">
      <c r="A2314" t="str">
        <f>""</f>
        <v/>
      </c>
      <c r="F2314" t="str">
        <f>""</f>
        <v/>
      </c>
      <c r="G2314" t="str">
        <f>""</f>
        <v/>
      </c>
      <c r="I2314" t="str">
        <f t="shared" si="40"/>
        <v>SOCIAL SECURITY TAXES</v>
      </c>
    </row>
    <row r="2315" spans="1:9" x14ac:dyDescent="0.25">
      <c r="A2315" t="str">
        <f>""</f>
        <v/>
      </c>
      <c r="F2315" t="str">
        <f>""</f>
        <v/>
      </c>
      <c r="G2315" t="str">
        <f>""</f>
        <v/>
      </c>
      <c r="I2315" t="str">
        <f t="shared" si="40"/>
        <v>SOCIAL SECURITY TAXES</v>
      </c>
    </row>
    <row r="2316" spans="1:9" x14ac:dyDescent="0.25">
      <c r="A2316" t="str">
        <f>""</f>
        <v/>
      </c>
      <c r="F2316" t="str">
        <f>""</f>
        <v/>
      </c>
      <c r="G2316" t="str">
        <f>""</f>
        <v/>
      </c>
      <c r="I2316" t="str">
        <f t="shared" si="40"/>
        <v>SOCIAL SECURITY TAXES</v>
      </c>
    </row>
    <row r="2317" spans="1:9" x14ac:dyDescent="0.25">
      <c r="A2317" t="str">
        <f>""</f>
        <v/>
      </c>
      <c r="F2317" t="str">
        <f>""</f>
        <v/>
      </c>
      <c r="G2317" t="str">
        <f>""</f>
        <v/>
      </c>
      <c r="I2317" t="str">
        <f t="shared" si="40"/>
        <v>SOCIAL SECURITY TAXES</v>
      </c>
    </row>
    <row r="2318" spans="1:9" x14ac:dyDescent="0.25">
      <c r="A2318" t="str">
        <f>""</f>
        <v/>
      </c>
      <c r="F2318" t="str">
        <f>""</f>
        <v/>
      </c>
      <c r="G2318" t="str">
        <f>""</f>
        <v/>
      </c>
      <c r="I2318" t="str">
        <f t="shared" si="40"/>
        <v>SOCIAL SECURITY TAXES</v>
      </c>
    </row>
    <row r="2319" spans="1:9" x14ac:dyDescent="0.25">
      <c r="A2319" t="str">
        <f>""</f>
        <v/>
      </c>
      <c r="F2319" t="str">
        <f>""</f>
        <v/>
      </c>
      <c r="G2319" t="str">
        <f>""</f>
        <v/>
      </c>
      <c r="I2319" t="str">
        <f t="shared" si="40"/>
        <v>SOCIAL SECURITY TAXES</v>
      </c>
    </row>
    <row r="2320" spans="1:9" x14ac:dyDescent="0.25">
      <c r="A2320" t="str">
        <f>""</f>
        <v/>
      </c>
      <c r="F2320" t="str">
        <f>""</f>
        <v/>
      </c>
      <c r="G2320" t="str">
        <f>""</f>
        <v/>
      </c>
      <c r="I2320" t="str">
        <f t="shared" si="40"/>
        <v>SOCIAL SECURITY TAXES</v>
      </c>
    </row>
    <row r="2321" spans="1:9" x14ac:dyDescent="0.25">
      <c r="A2321" t="str">
        <f>""</f>
        <v/>
      </c>
      <c r="F2321" t="str">
        <f>""</f>
        <v/>
      </c>
      <c r="G2321" t="str">
        <f>""</f>
        <v/>
      </c>
      <c r="I2321" t="str">
        <f t="shared" si="40"/>
        <v>SOCIAL SECURITY TAXES</v>
      </c>
    </row>
    <row r="2322" spans="1:9" x14ac:dyDescent="0.25">
      <c r="A2322" t="str">
        <f>""</f>
        <v/>
      </c>
      <c r="F2322" t="str">
        <f>""</f>
        <v/>
      </c>
      <c r="G2322" t="str">
        <f>""</f>
        <v/>
      </c>
      <c r="I2322" t="str">
        <f t="shared" ref="I2322:I2346" si="41">"SOCIAL SECURITY TAXES"</f>
        <v>SOCIAL SECURITY TAXES</v>
      </c>
    </row>
    <row r="2323" spans="1:9" x14ac:dyDescent="0.25">
      <c r="A2323" t="str">
        <f>""</f>
        <v/>
      </c>
      <c r="F2323" t="str">
        <f>""</f>
        <v/>
      </c>
      <c r="G2323" t="str">
        <f>""</f>
        <v/>
      </c>
      <c r="I2323" t="str">
        <f t="shared" si="41"/>
        <v>SOCIAL SECURITY TAXES</v>
      </c>
    </row>
    <row r="2324" spans="1:9" x14ac:dyDescent="0.25">
      <c r="A2324" t="str">
        <f>""</f>
        <v/>
      </c>
      <c r="F2324" t="str">
        <f>""</f>
        <v/>
      </c>
      <c r="G2324" t="str">
        <f>""</f>
        <v/>
      </c>
      <c r="I2324" t="str">
        <f t="shared" si="41"/>
        <v>SOCIAL SECURITY TAXES</v>
      </c>
    </row>
    <row r="2325" spans="1:9" x14ac:dyDescent="0.25">
      <c r="A2325" t="str">
        <f>""</f>
        <v/>
      </c>
      <c r="F2325" t="str">
        <f>""</f>
        <v/>
      </c>
      <c r="G2325" t="str">
        <f>""</f>
        <v/>
      </c>
      <c r="I2325" t="str">
        <f t="shared" si="41"/>
        <v>SOCIAL SECURITY TAXES</v>
      </c>
    </row>
    <row r="2326" spans="1:9" x14ac:dyDescent="0.25">
      <c r="A2326" t="str">
        <f>""</f>
        <v/>
      </c>
      <c r="F2326" t="str">
        <f>""</f>
        <v/>
      </c>
      <c r="G2326" t="str">
        <f>""</f>
        <v/>
      </c>
      <c r="I2326" t="str">
        <f t="shared" si="41"/>
        <v>SOCIAL SECURITY TAXES</v>
      </c>
    </row>
    <row r="2327" spans="1:9" x14ac:dyDescent="0.25">
      <c r="A2327" t="str">
        <f>""</f>
        <v/>
      </c>
      <c r="F2327" t="str">
        <f>""</f>
        <v/>
      </c>
      <c r="G2327" t="str">
        <f>""</f>
        <v/>
      </c>
      <c r="I2327" t="str">
        <f t="shared" si="41"/>
        <v>SOCIAL SECURITY TAXES</v>
      </c>
    </row>
    <row r="2328" spans="1:9" x14ac:dyDescent="0.25">
      <c r="A2328" t="str">
        <f>""</f>
        <v/>
      </c>
      <c r="F2328" t="str">
        <f>""</f>
        <v/>
      </c>
      <c r="G2328" t="str">
        <f>""</f>
        <v/>
      </c>
      <c r="I2328" t="str">
        <f t="shared" si="41"/>
        <v>SOCIAL SECURITY TAXES</v>
      </c>
    </row>
    <row r="2329" spans="1:9" x14ac:dyDescent="0.25">
      <c r="A2329" t="str">
        <f>""</f>
        <v/>
      </c>
      <c r="F2329" t="str">
        <f>""</f>
        <v/>
      </c>
      <c r="G2329" t="str">
        <f>""</f>
        <v/>
      </c>
      <c r="I2329" t="str">
        <f t="shared" si="41"/>
        <v>SOCIAL SECURITY TAXES</v>
      </c>
    </row>
    <row r="2330" spans="1:9" x14ac:dyDescent="0.25">
      <c r="A2330" t="str">
        <f>""</f>
        <v/>
      </c>
      <c r="F2330" t="str">
        <f>""</f>
        <v/>
      </c>
      <c r="G2330" t="str">
        <f>""</f>
        <v/>
      </c>
      <c r="I2330" t="str">
        <f t="shared" si="41"/>
        <v>SOCIAL SECURITY TAXES</v>
      </c>
    </row>
    <row r="2331" spans="1:9" x14ac:dyDescent="0.25">
      <c r="A2331" t="str">
        <f>""</f>
        <v/>
      </c>
      <c r="F2331" t="str">
        <f>""</f>
        <v/>
      </c>
      <c r="G2331" t="str">
        <f>""</f>
        <v/>
      </c>
      <c r="I2331" t="str">
        <f t="shared" si="41"/>
        <v>SOCIAL SECURITY TAXES</v>
      </c>
    </row>
    <row r="2332" spans="1:9" x14ac:dyDescent="0.25">
      <c r="A2332" t="str">
        <f>""</f>
        <v/>
      </c>
      <c r="F2332" t="str">
        <f>""</f>
        <v/>
      </c>
      <c r="G2332" t="str">
        <f>""</f>
        <v/>
      </c>
      <c r="I2332" t="str">
        <f t="shared" si="41"/>
        <v>SOCIAL SECURITY TAXES</v>
      </c>
    </row>
    <row r="2333" spans="1:9" x14ac:dyDescent="0.25">
      <c r="A2333" t="str">
        <f>""</f>
        <v/>
      </c>
      <c r="F2333" t="str">
        <f>""</f>
        <v/>
      </c>
      <c r="G2333" t="str">
        <f>""</f>
        <v/>
      </c>
      <c r="I2333" t="str">
        <f t="shared" si="41"/>
        <v>SOCIAL SECURITY TAXES</v>
      </c>
    </row>
    <row r="2334" spans="1:9" x14ac:dyDescent="0.25">
      <c r="A2334" t="str">
        <f>""</f>
        <v/>
      </c>
      <c r="F2334" t="str">
        <f>""</f>
        <v/>
      </c>
      <c r="G2334" t="str">
        <f>""</f>
        <v/>
      </c>
      <c r="I2334" t="str">
        <f t="shared" si="41"/>
        <v>SOCIAL SECURITY TAXES</v>
      </c>
    </row>
    <row r="2335" spans="1:9" x14ac:dyDescent="0.25">
      <c r="A2335" t="str">
        <f>""</f>
        <v/>
      </c>
      <c r="F2335" t="str">
        <f>""</f>
        <v/>
      </c>
      <c r="G2335" t="str">
        <f>""</f>
        <v/>
      </c>
      <c r="I2335" t="str">
        <f t="shared" si="41"/>
        <v>SOCIAL SECURITY TAXES</v>
      </c>
    </row>
    <row r="2336" spans="1:9" x14ac:dyDescent="0.25">
      <c r="A2336" t="str">
        <f>""</f>
        <v/>
      </c>
      <c r="F2336" t="str">
        <f>""</f>
        <v/>
      </c>
      <c r="G2336" t="str">
        <f>""</f>
        <v/>
      </c>
      <c r="I2336" t="str">
        <f t="shared" si="41"/>
        <v>SOCIAL SECURITY TAXES</v>
      </c>
    </row>
    <row r="2337" spans="1:9" x14ac:dyDescent="0.25">
      <c r="A2337" t="str">
        <f>""</f>
        <v/>
      </c>
      <c r="F2337" t="str">
        <f>""</f>
        <v/>
      </c>
      <c r="G2337" t="str">
        <f>""</f>
        <v/>
      </c>
      <c r="I2337" t="str">
        <f t="shared" si="41"/>
        <v>SOCIAL SECURITY TAXES</v>
      </c>
    </row>
    <row r="2338" spans="1:9" x14ac:dyDescent="0.25">
      <c r="A2338" t="str">
        <f>""</f>
        <v/>
      </c>
      <c r="F2338" t="str">
        <f>""</f>
        <v/>
      </c>
      <c r="G2338" t="str">
        <f>""</f>
        <v/>
      </c>
      <c r="I2338" t="str">
        <f t="shared" si="41"/>
        <v>SOCIAL SECURITY TAXES</v>
      </c>
    </row>
    <row r="2339" spans="1:9" x14ac:dyDescent="0.25">
      <c r="A2339" t="str">
        <f>""</f>
        <v/>
      </c>
      <c r="F2339" t="str">
        <f>""</f>
        <v/>
      </c>
      <c r="G2339" t="str">
        <f>""</f>
        <v/>
      </c>
      <c r="I2339" t="str">
        <f t="shared" si="41"/>
        <v>SOCIAL SECURITY TAXES</v>
      </c>
    </row>
    <row r="2340" spans="1:9" x14ac:dyDescent="0.25">
      <c r="A2340" t="str">
        <f>""</f>
        <v/>
      </c>
      <c r="F2340" t="str">
        <f>""</f>
        <v/>
      </c>
      <c r="G2340" t="str">
        <f>""</f>
        <v/>
      </c>
      <c r="I2340" t="str">
        <f t="shared" si="41"/>
        <v>SOCIAL SECURITY TAXES</v>
      </c>
    </row>
    <row r="2341" spans="1:9" x14ac:dyDescent="0.25">
      <c r="A2341" t="str">
        <f>""</f>
        <v/>
      </c>
      <c r="F2341" t="str">
        <f>""</f>
        <v/>
      </c>
      <c r="G2341" t="str">
        <f>""</f>
        <v/>
      </c>
      <c r="I2341" t="str">
        <f t="shared" si="41"/>
        <v>SOCIAL SECURITY TAXES</v>
      </c>
    </row>
    <row r="2342" spans="1:9" x14ac:dyDescent="0.25">
      <c r="A2342" t="str">
        <f>""</f>
        <v/>
      </c>
      <c r="F2342" t="str">
        <f>""</f>
        <v/>
      </c>
      <c r="G2342" t="str">
        <f>""</f>
        <v/>
      </c>
      <c r="I2342" t="str">
        <f t="shared" si="41"/>
        <v>SOCIAL SECURITY TAXES</v>
      </c>
    </row>
    <row r="2343" spans="1:9" x14ac:dyDescent="0.25">
      <c r="A2343" t="str">
        <f>""</f>
        <v/>
      </c>
      <c r="F2343" t="str">
        <f>"T3 201804049989"</f>
        <v>T3 201804049989</v>
      </c>
      <c r="G2343" t="str">
        <f>"SOCIAL SECURITY TAXES"</f>
        <v>SOCIAL SECURITY TAXES</v>
      </c>
      <c r="H2343">
        <v>3945.94</v>
      </c>
      <c r="I2343" t="str">
        <f t="shared" si="41"/>
        <v>SOCIAL SECURITY TAXES</v>
      </c>
    </row>
    <row r="2344" spans="1:9" x14ac:dyDescent="0.25">
      <c r="A2344" t="str">
        <f>""</f>
        <v/>
      </c>
      <c r="F2344" t="str">
        <f>""</f>
        <v/>
      </c>
      <c r="G2344" t="str">
        <f>""</f>
        <v/>
      </c>
      <c r="I2344" t="str">
        <f t="shared" si="41"/>
        <v>SOCIAL SECURITY TAXES</v>
      </c>
    </row>
    <row r="2345" spans="1:9" x14ac:dyDescent="0.25">
      <c r="A2345" t="str">
        <f>""</f>
        <v/>
      </c>
      <c r="F2345" t="str">
        <f>"T3 201804049990"</f>
        <v>T3 201804049990</v>
      </c>
      <c r="G2345" t="str">
        <f>"SOCIAL SECURITY TAXES"</f>
        <v>SOCIAL SECURITY TAXES</v>
      </c>
      <c r="H2345">
        <v>5666.2</v>
      </c>
      <c r="I2345" t="str">
        <f t="shared" si="41"/>
        <v>SOCIAL SECURITY TAXES</v>
      </c>
    </row>
    <row r="2346" spans="1:9" x14ac:dyDescent="0.25">
      <c r="A2346" t="str">
        <f>""</f>
        <v/>
      </c>
      <c r="F2346" t="str">
        <f>""</f>
        <v/>
      </c>
      <c r="G2346" t="str">
        <f>""</f>
        <v/>
      </c>
      <c r="I2346" t="str">
        <f t="shared" si="41"/>
        <v>SOCIAL SECURITY TAXES</v>
      </c>
    </row>
    <row r="2347" spans="1:9" x14ac:dyDescent="0.25">
      <c r="A2347" t="str">
        <f>""</f>
        <v/>
      </c>
      <c r="F2347" t="str">
        <f>"T4 201804049962"</f>
        <v>T4 201804049962</v>
      </c>
      <c r="G2347" t="str">
        <f>"MEDICARE TAXES"</f>
        <v>MEDICARE TAXES</v>
      </c>
      <c r="H2347">
        <v>23147.439999999999</v>
      </c>
      <c r="I2347" t="str">
        <f t="shared" ref="I2347:I2378" si="42">"MEDICARE TAXES"</f>
        <v>MEDICARE TAXES</v>
      </c>
    </row>
    <row r="2348" spans="1:9" x14ac:dyDescent="0.25">
      <c r="A2348" t="str">
        <f>""</f>
        <v/>
      </c>
      <c r="F2348" t="str">
        <f>""</f>
        <v/>
      </c>
      <c r="G2348" t="str">
        <f>""</f>
        <v/>
      </c>
      <c r="I2348" t="str">
        <f t="shared" si="42"/>
        <v>MEDICARE TAXES</v>
      </c>
    </row>
    <row r="2349" spans="1:9" x14ac:dyDescent="0.25">
      <c r="A2349" t="str">
        <f>""</f>
        <v/>
      </c>
      <c r="F2349" t="str">
        <f>""</f>
        <v/>
      </c>
      <c r="G2349" t="str">
        <f>""</f>
        <v/>
      </c>
      <c r="I2349" t="str">
        <f t="shared" si="42"/>
        <v>MEDICARE TAXES</v>
      </c>
    </row>
    <row r="2350" spans="1:9" x14ac:dyDescent="0.25">
      <c r="A2350" t="str">
        <f>""</f>
        <v/>
      </c>
      <c r="F2350" t="str">
        <f>""</f>
        <v/>
      </c>
      <c r="G2350" t="str">
        <f>""</f>
        <v/>
      </c>
      <c r="I2350" t="str">
        <f t="shared" si="42"/>
        <v>MEDICARE TAXES</v>
      </c>
    </row>
    <row r="2351" spans="1:9" x14ac:dyDescent="0.25">
      <c r="A2351" t="str">
        <f>""</f>
        <v/>
      </c>
      <c r="F2351" t="str">
        <f>""</f>
        <v/>
      </c>
      <c r="G2351" t="str">
        <f>""</f>
        <v/>
      </c>
      <c r="I2351" t="str">
        <f t="shared" si="42"/>
        <v>MEDICARE TAXES</v>
      </c>
    </row>
    <row r="2352" spans="1:9" x14ac:dyDescent="0.25">
      <c r="A2352" t="str">
        <f>""</f>
        <v/>
      </c>
      <c r="F2352" t="str">
        <f>""</f>
        <v/>
      </c>
      <c r="G2352" t="str">
        <f>""</f>
        <v/>
      </c>
      <c r="I2352" t="str">
        <f t="shared" si="42"/>
        <v>MEDICARE TAXES</v>
      </c>
    </row>
    <row r="2353" spans="1:9" x14ac:dyDescent="0.25">
      <c r="A2353" t="str">
        <f>""</f>
        <v/>
      </c>
      <c r="F2353" t="str">
        <f>""</f>
        <v/>
      </c>
      <c r="G2353" t="str">
        <f>""</f>
        <v/>
      </c>
      <c r="I2353" t="str">
        <f t="shared" si="42"/>
        <v>MEDICARE TAXES</v>
      </c>
    </row>
    <row r="2354" spans="1:9" x14ac:dyDescent="0.25">
      <c r="A2354" t="str">
        <f>""</f>
        <v/>
      </c>
      <c r="F2354" t="str">
        <f>""</f>
        <v/>
      </c>
      <c r="G2354" t="str">
        <f>""</f>
        <v/>
      </c>
      <c r="I2354" t="str">
        <f t="shared" si="42"/>
        <v>MEDICARE TAXES</v>
      </c>
    </row>
    <row r="2355" spans="1:9" x14ac:dyDescent="0.25">
      <c r="A2355" t="str">
        <f>""</f>
        <v/>
      </c>
      <c r="F2355" t="str">
        <f>""</f>
        <v/>
      </c>
      <c r="G2355" t="str">
        <f>""</f>
        <v/>
      </c>
      <c r="I2355" t="str">
        <f t="shared" si="42"/>
        <v>MEDICARE TAXES</v>
      </c>
    </row>
    <row r="2356" spans="1:9" x14ac:dyDescent="0.25">
      <c r="A2356" t="str">
        <f>""</f>
        <v/>
      </c>
      <c r="F2356" t="str">
        <f>""</f>
        <v/>
      </c>
      <c r="G2356" t="str">
        <f>""</f>
        <v/>
      </c>
      <c r="I2356" t="str">
        <f t="shared" si="42"/>
        <v>MEDICARE TAXES</v>
      </c>
    </row>
    <row r="2357" spans="1:9" x14ac:dyDescent="0.25">
      <c r="A2357" t="str">
        <f>""</f>
        <v/>
      </c>
      <c r="F2357" t="str">
        <f>""</f>
        <v/>
      </c>
      <c r="G2357" t="str">
        <f>""</f>
        <v/>
      </c>
      <c r="I2357" t="str">
        <f t="shared" si="42"/>
        <v>MEDICARE TAXES</v>
      </c>
    </row>
    <row r="2358" spans="1:9" x14ac:dyDescent="0.25">
      <c r="A2358" t="str">
        <f>""</f>
        <v/>
      </c>
      <c r="F2358" t="str">
        <f>""</f>
        <v/>
      </c>
      <c r="G2358" t="str">
        <f>""</f>
        <v/>
      </c>
      <c r="I2358" t="str">
        <f t="shared" si="42"/>
        <v>MEDICARE TAXES</v>
      </c>
    </row>
    <row r="2359" spans="1:9" x14ac:dyDescent="0.25">
      <c r="A2359" t="str">
        <f>""</f>
        <v/>
      </c>
      <c r="F2359" t="str">
        <f>""</f>
        <v/>
      </c>
      <c r="G2359" t="str">
        <f>""</f>
        <v/>
      </c>
      <c r="I2359" t="str">
        <f t="shared" si="42"/>
        <v>MEDICARE TAXES</v>
      </c>
    </row>
    <row r="2360" spans="1:9" x14ac:dyDescent="0.25">
      <c r="A2360" t="str">
        <f>""</f>
        <v/>
      </c>
      <c r="F2360" t="str">
        <f>""</f>
        <v/>
      </c>
      <c r="G2360" t="str">
        <f>""</f>
        <v/>
      </c>
      <c r="I2360" t="str">
        <f t="shared" si="42"/>
        <v>MEDICARE TAXES</v>
      </c>
    </row>
    <row r="2361" spans="1:9" x14ac:dyDescent="0.25">
      <c r="A2361" t="str">
        <f>""</f>
        <v/>
      </c>
      <c r="F2361" t="str">
        <f>""</f>
        <v/>
      </c>
      <c r="G2361" t="str">
        <f>""</f>
        <v/>
      </c>
      <c r="I2361" t="str">
        <f t="shared" si="42"/>
        <v>MEDICARE TAXES</v>
      </c>
    </row>
    <row r="2362" spans="1:9" x14ac:dyDescent="0.25">
      <c r="A2362" t="str">
        <f>""</f>
        <v/>
      </c>
      <c r="F2362" t="str">
        <f>""</f>
        <v/>
      </c>
      <c r="G2362" t="str">
        <f>""</f>
        <v/>
      </c>
      <c r="I2362" t="str">
        <f t="shared" si="42"/>
        <v>MEDICARE TAXES</v>
      </c>
    </row>
    <row r="2363" spans="1:9" x14ac:dyDescent="0.25">
      <c r="A2363" t="str">
        <f>""</f>
        <v/>
      </c>
      <c r="F2363" t="str">
        <f>""</f>
        <v/>
      </c>
      <c r="G2363" t="str">
        <f>""</f>
        <v/>
      </c>
      <c r="I2363" t="str">
        <f t="shared" si="42"/>
        <v>MEDICARE TAXES</v>
      </c>
    </row>
    <row r="2364" spans="1:9" x14ac:dyDescent="0.25">
      <c r="A2364" t="str">
        <f>""</f>
        <v/>
      </c>
      <c r="F2364" t="str">
        <f>""</f>
        <v/>
      </c>
      <c r="G2364" t="str">
        <f>""</f>
        <v/>
      </c>
      <c r="I2364" t="str">
        <f t="shared" si="42"/>
        <v>MEDICARE TAXES</v>
      </c>
    </row>
    <row r="2365" spans="1:9" x14ac:dyDescent="0.25">
      <c r="A2365" t="str">
        <f>""</f>
        <v/>
      </c>
      <c r="F2365" t="str">
        <f>""</f>
        <v/>
      </c>
      <c r="G2365" t="str">
        <f>""</f>
        <v/>
      </c>
      <c r="I2365" t="str">
        <f t="shared" si="42"/>
        <v>MEDICARE TAXES</v>
      </c>
    </row>
    <row r="2366" spans="1:9" x14ac:dyDescent="0.25">
      <c r="A2366" t="str">
        <f>""</f>
        <v/>
      </c>
      <c r="F2366" t="str">
        <f>""</f>
        <v/>
      </c>
      <c r="G2366" t="str">
        <f>""</f>
        <v/>
      </c>
      <c r="I2366" t="str">
        <f t="shared" si="42"/>
        <v>MEDICARE TAXES</v>
      </c>
    </row>
    <row r="2367" spans="1:9" x14ac:dyDescent="0.25">
      <c r="A2367" t="str">
        <f>""</f>
        <v/>
      </c>
      <c r="F2367" t="str">
        <f>""</f>
        <v/>
      </c>
      <c r="G2367" t="str">
        <f>""</f>
        <v/>
      </c>
      <c r="I2367" t="str">
        <f t="shared" si="42"/>
        <v>MEDICARE TAXES</v>
      </c>
    </row>
    <row r="2368" spans="1:9" x14ac:dyDescent="0.25">
      <c r="A2368" t="str">
        <f>""</f>
        <v/>
      </c>
      <c r="F2368" t="str">
        <f>""</f>
        <v/>
      </c>
      <c r="G2368" t="str">
        <f>""</f>
        <v/>
      </c>
      <c r="I2368" t="str">
        <f t="shared" si="42"/>
        <v>MEDICARE TAXES</v>
      </c>
    </row>
    <row r="2369" spans="1:9" x14ac:dyDescent="0.25">
      <c r="A2369" t="str">
        <f>""</f>
        <v/>
      </c>
      <c r="F2369" t="str">
        <f>""</f>
        <v/>
      </c>
      <c r="G2369" t="str">
        <f>""</f>
        <v/>
      </c>
      <c r="I2369" t="str">
        <f t="shared" si="42"/>
        <v>MEDICARE TAXES</v>
      </c>
    </row>
    <row r="2370" spans="1:9" x14ac:dyDescent="0.25">
      <c r="A2370" t="str">
        <f>""</f>
        <v/>
      </c>
      <c r="F2370" t="str">
        <f>""</f>
        <v/>
      </c>
      <c r="G2370" t="str">
        <f>""</f>
        <v/>
      </c>
      <c r="I2370" t="str">
        <f t="shared" si="42"/>
        <v>MEDICARE TAXES</v>
      </c>
    </row>
    <row r="2371" spans="1:9" x14ac:dyDescent="0.25">
      <c r="A2371" t="str">
        <f>""</f>
        <v/>
      </c>
      <c r="F2371" t="str">
        <f>""</f>
        <v/>
      </c>
      <c r="G2371" t="str">
        <f>""</f>
        <v/>
      </c>
      <c r="I2371" t="str">
        <f t="shared" si="42"/>
        <v>MEDICARE TAXES</v>
      </c>
    </row>
    <row r="2372" spans="1:9" x14ac:dyDescent="0.25">
      <c r="A2372" t="str">
        <f>""</f>
        <v/>
      </c>
      <c r="F2372" t="str">
        <f>""</f>
        <v/>
      </c>
      <c r="G2372" t="str">
        <f>""</f>
        <v/>
      </c>
      <c r="I2372" t="str">
        <f t="shared" si="42"/>
        <v>MEDICARE TAXES</v>
      </c>
    </row>
    <row r="2373" spans="1:9" x14ac:dyDescent="0.25">
      <c r="A2373" t="str">
        <f>""</f>
        <v/>
      </c>
      <c r="F2373" t="str">
        <f>""</f>
        <v/>
      </c>
      <c r="G2373" t="str">
        <f>""</f>
        <v/>
      </c>
      <c r="I2373" t="str">
        <f t="shared" si="42"/>
        <v>MEDICARE TAXES</v>
      </c>
    </row>
    <row r="2374" spans="1:9" x14ac:dyDescent="0.25">
      <c r="A2374" t="str">
        <f>""</f>
        <v/>
      </c>
      <c r="F2374" t="str">
        <f>""</f>
        <v/>
      </c>
      <c r="G2374" t="str">
        <f>""</f>
        <v/>
      </c>
      <c r="I2374" t="str">
        <f t="shared" si="42"/>
        <v>MEDICARE TAXES</v>
      </c>
    </row>
    <row r="2375" spans="1:9" x14ac:dyDescent="0.25">
      <c r="A2375" t="str">
        <f>""</f>
        <v/>
      </c>
      <c r="F2375" t="str">
        <f>""</f>
        <v/>
      </c>
      <c r="G2375" t="str">
        <f>""</f>
        <v/>
      </c>
      <c r="I2375" t="str">
        <f t="shared" si="42"/>
        <v>MEDICARE TAXES</v>
      </c>
    </row>
    <row r="2376" spans="1:9" x14ac:dyDescent="0.25">
      <c r="A2376" t="str">
        <f>""</f>
        <v/>
      </c>
      <c r="F2376" t="str">
        <f>""</f>
        <v/>
      </c>
      <c r="G2376" t="str">
        <f>""</f>
        <v/>
      </c>
      <c r="I2376" t="str">
        <f t="shared" si="42"/>
        <v>MEDICARE TAXES</v>
      </c>
    </row>
    <row r="2377" spans="1:9" x14ac:dyDescent="0.25">
      <c r="A2377" t="str">
        <f>""</f>
        <v/>
      </c>
      <c r="F2377" t="str">
        <f>""</f>
        <v/>
      </c>
      <c r="G2377" t="str">
        <f>""</f>
        <v/>
      </c>
      <c r="I2377" t="str">
        <f t="shared" si="42"/>
        <v>MEDICARE TAXES</v>
      </c>
    </row>
    <row r="2378" spans="1:9" x14ac:dyDescent="0.25">
      <c r="A2378" t="str">
        <f>""</f>
        <v/>
      </c>
      <c r="F2378" t="str">
        <f>""</f>
        <v/>
      </c>
      <c r="G2378" t="str">
        <f>""</f>
        <v/>
      </c>
      <c r="I2378" t="str">
        <f t="shared" si="42"/>
        <v>MEDICARE TAXES</v>
      </c>
    </row>
    <row r="2379" spans="1:9" x14ac:dyDescent="0.25">
      <c r="A2379" t="str">
        <f>""</f>
        <v/>
      </c>
      <c r="F2379" t="str">
        <f>""</f>
        <v/>
      </c>
      <c r="G2379" t="str">
        <f>""</f>
        <v/>
      </c>
      <c r="I2379" t="str">
        <f t="shared" ref="I2379:I2403" si="43">"MEDICARE TAXES"</f>
        <v>MEDICARE TAXES</v>
      </c>
    </row>
    <row r="2380" spans="1:9" x14ac:dyDescent="0.25">
      <c r="A2380" t="str">
        <f>""</f>
        <v/>
      </c>
      <c r="F2380" t="str">
        <f>""</f>
        <v/>
      </c>
      <c r="G2380" t="str">
        <f>""</f>
        <v/>
      </c>
      <c r="I2380" t="str">
        <f t="shared" si="43"/>
        <v>MEDICARE TAXES</v>
      </c>
    </row>
    <row r="2381" spans="1:9" x14ac:dyDescent="0.25">
      <c r="A2381" t="str">
        <f>""</f>
        <v/>
      </c>
      <c r="F2381" t="str">
        <f>""</f>
        <v/>
      </c>
      <c r="G2381" t="str">
        <f>""</f>
        <v/>
      </c>
      <c r="I2381" t="str">
        <f t="shared" si="43"/>
        <v>MEDICARE TAXES</v>
      </c>
    </row>
    <row r="2382" spans="1:9" x14ac:dyDescent="0.25">
      <c r="A2382" t="str">
        <f>""</f>
        <v/>
      </c>
      <c r="F2382" t="str">
        <f>""</f>
        <v/>
      </c>
      <c r="G2382" t="str">
        <f>""</f>
        <v/>
      </c>
      <c r="I2382" t="str">
        <f t="shared" si="43"/>
        <v>MEDICARE TAXES</v>
      </c>
    </row>
    <row r="2383" spans="1:9" x14ac:dyDescent="0.25">
      <c r="A2383" t="str">
        <f>""</f>
        <v/>
      </c>
      <c r="F2383" t="str">
        <f>""</f>
        <v/>
      </c>
      <c r="G2383" t="str">
        <f>""</f>
        <v/>
      </c>
      <c r="I2383" t="str">
        <f t="shared" si="43"/>
        <v>MEDICARE TAXES</v>
      </c>
    </row>
    <row r="2384" spans="1:9" x14ac:dyDescent="0.25">
      <c r="A2384" t="str">
        <f>""</f>
        <v/>
      </c>
      <c r="F2384" t="str">
        <f>""</f>
        <v/>
      </c>
      <c r="G2384" t="str">
        <f>""</f>
        <v/>
      </c>
      <c r="I2384" t="str">
        <f t="shared" si="43"/>
        <v>MEDICARE TAXES</v>
      </c>
    </row>
    <row r="2385" spans="1:9" x14ac:dyDescent="0.25">
      <c r="A2385" t="str">
        <f>""</f>
        <v/>
      </c>
      <c r="F2385" t="str">
        <f>""</f>
        <v/>
      </c>
      <c r="G2385" t="str">
        <f>""</f>
        <v/>
      </c>
      <c r="I2385" t="str">
        <f t="shared" si="43"/>
        <v>MEDICARE TAXES</v>
      </c>
    </row>
    <row r="2386" spans="1:9" x14ac:dyDescent="0.25">
      <c r="A2386" t="str">
        <f>""</f>
        <v/>
      </c>
      <c r="F2386" t="str">
        <f>""</f>
        <v/>
      </c>
      <c r="G2386" t="str">
        <f>""</f>
        <v/>
      </c>
      <c r="I2386" t="str">
        <f t="shared" si="43"/>
        <v>MEDICARE TAXES</v>
      </c>
    </row>
    <row r="2387" spans="1:9" x14ac:dyDescent="0.25">
      <c r="A2387" t="str">
        <f>""</f>
        <v/>
      </c>
      <c r="F2387" t="str">
        <f>""</f>
        <v/>
      </c>
      <c r="G2387" t="str">
        <f>""</f>
        <v/>
      </c>
      <c r="I2387" t="str">
        <f t="shared" si="43"/>
        <v>MEDICARE TAXES</v>
      </c>
    </row>
    <row r="2388" spans="1:9" x14ac:dyDescent="0.25">
      <c r="A2388" t="str">
        <f>""</f>
        <v/>
      </c>
      <c r="F2388" t="str">
        <f>""</f>
        <v/>
      </c>
      <c r="G2388" t="str">
        <f>""</f>
        <v/>
      </c>
      <c r="I2388" t="str">
        <f t="shared" si="43"/>
        <v>MEDICARE TAXES</v>
      </c>
    </row>
    <row r="2389" spans="1:9" x14ac:dyDescent="0.25">
      <c r="A2389" t="str">
        <f>""</f>
        <v/>
      </c>
      <c r="F2389" t="str">
        <f>""</f>
        <v/>
      </c>
      <c r="G2389" t="str">
        <f>""</f>
        <v/>
      </c>
      <c r="I2389" t="str">
        <f t="shared" si="43"/>
        <v>MEDICARE TAXES</v>
      </c>
    </row>
    <row r="2390" spans="1:9" x14ac:dyDescent="0.25">
      <c r="A2390" t="str">
        <f>""</f>
        <v/>
      </c>
      <c r="F2390" t="str">
        <f>""</f>
        <v/>
      </c>
      <c r="G2390" t="str">
        <f>""</f>
        <v/>
      </c>
      <c r="I2390" t="str">
        <f t="shared" si="43"/>
        <v>MEDICARE TAXES</v>
      </c>
    </row>
    <row r="2391" spans="1:9" x14ac:dyDescent="0.25">
      <c r="A2391" t="str">
        <f>""</f>
        <v/>
      </c>
      <c r="F2391" t="str">
        <f>""</f>
        <v/>
      </c>
      <c r="G2391" t="str">
        <f>""</f>
        <v/>
      </c>
      <c r="I2391" t="str">
        <f t="shared" si="43"/>
        <v>MEDICARE TAXES</v>
      </c>
    </row>
    <row r="2392" spans="1:9" x14ac:dyDescent="0.25">
      <c r="A2392" t="str">
        <f>""</f>
        <v/>
      </c>
      <c r="F2392" t="str">
        <f>""</f>
        <v/>
      </c>
      <c r="G2392" t="str">
        <f>""</f>
        <v/>
      </c>
      <c r="I2392" t="str">
        <f t="shared" si="43"/>
        <v>MEDICARE TAXES</v>
      </c>
    </row>
    <row r="2393" spans="1:9" x14ac:dyDescent="0.25">
      <c r="A2393" t="str">
        <f>""</f>
        <v/>
      </c>
      <c r="F2393" t="str">
        <f>""</f>
        <v/>
      </c>
      <c r="G2393" t="str">
        <f>""</f>
        <v/>
      </c>
      <c r="I2393" t="str">
        <f t="shared" si="43"/>
        <v>MEDICARE TAXES</v>
      </c>
    </row>
    <row r="2394" spans="1:9" x14ac:dyDescent="0.25">
      <c r="A2394" t="str">
        <f>""</f>
        <v/>
      </c>
      <c r="F2394" t="str">
        <f>""</f>
        <v/>
      </c>
      <c r="G2394" t="str">
        <f>""</f>
        <v/>
      </c>
      <c r="I2394" t="str">
        <f t="shared" si="43"/>
        <v>MEDICARE TAXES</v>
      </c>
    </row>
    <row r="2395" spans="1:9" x14ac:dyDescent="0.25">
      <c r="A2395" t="str">
        <f>""</f>
        <v/>
      </c>
      <c r="F2395" t="str">
        <f>""</f>
        <v/>
      </c>
      <c r="G2395" t="str">
        <f>""</f>
        <v/>
      </c>
      <c r="I2395" t="str">
        <f t="shared" si="43"/>
        <v>MEDICARE TAXES</v>
      </c>
    </row>
    <row r="2396" spans="1:9" x14ac:dyDescent="0.25">
      <c r="A2396" t="str">
        <f>""</f>
        <v/>
      </c>
      <c r="F2396" t="str">
        <f>""</f>
        <v/>
      </c>
      <c r="G2396" t="str">
        <f>""</f>
        <v/>
      </c>
      <c r="I2396" t="str">
        <f t="shared" si="43"/>
        <v>MEDICARE TAXES</v>
      </c>
    </row>
    <row r="2397" spans="1:9" x14ac:dyDescent="0.25">
      <c r="A2397" t="str">
        <f>""</f>
        <v/>
      </c>
      <c r="F2397" t="str">
        <f>""</f>
        <v/>
      </c>
      <c r="G2397" t="str">
        <f>""</f>
        <v/>
      </c>
      <c r="I2397" t="str">
        <f t="shared" si="43"/>
        <v>MEDICARE TAXES</v>
      </c>
    </row>
    <row r="2398" spans="1:9" x14ac:dyDescent="0.25">
      <c r="A2398" t="str">
        <f>""</f>
        <v/>
      </c>
      <c r="F2398" t="str">
        <f>""</f>
        <v/>
      </c>
      <c r="G2398" t="str">
        <f>""</f>
        <v/>
      </c>
      <c r="I2398" t="str">
        <f t="shared" si="43"/>
        <v>MEDICARE TAXES</v>
      </c>
    </row>
    <row r="2399" spans="1:9" x14ac:dyDescent="0.25">
      <c r="A2399" t="str">
        <f>""</f>
        <v/>
      </c>
      <c r="F2399" t="str">
        <f>""</f>
        <v/>
      </c>
      <c r="G2399" t="str">
        <f>""</f>
        <v/>
      </c>
      <c r="I2399" t="str">
        <f t="shared" si="43"/>
        <v>MEDICARE TAXES</v>
      </c>
    </row>
    <row r="2400" spans="1:9" x14ac:dyDescent="0.25">
      <c r="A2400" t="str">
        <f>""</f>
        <v/>
      </c>
      <c r="F2400" t="str">
        <f>"T4 201804049989"</f>
        <v>T4 201804049989</v>
      </c>
      <c r="G2400" t="str">
        <f>"MEDICARE TAXES"</f>
        <v>MEDICARE TAXES</v>
      </c>
      <c r="H2400">
        <v>922.84</v>
      </c>
      <c r="I2400" t="str">
        <f t="shared" si="43"/>
        <v>MEDICARE TAXES</v>
      </c>
    </row>
    <row r="2401" spans="1:9" x14ac:dyDescent="0.25">
      <c r="A2401" t="str">
        <f>""</f>
        <v/>
      </c>
      <c r="F2401" t="str">
        <f>""</f>
        <v/>
      </c>
      <c r="G2401" t="str">
        <f>""</f>
        <v/>
      </c>
      <c r="I2401" t="str">
        <f t="shared" si="43"/>
        <v>MEDICARE TAXES</v>
      </c>
    </row>
    <row r="2402" spans="1:9" x14ac:dyDescent="0.25">
      <c r="A2402" t="str">
        <f>""</f>
        <v/>
      </c>
      <c r="F2402" t="str">
        <f>"T4 201804049990"</f>
        <v>T4 201804049990</v>
      </c>
      <c r="G2402" t="str">
        <f>"MEDICARE TAXES"</f>
        <v>MEDICARE TAXES</v>
      </c>
      <c r="H2402">
        <v>1325.16</v>
      </c>
      <c r="I2402" t="str">
        <f t="shared" si="43"/>
        <v>MEDICARE TAXES</v>
      </c>
    </row>
    <row r="2403" spans="1:9" x14ac:dyDescent="0.25">
      <c r="A2403" t="str">
        <f>""</f>
        <v/>
      </c>
      <c r="F2403" t="str">
        <f>""</f>
        <v/>
      </c>
      <c r="G2403" t="str">
        <f>""</f>
        <v/>
      </c>
      <c r="I2403" t="str">
        <f t="shared" si="43"/>
        <v>MEDICARE TAXES</v>
      </c>
    </row>
    <row r="2404" spans="1:9" x14ac:dyDescent="0.25">
      <c r="A2404" t="str">
        <f>"IRSPY"</f>
        <v>IRSPY</v>
      </c>
      <c r="B2404" t="s">
        <v>501</v>
      </c>
      <c r="C2404">
        <v>0</v>
      </c>
      <c r="D2404" s="2">
        <v>209465.04</v>
      </c>
      <c r="E2404" s="1">
        <v>43210</v>
      </c>
      <c r="F2404" t="str">
        <f>"T1 201804180391"</f>
        <v>T1 201804180391</v>
      </c>
      <c r="G2404" t="str">
        <f>"FEDERAL WITHHOLDING"</f>
        <v>FEDERAL WITHHOLDING</v>
      </c>
      <c r="H2404">
        <v>66840.73</v>
      </c>
      <c r="I2404" t="str">
        <f>"FEDERAL WITHHOLDING"</f>
        <v>FEDERAL WITHHOLDING</v>
      </c>
    </row>
    <row r="2405" spans="1:9" x14ac:dyDescent="0.25">
      <c r="A2405" t="str">
        <f>""</f>
        <v/>
      </c>
      <c r="F2405" t="str">
        <f>"T1 201804180392"</f>
        <v>T1 201804180392</v>
      </c>
      <c r="G2405" t="str">
        <f>"FEDERAL WITHHOLDING"</f>
        <v>FEDERAL WITHHOLDING</v>
      </c>
      <c r="H2405">
        <v>2773.49</v>
      </c>
      <c r="I2405" t="str">
        <f>"FEDERAL WITHHOLDING"</f>
        <v>FEDERAL WITHHOLDING</v>
      </c>
    </row>
    <row r="2406" spans="1:9" x14ac:dyDescent="0.25">
      <c r="A2406" t="str">
        <f>""</f>
        <v/>
      </c>
      <c r="F2406" t="str">
        <f>"T1 201804180393"</f>
        <v>T1 201804180393</v>
      </c>
      <c r="G2406" t="str">
        <f>"FEDERAL WITHHOLDING"</f>
        <v>FEDERAL WITHHOLDING</v>
      </c>
      <c r="H2406">
        <v>4084.8</v>
      </c>
      <c r="I2406" t="str">
        <f>"FEDERAL WITHHOLDING"</f>
        <v>FEDERAL WITHHOLDING</v>
      </c>
    </row>
    <row r="2407" spans="1:9" x14ac:dyDescent="0.25">
      <c r="A2407" t="str">
        <f>""</f>
        <v/>
      </c>
      <c r="F2407" t="str">
        <f>"T3 201804180391"</f>
        <v>T3 201804180391</v>
      </c>
      <c r="G2407" t="str">
        <f>"SOCIAL SECURITY TAXES"</f>
        <v>SOCIAL SECURITY TAXES</v>
      </c>
      <c r="H2407">
        <v>100057.44</v>
      </c>
      <c r="I2407" t="str">
        <f t="shared" ref="I2407:I2438" si="44">"SOCIAL SECURITY TAXES"</f>
        <v>SOCIAL SECURITY TAXES</v>
      </c>
    </row>
    <row r="2408" spans="1:9" x14ac:dyDescent="0.25">
      <c r="A2408" t="str">
        <f>""</f>
        <v/>
      </c>
      <c r="F2408" t="str">
        <f>""</f>
        <v/>
      </c>
      <c r="G2408" t="str">
        <f>""</f>
        <v/>
      </c>
      <c r="I2408" t="str">
        <f t="shared" si="44"/>
        <v>SOCIAL SECURITY TAXES</v>
      </c>
    </row>
    <row r="2409" spans="1:9" x14ac:dyDescent="0.25">
      <c r="A2409" t="str">
        <f>""</f>
        <v/>
      </c>
      <c r="F2409" t="str">
        <f>""</f>
        <v/>
      </c>
      <c r="G2409" t="str">
        <f>""</f>
        <v/>
      </c>
      <c r="I2409" t="str">
        <f t="shared" si="44"/>
        <v>SOCIAL SECURITY TAXES</v>
      </c>
    </row>
    <row r="2410" spans="1:9" x14ac:dyDescent="0.25">
      <c r="A2410" t="str">
        <f>""</f>
        <v/>
      </c>
      <c r="F2410" t="str">
        <f>""</f>
        <v/>
      </c>
      <c r="G2410" t="str">
        <f>""</f>
        <v/>
      </c>
      <c r="I2410" t="str">
        <f t="shared" si="44"/>
        <v>SOCIAL SECURITY TAXES</v>
      </c>
    </row>
    <row r="2411" spans="1:9" x14ac:dyDescent="0.25">
      <c r="A2411" t="str">
        <f>""</f>
        <v/>
      </c>
      <c r="F2411" t="str">
        <f>""</f>
        <v/>
      </c>
      <c r="G2411" t="str">
        <f>""</f>
        <v/>
      </c>
      <c r="I2411" t="str">
        <f t="shared" si="44"/>
        <v>SOCIAL SECURITY TAXES</v>
      </c>
    </row>
    <row r="2412" spans="1:9" x14ac:dyDescent="0.25">
      <c r="A2412" t="str">
        <f>""</f>
        <v/>
      </c>
      <c r="F2412" t="str">
        <f>""</f>
        <v/>
      </c>
      <c r="G2412" t="str">
        <f>""</f>
        <v/>
      </c>
      <c r="I2412" t="str">
        <f t="shared" si="44"/>
        <v>SOCIAL SECURITY TAXES</v>
      </c>
    </row>
    <row r="2413" spans="1:9" x14ac:dyDescent="0.25">
      <c r="A2413" t="str">
        <f>""</f>
        <v/>
      </c>
      <c r="F2413" t="str">
        <f>""</f>
        <v/>
      </c>
      <c r="G2413" t="str">
        <f>""</f>
        <v/>
      </c>
      <c r="I2413" t="str">
        <f t="shared" si="44"/>
        <v>SOCIAL SECURITY TAXES</v>
      </c>
    </row>
    <row r="2414" spans="1:9" x14ac:dyDescent="0.25">
      <c r="A2414" t="str">
        <f>""</f>
        <v/>
      </c>
      <c r="F2414" t="str">
        <f>""</f>
        <v/>
      </c>
      <c r="G2414" t="str">
        <f>""</f>
        <v/>
      </c>
      <c r="I2414" t="str">
        <f t="shared" si="44"/>
        <v>SOCIAL SECURITY TAXES</v>
      </c>
    </row>
    <row r="2415" spans="1:9" x14ac:dyDescent="0.25">
      <c r="A2415" t="str">
        <f>""</f>
        <v/>
      </c>
      <c r="F2415" t="str">
        <f>""</f>
        <v/>
      </c>
      <c r="G2415" t="str">
        <f>""</f>
        <v/>
      </c>
      <c r="I2415" t="str">
        <f t="shared" si="44"/>
        <v>SOCIAL SECURITY TAXES</v>
      </c>
    </row>
    <row r="2416" spans="1:9" x14ac:dyDescent="0.25">
      <c r="A2416" t="str">
        <f>""</f>
        <v/>
      </c>
      <c r="F2416" t="str">
        <f>""</f>
        <v/>
      </c>
      <c r="G2416" t="str">
        <f>""</f>
        <v/>
      </c>
      <c r="I2416" t="str">
        <f t="shared" si="44"/>
        <v>SOCIAL SECURITY TAXES</v>
      </c>
    </row>
    <row r="2417" spans="1:9" x14ac:dyDescent="0.25">
      <c r="A2417" t="str">
        <f>""</f>
        <v/>
      </c>
      <c r="F2417" t="str">
        <f>""</f>
        <v/>
      </c>
      <c r="G2417" t="str">
        <f>""</f>
        <v/>
      </c>
      <c r="I2417" t="str">
        <f t="shared" si="44"/>
        <v>SOCIAL SECURITY TAXES</v>
      </c>
    </row>
    <row r="2418" spans="1:9" x14ac:dyDescent="0.25">
      <c r="A2418" t="str">
        <f>""</f>
        <v/>
      </c>
      <c r="F2418" t="str">
        <f>""</f>
        <v/>
      </c>
      <c r="G2418" t="str">
        <f>""</f>
        <v/>
      </c>
      <c r="I2418" t="str">
        <f t="shared" si="44"/>
        <v>SOCIAL SECURITY TAXES</v>
      </c>
    </row>
    <row r="2419" spans="1:9" x14ac:dyDescent="0.25">
      <c r="A2419" t="str">
        <f>""</f>
        <v/>
      </c>
      <c r="F2419" t="str">
        <f>""</f>
        <v/>
      </c>
      <c r="G2419" t="str">
        <f>""</f>
        <v/>
      </c>
      <c r="I2419" t="str">
        <f t="shared" si="44"/>
        <v>SOCIAL SECURITY TAXES</v>
      </c>
    </row>
    <row r="2420" spans="1:9" x14ac:dyDescent="0.25">
      <c r="A2420" t="str">
        <f>""</f>
        <v/>
      </c>
      <c r="F2420" t="str">
        <f>""</f>
        <v/>
      </c>
      <c r="G2420" t="str">
        <f>""</f>
        <v/>
      </c>
      <c r="I2420" t="str">
        <f t="shared" si="44"/>
        <v>SOCIAL SECURITY TAXES</v>
      </c>
    </row>
    <row r="2421" spans="1:9" x14ac:dyDescent="0.25">
      <c r="A2421" t="str">
        <f>""</f>
        <v/>
      </c>
      <c r="F2421" t="str">
        <f>""</f>
        <v/>
      </c>
      <c r="G2421" t="str">
        <f>""</f>
        <v/>
      </c>
      <c r="I2421" t="str">
        <f t="shared" si="44"/>
        <v>SOCIAL SECURITY TAXES</v>
      </c>
    </row>
    <row r="2422" spans="1:9" x14ac:dyDescent="0.25">
      <c r="A2422" t="str">
        <f>""</f>
        <v/>
      </c>
      <c r="F2422" t="str">
        <f>""</f>
        <v/>
      </c>
      <c r="G2422" t="str">
        <f>""</f>
        <v/>
      </c>
      <c r="I2422" t="str">
        <f t="shared" si="44"/>
        <v>SOCIAL SECURITY TAXES</v>
      </c>
    </row>
    <row r="2423" spans="1:9" x14ac:dyDescent="0.25">
      <c r="A2423" t="str">
        <f>""</f>
        <v/>
      </c>
      <c r="F2423" t="str">
        <f>""</f>
        <v/>
      </c>
      <c r="G2423" t="str">
        <f>""</f>
        <v/>
      </c>
      <c r="I2423" t="str">
        <f t="shared" si="44"/>
        <v>SOCIAL SECURITY TAXES</v>
      </c>
    </row>
    <row r="2424" spans="1:9" x14ac:dyDescent="0.25">
      <c r="A2424" t="str">
        <f>""</f>
        <v/>
      </c>
      <c r="F2424" t="str">
        <f>""</f>
        <v/>
      </c>
      <c r="G2424" t="str">
        <f>""</f>
        <v/>
      </c>
      <c r="I2424" t="str">
        <f t="shared" si="44"/>
        <v>SOCIAL SECURITY TAXES</v>
      </c>
    </row>
    <row r="2425" spans="1:9" x14ac:dyDescent="0.25">
      <c r="A2425" t="str">
        <f>""</f>
        <v/>
      </c>
      <c r="F2425" t="str">
        <f>""</f>
        <v/>
      </c>
      <c r="G2425" t="str">
        <f>""</f>
        <v/>
      </c>
      <c r="I2425" t="str">
        <f t="shared" si="44"/>
        <v>SOCIAL SECURITY TAXES</v>
      </c>
    </row>
    <row r="2426" spans="1:9" x14ac:dyDescent="0.25">
      <c r="A2426" t="str">
        <f>""</f>
        <v/>
      </c>
      <c r="F2426" t="str">
        <f>""</f>
        <v/>
      </c>
      <c r="G2426" t="str">
        <f>""</f>
        <v/>
      </c>
      <c r="I2426" t="str">
        <f t="shared" si="44"/>
        <v>SOCIAL SECURITY TAXES</v>
      </c>
    </row>
    <row r="2427" spans="1:9" x14ac:dyDescent="0.25">
      <c r="A2427" t="str">
        <f>""</f>
        <v/>
      </c>
      <c r="F2427" t="str">
        <f>""</f>
        <v/>
      </c>
      <c r="G2427" t="str">
        <f>""</f>
        <v/>
      </c>
      <c r="I2427" t="str">
        <f t="shared" si="44"/>
        <v>SOCIAL SECURITY TAXES</v>
      </c>
    </row>
    <row r="2428" spans="1:9" x14ac:dyDescent="0.25">
      <c r="A2428" t="str">
        <f>""</f>
        <v/>
      </c>
      <c r="F2428" t="str">
        <f>""</f>
        <v/>
      </c>
      <c r="G2428" t="str">
        <f>""</f>
        <v/>
      </c>
      <c r="I2428" t="str">
        <f t="shared" si="44"/>
        <v>SOCIAL SECURITY TAXES</v>
      </c>
    </row>
    <row r="2429" spans="1:9" x14ac:dyDescent="0.25">
      <c r="A2429" t="str">
        <f>""</f>
        <v/>
      </c>
      <c r="F2429" t="str">
        <f>""</f>
        <v/>
      </c>
      <c r="G2429" t="str">
        <f>""</f>
        <v/>
      </c>
      <c r="I2429" t="str">
        <f t="shared" si="44"/>
        <v>SOCIAL SECURITY TAXES</v>
      </c>
    </row>
    <row r="2430" spans="1:9" x14ac:dyDescent="0.25">
      <c r="A2430" t="str">
        <f>""</f>
        <v/>
      </c>
      <c r="F2430" t="str">
        <f>""</f>
        <v/>
      </c>
      <c r="G2430" t="str">
        <f>""</f>
        <v/>
      </c>
      <c r="I2430" t="str">
        <f t="shared" si="44"/>
        <v>SOCIAL SECURITY TAXES</v>
      </c>
    </row>
    <row r="2431" spans="1:9" x14ac:dyDescent="0.25">
      <c r="A2431" t="str">
        <f>""</f>
        <v/>
      </c>
      <c r="F2431" t="str">
        <f>""</f>
        <v/>
      </c>
      <c r="G2431" t="str">
        <f>""</f>
        <v/>
      </c>
      <c r="I2431" t="str">
        <f t="shared" si="44"/>
        <v>SOCIAL SECURITY TAXES</v>
      </c>
    </row>
    <row r="2432" spans="1:9" x14ac:dyDescent="0.25">
      <c r="A2432" t="str">
        <f>""</f>
        <v/>
      </c>
      <c r="F2432" t="str">
        <f>""</f>
        <v/>
      </c>
      <c r="G2432" t="str">
        <f>""</f>
        <v/>
      </c>
      <c r="I2432" t="str">
        <f t="shared" si="44"/>
        <v>SOCIAL SECURITY TAXES</v>
      </c>
    </row>
    <row r="2433" spans="1:9" x14ac:dyDescent="0.25">
      <c r="A2433" t="str">
        <f>""</f>
        <v/>
      </c>
      <c r="F2433" t="str">
        <f>""</f>
        <v/>
      </c>
      <c r="G2433" t="str">
        <f>""</f>
        <v/>
      </c>
      <c r="I2433" t="str">
        <f t="shared" si="44"/>
        <v>SOCIAL SECURITY TAXES</v>
      </c>
    </row>
    <row r="2434" spans="1:9" x14ac:dyDescent="0.25">
      <c r="A2434" t="str">
        <f>""</f>
        <v/>
      </c>
      <c r="F2434" t="str">
        <f>""</f>
        <v/>
      </c>
      <c r="G2434" t="str">
        <f>""</f>
        <v/>
      </c>
      <c r="I2434" t="str">
        <f t="shared" si="44"/>
        <v>SOCIAL SECURITY TAXES</v>
      </c>
    </row>
    <row r="2435" spans="1:9" x14ac:dyDescent="0.25">
      <c r="A2435" t="str">
        <f>""</f>
        <v/>
      </c>
      <c r="F2435" t="str">
        <f>""</f>
        <v/>
      </c>
      <c r="G2435" t="str">
        <f>""</f>
        <v/>
      </c>
      <c r="I2435" t="str">
        <f t="shared" si="44"/>
        <v>SOCIAL SECURITY TAXES</v>
      </c>
    </row>
    <row r="2436" spans="1:9" x14ac:dyDescent="0.25">
      <c r="A2436" t="str">
        <f>""</f>
        <v/>
      </c>
      <c r="F2436" t="str">
        <f>""</f>
        <v/>
      </c>
      <c r="G2436" t="str">
        <f>""</f>
        <v/>
      </c>
      <c r="I2436" t="str">
        <f t="shared" si="44"/>
        <v>SOCIAL SECURITY TAXES</v>
      </c>
    </row>
    <row r="2437" spans="1:9" x14ac:dyDescent="0.25">
      <c r="A2437" t="str">
        <f>""</f>
        <v/>
      </c>
      <c r="F2437" t="str">
        <f>""</f>
        <v/>
      </c>
      <c r="G2437" t="str">
        <f>""</f>
        <v/>
      </c>
      <c r="I2437" t="str">
        <f t="shared" si="44"/>
        <v>SOCIAL SECURITY TAXES</v>
      </c>
    </row>
    <row r="2438" spans="1:9" x14ac:dyDescent="0.25">
      <c r="A2438" t="str">
        <f>""</f>
        <v/>
      </c>
      <c r="F2438" t="str">
        <f>""</f>
        <v/>
      </c>
      <c r="G2438" t="str">
        <f>""</f>
        <v/>
      </c>
      <c r="I2438" t="str">
        <f t="shared" si="44"/>
        <v>SOCIAL SECURITY TAXES</v>
      </c>
    </row>
    <row r="2439" spans="1:9" x14ac:dyDescent="0.25">
      <c r="A2439" t="str">
        <f>""</f>
        <v/>
      </c>
      <c r="F2439" t="str">
        <f>""</f>
        <v/>
      </c>
      <c r="G2439" t="str">
        <f>""</f>
        <v/>
      </c>
      <c r="I2439" t="str">
        <f t="shared" ref="I2439:I2463" si="45">"SOCIAL SECURITY TAXES"</f>
        <v>SOCIAL SECURITY TAXES</v>
      </c>
    </row>
    <row r="2440" spans="1:9" x14ac:dyDescent="0.25">
      <c r="A2440" t="str">
        <f>""</f>
        <v/>
      </c>
      <c r="F2440" t="str">
        <f>""</f>
        <v/>
      </c>
      <c r="G2440" t="str">
        <f>""</f>
        <v/>
      </c>
      <c r="I2440" t="str">
        <f t="shared" si="45"/>
        <v>SOCIAL SECURITY TAXES</v>
      </c>
    </row>
    <row r="2441" spans="1:9" x14ac:dyDescent="0.25">
      <c r="A2441" t="str">
        <f>""</f>
        <v/>
      </c>
      <c r="F2441" t="str">
        <f>""</f>
        <v/>
      </c>
      <c r="G2441" t="str">
        <f>""</f>
        <v/>
      </c>
      <c r="I2441" t="str">
        <f t="shared" si="45"/>
        <v>SOCIAL SECURITY TAXES</v>
      </c>
    </row>
    <row r="2442" spans="1:9" x14ac:dyDescent="0.25">
      <c r="A2442" t="str">
        <f>""</f>
        <v/>
      </c>
      <c r="F2442" t="str">
        <f>""</f>
        <v/>
      </c>
      <c r="G2442" t="str">
        <f>""</f>
        <v/>
      </c>
      <c r="I2442" t="str">
        <f t="shared" si="45"/>
        <v>SOCIAL SECURITY TAXES</v>
      </c>
    </row>
    <row r="2443" spans="1:9" x14ac:dyDescent="0.25">
      <c r="A2443" t="str">
        <f>""</f>
        <v/>
      </c>
      <c r="F2443" t="str">
        <f>""</f>
        <v/>
      </c>
      <c r="G2443" t="str">
        <f>""</f>
        <v/>
      </c>
      <c r="I2443" t="str">
        <f t="shared" si="45"/>
        <v>SOCIAL SECURITY TAXES</v>
      </c>
    </row>
    <row r="2444" spans="1:9" x14ac:dyDescent="0.25">
      <c r="A2444" t="str">
        <f>""</f>
        <v/>
      </c>
      <c r="F2444" t="str">
        <f>""</f>
        <v/>
      </c>
      <c r="G2444" t="str">
        <f>""</f>
        <v/>
      </c>
      <c r="I2444" t="str">
        <f t="shared" si="45"/>
        <v>SOCIAL SECURITY TAXES</v>
      </c>
    </row>
    <row r="2445" spans="1:9" x14ac:dyDescent="0.25">
      <c r="A2445" t="str">
        <f>""</f>
        <v/>
      </c>
      <c r="F2445" t="str">
        <f>""</f>
        <v/>
      </c>
      <c r="G2445" t="str">
        <f>""</f>
        <v/>
      </c>
      <c r="I2445" t="str">
        <f t="shared" si="45"/>
        <v>SOCIAL SECURITY TAXES</v>
      </c>
    </row>
    <row r="2446" spans="1:9" x14ac:dyDescent="0.25">
      <c r="A2446" t="str">
        <f>""</f>
        <v/>
      </c>
      <c r="F2446" t="str">
        <f>""</f>
        <v/>
      </c>
      <c r="G2446" t="str">
        <f>""</f>
        <v/>
      </c>
      <c r="I2446" t="str">
        <f t="shared" si="45"/>
        <v>SOCIAL SECURITY TAXES</v>
      </c>
    </row>
    <row r="2447" spans="1:9" x14ac:dyDescent="0.25">
      <c r="A2447" t="str">
        <f>""</f>
        <v/>
      </c>
      <c r="F2447" t="str">
        <f>""</f>
        <v/>
      </c>
      <c r="G2447" t="str">
        <f>""</f>
        <v/>
      </c>
      <c r="I2447" t="str">
        <f t="shared" si="45"/>
        <v>SOCIAL SECURITY TAXES</v>
      </c>
    </row>
    <row r="2448" spans="1:9" x14ac:dyDescent="0.25">
      <c r="A2448" t="str">
        <f>""</f>
        <v/>
      </c>
      <c r="F2448" t="str">
        <f>""</f>
        <v/>
      </c>
      <c r="G2448" t="str">
        <f>""</f>
        <v/>
      </c>
      <c r="I2448" t="str">
        <f t="shared" si="45"/>
        <v>SOCIAL SECURITY TAXES</v>
      </c>
    </row>
    <row r="2449" spans="1:9" x14ac:dyDescent="0.25">
      <c r="A2449" t="str">
        <f>""</f>
        <v/>
      </c>
      <c r="F2449" t="str">
        <f>""</f>
        <v/>
      </c>
      <c r="G2449" t="str">
        <f>""</f>
        <v/>
      </c>
      <c r="I2449" t="str">
        <f t="shared" si="45"/>
        <v>SOCIAL SECURITY TAXES</v>
      </c>
    </row>
    <row r="2450" spans="1:9" x14ac:dyDescent="0.25">
      <c r="A2450" t="str">
        <f>""</f>
        <v/>
      </c>
      <c r="F2450" t="str">
        <f>""</f>
        <v/>
      </c>
      <c r="G2450" t="str">
        <f>""</f>
        <v/>
      </c>
      <c r="I2450" t="str">
        <f t="shared" si="45"/>
        <v>SOCIAL SECURITY TAXES</v>
      </c>
    </row>
    <row r="2451" spans="1:9" x14ac:dyDescent="0.25">
      <c r="A2451" t="str">
        <f>""</f>
        <v/>
      </c>
      <c r="F2451" t="str">
        <f>""</f>
        <v/>
      </c>
      <c r="G2451" t="str">
        <f>""</f>
        <v/>
      </c>
      <c r="I2451" t="str">
        <f t="shared" si="45"/>
        <v>SOCIAL SECURITY TAXES</v>
      </c>
    </row>
    <row r="2452" spans="1:9" x14ac:dyDescent="0.25">
      <c r="A2452" t="str">
        <f>""</f>
        <v/>
      </c>
      <c r="F2452" t="str">
        <f>""</f>
        <v/>
      </c>
      <c r="G2452" t="str">
        <f>""</f>
        <v/>
      </c>
      <c r="I2452" t="str">
        <f t="shared" si="45"/>
        <v>SOCIAL SECURITY TAXES</v>
      </c>
    </row>
    <row r="2453" spans="1:9" x14ac:dyDescent="0.25">
      <c r="A2453" t="str">
        <f>""</f>
        <v/>
      </c>
      <c r="F2453" t="str">
        <f>""</f>
        <v/>
      </c>
      <c r="G2453" t="str">
        <f>""</f>
        <v/>
      </c>
      <c r="I2453" t="str">
        <f t="shared" si="45"/>
        <v>SOCIAL SECURITY TAXES</v>
      </c>
    </row>
    <row r="2454" spans="1:9" x14ac:dyDescent="0.25">
      <c r="A2454" t="str">
        <f>""</f>
        <v/>
      </c>
      <c r="F2454" t="str">
        <f>""</f>
        <v/>
      </c>
      <c r="G2454" t="str">
        <f>""</f>
        <v/>
      </c>
      <c r="I2454" t="str">
        <f t="shared" si="45"/>
        <v>SOCIAL SECURITY TAXES</v>
      </c>
    </row>
    <row r="2455" spans="1:9" x14ac:dyDescent="0.25">
      <c r="A2455" t="str">
        <f>""</f>
        <v/>
      </c>
      <c r="F2455" t="str">
        <f>""</f>
        <v/>
      </c>
      <c r="G2455" t="str">
        <f>""</f>
        <v/>
      </c>
      <c r="I2455" t="str">
        <f t="shared" si="45"/>
        <v>SOCIAL SECURITY TAXES</v>
      </c>
    </row>
    <row r="2456" spans="1:9" x14ac:dyDescent="0.25">
      <c r="A2456" t="str">
        <f>""</f>
        <v/>
      </c>
      <c r="F2456" t="str">
        <f>""</f>
        <v/>
      </c>
      <c r="G2456" t="str">
        <f>""</f>
        <v/>
      </c>
      <c r="I2456" t="str">
        <f t="shared" si="45"/>
        <v>SOCIAL SECURITY TAXES</v>
      </c>
    </row>
    <row r="2457" spans="1:9" x14ac:dyDescent="0.25">
      <c r="A2457" t="str">
        <f>""</f>
        <v/>
      </c>
      <c r="F2457" t="str">
        <f>""</f>
        <v/>
      </c>
      <c r="G2457" t="str">
        <f>""</f>
        <v/>
      </c>
      <c r="I2457" t="str">
        <f t="shared" si="45"/>
        <v>SOCIAL SECURITY TAXES</v>
      </c>
    </row>
    <row r="2458" spans="1:9" x14ac:dyDescent="0.25">
      <c r="A2458" t="str">
        <f>""</f>
        <v/>
      </c>
      <c r="F2458" t="str">
        <f>""</f>
        <v/>
      </c>
      <c r="G2458" t="str">
        <f>""</f>
        <v/>
      </c>
      <c r="I2458" t="str">
        <f t="shared" si="45"/>
        <v>SOCIAL SECURITY TAXES</v>
      </c>
    </row>
    <row r="2459" spans="1:9" x14ac:dyDescent="0.25">
      <c r="A2459" t="str">
        <f>""</f>
        <v/>
      </c>
      <c r="F2459" t="str">
        <f>""</f>
        <v/>
      </c>
      <c r="G2459" t="str">
        <f>""</f>
        <v/>
      </c>
      <c r="I2459" t="str">
        <f t="shared" si="45"/>
        <v>SOCIAL SECURITY TAXES</v>
      </c>
    </row>
    <row r="2460" spans="1:9" x14ac:dyDescent="0.25">
      <c r="A2460" t="str">
        <f>""</f>
        <v/>
      </c>
      <c r="F2460" t="str">
        <f>"T3 201804180392"</f>
        <v>T3 201804180392</v>
      </c>
      <c r="G2460" t="str">
        <f>"SOCIAL SECURITY TAXES"</f>
        <v>SOCIAL SECURITY TAXES</v>
      </c>
      <c r="H2460">
        <v>3947.28</v>
      </c>
      <c r="I2460" t="str">
        <f t="shared" si="45"/>
        <v>SOCIAL SECURITY TAXES</v>
      </c>
    </row>
    <row r="2461" spans="1:9" x14ac:dyDescent="0.25">
      <c r="A2461" t="str">
        <f>""</f>
        <v/>
      </c>
      <c r="F2461" t="str">
        <f>""</f>
        <v/>
      </c>
      <c r="G2461" t="str">
        <f>""</f>
        <v/>
      </c>
      <c r="I2461" t="str">
        <f t="shared" si="45"/>
        <v>SOCIAL SECURITY TAXES</v>
      </c>
    </row>
    <row r="2462" spans="1:9" x14ac:dyDescent="0.25">
      <c r="A2462" t="str">
        <f>""</f>
        <v/>
      </c>
      <c r="F2462" t="str">
        <f>"T3 201804180393"</f>
        <v>T3 201804180393</v>
      </c>
      <c r="G2462" t="str">
        <f>"SOCIAL SECURITY TAXES"</f>
        <v>SOCIAL SECURITY TAXES</v>
      </c>
      <c r="H2462">
        <v>6027.94</v>
      </c>
      <c r="I2462" t="str">
        <f t="shared" si="45"/>
        <v>SOCIAL SECURITY TAXES</v>
      </c>
    </row>
    <row r="2463" spans="1:9" x14ac:dyDescent="0.25">
      <c r="A2463" t="str">
        <f>""</f>
        <v/>
      </c>
      <c r="F2463" t="str">
        <f>""</f>
        <v/>
      </c>
      <c r="G2463" t="str">
        <f>""</f>
        <v/>
      </c>
      <c r="I2463" t="str">
        <f t="shared" si="45"/>
        <v>SOCIAL SECURITY TAXES</v>
      </c>
    </row>
    <row r="2464" spans="1:9" x14ac:dyDescent="0.25">
      <c r="A2464" t="str">
        <f>""</f>
        <v/>
      </c>
      <c r="F2464" t="str">
        <f>"T4 201804180391"</f>
        <v>T4 201804180391</v>
      </c>
      <c r="G2464" t="str">
        <f>"MEDICARE TAXES"</f>
        <v>MEDICARE TAXES</v>
      </c>
      <c r="H2464">
        <v>23400.42</v>
      </c>
      <c r="I2464" t="str">
        <f t="shared" ref="I2464:I2495" si="46">"MEDICARE TAXES"</f>
        <v>MEDICARE TAXES</v>
      </c>
    </row>
    <row r="2465" spans="1:9" x14ac:dyDescent="0.25">
      <c r="A2465" t="str">
        <f>""</f>
        <v/>
      </c>
      <c r="F2465" t="str">
        <f>""</f>
        <v/>
      </c>
      <c r="G2465" t="str">
        <f>""</f>
        <v/>
      </c>
      <c r="I2465" t="str">
        <f t="shared" si="46"/>
        <v>MEDICARE TAXES</v>
      </c>
    </row>
    <row r="2466" spans="1:9" x14ac:dyDescent="0.25">
      <c r="A2466" t="str">
        <f>""</f>
        <v/>
      </c>
      <c r="F2466" t="str">
        <f>""</f>
        <v/>
      </c>
      <c r="G2466" t="str">
        <f>""</f>
        <v/>
      </c>
      <c r="I2466" t="str">
        <f t="shared" si="46"/>
        <v>MEDICARE TAXES</v>
      </c>
    </row>
    <row r="2467" spans="1:9" x14ac:dyDescent="0.25">
      <c r="A2467" t="str">
        <f>""</f>
        <v/>
      </c>
      <c r="F2467" t="str">
        <f>""</f>
        <v/>
      </c>
      <c r="G2467" t="str">
        <f>""</f>
        <v/>
      </c>
      <c r="I2467" t="str">
        <f t="shared" si="46"/>
        <v>MEDICARE TAXES</v>
      </c>
    </row>
    <row r="2468" spans="1:9" x14ac:dyDescent="0.25">
      <c r="A2468" t="str">
        <f>""</f>
        <v/>
      </c>
      <c r="F2468" t="str">
        <f>""</f>
        <v/>
      </c>
      <c r="G2468" t="str">
        <f>""</f>
        <v/>
      </c>
      <c r="I2468" t="str">
        <f t="shared" si="46"/>
        <v>MEDICARE TAXES</v>
      </c>
    </row>
    <row r="2469" spans="1:9" x14ac:dyDescent="0.25">
      <c r="A2469" t="str">
        <f>""</f>
        <v/>
      </c>
      <c r="F2469" t="str">
        <f>""</f>
        <v/>
      </c>
      <c r="G2469" t="str">
        <f>""</f>
        <v/>
      </c>
      <c r="I2469" t="str">
        <f t="shared" si="46"/>
        <v>MEDICARE TAXES</v>
      </c>
    </row>
    <row r="2470" spans="1:9" x14ac:dyDescent="0.25">
      <c r="A2470" t="str">
        <f>""</f>
        <v/>
      </c>
      <c r="F2470" t="str">
        <f>""</f>
        <v/>
      </c>
      <c r="G2470" t="str">
        <f>""</f>
        <v/>
      </c>
      <c r="I2470" t="str">
        <f t="shared" si="46"/>
        <v>MEDICARE TAXES</v>
      </c>
    </row>
    <row r="2471" spans="1:9" x14ac:dyDescent="0.25">
      <c r="A2471" t="str">
        <f>""</f>
        <v/>
      </c>
      <c r="F2471" t="str">
        <f>""</f>
        <v/>
      </c>
      <c r="G2471" t="str">
        <f>""</f>
        <v/>
      </c>
      <c r="I2471" t="str">
        <f t="shared" si="46"/>
        <v>MEDICARE TAXES</v>
      </c>
    </row>
    <row r="2472" spans="1:9" x14ac:dyDescent="0.25">
      <c r="A2472" t="str">
        <f>""</f>
        <v/>
      </c>
      <c r="F2472" t="str">
        <f>""</f>
        <v/>
      </c>
      <c r="G2472" t="str">
        <f>""</f>
        <v/>
      </c>
      <c r="I2472" t="str">
        <f t="shared" si="46"/>
        <v>MEDICARE TAXES</v>
      </c>
    </row>
    <row r="2473" spans="1:9" x14ac:dyDescent="0.25">
      <c r="A2473" t="str">
        <f>""</f>
        <v/>
      </c>
      <c r="F2473" t="str">
        <f>""</f>
        <v/>
      </c>
      <c r="G2473" t="str">
        <f>""</f>
        <v/>
      </c>
      <c r="I2473" t="str">
        <f t="shared" si="46"/>
        <v>MEDICARE TAXES</v>
      </c>
    </row>
    <row r="2474" spans="1:9" x14ac:dyDescent="0.25">
      <c r="A2474" t="str">
        <f>""</f>
        <v/>
      </c>
      <c r="F2474" t="str">
        <f>""</f>
        <v/>
      </c>
      <c r="G2474" t="str">
        <f>""</f>
        <v/>
      </c>
      <c r="I2474" t="str">
        <f t="shared" si="46"/>
        <v>MEDICARE TAXES</v>
      </c>
    </row>
    <row r="2475" spans="1:9" x14ac:dyDescent="0.25">
      <c r="A2475" t="str">
        <f>""</f>
        <v/>
      </c>
      <c r="F2475" t="str">
        <f>""</f>
        <v/>
      </c>
      <c r="G2475" t="str">
        <f>""</f>
        <v/>
      </c>
      <c r="I2475" t="str">
        <f t="shared" si="46"/>
        <v>MEDICARE TAXES</v>
      </c>
    </row>
    <row r="2476" spans="1:9" x14ac:dyDescent="0.25">
      <c r="A2476" t="str">
        <f>""</f>
        <v/>
      </c>
      <c r="F2476" t="str">
        <f>""</f>
        <v/>
      </c>
      <c r="G2476" t="str">
        <f>""</f>
        <v/>
      </c>
      <c r="I2476" t="str">
        <f t="shared" si="46"/>
        <v>MEDICARE TAXES</v>
      </c>
    </row>
    <row r="2477" spans="1:9" x14ac:dyDescent="0.25">
      <c r="A2477" t="str">
        <f>""</f>
        <v/>
      </c>
      <c r="F2477" t="str">
        <f>""</f>
        <v/>
      </c>
      <c r="G2477" t="str">
        <f>""</f>
        <v/>
      </c>
      <c r="I2477" t="str">
        <f t="shared" si="46"/>
        <v>MEDICARE TAXES</v>
      </c>
    </row>
    <row r="2478" spans="1:9" x14ac:dyDescent="0.25">
      <c r="A2478" t="str">
        <f>""</f>
        <v/>
      </c>
      <c r="F2478" t="str">
        <f>""</f>
        <v/>
      </c>
      <c r="G2478" t="str">
        <f>""</f>
        <v/>
      </c>
      <c r="I2478" t="str">
        <f t="shared" si="46"/>
        <v>MEDICARE TAXES</v>
      </c>
    </row>
    <row r="2479" spans="1:9" x14ac:dyDescent="0.25">
      <c r="A2479" t="str">
        <f>""</f>
        <v/>
      </c>
      <c r="F2479" t="str">
        <f>""</f>
        <v/>
      </c>
      <c r="G2479" t="str">
        <f>""</f>
        <v/>
      </c>
      <c r="I2479" t="str">
        <f t="shared" si="46"/>
        <v>MEDICARE TAXES</v>
      </c>
    </row>
    <row r="2480" spans="1:9" x14ac:dyDescent="0.25">
      <c r="A2480" t="str">
        <f>""</f>
        <v/>
      </c>
      <c r="F2480" t="str">
        <f>""</f>
        <v/>
      </c>
      <c r="G2480" t="str">
        <f>""</f>
        <v/>
      </c>
      <c r="I2480" t="str">
        <f t="shared" si="46"/>
        <v>MEDICARE TAXES</v>
      </c>
    </row>
    <row r="2481" spans="1:9" x14ac:dyDescent="0.25">
      <c r="A2481" t="str">
        <f>""</f>
        <v/>
      </c>
      <c r="F2481" t="str">
        <f>""</f>
        <v/>
      </c>
      <c r="G2481" t="str">
        <f>""</f>
        <v/>
      </c>
      <c r="I2481" t="str">
        <f t="shared" si="46"/>
        <v>MEDICARE TAXES</v>
      </c>
    </row>
    <row r="2482" spans="1:9" x14ac:dyDescent="0.25">
      <c r="A2482" t="str">
        <f>""</f>
        <v/>
      </c>
      <c r="F2482" t="str">
        <f>""</f>
        <v/>
      </c>
      <c r="G2482" t="str">
        <f>""</f>
        <v/>
      </c>
      <c r="I2482" t="str">
        <f t="shared" si="46"/>
        <v>MEDICARE TAXES</v>
      </c>
    </row>
    <row r="2483" spans="1:9" x14ac:dyDescent="0.25">
      <c r="A2483" t="str">
        <f>""</f>
        <v/>
      </c>
      <c r="F2483" t="str">
        <f>""</f>
        <v/>
      </c>
      <c r="G2483" t="str">
        <f>""</f>
        <v/>
      </c>
      <c r="I2483" t="str">
        <f t="shared" si="46"/>
        <v>MEDICARE TAXES</v>
      </c>
    </row>
    <row r="2484" spans="1:9" x14ac:dyDescent="0.25">
      <c r="A2484" t="str">
        <f>""</f>
        <v/>
      </c>
      <c r="F2484" t="str">
        <f>""</f>
        <v/>
      </c>
      <c r="G2484" t="str">
        <f>""</f>
        <v/>
      </c>
      <c r="I2484" t="str">
        <f t="shared" si="46"/>
        <v>MEDICARE TAXES</v>
      </c>
    </row>
    <row r="2485" spans="1:9" x14ac:dyDescent="0.25">
      <c r="A2485" t="str">
        <f>""</f>
        <v/>
      </c>
      <c r="F2485" t="str">
        <f>""</f>
        <v/>
      </c>
      <c r="G2485" t="str">
        <f>""</f>
        <v/>
      </c>
      <c r="I2485" t="str">
        <f t="shared" si="46"/>
        <v>MEDICARE TAXES</v>
      </c>
    </row>
    <row r="2486" spans="1:9" x14ac:dyDescent="0.25">
      <c r="A2486" t="str">
        <f>""</f>
        <v/>
      </c>
      <c r="F2486" t="str">
        <f>""</f>
        <v/>
      </c>
      <c r="G2486" t="str">
        <f>""</f>
        <v/>
      </c>
      <c r="I2486" t="str">
        <f t="shared" si="46"/>
        <v>MEDICARE TAXES</v>
      </c>
    </row>
    <row r="2487" spans="1:9" x14ac:dyDescent="0.25">
      <c r="A2487" t="str">
        <f>""</f>
        <v/>
      </c>
      <c r="F2487" t="str">
        <f>""</f>
        <v/>
      </c>
      <c r="G2487" t="str">
        <f>""</f>
        <v/>
      </c>
      <c r="I2487" t="str">
        <f t="shared" si="46"/>
        <v>MEDICARE TAXES</v>
      </c>
    </row>
    <row r="2488" spans="1:9" x14ac:dyDescent="0.25">
      <c r="A2488" t="str">
        <f>""</f>
        <v/>
      </c>
      <c r="F2488" t="str">
        <f>""</f>
        <v/>
      </c>
      <c r="G2488" t="str">
        <f>""</f>
        <v/>
      </c>
      <c r="I2488" t="str">
        <f t="shared" si="46"/>
        <v>MEDICARE TAXES</v>
      </c>
    </row>
    <row r="2489" spans="1:9" x14ac:dyDescent="0.25">
      <c r="A2489" t="str">
        <f>""</f>
        <v/>
      </c>
      <c r="F2489" t="str">
        <f>""</f>
        <v/>
      </c>
      <c r="G2489" t="str">
        <f>""</f>
        <v/>
      </c>
      <c r="I2489" t="str">
        <f t="shared" si="46"/>
        <v>MEDICARE TAXES</v>
      </c>
    </row>
    <row r="2490" spans="1:9" x14ac:dyDescent="0.25">
      <c r="A2490" t="str">
        <f>""</f>
        <v/>
      </c>
      <c r="F2490" t="str">
        <f>""</f>
        <v/>
      </c>
      <c r="G2490" t="str">
        <f>""</f>
        <v/>
      </c>
      <c r="I2490" t="str">
        <f t="shared" si="46"/>
        <v>MEDICARE TAXES</v>
      </c>
    </row>
    <row r="2491" spans="1:9" x14ac:dyDescent="0.25">
      <c r="A2491" t="str">
        <f>""</f>
        <v/>
      </c>
      <c r="F2491" t="str">
        <f>""</f>
        <v/>
      </c>
      <c r="G2491" t="str">
        <f>""</f>
        <v/>
      </c>
      <c r="I2491" t="str">
        <f t="shared" si="46"/>
        <v>MEDICARE TAXES</v>
      </c>
    </row>
    <row r="2492" spans="1:9" x14ac:dyDescent="0.25">
      <c r="A2492" t="str">
        <f>""</f>
        <v/>
      </c>
      <c r="F2492" t="str">
        <f>""</f>
        <v/>
      </c>
      <c r="G2492" t="str">
        <f>""</f>
        <v/>
      </c>
      <c r="I2492" t="str">
        <f t="shared" si="46"/>
        <v>MEDICARE TAXES</v>
      </c>
    </row>
    <row r="2493" spans="1:9" x14ac:dyDescent="0.25">
      <c r="A2493" t="str">
        <f>""</f>
        <v/>
      </c>
      <c r="F2493" t="str">
        <f>""</f>
        <v/>
      </c>
      <c r="G2493" t="str">
        <f>""</f>
        <v/>
      </c>
      <c r="I2493" t="str">
        <f t="shared" si="46"/>
        <v>MEDICARE TAXES</v>
      </c>
    </row>
    <row r="2494" spans="1:9" x14ac:dyDescent="0.25">
      <c r="A2494" t="str">
        <f>""</f>
        <v/>
      </c>
      <c r="F2494" t="str">
        <f>""</f>
        <v/>
      </c>
      <c r="G2494" t="str">
        <f>""</f>
        <v/>
      </c>
      <c r="I2494" t="str">
        <f t="shared" si="46"/>
        <v>MEDICARE TAXES</v>
      </c>
    </row>
    <row r="2495" spans="1:9" x14ac:dyDescent="0.25">
      <c r="A2495" t="str">
        <f>""</f>
        <v/>
      </c>
      <c r="F2495" t="str">
        <f>""</f>
        <v/>
      </c>
      <c r="G2495" t="str">
        <f>""</f>
        <v/>
      </c>
      <c r="I2495" t="str">
        <f t="shared" si="46"/>
        <v>MEDICARE TAXES</v>
      </c>
    </row>
    <row r="2496" spans="1:9" x14ac:dyDescent="0.25">
      <c r="A2496" t="str">
        <f>""</f>
        <v/>
      </c>
      <c r="F2496" t="str">
        <f>""</f>
        <v/>
      </c>
      <c r="G2496" t="str">
        <f>""</f>
        <v/>
      </c>
      <c r="I2496" t="str">
        <f t="shared" ref="I2496:I2520" si="47">"MEDICARE TAXES"</f>
        <v>MEDICARE TAXES</v>
      </c>
    </row>
    <row r="2497" spans="1:9" x14ac:dyDescent="0.25">
      <c r="A2497" t="str">
        <f>""</f>
        <v/>
      </c>
      <c r="F2497" t="str">
        <f>""</f>
        <v/>
      </c>
      <c r="G2497" t="str">
        <f>""</f>
        <v/>
      </c>
      <c r="I2497" t="str">
        <f t="shared" si="47"/>
        <v>MEDICARE TAXES</v>
      </c>
    </row>
    <row r="2498" spans="1:9" x14ac:dyDescent="0.25">
      <c r="A2498" t="str">
        <f>""</f>
        <v/>
      </c>
      <c r="F2498" t="str">
        <f>""</f>
        <v/>
      </c>
      <c r="G2498" t="str">
        <f>""</f>
        <v/>
      </c>
      <c r="I2498" t="str">
        <f t="shared" si="47"/>
        <v>MEDICARE TAXES</v>
      </c>
    </row>
    <row r="2499" spans="1:9" x14ac:dyDescent="0.25">
      <c r="A2499" t="str">
        <f>""</f>
        <v/>
      </c>
      <c r="F2499" t="str">
        <f>""</f>
        <v/>
      </c>
      <c r="G2499" t="str">
        <f>""</f>
        <v/>
      </c>
      <c r="I2499" t="str">
        <f t="shared" si="47"/>
        <v>MEDICARE TAXES</v>
      </c>
    </row>
    <row r="2500" spans="1:9" x14ac:dyDescent="0.25">
      <c r="A2500" t="str">
        <f>""</f>
        <v/>
      </c>
      <c r="F2500" t="str">
        <f>""</f>
        <v/>
      </c>
      <c r="G2500" t="str">
        <f>""</f>
        <v/>
      </c>
      <c r="I2500" t="str">
        <f t="shared" si="47"/>
        <v>MEDICARE TAXES</v>
      </c>
    </row>
    <row r="2501" spans="1:9" x14ac:dyDescent="0.25">
      <c r="A2501" t="str">
        <f>""</f>
        <v/>
      </c>
      <c r="F2501" t="str">
        <f>""</f>
        <v/>
      </c>
      <c r="G2501" t="str">
        <f>""</f>
        <v/>
      </c>
      <c r="I2501" t="str">
        <f t="shared" si="47"/>
        <v>MEDICARE TAXES</v>
      </c>
    </row>
    <row r="2502" spans="1:9" x14ac:dyDescent="0.25">
      <c r="A2502" t="str">
        <f>""</f>
        <v/>
      </c>
      <c r="F2502" t="str">
        <f>""</f>
        <v/>
      </c>
      <c r="G2502" t="str">
        <f>""</f>
        <v/>
      </c>
      <c r="I2502" t="str">
        <f t="shared" si="47"/>
        <v>MEDICARE TAXES</v>
      </c>
    </row>
    <row r="2503" spans="1:9" x14ac:dyDescent="0.25">
      <c r="A2503" t="str">
        <f>""</f>
        <v/>
      </c>
      <c r="F2503" t="str">
        <f>""</f>
        <v/>
      </c>
      <c r="G2503" t="str">
        <f>""</f>
        <v/>
      </c>
      <c r="I2503" t="str">
        <f t="shared" si="47"/>
        <v>MEDICARE TAXES</v>
      </c>
    </row>
    <row r="2504" spans="1:9" x14ac:dyDescent="0.25">
      <c r="A2504" t="str">
        <f>""</f>
        <v/>
      </c>
      <c r="F2504" t="str">
        <f>""</f>
        <v/>
      </c>
      <c r="G2504" t="str">
        <f>""</f>
        <v/>
      </c>
      <c r="I2504" t="str">
        <f t="shared" si="47"/>
        <v>MEDICARE TAXES</v>
      </c>
    </row>
    <row r="2505" spans="1:9" x14ac:dyDescent="0.25">
      <c r="A2505" t="str">
        <f>""</f>
        <v/>
      </c>
      <c r="F2505" t="str">
        <f>""</f>
        <v/>
      </c>
      <c r="G2505" t="str">
        <f>""</f>
        <v/>
      </c>
      <c r="I2505" t="str">
        <f t="shared" si="47"/>
        <v>MEDICARE TAXES</v>
      </c>
    </row>
    <row r="2506" spans="1:9" x14ac:dyDescent="0.25">
      <c r="A2506" t="str">
        <f>""</f>
        <v/>
      </c>
      <c r="F2506" t="str">
        <f>""</f>
        <v/>
      </c>
      <c r="G2506" t="str">
        <f>""</f>
        <v/>
      </c>
      <c r="I2506" t="str">
        <f t="shared" si="47"/>
        <v>MEDICARE TAXES</v>
      </c>
    </row>
    <row r="2507" spans="1:9" x14ac:dyDescent="0.25">
      <c r="A2507" t="str">
        <f>""</f>
        <v/>
      </c>
      <c r="F2507" t="str">
        <f>""</f>
        <v/>
      </c>
      <c r="G2507" t="str">
        <f>""</f>
        <v/>
      </c>
      <c r="I2507" t="str">
        <f t="shared" si="47"/>
        <v>MEDICARE TAXES</v>
      </c>
    </row>
    <row r="2508" spans="1:9" x14ac:dyDescent="0.25">
      <c r="A2508" t="str">
        <f>""</f>
        <v/>
      </c>
      <c r="F2508" t="str">
        <f>""</f>
        <v/>
      </c>
      <c r="G2508" t="str">
        <f>""</f>
        <v/>
      </c>
      <c r="I2508" t="str">
        <f t="shared" si="47"/>
        <v>MEDICARE TAXES</v>
      </c>
    </row>
    <row r="2509" spans="1:9" x14ac:dyDescent="0.25">
      <c r="A2509" t="str">
        <f>""</f>
        <v/>
      </c>
      <c r="F2509" t="str">
        <f>""</f>
        <v/>
      </c>
      <c r="G2509" t="str">
        <f>""</f>
        <v/>
      </c>
      <c r="I2509" t="str">
        <f t="shared" si="47"/>
        <v>MEDICARE TAXES</v>
      </c>
    </row>
    <row r="2510" spans="1:9" x14ac:dyDescent="0.25">
      <c r="A2510" t="str">
        <f>""</f>
        <v/>
      </c>
      <c r="F2510" t="str">
        <f>""</f>
        <v/>
      </c>
      <c r="G2510" t="str">
        <f>""</f>
        <v/>
      </c>
      <c r="I2510" t="str">
        <f t="shared" si="47"/>
        <v>MEDICARE TAXES</v>
      </c>
    </row>
    <row r="2511" spans="1:9" x14ac:dyDescent="0.25">
      <c r="A2511" t="str">
        <f>""</f>
        <v/>
      </c>
      <c r="F2511" t="str">
        <f>""</f>
        <v/>
      </c>
      <c r="G2511" t="str">
        <f>""</f>
        <v/>
      </c>
      <c r="I2511" t="str">
        <f t="shared" si="47"/>
        <v>MEDICARE TAXES</v>
      </c>
    </row>
    <row r="2512" spans="1:9" x14ac:dyDescent="0.25">
      <c r="A2512" t="str">
        <f>""</f>
        <v/>
      </c>
      <c r="F2512" t="str">
        <f>""</f>
        <v/>
      </c>
      <c r="G2512" t="str">
        <f>""</f>
        <v/>
      </c>
      <c r="I2512" t="str">
        <f t="shared" si="47"/>
        <v>MEDICARE TAXES</v>
      </c>
    </row>
    <row r="2513" spans="1:9" x14ac:dyDescent="0.25">
      <c r="A2513" t="str">
        <f>""</f>
        <v/>
      </c>
      <c r="F2513" t="str">
        <f>""</f>
        <v/>
      </c>
      <c r="G2513" t="str">
        <f>""</f>
        <v/>
      </c>
      <c r="I2513" t="str">
        <f t="shared" si="47"/>
        <v>MEDICARE TAXES</v>
      </c>
    </row>
    <row r="2514" spans="1:9" x14ac:dyDescent="0.25">
      <c r="A2514" t="str">
        <f>""</f>
        <v/>
      </c>
      <c r="F2514" t="str">
        <f>""</f>
        <v/>
      </c>
      <c r="G2514" t="str">
        <f>""</f>
        <v/>
      </c>
      <c r="I2514" t="str">
        <f t="shared" si="47"/>
        <v>MEDICARE TAXES</v>
      </c>
    </row>
    <row r="2515" spans="1:9" x14ac:dyDescent="0.25">
      <c r="A2515" t="str">
        <f>""</f>
        <v/>
      </c>
      <c r="F2515" t="str">
        <f>""</f>
        <v/>
      </c>
      <c r="G2515" t="str">
        <f>""</f>
        <v/>
      </c>
      <c r="I2515" t="str">
        <f t="shared" si="47"/>
        <v>MEDICARE TAXES</v>
      </c>
    </row>
    <row r="2516" spans="1:9" x14ac:dyDescent="0.25">
      <c r="A2516" t="str">
        <f>""</f>
        <v/>
      </c>
      <c r="F2516" t="str">
        <f>""</f>
        <v/>
      </c>
      <c r="G2516" t="str">
        <f>""</f>
        <v/>
      </c>
      <c r="I2516" t="str">
        <f t="shared" si="47"/>
        <v>MEDICARE TAXES</v>
      </c>
    </row>
    <row r="2517" spans="1:9" x14ac:dyDescent="0.25">
      <c r="A2517" t="str">
        <f>""</f>
        <v/>
      </c>
      <c r="F2517" t="str">
        <f>"T4 201804180392"</f>
        <v>T4 201804180392</v>
      </c>
      <c r="G2517" t="str">
        <f>"MEDICARE TAXES"</f>
        <v>MEDICARE TAXES</v>
      </c>
      <c r="H2517">
        <v>923.16</v>
      </c>
      <c r="I2517" t="str">
        <f t="shared" si="47"/>
        <v>MEDICARE TAXES</v>
      </c>
    </row>
    <row r="2518" spans="1:9" x14ac:dyDescent="0.25">
      <c r="A2518" t="str">
        <f>""</f>
        <v/>
      </c>
      <c r="F2518" t="str">
        <f>""</f>
        <v/>
      </c>
      <c r="G2518" t="str">
        <f>""</f>
        <v/>
      </c>
      <c r="I2518" t="str">
        <f t="shared" si="47"/>
        <v>MEDICARE TAXES</v>
      </c>
    </row>
    <row r="2519" spans="1:9" x14ac:dyDescent="0.25">
      <c r="A2519" t="str">
        <f>""</f>
        <v/>
      </c>
      <c r="F2519" t="str">
        <f>"T4 201804180393"</f>
        <v>T4 201804180393</v>
      </c>
      <c r="G2519" t="str">
        <f>"MEDICARE TAXES"</f>
        <v>MEDICARE TAXES</v>
      </c>
      <c r="H2519">
        <v>1409.78</v>
      </c>
      <c r="I2519" t="str">
        <f t="shared" si="47"/>
        <v>MEDICARE TAXES</v>
      </c>
    </row>
    <row r="2520" spans="1:9" x14ac:dyDescent="0.25">
      <c r="A2520" t="str">
        <f>""</f>
        <v/>
      </c>
      <c r="F2520" t="str">
        <f>""</f>
        <v/>
      </c>
      <c r="G2520" t="str">
        <f>""</f>
        <v/>
      </c>
      <c r="I2520" t="str">
        <f t="shared" si="47"/>
        <v>MEDICARE TAXES</v>
      </c>
    </row>
    <row r="2521" spans="1:9" x14ac:dyDescent="0.25">
      <c r="A2521" t="str">
        <f>"004638"</f>
        <v>004638</v>
      </c>
      <c r="B2521" t="s">
        <v>502</v>
      </c>
      <c r="C2521">
        <v>46259</v>
      </c>
      <c r="D2521" s="2">
        <v>268.74</v>
      </c>
      <c r="E2521" s="1">
        <v>43196</v>
      </c>
      <c r="F2521" t="str">
        <f>"C64201804049962"</f>
        <v>C64201804049962</v>
      </c>
      <c r="G2521" t="str">
        <f>"CASE #912745322"</f>
        <v>CASE #912745322</v>
      </c>
      <c r="H2521">
        <v>268.74</v>
      </c>
      <c r="I2521" t="str">
        <f>"CASE #912745322"</f>
        <v>CASE #912745322</v>
      </c>
    </row>
    <row r="2522" spans="1:9" x14ac:dyDescent="0.25">
      <c r="A2522" t="str">
        <f>"004638"</f>
        <v>004638</v>
      </c>
      <c r="B2522" t="s">
        <v>502</v>
      </c>
      <c r="C2522">
        <v>46281</v>
      </c>
      <c r="D2522" s="2">
        <v>268.74</v>
      </c>
      <c r="E2522" s="1">
        <v>43210</v>
      </c>
      <c r="F2522" t="str">
        <f>"C64201804180391"</f>
        <v>C64201804180391</v>
      </c>
      <c r="G2522" t="str">
        <f>"CASE #912745322"</f>
        <v>CASE #912745322</v>
      </c>
      <c r="H2522">
        <v>268.74</v>
      </c>
      <c r="I2522" t="str">
        <f>"CASE #912745322"</f>
        <v>CASE #912745322</v>
      </c>
    </row>
    <row r="2523" spans="1:9" x14ac:dyDescent="0.25">
      <c r="A2523" t="str">
        <f>"001507"</f>
        <v>001507</v>
      </c>
      <c r="B2523" t="s">
        <v>503</v>
      </c>
      <c r="C2523">
        <v>0</v>
      </c>
      <c r="D2523" s="2">
        <v>27670.54</v>
      </c>
      <c r="E2523" s="1">
        <v>43214</v>
      </c>
      <c r="F2523" t="str">
        <f>"201804230407"</f>
        <v>201804230407</v>
      </c>
      <c r="G2523" t="str">
        <f>"MONUMENTAL LIFE INS April '18"</f>
        <v>MONUMENTAL LIFE INS April '18</v>
      </c>
      <c r="H2523">
        <v>27670.54</v>
      </c>
      <c r="I2523" t="str">
        <f>"MONUMENTAL LIFE INS April '18"</f>
        <v>MONUMENTAL LIFE INS April '18</v>
      </c>
    </row>
    <row r="2524" spans="1:9" x14ac:dyDescent="0.25">
      <c r="A2524" t="str">
        <f>"002456"</f>
        <v>002456</v>
      </c>
      <c r="B2524" t="s">
        <v>504</v>
      </c>
      <c r="C2524">
        <v>0</v>
      </c>
      <c r="D2524" s="2">
        <v>731.02</v>
      </c>
      <c r="E2524" s="1">
        <v>43214</v>
      </c>
      <c r="F2524" t="str">
        <f>"LIX201804049962"</f>
        <v>LIX201804049962</v>
      </c>
      <c r="G2524" t="str">
        <f>"TEXAS LIFE/OLIVO GROUP"</f>
        <v>TEXAS LIFE/OLIVO GROUP</v>
      </c>
      <c r="H2524">
        <v>365.51</v>
      </c>
      <c r="I2524" t="str">
        <f>"TEXAS LIFE/OLIVO GROUP"</f>
        <v>TEXAS LIFE/OLIVO GROUP</v>
      </c>
    </row>
    <row r="2525" spans="1:9" x14ac:dyDescent="0.25">
      <c r="A2525" t="str">
        <f>""</f>
        <v/>
      </c>
      <c r="F2525" t="str">
        <f>"LIX201804180391"</f>
        <v>LIX201804180391</v>
      </c>
      <c r="G2525" t="str">
        <f>"TEXAS LIFE/OLIVO GROUP"</f>
        <v>TEXAS LIFE/OLIVO GROUP</v>
      </c>
      <c r="H2525">
        <v>365.51</v>
      </c>
      <c r="I2525" t="str">
        <f>"TEXAS LIFE/OLIVO GROUP"</f>
        <v>TEXAS LIFE/OLIVO GROUP</v>
      </c>
    </row>
    <row r="2526" spans="1:9" x14ac:dyDescent="0.25">
      <c r="A2526" t="str">
        <f>"TACHEB"</f>
        <v>TACHEB</v>
      </c>
      <c r="B2526" t="s">
        <v>505</v>
      </c>
      <c r="C2526">
        <v>46287</v>
      </c>
      <c r="D2526" s="2">
        <v>338680.54</v>
      </c>
      <c r="E2526" s="1">
        <v>43214</v>
      </c>
      <c r="F2526" t="str">
        <f>"201804230413"</f>
        <v>201804230413</v>
      </c>
      <c r="G2526" t="str">
        <f>"TAC HEALTH BENEFITS POOL APRIL"</f>
        <v>TAC HEALTH BENEFITS POOL APRIL</v>
      </c>
      <c r="H2526">
        <v>15769.22</v>
      </c>
      <c r="I2526" t="str">
        <f>"TAC HEALTH BENEFITS POOL"</f>
        <v>TAC HEALTH BENEFITS POOL</v>
      </c>
    </row>
    <row r="2527" spans="1:9" x14ac:dyDescent="0.25">
      <c r="A2527" t="str">
        <f>""</f>
        <v/>
      </c>
      <c r="F2527" t="str">
        <f>"2EC201804049962"</f>
        <v>2EC201804049962</v>
      </c>
      <c r="G2527" t="str">
        <f>"BCBS PAYABLE"</f>
        <v>BCBS PAYABLE</v>
      </c>
      <c r="H2527">
        <v>45329.81</v>
      </c>
      <c r="I2527" t="str">
        <f t="shared" ref="I2527:I2590" si="48">"BCBS PAYABLE"</f>
        <v>BCBS PAYABLE</v>
      </c>
    </row>
    <row r="2528" spans="1:9" x14ac:dyDescent="0.25">
      <c r="A2528" t="str">
        <f>""</f>
        <v/>
      </c>
      <c r="F2528" t="str">
        <f>""</f>
        <v/>
      </c>
      <c r="G2528" t="str">
        <f>""</f>
        <v/>
      </c>
      <c r="I2528" t="str">
        <f t="shared" si="48"/>
        <v>BCBS PAYABLE</v>
      </c>
    </row>
    <row r="2529" spans="1:9" x14ac:dyDescent="0.25">
      <c r="A2529" t="str">
        <f>""</f>
        <v/>
      </c>
      <c r="F2529" t="str">
        <f>""</f>
        <v/>
      </c>
      <c r="G2529" t="str">
        <f>""</f>
        <v/>
      </c>
      <c r="I2529" t="str">
        <f t="shared" si="48"/>
        <v>BCBS PAYABLE</v>
      </c>
    </row>
    <row r="2530" spans="1:9" x14ac:dyDescent="0.25">
      <c r="A2530" t="str">
        <f>""</f>
        <v/>
      </c>
      <c r="F2530" t="str">
        <f>""</f>
        <v/>
      </c>
      <c r="G2530" t="str">
        <f>""</f>
        <v/>
      </c>
      <c r="I2530" t="str">
        <f t="shared" si="48"/>
        <v>BCBS PAYABLE</v>
      </c>
    </row>
    <row r="2531" spans="1:9" x14ac:dyDescent="0.25">
      <c r="A2531" t="str">
        <f>""</f>
        <v/>
      </c>
      <c r="F2531" t="str">
        <f>""</f>
        <v/>
      </c>
      <c r="G2531" t="str">
        <f>""</f>
        <v/>
      </c>
      <c r="I2531" t="str">
        <f t="shared" si="48"/>
        <v>BCBS PAYABLE</v>
      </c>
    </row>
    <row r="2532" spans="1:9" x14ac:dyDescent="0.25">
      <c r="A2532" t="str">
        <f>""</f>
        <v/>
      </c>
      <c r="F2532" t="str">
        <f>""</f>
        <v/>
      </c>
      <c r="G2532" t="str">
        <f>""</f>
        <v/>
      </c>
      <c r="I2532" t="str">
        <f t="shared" si="48"/>
        <v>BCBS PAYABLE</v>
      </c>
    </row>
    <row r="2533" spans="1:9" x14ac:dyDescent="0.25">
      <c r="A2533" t="str">
        <f>""</f>
        <v/>
      </c>
      <c r="F2533" t="str">
        <f>""</f>
        <v/>
      </c>
      <c r="G2533" t="str">
        <f>""</f>
        <v/>
      </c>
      <c r="I2533" t="str">
        <f t="shared" si="48"/>
        <v>BCBS PAYABLE</v>
      </c>
    </row>
    <row r="2534" spans="1:9" x14ac:dyDescent="0.25">
      <c r="A2534" t="str">
        <f>""</f>
        <v/>
      </c>
      <c r="F2534" t="str">
        <f>""</f>
        <v/>
      </c>
      <c r="G2534" t="str">
        <f>""</f>
        <v/>
      </c>
      <c r="I2534" t="str">
        <f t="shared" si="48"/>
        <v>BCBS PAYABLE</v>
      </c>
    </row>
    <row r="2535" spans="1:9" x14ac:dyDescent="0.25">
      <c r="A2535" t="str">
        <f>""</f>
        <v/>
      </c>
      <c r="F2535" t="str">
        <f>""</f>
        <v/>
      </c>
      <c r="G2535" t="str">
        <f>""</f>
        <v/>
      </c>
      <c r="I2535" t="str">
        <f t="shared" si="48"/>
        <v>BCBS PAYABLE</v>
      </c>
    </row>
    <row r="2536" spans="1:9" x14ac:dyDescent="0.25">
      <c r="A2536" t="str">
        <f>""</f>
        <v/>
      </c>
      <c r="F2536" t="str">
        <f>""</f>
        <v/>
      </c>
      <c r="G2536" t="str">
        <f>""</f>
        <v/>
      </c>
      <c r="I2536" t="str">
        <f t="shared" si="48"/>
        <v>BCBS PAYABLE</v>
      </c>
    </row>
    <row r="2537" spans="1:9" x14ac:dyDescent="0.25">
      <c r="A2537" t="str">
        <f>""</f>
        <v/>
      </c>
      <c r="F2537" t="str">
        <f>""</f>
        <v/>
      </c>
      <c r="G2537" t="str">
        <f>""</f>
        <v/>
      </c>
      <c r="I2537" t="str">
        <f t="shared" si="48"/>
        <v>BCBS PAYABLE</v>
      </c>
    </row>
    <row r="2538" spans="1:9" x14ac:dyDescent="0.25">
      <c r="A2538" t="str">
        <f>""</f>
        <v/>
      </c>
      <c r="F2538" t="str">
        <f>""</f>
        <v/>
      </c>
      <c r="G2538" t="str">
        <f>""</f>
        <v/>
      </c>
      <c r="I2538" t="str">
        <f t="shared" si="48"/>
        <v>BCBS PAYABLE</v>
      </c>
    </row>
    <row r="2539" spans="1:9" x14ac:dyDescent="0.25">
      <c r="A2539" t="str">
        <f>""</f>
        <v/>
      </c>
      <c r="F2539" t="str">
        <f>""</f>
        <v/>
      </c>
      <c r="G2539" t="str">
        <f>""</f>
        <v/>
      </c>
      <c r="I2539" t="str">
        <f t="shared" si="48"/>
        <v>BCBS PAYABLE</v>
      </c>
    </row>
    <row r="2540" spans="1:9" x14ac:dyDescent="0.25">
      <c r="A2540" t="str">
        <f>""</f>
        <v/>
      </c>
      <c r="F2540" t="str">
        <f>""</f>
        <v/>
      </c>
      <c r="G2540" t="str">
        <f>""</f>
        <v/>
      </c>
      <c r="I2540" t="str">
        <f t="shared" si="48"/>
        <v>BCBS PAYABLE</v>
      </c>
    </row>
    <row r="2541" spans="1:9" x14ac:dyDescent="0.25">
      <c r="A2541" t="str">
        <f>""</f>
        <v/>
      </c>
      <c r="F2541" t="str">
        <f>""</f>
        <v/>
      </c>
      <c r="G2541" t="str">
        <f>""</f>
        <v/>
      </c>
      <c r="I2541" t="str">
        <f t="shared" si="48"/>
        <v>BCBS PAYABLE</v>
      </c>
    </row>
    <row r="2542" spans="1:9" x14ac:dyDescent="0.25">
      <c r="A2542" t="str">
        <f>""</f>
        <v/>
      </c>
      <c r="F2542" t="str">
        <f>""</f>
        <v/>
      </c>
      <c r="G2542" t="str">
        <f>""</f>
        <v/>
      </c>
      <c r="I2542" t="str">
        <f t="shared" si="48"/>
        <v>BCBS PAYABLE</v>
      </c>
    </row>
    <row r="2543" spans="1:9" x14ac:dyDescent="0.25">
      <c r="A2543" t="str">
        <f>""</f>
        <v/>
      </c>
      <c r="F2543" t="str">
        <f>""</f>
        <v/>
      </c>
      <c r="G2543" t="str">
        <f>""</f>
        <v/>
      </c>
      <c r="I2543" t="str">
        <f t="shared" si="48"/>
        <v>BCBS PAYABLE</v>
      </c>
    </row>
    <row r="2544" spans="1:9" x14ac:dyDescent="0.25">
      <c r="A2544" t="str">
        <f>""</f>
        <v/>
      </c>
      <c r="F2544" t="str">
        <f>""</f>
        <v/>
      </c>
      <c r="G2544" t="str">
        <f>""</f>
        <v/>
      </c>
      <c r="I2544" t="str">
        <f t="shared" si="48"/>
        <v>BCBS PAYABLE</v>
      </c>
    </row>
    <row r="2545" spans="1:9" x14ac:dyDescent="0.25">
      <c r="A2545" t="str">
        <f>""</f>
        <v/>
      </c>
      <c r="F2545" t="str">
        <f>""</f>
        <v/>
      </c>
      <c r="G2545" t="str">
        <f>""</f>
        <v/>
      </c>
      <c r="I2545" t="str">
        <f t="shared" si="48"/>
        <v>BCBS PAYABLE</v>
      </c>
    </row>
    <row r="2546" spans="1:9" x14ac:dyDescent="0.25">
      <c r="A2546" t="str">
        <f>""</f>
        <v/>
      </c>
      <c r="F2546" t="str">
        <f>""</f>
        <v/>
      </c>
      <c r="G2546" t="str">
        <f>""</f>
        <v/>
      </c>
      <c r="I2546" t="str">
        <f t="shared" si="48"/>
        <v>BCBS PAYABLE</v>
      </c>
    </row>
    <row r="2547" spans="1:9" x14ac:dyDescent="0.25">
      <c r="A2547" t="str">
        <f>""</f>
        <v/>
      </c>
      <c r="F2547" t="str">
        <f>""</f>
        <v/>
      </c>
      <c r="G2547" t="str">
        <f>""</f>
        <v/>
      </c>
      <c r="I2547" t="str">
        <f t="shared" si="48"/>
        <v>BCBS PAYABLE</v>
      </c>
    </row>
    <row r="2548" spans="1:9" x14ac:dyDescent="0.25">
      <c r="A2548" t="str">
        <f>""</f>
        <v/>
      </c>
      <c r="F2548" t="str">
        <f>""</f>
        <v/>
      </c>
      <c r="G2548" t="str">
        <f>""</f>
        <v/>
      </c>
      <c r="I2548" t="str">
        <f t="shared" si="48"/>
        <v>BCBS PAYABLE</v>
      </c>
    </row>
    <row r="2549" spans="1:9" x14ac:dyDescent="0.25">
      <c r="A2549" t="str">
        <f>""</f>
        <v/>
      </c>
      <c r="F2549" t="str">
        <f>""</f>
        <v/>
      </c>
      <c r="G2549" t="str">
        <f>""</f>
        <v/>
      </c>
      <c r="I2549" t="str">
        <f t="shared" si="48"/>
        <v>BCBS PAYABLE</v>
      </c>
    </row>
    <row r="2550" spans="1:9" x14ac:dyDescent="0.25">
      <c r="A2550" t="str">
        <f>""</f>
        <v/>
      </c>
      <c r="F2550" t="str">
        <f>""</f>
        <v/>
      </c>
      <c r="G2550" t="str">
        <f>""</f>
        <v/>
      </c>
      <c r="I2550" t="str">
        <f t="shared" si="48"/>
        <v>BCBS PAYABLE</v>
      </c>
    </row>
    <row r="2551" spans="1:9" x14ac:dyDescent="0.25">
      <c r="A2551" t="str">
        <f>""</f>
        <v/>
      </c>
      <c r="F2551" t="str">
        <f>""</f>
        <v/>
      </c>
      <c r="G2551" t="str">
        <f>""</f>
        <v/>
      </c>
      <c r="I2551" t="str">
        <f t="shared" si="48"/>
        <v>BCBS PAYABLE</v>
      </c>
    </row>
    <row r="2552" spans="1:9" x14ac:dyDescent="0.25">
      <c r="A2552" t="str">
        <f>""</f>
        <v/>
      </c>
      <c r="F2552" t="str">
        <f>""</f>
        <v/>
      </c>
      <c r="G2552" t="str">
        <f>""</f>
        <v/>
      </c>
      <c r="I2552" t="str">
        <f t="shared" si="48"/>
        <v>BCBS PAYABLE</v>
      </c>
    </row>
    <row r="2553" spans="1:9" x14ac:dyDescent="0.25">
      <c r="A2553" t="str">
        <f>""</f>
        <v/>
      </c>
      <c r="F2553" t="str">
        <f>""</f>
        <v/>
      </c>
      <c r="G2553" t="str">
        <f>""</f>
        <v/>
      </c>
      <c r="I2553" t="str">
        <f t="shared" si="48"/>
        <v>BCBS PAYABLE</v>
      </c>
    </row>
    <row r="2554" spans="1:9" x14ac:dyDescent="0.25">
      <c r="A2554" t="str">
        <f>""</f>
        <v/>
      </c>
      <c r="F2554" t="str">
        <f>""</f>
        <v/>
      </c>
      <c r="G2554" t="str">
        <f>""</f>
        <v/>
      </c>
      <c r="I2554" t="str">
        <f t="shared" si="48"/>
        <v>BCBS PAYABLE</v>
      </c>
    </row>
    <row r="2555" spans="1:9" x14ac:dyDescent="0.25">
      <c r="A2555" t="str">
        <f>""</f>
        <v/>
      </c>
      <c r="F2555" t="str">
        <f>""</f>
        <v/>
      </c>
      <c r="G2555" t="str">
        <f>""</f>
        <v/>
      </c>
      <c r="I2555" t="str">
        <f t="shared" si="48"/>
        <v>BCBS PAYABLE</v>
      </c>
    </row>
    <row r="2556" spans="1:9" x14ac:dyDescent="0.25">
      <c r="A2556" t="str">
        <f>""</f>
        <v/>
      </c>
      <c r="F2556" t="str">
        <f>""</f>
        <v/>
      </c>
      <c r="G2556" t="str">
        <f>""</f>
        <v/>
      </c>
      <c r="I2556" t="str">
        <f t="shared" si="48"/>
        <v>BCBS PAYABLE</v>
      </c>
    </row>
    <row r="2557" spans="1:9" x14ac:dyDescent="0.25">
      <c r="A2557" t="str">
        <f>""</f>
        <v/>
      </c>
      <c r="F2557" t="str">
        <f>""</f>
        <v/>
      </c>
      <c r="G2557" t="str">
        <f>""</f>
        <v/>
      </c>
      <c r="I2557" t="str">
        <f t="shared" si="48"/>
        <v>BCBS PAYABLE</v>
      </c>
    </row>
    <row r="2558" spans="1:9" x14ac:dyDescent="0.25">
      <c r="A2558" t="str">
        <f>""</f>
        <v/>
      </c>
      <c r="F2558" t="str">
        <f>""</f>
        <v/>
      </c>
      <c r="G2558" t="str">
        <f>""</f>
        <v/>
      </c>
      <c r="I2558" t="str">
        <f t="shared" si="48"/>
        <v>BCBS PAYABLE</v>
      </c>
    </row>
    <row r="2559" spans="1:9" x14ac:dyDescent="0.25">
      <c r="A2559" t="str">
        <f>""</f>
        <v/>
      </c>
      <c r="F2559" t="str">
        <f>""</f>
        <v/>
      </c>
      <c r="G2559" t="str">
        <f>""</f>
        <v/>
      </c>
      <c r="I2559" t="str">
        <f t="shared" si="48"/>
        <v>BCBS PAYABLE</v>
      </c>
    </row>
    <row r="2560" spans="1:9" x14ac:dyDescent="0.25">
      <c r="A2560" t="str">
        <f>""</f>
        <v/>
      </c>
      <c r="F2560" t="str">
        <f>"2EC201804049989"</f>
        <v>2EC201804049989</v>
      </c>
      <c r="G2560" t="str">
        <f>"BCBS PAYABLE"</f>
        <v>BCBS PAYABLE</v>
      </c>
      <c r="H2560">
        <v>1795.24</v>
      </c>
      <c r="I2560" t="str">
        <f t="shared" si="48"/>
        <v>BCBS PAYABLE</v>
      </c>
    </row>
    <row r="2561" spans="1:9" x14ac:dyDescent="0.25">
      <c r="A2561" t="str">
        <f>""</f>
        <v/>
      </c>
      <c r="F2561" t="str">
        <f>""</f>
        <v/>
      </c>
      <c r="G2561" t="str">
        <f>""</f>
        <v/>
      </c>
      <c r="I2561" t="str">
        <f t="shared" si="48"/>
        <v>BCBS PAYABLE</v>
      </c>
    </row>
    <row r="2562" spans="1:9" x14ac:dyDescent="0.25">
      <c r="A2562" t="str">
        <f>""</f>
        <v/>
      </c>
      <c r="F2562" t="str">
        <f>"2EC201804180391"</f>
        <v>2EC201804180391</v>
      </c>
      <c r="G2562" t="str">
        <f>"BCBS PAYABLE"</f>
        <v>BCBS PAYABLE</v>
      </c>
      <c r="H2562">
        <v>45329.81</v>
      </c>
      <c r="I2562" t="str">
        <f t="shared" si="48"/>
        <v>BCBS PAYABLE</v>
      </c>
    </row>
    <row r="2563" spans="1:9" x14ac:dyDescent="0.25">
      <c r="A2563" t="str">
        <f>""</f>
        <v/>
      </c>
      <c r="F2563" t="str">
        <f>""</f>
        <v/>
      </c>
      <c r="G2563" t="str">
        <f>""</f>
        <v/>
      </c>
      <c r="I2563" t="str">
        <f t="shared" si="48"/>
        <v>BCBS PAYABLE</v>
      </c>
    </row>
    <row r="2564" spans="1:9" x14ac:dyDescent="0.25">
      <c r="A2564" t="str">
        <f>""</f>
        <v/>
      </c>
      <c r="F2564" t="str">
        <f>""</f>
        <v/>
      </c>
      <c r="G2564" t="str">
        <f>""</f>
        <v/>
      </c>
      <c r="I2564" t="str">
        <f t="shared" si="48"/>
        <v>BCBS PAYABLE</v>
      </c>
    </row>
    <row r="2565" spans="1:9" x14ac:dyDescent="0.25">
      <c r="A2565" t="str">
        <f>""</f>
        <v/>
      </c>
      <c r="F2565" t="str">
        <f>""</f>
        <v/>
      </c>
      <c r="G2565" t="str">
        <f>""</f>
        <v/>
      </c>
      <c r="I2565" t="str">
        <f t="shared" si="48"/>
        <v>BCBS PAYABLE</v>
      </c>
    </row>
    <row r="2566" spans="1:9" x14ac:dyDescent="0.25">
      <c r="A2566" t="str">
        <f>""</f>
        <v/>
      </c>
      <c r="F2566" t="str">
        <f>""</f>
        <v/>
      </c>
      <c r="G2566" t="str">
        <f>""</f>
        <v/>
      </c>
      <c r="I2566" t="str">
        <f t="shared" si="48"/>
        <v>BCBS PAYABLE</v>
      </c>
    </row>
    <row r="2567" spans="1:9" x14ac:dyDescent="0.25">
      <c r="A2567" t="str">
        <f>""</f>
        <v/>
      </c>
      <c r="F2567" t="str">
        <f>""</f>
        <v/>
      </c>
      <c r="G2567" t="str">
        <f>""</f>
        <v/>
      </c>
      <c r="I2567" t="str">
        <f t="shared" si="48"/>
        <v>BCBS PAYABLE</v>
      </c>
    </row>
    <row r="2568" spans="1:9" x14ac:dyDescent="0.25">
      <c r="A2568" t="str">
        <f>""</f>
        <v/>
      </c>
      <c r="F2568" t="str">
        <f>""</f>
        <v/>
      </c>
      <c r="G2568" t="str">
        <f>""</f>
        <v/>
      </c>
      <c r="I2568" t="str">
        <f t="shared" si="48"/>
        <v>BCBS PAYABLE</v>
      </c>
    </row>
    <row r="2569" spans="1:9" x14ac:dyDescent="0.25">
      <c r="A2569" t="str">
        <f>""</f>
        <v/>
      </c>
      <c r="F2569" t="str">
        <f>""</f>
        <v/>
      </c>
      <c r="G2569" t="str">
        <f>""</f>
        <v/>
      </c>
      <c r="I2569" t="str">
        <f t="shared" si="48"/>
        <v>BCBS PAYABLE</v>
      </c>
    </row>
    <row r="2570" spans="1:9" x14ac:dyDescent="0.25">
      <c r="A2570" t="str">
        <f>""</f>
        <v/>
      </c>
      <c r="F2570" t="str">
        <f>""</f>
        <v/>
      </c>
      <c r="G2570" t="str">
        <f>""</f>
        <v/>
      </c>
      <c r="I2570" t="str">
        <f t="shared" si="48"/>
        <v>BCBS PAYABLE</v>
      </c>
    </row>
    <row r="2571" spans="1:9" x14ac:dyDescent="0.25">
      <c r="A2571" t="str">
        <f>""</f>
        <v/>
      </c>
      <c r="F2571" t="str">
        <f>""</f>
        <v/>
      </c>
      <c r="G2571" t="str">
        <f>""</f>
        <v/>
      </c>
      <c r="I2571" t="str">
        <f t="shared" si="48"/>
        <v>BCBS PAYABLE</v>
      </c>
    </row>
    <row r="2572" spans="1:9" x14ac:dyDescent="0.25">
      <c r="A2572" t="str">
        <f>""</f>
        <v/>
      </c>
      <c r="F2572" t="str">
        <f>""</f>
        <v/>
      </c>
      <c r="G2572" t="str">
        <f>""</f>
        <v/>
      </c>
      <c r="I2572" t="str">
        <f t="shared" si="48"/>
        <v>BCBS PAYABLE</v>
      </c>
    </row>
    <row r="2573" spans="1:9" x14ac:dyDescent="0.25">
      <c r="A2573" t="str">
        <f>""</f>
        <v/>
      </c>
      <c r="F2573" t="str">
        <f>""</f>
        <v/>
      </c>
      <c r="G2573" t="str">
        <f>""</f>
        <v/>
      </c>
      <c r="I2573" t="str">
        <f t="shared" si="48"/>
        <v>BCBS PAYABLE</v>
      </c>
    </row>
    <row r="2574" spans="1:9" x14ac:dyDescent="0.25">
      <c r="A2574" t="str">
        <f>""</f>
        <v/>
      </c>
      <c r="F2574" t="str">
        <f>""</f>
        <v/>
      </c>
      <c r="G2574" t="str">
        <f>""</f>
        <v/>
      </c>
      <c r="I2574" t="str">
        <f t="shared" si="48"/>
        <v>BCBS PAYABLE</v>
      </c>
    </row>
    <row r="2575" spans="1:9" x14ac:dyDescent="0.25">
      <c r="A2575" t="str">
        <f>""</f>
        <v/>
      </c>
      <c r="F2575" t="str">
        <f>""</f>
        <v/>
      </c>
      <c r="G2575" t="str">
        <f>""</f>
        <v/>
      </c>
      <c r="I2575" t="str">
        <f t="shared" si="48"/>
        <v>BCBS PAYABLE</v>
      </c>
    </row>
    <row r="2576" spans="1:9" x14ac:dyDescent="0.25">
      <c r="A2576" t="str">
        <f>""</f>
        <v/>
      </c>
      <c r="F2576" t="str">
        <f>""</f>
        <v/>
      </c>
      <c r="G2576" t="str">
        <f>""</f>
        <v/>
      </c>
      <c r="I2576" t="str">
        <f t="shared" si="48"/>
        <v>BCBS PAYABLE</v>
      </c>
    </row>
    <row r="2577" spans="1:9" x14ac:dyDescent="0.25">
      <c r="A2577" t="str">
        <f>""</f>
        <v/>
      </c>
      <c r="F2577" t="str">
        <f>""</f>
        <v/>
      </c>
      <c r="G2577" t="str">
        <f>""</f>
        <v/>
      </c>
      <c r="I2577" t="str">
        <f t="shared" si="48"/>
        <v>BCBS PAYABLE</v>
      </c>
    </row>
    <row r="2578" spans="1:9" x14ac:dyDescent="0.25">
      <c r="A2578" t="str">
        <f>""</f>
        <v/>
      </c>
      <c r="F2578" t="str">
        <f>""</f>
        <v/>
      </c>
      <c r="G2578" t="str">
        <f>""</f>
        <v/>
      </c>
      <c r="I2578" t="str">
        <f t="shared" si="48"/>
        <v>BCBS PAYABLE</v>
      </c>
    </row>
    <row r="2579" spans="1:9" x14ac:dyDescent="0.25">
      <c r="A2579" t="str">
        <f>""</f>
        <v/>
      </c>
      <c r="F2579" t="str">
        <f>""</f>
        <v/>
      </c>
      <c r="G2579" t="str">
        <f>""</f>
        <v/>
      </c>
      <c r="I2579" t="str">
        <f t="shared" si="48"/>
        <v>BCBS PAYABLE</v>
      </c>
    </row>
    <row r="2580" spans="1:9" x14ac:dyDescent="0.25">
      <c r="A2580" t="str">
        <f>""</f>
        <v/>
      </c>
      <c r="F2580" t="str">
        <f>""</f>
        <v/>
      </c>
      <c r="G2580" t="str">
        <f>""</f>
        <v/>
      </c>
      <c r="I2580" t="str">
        <f t="shared" si="48"/>
        <v>BCBS PAYABLE</v>
      </c>
    </row>
    <row r="2581" spans="1:9" x14ac:dyDescent="0.25">
      <c r="A2581" t="str">
        <f>""</f>
        <v/>
      </c>
      <c r="F2581" t="str">
        <f>""</f>
        <v/>
      </c>
      <c r="G2581" t="str">
        <f>""</f>
        <v/>
      </c>
      <c r="I2581" t="str">
        <f t="shared" si="48"/>
        <v>BCBS PAYABLE</v>
      </c>
    </row>
    <row r="2582" spans="1:9" x14ac:dyDescent="0.25">
      <c r="A2582" t="str">
        <f>""</f>
        <v/>
      </c>
      <c r="F2582" t="str">
        <f>""</f>
        <v/>
      </c>
      <c r="G2582" t="str">
        <f>""</f>
        <v/>
      </c>
      <c r="I2582" t="str">
        <f t="shared" si="48"/>
        <v>BCBS PAYABLE</v>
      </c>
    </row>
    <row r="2583" spans="1:9" x14ac:dyDescent="0.25">
      <c r="A2583" t="str">
        <f>""</f>
        <v/>
      </c>
      <c r="F2583" t="str">
        <f>""</f>
        <v/>
      </c>
      <c r="G2583" t="str">
        <f>""</f>
        <v/>
      </c>
      <c r="I2583" t="str">
        <f t="shared" si="48"/>
        <v>BCBS PAYABLE</v>
      </c>
    </row>
    <row r="2584" spans="1:9" x14ac:dyDescent="0.25">
      <c r="A2584" t="str">
        <f>""</f>
        <v/>
      </c>
      <c r="F2584" t="str">
        <f>""</f>
        <v/>
      </c>
      <c r="G2584" t="str">
        <f>""</f>
        <v/>
      </c>
      <c r="I2584" t="str">
        <f t="shared" si="48"/>
        <v>BCBS PAYABLE</v>
      </c>
    </row>
    <row r="2585" spans="1:9" x14ac:dyDescent="0.25">
      <c r="A2585" t="str">
        <f>""</f>
        <v/>
      </c>
      <c r="F2585" t="str">
        <f>""</f>
        <v/>
      </c>
      <c r="G2585" t="str">
        <f>""</f>
        <v/>
      </c>
      <c r="I2585" t="str">
        <f t="shared" si="48"/>
        <v>BCBS PAYABLE</v>
      </c>
    </row>
    <row r="2586" spans="1:9" x14ac:dyDescent="0.25">
      <c r="A2586" t="str">
        <f>""</f>
        <v/>
      </c>
      <c r="F2586" t="str">
        <f>""</f>
        <v/>
      </c>
      <c r="G2586" t="str">
        <f>""</f>
        <v/>
      </c>
      <c r="I2586" t="str">
        <f t="shared" si="48"/>
        <v>BCBS PAYABLE</v>
      </c>
    </row>
    <row r="2587" spans="1:9" x14ac:dyDescent="0.25">
      <c r="A2587" t="str">
        <f>""</f>
        <v/>
      </c>
      <c r="F2587" t="str">
        <f>""</f>
        <v/>
      </c>
      <c r="G2587" t="str">
        <f>""</f>
        <v/>
      </c>
      <c r="I2587" t="str">
        <f t="shared" si="48"/>
        <v>BCBS PAYABLE</v>
      </c>
    </row>
    <row r="2588" spans="1:9" x14ac:dyDescent="0.25">
      <c r="A2588" t="str">
        <f>""</f>
        <v/>
      </c>
      <c r="F2588" t="str">
        <f>""</f>
        <v/>
      </c>
      <c r="G2588" t="str">
        <f>""</f>
        <v/>
      </c>
      <c r="I2588" t="str">
        <f t="shared" si="48"/>
        <v>BCBS PAYABLE</v>
      </c>
    </row>
    <row r="2589" spans="1:9" x14ac:dyDescent="0.25">
      <c r="A2589" t="str">
        <f>""</f>
        <v/>
      </c>
      <c r="F2589" t="str">
        <f>""</f>
        <v/>
      </c>
      <c r="G2589" t="str">
        <f>""</f>
        <v/>
      </c>
      <c r="I2589" t="str">
        <f t="shared" si="48"/>
        <v>BCBS PAYABLE</v>
      </c>
    </row>
    <row r="2590" spans="1:9" x14ac:dyDescent="0.25">
      <c r="A2590" t="str">
        <f>""</f>
        <v/>
      </c>
      <c r="F2590" t="str">
        <f>""</f>
        <v/>
      </c>
      <c r="G2590" t="str">
        <f>""</f>
        <v/>
      </c>
      <c r="I2590" t="str">
        <f t="shared" si="48"/>
        <v>BCBS PAYABLE</v>
      </c>
    </row>
    <row r="2591" spans="1:9" x14ac:dyDescent="0.25">
      <c r="A2591" t="str">
        <f>""</f>
        <v/>
      </c>
      <c r="F2591" t="str">
        <f>""</f>
        <v/>
      </c>
      <c r="G2591" t="str">
        <f>""</f>
        <v/>
      </c>
      <c r="I2591" t="str">
        <f t="shared" ref="I2591:I2654" si="49">"BCBS PAYABLE"</f>
        <v>BCBS PAYABLE</v>
      </c>
    </row>
    <row r="2592" spans="1:9" x14ac:dyDescent="0.25">
      <c r="A2592" t="str">
        <f>""</f>
        <v/>
      </c>
      <c r="F2592" t="str">
        <f>""</f>
        <v/>
      </c>
      <c r="G2592" t="str">
        <f>""</f>
        <v/>
      </c>
      <c r="I2592" t="str">
        <f t="shared" si="49"/>
        <v>BCBS PAYABLE</v>
      </c>
    </row>
    <row r="2593" spans="1:9" x14ac:dyDescent="0.25">
      <c r="A2593" t="str">
        <f>""</f>
        <v/>
      </c>
      <c r="F2593" t="str">
        <f>""</f>
        <v/>
      </c>
      <c r="G2593" t="str">
        <f>""</f>
        <v/>
      </c>
      <c r="I2593" t="str">
        <f t="shared" si="49"/>
        <v>BCBS PAYABLE</v>
      </c>
    </row>
    <row r="2594" spans="1:9" x14ac:dyDescent="0.25">
      <c r="A2594" t="str">
        <f>""</f>
        <v/>
      </c>
      <c r="F2594" t="str">
        <f>""</f>
        <v/>
      </c>
      <c r="G2594" t="str">
        <f>""</f>
        <v/>
      </c>
      <c r="I2594" t="str">
        <f t="shared" si="49"/>
        <v>BCBS PAYABLE</v>
      </c>
    </row>
    <row r="2595" spans="1:9" x14ac:dyDescent="0.25">
      <c r="A2595" t="str">
        <f>""</f>
        <v/>
      </c>
      <c r="F2595" t="str">
        <f>"2EC201804180392"</f>
        <v>2EC201804180392</v>
      </c>
      <c r="G2595" t="str">
        <f>"BCBS PAYABLE"</f>
        <v>BCBS PAYABLE</v>
      </c>
      <c r="H2595">
        <v>1795.24</v>
      </c>
      <c r="I2595" t="str">
        <f t="shared" si="49"/>
        <v>BCBS PAYABLE</v>
      </c>
    </row>
    <row r="2596" spans="1:9" x14ac:dyDescent="0.25">
      <c r="A2596" t="str">
        <f>""</f>
        <v/>
      </c>
      <c r="F2596" t="str">
        <f>""</f>
        <v/>
      </c>
      <c r="G2596" t="str">
        <f>""</f>
        <v/>
      </c>
      <c r="I2596" t="str">
        <f t="shared" si="49"/>
        <v>BCBS PAYABLE</v>
      </c>
    </row>
    <row r="2597" spans="1:9" x14ac:dyDescent="0.25">
      <c r="A2597" t="str">
        <f>""</f>
        <v/>
      </c>
      <c r="F2597" t="str">
        <f>"2EF201804049962"</f>
        <v>2EF201804049962</v>
      </c>
      <c r="G2597" t="str">
        <f>"BCBS PAYABLE"</f>
        <v>BCBS PAYABLE</v>
      </c>
      <c r="H2597">
        <v>1783.74</v>
      </c>
      <c r="I2597" t="str">
        <f t="shared" si="49"/>
        <v>BCBS PAYABLE</v>
      </c>
    </row>
    <row r="2598" spans="1:9" x14ac:dyDescent="0.25">
      <c r="A2598" t="str">
        <f>""</f>
        <v/>
      </c>
      <c r="F2598" t="str">
        <f>""</f>
        <v/>
      </c>
      <c r="G2598" t="str">
        <f>""</f>
        <v/>
      </c>
      <c r="I2598" t="str">
        <f t="shared" si="49"/>
        <v>BCBS PAYABLE</v>
      </c>
    </row>
    <row r="2599" spans="1:9" x14ac:dyDescent="0.25">
      <c r="A2599" t="str">
        <f>""</f>
        <v/>
      </c>
      <c r="F2599" t="str">
        <f>""</f>
        <v/>
      </c>
      <c r="G2599" t="str">
        <f>""</f>
        <v/>
      </c>
      <c r="I2599" t="str">
        <f t="shared" si="49"/>
        <v>BCBS PAYABLE</v>
      </c>
    </row>
    <row r="2600" spans="1:9" x14ac:dyDescent="0.25">
      <c r="A2600" t="str">
        <f>""</f>
        <v/>
      </c>
      <c r="F2600" t="str">
        <f>"2EF201804180391"</f>
        <v>2EF201804180391</v>
      </c>
      <c r="G2600" t="str">
        <f>"BCBS PAYABLE"</f>
        <v>BCBS PAYABLE</v>
      </c>
      <c r="H2600">
        <v>1783.74</v>
      </c>
      <c r="I2600" t="str">
        <f t="shared" si="49"/>
        <v>BCBS PAYABLE</v>
      </c>
    </row>
    <row r="2601" spans="1:9" x14ac:dyDescent="0.25">
      <c r="A2601" t="str">
        <f>""</f>
        <v/>
      </c>
      <c r="F2601" t="str">
        <f>""</f>
        <v/>
      </c>
      <c r="G2601" t="str">
        <f>""</f>
        <v/>
      </c>
      <c r="I2601" t="str">
        <f t="shared" si="49"/>
        <v>BCBS PAYABLE</v>
      </c>
    </row>
    <row r="2602" spans="1:9" x14ac:dyDescent="0.25">
      <c r="A2602" t="str">
        <f>""</f>
        <v/>
      </c>
      <c r="F2602" t="str">
        <f>""</f>
        <v/>
      </c>
      <c r="G2602" t="str">
        <f>""</f>
        <v/>
      </c>
      <c r="I2602" t="str">
        <f t="shared" si="49"/>
        <v>BCBS PAYABLE</v>
      </c>
    </row>
    <row r="2603" spans="1:9" x14ac:dyDescent="0.25">
      <c r="A2603" t="str">
        <f>""</f>
        <v/>
      </c>
      <c r="F2603" t="str">
        <f>"2EO201804049962"</f>
        <v>2EO201804049962</v>
      </c>
      <c r="G2603" t="str">
        <f>"BCBS PAYABLE"</f>
        <v>BCBS PAYABLE</v>
      </c>
      <c r="H2603">
        <v>91101.87</v>
      </c>
      <c r="I2603" t="str">
        <f t="shared" si="49"/>
        <v>BCBS PAYABLE</v>
      </c>
    </row>
    <row r="2604" spans="1:9" x14ac:dyDescent="0.25">
      <c r="A2604" t="str">
        <f>""</f>
        <v/>
      </c>
      <c r="F2604" t="str">
        <f>""</f>
        <v/>
      </c>
      <c r="G2604" t="str">
        <f>""</f>
        <v/>
      </c>
      <c r="I2604" t="str">
        <f t="shared" si="49"/>
        <v>BCBS PAYABLE</v>
      </c>
    </row>
    <row r="2605" spans="1:9" x14ac:dyDescent="0.25">
      <c r="A2605" t="str">
        <f>""</f>
        <v/>
      </c>
      <c r="F2605" t="str">
        <f>""</f>
        <v/>
      </c>
      <c r="G2605" t="str">
        <f>""</f>
        <v/>
      </c>
      <c r="I2605" t="str">
        <f t="shared" si="49"/>
        <v>BCBS PAYABLE</v>
      </c>
    </row>
    <row r="2606" spans="1:9" x14ac:dyDescent="0.25">
      <c r="A2606" t="str">
        <f>""</f>
        <v/>
      </c>
      <c r="F2606" t="str">
        <f>""</f>
        <v/>
      </c>
      <c r="G2606" t="str">
        <f>""</f>
        <v/>
      </c>
      <c r="I2606" t="str">
        <f t="shared" si="49"/>
        <v>BCBS PAYABLE</v>
      </c>
    </row>
    <row r="2607" spans="1:9" x14ac:dyDescent="0.25">
      <c r="A2607" t="str">
        <f>""</f>
        <v/>
      </c>
      <c r="F2607" t="str">
        <f>""</f>
        <v/>
      </c>
      <c r="G2607" t="str">
        <f>""</f>
        <v/>
      </c>
      <c r="I2607" t="str">
        <f t="shared" si="49"/>
        <v>BCBS PAYABLE</v>
      </c>
    </row>
    <row r="2608" spans="1:9" x14ac:dyDescent="0.25">
      <c r="A2608" t="str">
        <f>""</f>
        <v/>
      </c>
      <c r="F2608" t="str">
        <f>""</f>
        <v/>
      </c>
      <c r="G2608" t="str">
        <f>""</f>
        <v/>
      </c>
      <c r="I2608" t="str">
        <f t="shared" si="49"/>
        <v>BCBS PAYABLE</v>
      </c>
    </row>
    <row r="2609" spans="1:9" x14ac:dyDescent="0.25">
      <c r="A2609" t="str">
        <f>""</f>
        <v/>
      </c>
      <c r="F2609" t="str">
        <f>""</f>
        <v/>
      </c>
      <c r="G2609" t="str">
        <f>""</f>
        <v/>
      </c>
      <c r="I2609" t="str">
        <f t="shared" si="49"/>
        <v>BCBS PAYABLE</v>
      </c>
    </row>
    <row r="2610" spans="1:9" x14ac:dyDescent="0.25">
      <c r="A2610" t="str">
        <f>""</f>
        <v/>
      </c>
      <c r="F2610" t="str">
        <f>""</f>
        <v/>
      </c>
      <c r="G2610" t="str">
        <f>""</f>
        <v/>
      </c>
      <c r="I2610" t="str">
        <f t="shared" si="49"/>
        <v>BCBS PAYABLE</v>
      </c>
    </row>
    <row r="2611" spans="1:9" x14ac:dyDescent="0.25">
      <c r="A2611" t="str">
        <f>""</f>
        <v/>
      </c>
      <c r="F2611" t="str">
        <f>""</f>
        <v/>
      </c>
      <c r="G2611" t="str">
        <f>""</f>
        <v/>
      </c>
      <c r="I2611" t="str">
        <f t="shared" si="49"/>
        <v>BCBS PAYABLE</v>
      </c>
    </row>
    <row r="2612" spans="1:9" x14ac:dyDescent="0.25">
      <c r="A2612" t="str">
        <f>""</f>
        <v/>
      </c>
      <c r="F2612" t="str">
        <f>""</f>
        <v/>
      </c>
      <c r="G2612" t="str">
        <f>""</f>
        <v/>
      </c>
      <c r="I2612" t="str">
        <f t="shared" si="49"/>
        <v>BCBS PAYABLE</v>
      </c>
    </row>
    <row r="2613" spans="1:9" x14ac:dyDescent="0.25">
      <c r="A2613" t="str">
        <f>""</f>
        <v/>
      </c>
      <c r="F2613" t="str">
        <f>""</f>
        <v/>
      </c>
      <c r="G2613" t="str">
        <f>""</f>
        <v/>
      </c>
      <c r="I2613" t="str">
        <f t="shared" si="49"/>
        <v>BCBS PAYABLE</v>
      </c>
    </row>
    <row r="2614" spans="1:9" x14ac:dyDescent="0.25">
      <c r="A2614" t="str">
        <f>""</f>
        <v/>
      </c>
      <c r="F2614" t="str">
        <f>""</f>
        <v/>
      </c>
      <c r="G2614" t="str">
        <f>""</f>
        <v/>
      </c>
      <c r="I2614" t="str">
        <f t="shared" si="49"/>
        <v>BCBS PAYABLE</v>
      </c>
    </row>
    <row r="2615" spans="1:9" x14ac:dyDescent="0.25">
      <c r="A2615" t="str">
        <f>""</f>
        <v/>
      </c>
      <c r="F2615" t="str">
        <f>""</f>
        <v/>
      </c>
      <c r="G2615" t="str">
        <f>""</f>
        <v/>
      </c>
      <c r="I2615" t="str">
        <f t="shared" si="49"/>
        <v>BCBS PAYABLE</v>
      </c>
    </row>
    <row r="2616" spans="1:9" x14ac:dyDescent="0.25">
      <c r="A2616" t="str">
        <f>""</f>
        <v/>
      </c>
      <c r="F2616" t="str">
        <f>""</f>
        <v/>
      </c>
      <c r="G2616" t="str">
        <f>""</f>
        <v/>
      </c>
      <c r="I2616" t="str">
        <f t="shared" si="49"/>
        <v>BCBS PAYABLE</v>
      </c>
    </row>
    <row r="2617" spans="1:9" x14ac:dyDescent="0.25">
      <c r="A2617" t="str">
        <f>""</f>
        <v/>
      </c>
      <c r="F2617" t="str">
        <f>""</f>
        <v/>
      </c>
      <c r="G2617" t="str">
        <f>""</f>
        <v/>
      </c>
      <c r="I2617" t="str">
        <f t="shared" si="49"/>
        <v>BCBS PAYABLE</v>
      </c>
    </row>
    <row r="2618" spans="1:9" x14ac:dyDescent="0.25">
      <c r="A2618" t="str">
        <f>""</f>
        <v/>
      </c>
      <c r="F2618" t="str">
        <f>""</f>
        <v/>
      </c>
      <c r="G2618" t="str">
        <f>""</f>
        <v/>
      </c>
      <c r="I2618" t="str">
        <f t="shared" si="49"/>
        <v>BCBS PAYABLE</v>
      </c>
    </row>
    <row r="2619" spans="1:9" x14ac:dyDescent="0.25">
      <c r="A2619" t="str">
        <f>""</f>
        <v/>
      </c>
      <c r="F2619" t="str">
        <f>""</f>
        <v/>
      </c>
      <c r="G2619" t="str">
        <f>""</f>
        <v/>
      </c>
      <c r="I2619" t="str">
        <f t="shared" si="49"/>
        <v>BCBS PAYABLE</v>
      </c>
    </row>
    <row r="2620" spans="1:9" x14ac:dyDescent="0.25">
      <c r="A2620" t="str">
        <f>""</f>
        <v/>
      </c>
      <c r="F2620" t="str">
        <f>""</f>
        <v/>
      </c>
      <c r="G2620" t="str">
        <f>""</f>
        <v/>
      </c>
      <c r="I2620" t="str">
        <f t="shared" si="49"/>
        <v>BCBS PAYABLE</v>
      </c>
    </row>
    <row r="2621" spans="1:9" x14ac:dyDescent="0.25">
      <c r="A2621" t="str">
        <f>""</f>
        <v/>
      </c>
      <c r="F2621" t="str">
        <f>""</f>
        <v/>
      </c>
      <c r="G2621" t="str">
        <f>""</f>
        <v/>
      </c>
      <c r="I2621" t="str">
        <f t="shared" si="49"/>
        <v>BCBS PAYABLE</v>
      </c>
    </row>
    <row r="2622" spans="1:9" x14ac:dyDescent="0.25">
      <c r="A2622" t="str">
        <f>""</f>
        <v/>
      </c>
      <c r="F2622" t="str">
        <f>""</f>
        <v/>
      </c>
      <c r="G2622" t="str">
        <f>""</f>
        <v/>
      </c>
      <c r="I2622" t="str">
        <f t="shared" si="49"/>
        <v>BCBS PAYABLE</v>
      </c>
    </row>
    <row r="2623" spans="1:9" x14ac:dyDescent="0.25">
      <c r="A2623" t="str">
        <f>""</f>
        <v/>
      </c>
      <c r="F2623" t="str">
        <f>""</f>
        <v/>
      </c>
      <c r="G2623" t="str">
        <f>""</f>
        <v/>
      </c>
      <c r="I2623" t="str">
        <f t="shared" si="49"/>
        <v>BCBS PAYABLE</v>
      </c>
    </row>
    <row r="2624" spans="1:9" x14ac:dyDescent="0.25">
      <c r="A2624" t="str">
        <f>""</f>
        <v/>
      </c>
      <c r="F2624" t="str">
        <f>""</f>
        <v/>
      </c>
      <c r="G2624" t="str">
        <f>""</f>
        <v/>
      </c>
      <c r="I2624" t="str">
        <f t="shared" si="49"/>
        <v>BCBS PAYABLE</v>
      </c>
    </row>
    <row r="2625" spans="1:9" x14ac:dyDescent="0.25">
      <c r="A2625" t="str">
        <f>""</f>
        <v/>
      </c>
      <c r="F2625" t="str">
        <f>""</f>
        <v/>
      </c>
      <c r="G2625" t="str">
        <f>""</f>
        <v/>
      </c>
      <c r="I2625" t="str">
        <f t="shared" si="49"/>
        <v>BCBS PAYABLE</v>
      </c>
    </row>
    <row r="2626" spans="1:9" x14ac:dyDescent="0.25">
      <c r="A2626" t="str">
        <f>""</f>
        <v/>
      </c>
      <c r="F2626" t="str">
        <f>""</f>
        <v/>
      </c>
      <c r="G2626" t="str">
        <f>""</f>
        <v/>
      </c>
      <c r="I2626" t="str">
        <f t="shared" si="49"/>
        <v>BCBS PAYABLE</v>
      </c>
    </row>
    <row r="2627" spans="1:9" x14ac:dyDescent="0.25">
      <c r="A2627" t="str">
        <f>""</f>
        <v/>
      </c>
      <c r="F2627" t="str">
        <f>""</f>
        <v/>
      </c>
      <c r="G2627" t="str">
        <f>""</f>
        <v/>
      </c>
      <c r="I2627" t="str">
        <f t="shared" si="49"/>
        <v>BCBS PAYABLE</v>
      </c>
    </row>
    <row r="2628" spans="1:9" x14ac:dyDescent="0.25">
      <c r="A2628" t="str">
        <f>""</f>
        <v/>
      </c>
      <c r="F2628" t="str">
        <f>""</f>
        <v/>
      </c>
      <c r="G2628" t="str">
        <f>""</f>
        <v/>
      </c>
      <c r="I2628" t="str">
        <f t="shared" si="49"/>
        <v>BCBS PAYABLE</v>
      </c>
    </row>
    <row r="2629" spans="1:9" x14ac:dyDescent="0.25">
      <c r="A2629" t="str">
        <f>""</f>
        <v/>
      </c>
      <c r="F2629" t="str">
        <f>""</f>
        <v/>
      </c>
      <c r="G2629" t="str">
        <f>""</f>
        <v/>
      </c>
      <c r="I2629" t="str">
        <f t="shared" si="49"/>
        <v>BCBS PAYABLE</v>
      </c>
    </row>
    <row r="2630" spans="1:9" x14ac:dyDescent="0.25">
      <c r="A2630" t="str">
        <f>""</f>
        <v/>
      </c>
      <c r="F2630" t="str">
        <f>""</f>
        <v/>
      </c>
      <c r="G2630" t="str">
        <f>""</f>
        <v/>
      </c>
      <c r="I2630" t="str">
        <f t="shared" si="49"/>
        <v>BCBS PAYABLE</v>
      </c>
    </row>
    <row r="2631" spans="1:9" x14ac:dyDescent="0.25">
      <c r="A2631" t="str">
        <f>""</f>
        <v/>
      </c>
      <c r="F2631" t="str">
        <f>""</f>
        <v/>
      </c>
      <c r="G2631" t="str">
        <f>""</f>
        <v/>
      </c>
      <c r="I2631" t="str">
        <f t="shared" si="49"/>
        <v>BCBS PAYABLE</v>
      </c>
    </row>
    <row r="2632" spans="1:9" x14ac:dyDescent="0.25">
      <c r="A2632" t="str">
        <f>""</f>
        <v/>
      </c>
      <c r="F2632" t="str">
        <f>""</f>
        <v/>
      </c>
      <c r="G2632" t="str">
        <f>""</f>
        <v/>
      </c>
      <c r="I2632" t="str">
        <f t="shared" si="49"/>
        <v>BCBS PAYABLE</v>
      </c>
    </row>
    <row r="2633" spans="1:9" x14ac:dyDescent="0.25">
      <c r="A2633" t="str">
        <f>""</f>
        <v/>
      </c>
      <c r="F2633" t="str">
        <f>""</f>
        <v/>
      </c>
      <c r="G2633" t="str">
        <f>""</f>
        <v/>
      </c>
      <c r="I2633" t="str">
        <f t="shared" si="49"/>
        <v>BCBS PAYABLE</v>
      </c>
    </row>
    <row r="2634" spans="1:9" x14ac:dyDescent="0.25">
      <c r="A2634" t="str">
        <f>""</f>
        <v/>
      </c>
      <c r="F2634" t="str">
        <f>""</f>
        <v/>
      </c>
      <c r="G2634" t="str">
        <f>""</f>
        <v/>
      </c>
      <c r="I2634" t="str">
        <f t="shared" si="49"/>
        <v>BCBS PAYABLE</v>
      </c>
    </row>
    <row r="2635" spans="1:9" x14ac:dyDescent="0.25">
      <c r="A2635" t="str">
        <f>""</f>
        <v/>
      </c>
      <c r="F2635" t="str">
        <f>""</f>
        <v/>
      </c>
      <c r="G2635" t="str">
        <f>""</f>
        <v/>
      </c>
      <c r="I2635" t="str">
        <f t="shared" si="49"/>
        <v>BCBS PAYABLE</v>
      </c>
    </row>
    <row r="2636" spans="1:9" x14ac:dyDescent="0.25">
      <c r="A2636" t="str">
        <f>""</f>
        <v/>
      </c>
      <c r="F2636" t="str">
        <f>""</f>
        <v/>
      </c>
      <c r="G2636" t="str">
        <f>""</f>
        <v/>
      </c>
      <c r="I2636" t="str">
        <f t="shared" si="49"/>
        <v>BCBS PAYABLE</v>
      </c>
    </row>
    <row r="2637" spans="1:9" x14ac:dyDescent="0.25">
      <c r="A2637" t="str">
        <f>""</f>
        <v/>
      </c>
      <c r="F2637" t="str">
        <f>""</f>
        <v/>
      </c>
      <c r="G2637" t="str">
        <f>""</f>
        <v/>
      </c>
      <c r="I2637" t="str">
        <f t="shared" si="49"/>
        <v>BCBS PAYABLE</v>
      </c>
    </row>
    <row r="2638" spans="1:9" x14ac:dyDescent="0.25">
      <c r="A2638" t="str">
        <f>""</f>
        <v/>
      </c>
      <c r="F2638" t="str">
        <f>""</f>
        <v/>
      </c>
      <c r="G2638" t="str">
        <f>""</f>
        <v/>
      </c>
      <c r="I2638" t="str">
        <f t="shared" si="49"/>
        <v>BCBS PAYABLE</v>
      </c>
    </row>
    <row r="2639" spans="1:9" x14ac:dyDescent="0.25">
      <c r="A2639" t="str">
        <f>""</f>
        <v/>
      </c>
      <c r="F2639" t="str">
        <f>""</f>
        <v/>
      </c>
      <c r="G2639" t="str">
        <f>""</f>
        <v/>
      </c>
      <c r="I2639" t="str">
        <f t="shared" si="49"/>
        <v>BCBS PAYABLE</v>
      </c>
    </row>
    <row r="2640" spans="1:9" x14ac:dyDescent="0.25">
      <c r="A2640" t="str">
        <f>""</f>
        <v/>
      </c>
      <c r="F2640" t="str">
        <f>""</f>
        <v/>
      </c>
      <c r="G2640" t="str">
        <f>""</f>
        <v/>
      </c>
      <c r="I2640" t="str">
        <f t="shared" si="49"/>
        <v>BCBS PAYABLE</v>
      </c>
    </row>
    <row r="2641" spans="1:9" x14ac:dyDescent="0.25">
      <c r="A2641" t="str">
        <f>""</f>
        <v/>
      </c>
      <c r="F2641" t="str">
        <f>""</f>
        <v/>
      </c>
      <c r="G2641" t="str">
        <f>""</f>
        <v/>
      </c>
      <c r="I2641" t="str">
        <f t="shared" si="49"/>
        <v>BCBS PAYABLE</v>
      </c>
    </row>
    <row r="2642" spans="1:9" x14ac:dyDescent="0.25">
      <c r="A2642" t="str">
        <f>""</f>
        <v/>
      </c>
      <c r="F2642" t="str">
        <f>""</f>
        <v/>
      </c>
      <c r="G2642" t="str">
        <f>""</f>
        <v/>
      </c>
      <c r="I2642" t="str">
        <f t="shared" si="49"/>
        <v>BCBS PAYABLE</v>
      </c>
    </row>
    <row r="2643" spans="1:9" x14ac:dyDescent="0.25">
      <c r="A2643" t="str">
        <f>""</f>
        <v/>
      </c>
      <c r="F2643" t="str">
        <f>""</f>
        <v/>
      </c>
      <c r="G2643" t="str">
        <f>""</f>
        <v/>
      </c>
      <c r="I2643" t="str">
        <f t="shared" si="49"/>
        <v>BCBS PAYABLE</v>
      </c>
    </row>
    <row r="2644" spans="1:9" x14ac:dyDescent="0.25">
      <c r="A2644" t="str">
        <f>""</f>
        <v/>
      </c>
      <c r="F2644" t="str">
        <f>""</f>
        <v/>
      </c>
      <c r="G2644" t="str">
        <f>""</f>
        <v/>
      </c>
      <c r="I2644" t="str">
        <f t="shared" si="49"/>
        <v>BCBS PAYABLE</v>
      </c>
    </row>
    <row r="2645" spans="1:9" x14ac:dyDescent="0.25">
      <c r="A2645" t="str">
        <f>""</f>
        <v/>
      </c>
      <c r="F2645" t="str">
        <f>"2EO201804049989"</f>
        <v>2EO201804049989</v>
      </c>
      <c r="G2645" t="str">
        <f>"BCBS PAYABLE"</f>
        <v>BCBS PAYABLE</v>
      </c>
      <c r="H2645">
        <v>3591.83</v>
      </c>
      <c r="I2645" t="str">
        <f t="shared" si="49"/>
        <v>BCBS PAYABLE</v>
      </c>
    </row>
    <row r="2646" spans="1:9" x14ac:dyDescent="0.25">
      <c r="A2646" t="str">
        <f>""</f>
        <v/>
      </c>
      <c r="F2646" t="str">
        <f>"2EO201804180391"</f>
        <v>2EO201804180391</v>
      </c>
      <c r="G2646" t="str">
        <f>"BCBS PAYABLE"</f>
        <v>BCBS PAYABLE</v>
      </c>
      <c r="H2646">
        <v>90775.34</v>
      </c>
      <c r="I2646" t="str">
        <f t="shared" si="49"/>
        <v>BCBS PAYABLE</v>
      </c>
    </row>
    <row r="2647" spans="1:9" x14ac:dyDescent="0.25">
      <c r="A2647" t="str">
        <f>""</f>
        <v/>
      </c>
      <c r="F2647" t="str">
        <f>""</f>
        <v/>
      </c>
      <c r="G2647" t="str">
        <f>""</f>
        <v/>
      </c>
      <c r="I2647" t="str">
        <f t="shared" si="49"/>
        <v>BCBS PAYABLE</v>
      </c>
    </row>
    <row r="2648" spans="1:9" x14ac:dyDescent="0.25">
      <c r="A2648" t="str">
        <f>""</f>
        <v/>
      </c>
      <c r="F2648" t="str">
        <f>""</f>
        <v/>
      </c>
      <c r="G2648" t="str">
        <f>""</f>
        <v/>
      </c>
      <c r="I2648" t="str">
        <f t="shared" si="49"/>
        <v>BCBS PAYABLE</v>
      </c>
    </row>
    <row r="2649" spans="1:9" x14ac:dyDescent="0.25">
      <c r="A2649" t="str">
        <f>""</f>
        <v/>
      </c>
      <c r="F2649" t="str">
        <f>""</f>
        <v/>
      </c>
      <c r="G2649" t="str">
        <f>""</f>
        <v/>
      </c>
      <c r="I2649" t="str">
        <f t="shared" si="49"/>
        <v>BCBS PAYABLE</v>
      </c>
    </row>
    <row r="2650" spans="1:9" x14ac:dyDescent="0.25">
      <c r="A2650" t="str">
        <f>""</f>
        <v/>
      </c>
      <c r="F2650" t="str">
        <f>""</f>
        <v/>
      </c>
      <c r="G2650" t="str">
        <f>""</f>
        <v/>
      </c>
      <c r="I2650" t="str">
        <f t="shared" si="49"/>
        <v>BCBS PAYABLE</v>
      </c>
    </row>
    <row r="2651" spans="1:9" x14ac:dyDescent="0.25">
      <c r="A2651" t="str">
        <f>""</f>
        <v/>
      </c>
      <c r="F2651" t="str">
        <f>""</f>
        <v/>
      </c>
      <c r="G2651" t="str">
        <f>""</f>
        <v/>
      </c>
      <c r="I2651" t="str">
        <f t="shared" si="49"/>
        <v>BCBS PAYABLE</v>
      </c>
    </row>
    <row r="2652" spans="1:9" x14ac:dyDescent="0.25">
      <c r="A2652" t="str">
        <f>""</f>
        <v/>
      </c>
      <c r="F2652" t="str">
        <f>""</f>
        <v/>
      </c>
      <c r="G2652" t="str">
        <f>""</f>
        <v/>
      </c>
      <c r="I2652" t="str">
        <f t="shared" si="49"/>
        <v>BCBS PAYABLE</v>
      </c>
    </row>
    <row r="2653" spans="1:9" x14ac:dyDescent="0.25">
      <c r="A2653" t="str">
        <f>""</f>
        <v/>
      </c>
      <c r="F2653" t="str">
        <f>""</f>
        <v/>
      </c>
      <c r="G2653" t="str">
        <f>""</f>
        <v/>
      </c>
      <c r="I2653" t="str">
        <f t="shared" si="49"/>
        <v>BCBS PAYABLE</v>
      </c>
    </row>
    <row r="2654" spans="1:9" x14ac:dyDescent="0.25">
      <c r="A2654" t="str">
        <f>""</f>
        <v/>
      </c>
      <c r="F2654" t="str">
        <f>""</f>
        <v/>
      </c>
      <c r="G2654" t="str">
        <f>""</f>
        <v/>
      </c>
      <c r="I2654" t="str">
        <f t="shared" si="49"/>
        <v>BCBS PAYABLE</v>
      </c>
    </row>
    <row r="2655" spans="1:9" x14ac:dyDescent="0.25">
      <c r="A2655" t="str">
        <f>""</f>
        <v/>
      </c>
      <c r="F2655" t="str">
        <f>""</f>
        <v/>
      </c>
      <c r="G2655" t="str">
        <f>""</f>
        <v/>
      </c>
      <c r="I2655" t="str">
        <f t="shared" ref="I2655:I2718" si="50">"BCBS PAYABLE"</f>
        <v>BCBS PAYABLE</v>
      </c>
    </row>
    <row r="2656" spans="1:9" x14ac:dyDescent="0.25">
      <c r="A2656" t="str">
        <f>""</f>
        <v/>
      </c>
      <c r="F2656" t="str">
        <f>""</f>
        <v/>
      </c>
      <c r="G2656" t="str">
        <f>""</f>
        <v/>
      </c>
      <c r="I2656" t="str">
        <f t="shared" si="50"/>
        <v>BCBS PAYABLE</v>
      </c>
    </row>
    <row r="2657" spans="1:9" x14ac:dyDescent="0.25">
      <c r="A2657" t="str">
        <f>""</f>
        <v/>
      </c>
      <c r="F2657" t="str">
        <f>""</f>
        <v/>
      </c>
      <c r="G2657" t="str">
        <f>""</f>
        <v/>
      </c>
      <c r="I2657" t="str">
        <f t="shared" si="50"/>
        <v>BCBS PAYABLE</v>
      </c>
    </row>
    <row r="2658" spans="1:9" x14ac:dyDescent="0.25">
      <c r="A2658" t="str">
        <f>""</f>
        <v/>
      </c>
      <c r="F2658" t="str">
        <f>""</f>
        <v/>
      </c>
      <c r="G2658" t="str">
        <f>""</f>
        <v/>
      </c>
      <c r="I2658" t="str">
        <f t="shared" si="50"/>
        <v>BCBS PAYABLE</v>
      </c>
    </row>
    <row r="2659" spans="1:9" x14ac:dyDescent="0.25">
      <c r="A2659" t="str">
        <f>""</f>
        <v/>
      </c>
      <c r="F2659" t="str">
        <f>""</f>
        <v/>
      </c>
      <c r="G2659" t="str">
        <f>""</f>
        <v/>
      </c>
      <c r="I2659" t="str">
        <f t="shared" si="50"/>
        <v>BCBS PAYABLE</v>
      </c>
    </row>
    <row r="2660" spans="1:9" x14ac:dyDescent="0.25">
      <c r="A2660" t="str">
        <f>""</f>
        <v/>
      </c>
      <c r="F2660" t="str">
        <f>""</f>
        <v/>
      </c>
      <c r="G2660" t="str">
        <f>""</f>
        <v/>
      </c>
      <c r="I2660" t="str">
        <f t="shared" si="50"/>
        <v>BCBS PAYABLE</v>
      </c>
    </row>
    <row r="2661" spans="1:9" x14ac:dyDescent="0.25">
      <c r="A2661" t="str">
        <f>""</f>
        <v/>
      </c>
      <c r="F2661" t="str">
        <f>""</f>
        <v/>
      </c>
      <c r="G2661" t="str">
        <f>""</f>
        <v/>
      </c>
      <c r="I2661" t="str">
        <f t="shared" si="50"/>
        <v>BCBS PAYABLE</v>
      </c>
    </row>
    <row r="2662" spans="1:9" x14ac:dyDescent="0.25">
      <c r="A2662" t="str">
        <f>""</f>
        <v/>
      </c>
      <c r="F2662" t="str">
        <f>""</f>
        <v/>
      </c>
      <c r="G2662" t="str">
        <f>""</f>
        <v/>
      </c>
      <c r="I2662" t="str">
        <f t="shared" si="50"/>
        <v>BCBS PAYABLE</v>
      </c>
    </row>
    <row r="2663" spans="1:9" x14ac:dyDescent="0.25">
      <c r="A2663" t="str">
        <f>""</f>
        <v/>
      </c>
      <c r="F2663" t="str">
        <f>""</f>
        <v/>
      </c>
      <c r="G2663" t="str">
        <f>""</f>
        <v/>
      </c>
      <c r="I2663" t="str">
        <f t="shared" si="50"/>
        <v>BCBS PAYABLE</v>
      </c>
    </row>
    <row r="2664" spans="1:9" x14ac:dyDescent="0.25">
      <c r="A2664" t="str">
        <f>""</f>
        <v/>
      </c>
      <c r="F2664" t="str">
        <f>""</f>
        <v/>
      </c>
      <c r="G2664" t="str">
        <f>""</f>
        <v/>
      </c>
      <c r="I2664" t="str">
        <f t="shared" si="50"/>
        <v>BCBS PAYABLE</v>
      </c>
    </row>
    <row r="2665" spans="1:9" x14ac:dyDescent="0.25">
      <c r="A2665" t="str">
        <f>""</f>
        <v/>
      </c>
      <c r="F2665" t="str">
        <f>""</f>
        <v/>
      </c>
      <c r="G2665" t="str">
        <f>""</f>
        <v/>
      </c>
      <c r="I2665" t="str">
        <f t="shared" si="50"/>
        <v>BCBS PAYABLE</v>
      </c>
    </row>
    <row r="2666" spans="1:9" x14ac:dyDescent="0.25">
      <c r="A2666" t="str">
        <f>""</f>
        <v/>
      </c>
      <c r="F2666" t="str">
        <f>""</f>
        <v/>
      </c>
      <c r="G2666" t="str">
        <f>""</f>
        <v/>
      </c>
      <c r="I2666" t="str">
        <f t="shared" si="50"/>
        <v>BCBS PAYABLE</v>
      </c>
    </row>
    <row r="2667" spans="1:9" x14ac:dyDescent="0.25">
      <c r="A2667" t="str">
        <f>""</f>
        <v/>
      </c>
      <c r="F2667" t="str">
        <f>""</f>
        <v/>
      </c>
      <c r="G2667" t="str">
        <f>""</f>
        <v/>
      </c>
      <c r="I2667" t="str">
        <f t="shared" si="50"/>
        <v>BCBS PAYABLE</v>
      </c>
    </row>
    <row r="2668" spans="1:9" x14ac:dyDescent="0.25">
      <c r="A2668" t="str">
        <f>""</f>
        <v/>
      </c>
      <c r="F2668" t="str">
        <f>""</f>
        <v/>
      </c>
      <c r="G2668" t="str">
        <f>""</f>
        <v/>
      </c>
      <c r="I2668" t="str">
        <f t="shared" si="50"/>
        <v>BCBS PAYABLE</v>
      </c>
    </row>
    <row r="2669" spans="1:9" x14ac:dyDescent="0.25">
      <c r="A2669" t="str">
        <f>""</f>
        <v/>
      </c>
      <c r="F2669" t="str">
        <f>""</f>
        <v/>
      </c>
      <c r="G2669" t="str">
        <f>""</f>
        <v/>
      </c>
      <c r="I2669" t="str">
        <f t="shared" si="50"/>
        <v>BCBS PAYABLE</v>
      </c>
    </row>
    <row r="2670" spans="1:9" x14ac:dyDescent="0.25">
      <c r="A2670" t="str">
        <f>""</f>
        <v/>
      </c>
      <c r="F2670" t="str">
        <f>""</f>
        <v/>
      </c>
      <c r="G2670" t="str">
        <f>""</f>
        <v/>
      </c>
      <c r="I2670" t="str">
        <f t="shared" si="50"/>
        <v>BCBS PAYABLE</v>
      </c>
    </row>
    <row r="2671" spans="1:9" x14ac:dyDescent="0.25">
      <c r="A2671" t="str">
        <f>""</f>
        <v/>
      </c>
      <c r="F2671" t="str">
        <f>""</f>
        <v/>
      </c>
      <c r="G2671" t="str">
        <f>""</f>
        <v/>
      </c>
      <c r="I2671" t="str">
        <f t="shared" si="50"/>
        <v>BCBS PAYABLE</v>
      </c>
    </row>
    <row r="2672" spans="1:9" x14ac:dyDescent="0.25">
      <c r="A2672" t="str">
        <f>""</f>
        <v/>
      </c>
      <c r="F2672" t="str">
        <f>""</f>
        <v/>
      </c>
      <c r="G2672" t="str">
        <f>""</f>
        <v/>
      </c>
      <c r="I2672" t="str">
        <f t="shared" si="50"/>
        <v>BCBS PAYABLE</v>
      </c>
    </row>
    <row r="2673" spans="1:9" x14ac:dyDescent="0.25">
      <c r="A2673" t="str">
        <f>""</f>
        <v/>
      </c>
      <c r="F2673" t="str">
        <f>""</f>
        <v/>
      </c>
      <c r="G2673" t="str">
        <f>""</f>
        <v/>
      </c>
      <c r="I2673" t="str">
        <f t="shared" si="50"/>
        <v>BCBS PAYABLE</v>
      </c>
    </row>
    <row r="2674" spans="1:9" x14ac:dyDescent="0.25">
      <c r="A2674" t="str">
        <f>""</f>
        <v/>
      </c>
      <c r="F2674" t="str">
        <f>""</f>
        <v/>
      </c>
      <c r="G2674" t="str">
        <f>""</f>
        <v/>
      </c>
      <c r="I2674" t="str">
        <f t="shared" si="50"/>
        <v>BCBS PAYABLE</v>
      </c>
    </row>
    <row r="2675" spans="1:9" x14ac:dyDescent="0.25">
      <c r="A2675" t="str">
        <f>""</f>
        <v/>
      </c>
      <c r="F2675" t="str">
        <f>""</f>
        <v/>
      </c>
      <c r="G2675" t="str">
        <f>""</f>
        <v/>
      </c>
      <c r="I2675" t="str">
        <f t="shared" si="50"/>
        <v>BCBS PAYABLE</v>
      </c>
    </row>
    <row r="2676" spans="1:9" x14ac:dyDescent="0.25">
      <c r="A2676" t="str">
        <f>""</f>
        <v/>
      </c>
      <c r="F2676" t="str">
        <f>""</f>
        <v/>
      </c>
      <c r="G2676" t="str">
        <f>""</f>
        <v/>
      </c>
      <c r="I2676" t="str">
        <f t="shared" si="50"/>
        <v>BCBS PAYABLE</v>
      </c>
    </row>
    <row r="2677" spans="1:9" x14ac:dyDescent="0.25">
      <c r="A2677" t="str">
        <f>""</f>
        <v/>
      </c>
      <c r="F2677" t="str">
        <f>""</f>
        <v/>
      </c>
      <c r="G2677" t="str">
        <f>""</f>
        <v/>
      </c>
      <c r="I2677" t="str">
        <f t="shared" si="50"/>
        <v>BCBS PAYABLE</v>
      </c>
    </row>
    <row r="2678" spans="1:9" x14ac:dyDescent="0.25">
      <c r="A2678" t="str">
        <f>""</f>
        <v/>
      </c>
      <c r="F2678" t="str">
        <f>""</f>
        <v/>
      </c>
      <c r="G2678" t="str">
        <f>""</f>
        <v/>
      </c>
      <c r="I2678" t="str">
        <f t="shared" si="50"/>
        <v>BCBS PAYABLE</v>
      </c>
    </row>
    <row r="2679" spans="1:9" x14ac:dyDescent="0.25">
      <c r="A2679" t="str">
        <f>""</f>
        <v/>
      </c>
      <c r="F2679" t="str">
        <f>""</f>
        <v/>
      </c>
      <c r="G2679" t="str">
        <f>""</f>
        <v/>
      </c>
      <c r="I2679" t="str">
        <f t="shared" si="50"/>
        <v>BCBS PAYABLE</v>
      </c>
    </row>
    <row r="2680" spans="1:9" x14ac:dyDescent="0.25">
      <c r="A2680" t="str">
        <f>""</f>
        <v/>
      </c>
      <c r="F2680" t="str">
        <f>""</f>
        <v/>
      </c>
      <c r="G2680" t="str">
        <f>""</f>
        <v/>
      </c>
      <c r="I2680" t="str">
        <f t="shared" si="50"/>
        <v>BCBS PAYABLE</v>
      </c>
    </row>
    <row r="2681" spans="1:9" x14ac:dyDescent="0.25">
      <c r="A2681" t="str">
        <f>""</f>
        <v/>
      </c>
      <c r="F2681" t="str">
        <f>""</f>
        <v/>
      </c>
      <c r="G2681" t="str">
        <f>""</f>
        <v/>
      </c>
      <c r="I2681" t="str">
        <f t="shared" si="50"/>
        <v>BCBS PAYABLE</v>
      </c>
    </row>
    <row r="2682" spans="1:9" x14ac:dyDescent="0.25">
      <c r="A2682" t="str">
        <f>""</f>
        <v/>
      </c>
      <c r="F2682" t="str">
        <f>""</f>
        <v/>
      </c>
      <c r="G2682" t="str">
        <f>""</f>
        <v/>
      </c>
      <c r="I2682" t="str">
        <f t="shared" si="50"/>
        <v>BCBS PAYABLE</v>
      </c>
    </row>
    <row r="2683" spans="1:9" x14ac:dyDescent="0.25">
      <c r="A2683" t="str">
        <f>""</f>
        <v/>
      </c>
      <c r="F2683" t="str">
        <f>""</f>
        <v/>
      </c>
      <c r="G2683" t="str">
        <f>""</f>
        <v/>
      </c>
      <c r="I2683" t="str">
        <f t="shared" si="50"/>
        <v>BCBS PAYABLE</v>
      </c>
    </row>
    <row r="2684" spans="1:9" x14ac:dyDescent="0.25">
      <c r="A2684" t="str">
        <f>""</f>
        <v/>
      </c>
      <c r="F2684" t="str">
        <f>""</f>
        <v/>
      </c>
      <c r="G2684" t="str">
        <f>""</f>
        <v/>
      </c>
      <c r="I2684" t="str">
        <f t="shared" si="50"/>
        <v>BCBS PAYABLE</v>
      </c>
    </row>
    <row r="2685" spans="1:9" x14ac:dyDescent="0.25">
      <c r="A2685" t="str">
        <f>""</f>
        <v/>
      </c>
      <c r="F2685" t="str">
        <f>""</f>
        <v/>
      </c>
      <c r="G2685" t="str">
        <f>""</f>
        <v/>
      </c>
      <c r="I2685" t="str">
        <f t="shared" si="50"/>
        <v>BCBS PAYABLE</v>
      </c>
    </row>
    <row r="2686" spans="1:9" x14ac:dyDescent="0.25">
      <c r="A2686" t="str">
        <f>""</f>
        <v/>
      </c>
      <c r="F2686" t="str">
        <f>""</f>
        <v/>
      </c>
      <c r="G2686" t="str">
        <f>""</f>
        <v/>
      </c>
      <c r="I2686" t="str">
        <f t="shared" si="50"/>
        <v>BCBS PAYABLE</v>
      </c>
    </row>
    <row r="2687" spans="1:9" x14ac:dyDescent="0.25">
      <c r="A2687" t="str">
        <f>""</f>
        <v/>
      </c>
      <c r="F2687" t="str">
        <f>""</f>
        <v/>
      </c>
      <c r="G2687" t="str">
        <f>""</f>
        <v/>
      </c>
      <c r="I2687" t="str">
        <f t="shared" si="50"/>
        <v>BCBS PAYABLE</v>
      </c>
    </row>
    <row r="2688" spans="1:9" x14ac:dyDescent="0.25">
      <c r="A2688" t="str">
        <f>""</f>
        <v/>
      </c>
      <c r="F2688" t="str">
        <f>""</f>
        <v/>
      </c>
      <c r="G2688" t="str">
        <f>""</f>
        <v/>
      </c>
      <c r="I2688" t="str">
        <f t="shared" si="50"/>
        <v>BCBS PAYABLE</v>
      </c>
    </row>
    <row r="2689" spans="1:9" x14ac:dyDescent="0.25">
      <c r="A2689" t="str">
        <f>""</f>
        <v/>
      </c>
      <c r="F2689" t="str">
        <f>"2EO201804180392"</f>
        <v>2EO201804180392</v>
      </c>
      <c r="G2689" t="str">
        <f>"BCBS PAYABLE"</f>
        <v>BCBS PAYABLE</v>
      </c>
      <c r="H2689">
        <v>3591.83</v>
      </c>
      <c r="I2689" t="str">
        <f t="shared" si="50"/>
        <v>BCBS PAYABLE</v>
      </c>
    </row>
    <row r="2690" spans="1:9" x14ac:dyDescent="0.25">
      <c r="A2690" t="str">
        <f>""</f>
        <v/>
      </c>
      <c r="F2690" t="str">
        <f>"2ES201804049962"</f>
        <v>2ES201804049962</v>
      </c>
      <c r="G2690" t="str">
        <f>"BCBS PAYABLE"</f>
        <v>BCBS PAYABLE</v>
      </c>
      <c r="H2690">
        <v>17140.86</v>
      </c>
      <c r="I2690" t="str">
        <f t="shared" si="50"/>
        <v>BCBS PAYABLE</v>
      </c>
    </row>
    <row r="2691" spans="1:9" x14ac:dyDescent="0.25">
      <c r="A2691" t="str">
        <f>""</f>
        <v/>
      </c>
      <c r="F2691" t="str">
        <f>""</f>
        <v/>
      </c>
      <c r="G2691" t="str">
        <f>""</f>
        <v/>
      </c>
      <c r="I2691" t="str">
        <f t="shared" si="50"/>
        <v>BCBS PAYABLE</v>
      </c>
    </row>
    <row r="2692" spans="1:9" x14ac:dyDescent="0.25">
      <c r="A2692" t="str">
        <f>""</f>
        <v/>
      </c>
      <c r="F2692" t="str">
        <f>""</f>
        <v/>
      </c>
      <c r="G2692" t="str">
        <f>""</f>
        <v/>
      </c>
      <c r="I2692" t="str">
        <f t="shared" si="50"/>
        <v>BCBS PAYABLE</v>
      </c>
    </row>
    <row r="2693" spans="1:9" x14ac:dyDescent="0.25">
      <c r="A2693" t="str">
        <f>""</f>
        <v/>
      </c>
      <c r="F2693" t="str">
        <f>""</f>
        <v/>
      </c>
      <c r="G2693" t="str">
        <f>""</f>
        <v/>
      </c>
      <c r="I2693" t="str">
        <f t="shared" si="50"/>
        <v>BCBS PAYABLE</v>
      </c>
    </row>
    <row r="2694" spans="1:9" x14ac:dyDescent="0.25">
      <c r="A2694" t="str">
        <f>""</f>
        <v/>
      </c>
      <c r="F2694" t="str">
        <f>""</f>
        <v/>
      </c>
      <c r="G2694" t="str">
        <f>""</f>
        <v/>
      </c>
      <c r="I2694" t="str">
        <f t="shared" si="50"/>
        <v>BCBS PAYABLE</v>
      </c>
    </row>
    <row r="2695" spans="1:9" x14ac:dyDescent="0.25">
      <c r="A2695" t="str">
        <f>""</f>
        <v/>
      </c>
      <c r="F2695" t="str">
        <f>""</f>
        <v/>
      </c>
      <c r="G2695" t="str">
        <f>""</f>
        <v/>
      </c>
      <c r="I2695" t="str">
        <f t="shared" si="50"/>
        <v>BCBS PAYABLE</v>
      </c>
    </row>
    <row r="2696" spans="1:9" x14ac:dyDescent="0.25">
      <c r="A2696" t="str">
        <f>""</f>
        <v/>
      </c>
      <c r="F2696" t="str">
        <f>""</f>
        <v/>
      </c>
      <c r="G2696" t="str">
        <f>""</f>
        <v/>
      </c>
      <c r="I2696" t="str">
        <f t="shared" si="50"/>
        <v>BCBS PAYABLE</v>
      </c>
    </row>
    <row r="2697" spans="1:9" x14ac:dyDescent="0.25">
      <c r="A2697" t="str">
        <f>""</f>
        <v/>
      </c>
      <c r="F2697" t="str">
        <f>""</f>
        <v/>
      </c>
      <c r="G2697" t="str">
        <f>""</f>
        <v/>
      </c>
      <c r="I2697" t="str">
        <f t="shared" si="50"/>
        <v>BCBS PAYABLE</v>
      </c>
    </row>
    <row r="2698" spans="1:9" x14ac:dyDescent="0.25">
      <c r="A2698" t="str">
        <f>""</f>
        <v/>
      </c>
      <c r="F2698" t="str">
        <f>""</f>
        <v/>
      </c>
      <c r="G2698" t="str">
        <f>""</f>
        <v/>
      </c>
      <c r="I2698" t="str">
        <f t="shared" si="50"/>
        <v>BCBS PAYABLE</v>
      </c>
    </row>
    <row r="2699" spans="1:9" x14ac:dyDescent="0.25">
      <c r="A2699" t="str">
        <f>""</f>
        <v/>
      </c>
      <c r="F2699" t="str">
        <f>""</f>
        <v/>
      </c>
      <c r="G2699" t="str">
        <f>""</f>
        <v/>
      </c>
      <c r="I2699" t="str">
        <f t="shared" si="50"/>
        <v>BCBS PAYABLE</v>
      </c>
    </row>
    <row r="2700" spans="1:9" x14ac:dyDescent="0.25">
      <c r="A2700" t="str">
        <f>""</f>
        <v/>
      </c>
      <c r="F2700" t="str">
        <f>""</f>
        <v/>
      </c>
      <c r="G2700" t="str">
        <f>""</f>
        <v/>
      </c>
      <c r="I2700" t="str">
        <f t="shared" si="50"/>
        <v>BCBS PAYABLE</v>
      </c>
    </row>
    <row r="2701" spans="1:9" x14ac:dyDescent="0.25">
      <c r="A2701" t="str">
        <f>""</f>
        <v/>
      </c>
      <c r="F2701" t="str">
        <f>""</f>
        <v/>
      </c>
      <c r="G2701" t="str">
        <f>""</f>
        <v/>
      </c>
      <c r="I2701" t="str">
        <f t="shared" si="50"/>
        <v>BCBS PAYABLE</v>
      </c>
    </row>
    <row r="2702" spans="1:9" x14ac:dyDescent="0.25">
      <c r="A2702" t="str">
        <f>""</f>
        <v/>
      </c>
      <c r="F2702" t="str">
        <f>""</f>
        <v/>
      </c>
      <c r="G2702" t="str">
        <f>""</f>
        <v/>
      </c>
      <c r="I2702" t="str">
        <f t="shared" si="50"/>
        <v>BCBS PAYABLE</v>
      </c>
    </row>
    <row r="2703" spans="1:9" x14ac:dyDescent="0.25">
      <c r="A2703" t="str">
        <f>""</f>
        <v/>
      </c>
      <c r="F2703" t="str">
        <f>""</f>
        <v/>
      </c>
      <c r="G2703" t="str">
        <f>""</f>
        <v/>
      </c>
      <c r="I2703" t="str">
        <f t="shared" si="50"/>
        <v>BCBS PAYABLE</v>
      </c>
    </row>
    <row r="2704" spans="1:9" x14ac:dyDescent="0.25">
      <c r="A2704" t="str">
        <f>""</f>
        <v/>
      </c>
      <c r="F2704" t="str">
        <f>""</f>
        <v/>
      </c>
      <c r="G2704" t="str">
        <f>""</f>
        <v/>
      </c>
      <c r="I2704" t="str">
        <f t="shared" si="50"/>
        <v>BCBS PAYABLE</v>
      </c>
    </row>
    <row r="2705" spans="1:9" x14ac:dyDescent="0.25">
      <c r="A2705" t="str">
        <f>""</f>
        <v/>
      </c>
      <c r="F2705" t="str">
        <f>""</f>
        <v/>
      </c>
      <c r="G2705" t="str">
        <f>""</f>
        <v/>
      </c>
      <c r="I2705" t="str">
        <f t="shared" si="50"/>
        <v>BCBS PAYABLE</v>
      </c>
    </row>
    <row r="2706" spans="1:9" x14ac:dyDescent="0.25">
      <c r="A2706" t="str">
        <f>""</f>
        <v/>
      </c>
      <c r="F2706" t="str">
        <f>""</f>
        <v/>
      </c>
      <c r="G2706" t="str">
        <f>""</f>
        <v/>
      </c>
      <c r="I2706" t="str">
        <f t="shared" si="50"/>
        <v>BCBS PAYABLE</v>
      </c>
    </row>
    <row r="2707" spans="1:9" x14ac:dyDescent="0.25">
      <c r="A2707" t="str">
        <f>""</f>
        <v/>
      </c>
      <c r="F2707" t="str">
        <f>""</f>
        <v/>
      </c>
      <c r="G2707" t="str">
        <f>""</f>
        <v/>
      </c>
      <c r="I2707" t="str">
        <f t="shared" si="50"/>
        <v>BCBS PAYABLE</v>
      </c>
    </row>
    <row r="2708" spans="1:9" x14ac:dyDescent="0.25">
      <c r="A2708" t="str">
        <f>""</f>
        <v/>
      </c>
      <c r="F2708" t="str">
        <f>"2ES201804049989"</f>
        <v>2ES201804049989</v>
      </c>
      <c r="G2708" t="str">
        <f>"BCBS PAYABLE"</f>
        <v>BCBS PAYABLE</v>
      </c>
      <c r="H2708">
        <v>519.41999999999996</v>
      </c>
      <c r="I2708" t="str">
        <f t="shared" si="50"/>
        <v>BCBS PAYABLE</v>
      </c>
    </row>
    <row r="2709" spans="1:9" x14ac:dyDescent="0.25">
      <c r="A2709" t="str">
        <f>""</f>
        <v/>
      </c>
      <c r="F2709" t="str">
        <f>""</f>
        <v/>
      </c>
      <c r="G2709" t="str">
        <f>""</f>
        <v/>
      </c>
      <c r="I2709" t="str">
        <f t="shared" si="50"/>
        <v>BCBS PAYABLE</v>
      </c>
    </row>
    <row r="2710" spans="1:9" x14ac:dyDescent="0.25">
      <c r="A2710" t="str">
        <f>""</f>
        <v/>
      </c>
      <c r="F2710" t="str">
        <f>"2ES201804180391"</f>
        <v>2ES201804180391</v>
      </c>
      <c r="G2710" t="str">
        <f>"BCBS PAYABLE"</f>
        <v>BCBS PAYABLE</v>
      </c>
      <c r="H2710">
        <v>17853.169999999998</v>
      </c>
      <c r="I2710" t="str">
        <f t="shared" si="50"/>
        <v>BCBS PAYABLE</v>
      </c>
    </row>
    <row r="2711" spans="1:9" x14ac:dyDescent="0.25">
      <c r="A2711" t="str">
        <f>""</f>
        <v/>
      </c>
      <c r="F2711" t="str">
        <f>""</f>
        <v/>
      </c>
      <c r="G2711" t="str">
        <f>""</f>
        <v/>
      </c>
      <c r="I2711" t="str">
        <f t="shared" si="50"/>
        <v>BCBS PAYABLE</v>
      </c>
    </row>
    <row r="2712" spans="1:9" x14ac:dyDescent="0.25">
      <c r="A2712" t="str">
        <f>""</f>
        <v/>
      </c>
      <c r="F2712" t="str">
        <f>""</f>
        <v/>
      </c>
      <c r="G2712" t="str">
        <f>""</f>
        <v/>
      </c>
      <c r="I2712" t="str">
        <f t="shared" si="50"/>
        <v>BCBS PAYABLE</v>
      </c>
    </row>
    <row r="2713" spans="1:9" x14ac:dyDescent="0.25">
      <c r="A2713" t="str">
        <f>""</f>
        <v/>
      </c>
      <c r="F2713" t="str">
        <f>""</f>
        <v/>
      </c>
      <c r="G2713" t="str">
        <f>""</f>
        <v/>
      </c>
      <c r="I2713" t="str">
        <f t="shared" si="50"/>
        <v>BCBS PAYABLE</v>
      </c>
    </row>
    <row r="2714" spans="1:9" x14ac:dyDescent="0.25">
      <c r="A2714" t="str">
        <f>""</f>
        <v/>
      </c>
      <c r="F2714" t="str">
        <f>""</f>
        <v/>
      </c>
      <c r="G2714" t="str">
        <f>""</f>
        <v/>
      </c>
      <c r="I2714" t="str">
        <f t="shared" si="50"/>
        <v>BCBS PAYABLE</v>
      </c>
    </row>
    <row r="2715" spans="1:9" x14ac:dyDescent="0.25">
      <c r="A2715" t="str">
        <f>""</f>
        <v/>
      </c>
      <c r="F2715" t="str">
        <f>""</f>
        <v/>
      </c>
      <c r="G2715" t="str">
        <f>""</f>
        <v/>
      </c>
      <c r="I2715" t="str">
        <f t="shared" si="50"/>
        <v>BCBS PAYABLE</v>
      </c>
    </row>
    <row r="2716" spans="1:9" x14ac:dyDescent="0.25">
      <c r="A2716" t="str">
        <f>""</f>
        <v/>
      </c>
      <c r="F2716" t="str">
        <f>""</f>
        <v/>
      </c>
      <c r="G2716" t="str">
        <f>""</f>
        <v/>
      </c>
      <c r="I2716" t="str">
        <f t="shared" si="50"/>
        <v>BCBS PAYABLE</v>
      </c>
    </row>
    <row r="2717" spans="1:9" x14ac:dyDescent="0.25">
      <c r="A2717" t="str">
        <f>""</f>
        <v/>
      </c>
      <c r="F2717" t="str">
        <f>""</f>
        <v/>
      </c>
      <c r="G2717" t="str">
        <f>""</f>
        <v/>
      </c>
      <c r="I2717" t="str">
        <f t="shared" si="50"/>
        <v>BCBS PAYABLE</v>
      </c>
    </row>
    <row r="2718" spans="1:9" x14ac:dyDescent="0.25">
      <c r="A2718" t="str">
        <f>""</f>
        <v/>
      </c>
      <c r="F2718" t="str">
        <f>""</f>
        <v/>
      </c>
      <c r="G2718" t="str">
        <f>""</f>
        <v/>
      </c>
      <c r="I2718" t="str">
        <f t="shared" si="50"/>
        <v>BCBS PAYABLE</v>
      </c>
    </row>
    <row r="2719" spans="1:9" x14ac:dyDescent="0.25">
      <c r="A2719" t="str">
        <f>""</f>
        <v/>
      </c>
      <c r="F2719" t="str">
        <f>""</f>
        <v/>
      </c>
      <c r="G2719" t="str">
        <f>""</f>
        <v/>
      </c>
      <c r="I2719" t="str">
        <f t="shared" ref="I2719:I2730" si="51">"BCBS PAYABLE"</f>
        <v>BCBS PAYABLE</v>
      </c>
    </row>
    <row r="2720" spans="1:9" x14ac:dyDescent="0.25">
      <c r="A2720" t="str">
        <f>""</f>
        <v/>
      </c>
      <c r="F2720" t="str">
        <f>""</f>
        <v/>
      </c>
      <c r="G2720" t="str">
        <f>""</f>
        <v/>
      </c>
      <c r="I2720" t="str">
        <f t="shared" si="51"/>
        <v>BCBS PAYABLE</v>
      </c>
    </row>
    <row r="2721" spans="1:9" x14ac:dyDescent="0.25">
      <c r="A2721" t="str">
        <f>""</f>
        <v/>
      </c>
      <c r="F2721" t="str">
        <f>""</f>
        <v/>
      </c>
      <c r="G2721" t="str">
        <f>""</f>
        <v/>
      </c>
      <c r="I2721" t="str">
        <f t="shared" si="51"/>
        <v>BCBS PAYABLE</v>
      </c>
    </row>
    <row r="2722" spans="1:9" x14ac:dyDescent="0.25">
      <c r="A2722" t="str">
        <f>""</f>
        <v/>
      </c>
      <c r="F2722" t="str">
        <f>""</f>
        <v/>
      </c>
      <c r="G2722" t="str">
        <f>""</f>
        <v/>
      </c>
      <c r="I2722" t="str">
        <f t="shared" si="51"/>
        <v>BCBS PAYABLE</v>
      </c>
    </row>
    <row r="2723" spans="1:9" x14ac:dyDescent="0.25">
      <c r="A2723" t="str">
        <f>""</f>
        <v/>
      </c>
      <c r="F2723" t="str">
        <f>""</f>
        <v/>
      </c>
      <c r="G2723" t="str">
        <f>""</f>
        <v/>
      </c>
      <c r="I2723" t="str">
        <f t="shared" si="51"/>
        <v>BCBS PAYABLE</v>
      </c>
    </row>
    <row r="2724" spans="1:9" x14ac:dyDescent="0.25">
      <c r="A2724" t="str">
        <f>""</f>
        <v/>
      </c>
      <c r="F2724" t="str">
        <f>""</f>
        <v/>
      </c>
      <c r="G2724" t="str">
        <f>""</f>
        <v/>
      </c>
      <c r="I2724" t="str">
        <f t="shared" si="51"/>
        <v>BCBS PAYABLE</v>
      </c>
    </row>
    <row r="2725" spans="1:9" x14ac:dyDescent="0.25">
      <c r="A2725" t="str">
        <f>""</f>
        <v/>
      </c>
      <c r="F2725" t="str">
        <f>""</f>
        <v/>
      </c>
      <c r="G2725" t="str">
        <f>""</f>
        <v/>
      </c>
      <c r="I2725" t="str">
        <f t="shared" si="51"/>
        <v>BCBS PAYABLE</v>
      </c>
    </row>
    <row r="2726" spans="1:9" x14ac:dyDescent="0.25">
      <c r="A2726" t="str">
        <f>""</f>
        <v/>
      </c>
      <c r="F2726" t="str">
        <f>""</f>
        <v/>
      </c>
      <c r="G2726" t="str">
        <f>""</f>
        <v/>
      </c>
      <c r="I2726" t="str">
        <f t="shared" si="51"/>
        <v>BCBS PAYABLE</v>
      </c>
    </row>
    <row r="2727" spans="1:9" x14ac:dyDescent="0.25">
      <c r="A2727" t="str">
        <f>""</f>
        <v/>
      </c>
      <c r="F2727" t="str">
        <f>""</f>
        <v/>
      </c>
      <c r="G2727" t="str">
        <f>""</f>
        <v/>
      </c>
      <c r="I2727" t="str">
        <f t="shared" si="51"/>
        <v>BCBS PAYABLE</v>
      </c>
    </row>
    <row r="2728" spans="1:9" x14ac:dyDescent="0.25">
      <c r="A2728" t="str">
        <f>""</f>
        <v/>
      </c>
      <c r="F2728" t="str">
        <f>""</f>
        <v/>
      </c>
      <c r="G2728" t="str">
        <f>""</f>
        <v/>
      </c>
      <c r="I2728" t="str">
        <f t="shared" si="51"/>
        <v>BCBS PAYABLE</v>
      </c>
    </row>
    <row r="2729" spans="1:9" x14ac:dyDescent="0.25">
      <c r="A2729" t="str">
        <f>""</f>
        <v/>
      </c>
      <c r="F2729" t="str">
        <f>"2ES201804180392"</f>
        <v>2ES201804180392</v>
      </c>
      <c r="G2729" t="str">
        <f>"BCBS PAYABLE"</f>
        <v>BCBS PAYABLE</v>
      </c>
      <c r="H2729">
        <v>519.41999999999996</v>
      </c>
      <c r="I2729" t="str">
        <f t="shared" si="51"/>
        <v>BCBS PAYABLE</v>
      </c>
    </row>
    <row r="2730" spans="1:9" x14ac:dyDescent="0.25">
      <c r="A2730" t="str">
        <f>""</f>
        <v/>
      </c>
      <c r="F2730" t="str">
        <f>""</f>
        <v/>
      </c>
      <c r="G2730" t="str">
        <f>""</f>
        <v/>
      </c>
      <c r="I2730" t="str">
        <f t="shared" si="51"/>
        <v>BCBS PAYABLE</v>
      </c>
    </row>
    <row r="2731" spans="1:9" x14ac:dyDescent="0.25">
      <c r="A2731" t="str">
        <f>"TAGO"</f>
        <v>TAGO</v>
      </c>
      <c r="B2731" t="s">
        <v>506</v>
      </c>
      <c r="C2731">
        <v>0</v>
      </c>
      <c r="D2731" s="2">
        <v>4421.7299999999996</v>
      </c>
      <c r="E2731" s="1">
        <v>43196</v>
      </c>
      <c r="F2731" t="str">
        <f>"C18201804049989"</f>
        <v>C18201804049989</v>
      </c>
      <c r="G2731" t="str">
        <f>"CAUSE# 0011635329"</f>
        <v>CAUSE# 0011635329</v>
      </c>
      <c r="H2731">
        <v>603.23</v>
      </c>
      <c r="I2731" t="str">
        <f>"CAUSE# 0011635329"</f>
        <v>CAUSE# 0011635329</v>
      </c>
    </row>
    <row r="2732" spans="1:9" x14ac:dyDescent="0.25">
      <c r="A2732" t="str">
        <f>""</f>
        <v/>
      </c>
      <c r="F2732" t="str">
        <f>"C2 201804049989"</f>
        <v>C2 201804049989</v>
      </c>
      <c r="G2732" t="str">
        <f>"0012982132CCL7445"</f>
        <v>0012982132CCL7445</v>
      </c>
      <c r="H2732">
        <v>692.31</v>
      </c>
      <c r="I2732" t="str">
        <f>"0012982132CCL7445"</f>
        <v>0012982132CCL7445</v>
      </c>
    </row>
    <row r="2733" spans="1:9" x14ac:dyDescent="0.25">
      <c r="A2733" t="str">
        <f>""</f>
        <v/>
      </c>
      <c r="F2733" t="str">
        <f>"C20201804049962"</f>
        <v>C20201804049962</v>
      </c>
      <c r="G2733" t="str">
        <f>"001003981107-12252"</f>
        <v>001003981107-12252</v>
      </c>
      <c r="H2733">
        <v>115.39</v>
      </c>
      <c r="I2733" t="str">
        <f>"001003981107-12252"</f>
        <v>001003981107-12252</v>
      </c>
    </row>
    <row r="2734" spans="1:9" x14ac:dyDescent="0.25">
      <c r="A2734" t="str">
        <f>""</f>
        <v/>
      </c>
      <c r="F2734" t="str">
        <f>"C39201804049962"</f>
        <v>C39201804049962</v>
      </c>
      <c r="G2734" t="str">
        <f>"0012352184423-1520"</f>
        <v>0012352184423-1520</v>
      </c>
      <c r="H2734">
        <v>273.23</v>
      </c>
      <c r="I2734" t="str">
        <f>"0012352184423-1520"</f>
        <v>0012352184423-1520</v>
      </c>
    </row>
    <row r="2735" spans="1:9" x14ac:dyDescent="0.25">
      <c r="A2735" t="str">
        <f>""</f>
        <v/>
      </c>
      <c r="F2735" t="str">
        <f>"C42201804049962"</f>
        <v>C42201804049962</v>
      </c>
      <c r="G2735" t="str">
        <f>"001236769211-14410"</f>
        <v>001236769211-14410</v>
      </c>
      <c r="H2735">
        <v>230.31</v>
      </c>
      <c r="I2735" t="str">
        <f>"001236769211-14410"</f>
        <v>001236769211-14410</v>
      </c>
    </row>
    <row r="2736" spans="1:9" x14ac:dyDescent="0.25">
      <c r="A2736" t="str">
        <f>""</f>
        <v/>
      </c>
      <c r="F2736" t="str">
        <f>"C46201804049962"</f>
        <v>C46201804049962</v>
      </c>
      <c r="G2736" t="str">
        <f>"CAUSE# 11-14911"</f>
        <v>CAUSE# 11-14911</v>
      </c>
      <c r="H2736">
        <v>238.62</v>
      </c>
      <c r="I2736" t="str">
        <f>"CAUSE# 11-14911"</f>
        <v>CAUSE# 11-14911</v>
      </c>
    </row>
    <row r="2737" spans="1:9" x14ac:dyDescent="0.25">
      <c r="A2737" t="str">
        <f>""</f>
        <v/>
      </c>
      <c r="F2737" t="str">
        <f>"C53201804049962"</f>
        <v>C53201804049962</v>
      </c>
      <c r="G2737" t="str">
        <f>"0012453366"</f>
        <v>0012453366</v>
      </c>
      <c r="H2737">
        <v>207.69</v>
      </c>
      <c r="I2737" t="str">
        <f>"0012453366"</f>
        <v>0012453366</v>
      </c>
    </row>
    <row r="2738" spans="1:9" x14ac:dyDescent="0.25">
      <c r="A2738" t="str">
        <f>""</f>
        <v/>
      </c>
      <c r="F2738" t="str">
        <f>"C59201804049962"</f>
        <v>C59201804049962</v>
      </c>
      <c r="G2738" t="str">
        <f>"0012936495140043"</f>
        <v>0012936495140043</v>
      </c>
      <c r="H2738">
        <v>226.15</v>
      </c>
      <c r="I2738" t="str">
        <f>"0012936495140043"</f>
        <v>0012936495140043</v>
      </c>
    </row>
    <row r="2739" spans="1:9" x14ac:dyDescent="0.25">
      <c r="A2739" t="str">
        <f>""</f>
        <v/>
      </c>
      <c r="F2739" t="str">
        <f>"C60201804049962"</f>
        <v>C60201804049962</v>
      </c>
      <c r="G2739" t="str">
        <f>"00130730762012V300"</f>
        <v>00130730762012V300</v>
      </c>
      <c r="H2739">
        <v>399.32</v>
      </c>
      <c r="I2739" t="str">
        <f>"00130730762012V300"</f>
        <v>00130730762012V300</v>
      </c>
    </row>
    <row r="2740" spans="1:9" x14ac:dyDescent="0.25">
      <c r="A2740" t="str">
        <f>""</f>
        <v/>
      </c>
      <c r="F2740" t="str">
        <f>"C61201804049962"</f>
        <v>C61201804049962</v>
      </c>
      <c r="G2740" t="str">
        <f>"001174398213713"</f>
        <v>001174398213713</v>
      </c>
      <c r="H2740">
        <v>22.39</v>
      </c>
      <c r="I2740" t="str">
        <f>"001174398213713"</f>
        <v>001174398213713</v>
      </c>
    </row>
    <row r="2741" spans="1:9" x14ac:dyDescent="0.25">
      <c r="A2741" t="str">
        <f>""</f>
        <v/>
      </c>
      <c r="F2741" t="str">
        <f>"C62201804049962"</f>
        <v>C62201804049962</v>
      </c>
      <c r="G2741" t="str">
        <f>"# 0012128865"</f>
        <v># 0012128865</v>
      </c>
      <c r="H2741">
        <v>243.23</v>
      </c>
      <c r="I2741" t="str">
        <f>"# 0012128865"</f>
        <v># 0012128865</v>
      </c>
    </row>
    <row r="2742" spans="1:9" x14ac:dyDescent="0.25">
      <c r="A2742" t="str">
        <f>""</f>
        <v/>
      </c>
      <c r="F2742" t="str">
        <f>"C65201804049962"</f>
        <v>C65201804049962</v>
      </c>
      <c r="G2742" t="str">
        <f>"12-14956"</f>
        <v>12-14956</v>
      </c>
      <c r="H2742">
        <v>351.1</v>
      </c>
      <c r="I2742" t="str">
        <f>"12-14956"</f>
        <v>12-14956</v>
      </c>
    </row>
    <row r="2743" spans="1:9" x14ac:dyDescent="0.25">
      <c r="A2743" t="str">
        <f>""</f>
        <v/>
      </c>
      <c r="F2743" t="str">
        <f>"C66201804049962"</f>
        <v>C66201804049962</v>
      </c>
      <c r="G2743" t="str">
        <f>"# 0012871801"</f>
        <v># 0012871801</v>
      </c>
      <c r="H2743">
        <v>90</v>
      </c>
      <c r="I2743" t="str">
        <f>"# 0012871801"</f>
        <v># 0012871801</v>
      </c>
    </row>
    <row r="2744" spans="1:9" x14ac:dyDescent="0.25">
      <c r="A2744" t="str">
        <f>""</f>
        <v/>
      </c>
      <c r="F2744" t="str">
        <f>"C66201804049990"</f>
        <v>C66201804049990</v>
      </c>
      <c r="G2744" t="str">
        <f>"CAUSE#D1FM13007058"</f>
        <v>CAUSE#D1FM13007058</v>
      </c>
      <c r="H2744">
        <v>138.46</v>
      </c>
      <c r="I2744" t="str">
        <f>"CAUSE#D1FM13007058"</f>
        <v>CAUSE#D1FM13007058</v>
      </c>
    </row>
    <row r="2745" spans="1:9" x14ac:dyDescent="0.25">
      <c r="A2745" t="str">
        <f>""</f>
        <v/>
      </c>
      <c r="F2745" t="str">
        <f>"C68201804049962"</f>
        <v>C68201804049962</v>
      </c>
      <c r="G2745" t="str">
        <f>"00125374142011CM2291"</f>
        <v>00125374142011CM2291</v>
      </c>
      <c r="H2745">
        <v>402.92</v>
      </c>
      <c r="I2745" t="str">
        <f>"00125374142011CM2291"</f>
        <v>00125374142011CM2291</v>
      </c>
    </row>
    <row r="2746" spans="1:9" x14ac:dyDescent="0.25">
      <c r="A2746" t="str">
        <f>""</f>
        <v/>
      </c>
      <c r="F2746" t="str">
        <f>"C69201804049962"</f>
        <v>C69201804049962</v>
      </c>
      <c r="G2746" t="str">
        <f>"0012046911423672"</f>
        <v>0012046911423672</v>
      </c>
      <c r="H2746">
        <v>187.38</v>
      </c>
      <c r="I2746" t="str">
        <f>"0012046911423672"</f>
        <v>0012046911423672</v>
      </c>
    </row>
    <row r="2747" spans="1:9" x14ac:dyDescent="0.25">
      <c r="A2747" t="str">
        <f>"TAGO"</f>
        <v>TAGO</v>
      </c>
      <c r="B2747" t="s">
        <v>506</v>
      </c>
      <c r="C2747">
        <v>0</v>
      </c>
      <c r="D2747" s="2">
        <v>4421.7299999999996</v>
      </c>
      <c r="E2747" s="1">
        <v>43210</v>
      </c>
      <c r="F2747" t="str">
        <f>"C18201804180392"</f>
        <v>C18201804180392</v>
      </c>
      <c r="G2747" t="str">
        <f>"CAUSE# 0011635329"</f>
        <v>CAUSE# 0011635329</v>
      </c>
      <c r="H2747">
        <v>603.23</v>
      </c>
      <c r="I2747" t="str">
        <f>"CAUSE# 0011635329"</f>
        <v>CAUSE# 0011635329</v>
      </c>
    </row>
    <row r="2748" spans="1:9" x14ac:dyDescent="0.25">
      <c r="A2748" t="str">
        <f>""</f>
        <v/>
      </c>
      <c r="F2748" t="str">
        <f>"C2 201804180392"</f>
        <v>C2 201804180392</v>
      </c>
      <c r="G2748" t="str">
        <f>"0012982132CCL7445"</f>
        <v>0012982132CCL7445</v>
      </c>
      <c r="H2748">
        <v>692.31</v>
      </c>
      <c r="I2748" t="str">
        <f>"0012982132CCL7445"</f>
        <v>0012982132CCL7445</v>
      </c>
    </row>
    <row r="2749" spans="1:9" x14ac:dyDescent="0.25">
      <c r="A2749" t="str">
        <f>""</f>
        <v/>
      </c>
      <c r="F2749" t="str">
        <f>"C20201804180391"</f>
        <v>C20201804180391</v>
      </c>
      <c r="G2749" t="str">
        <f>"001003981107-12252"</f>
        <v>001003981107-12252</v>
      </c>
      <c r="H2749">
        <v>115.39</v>
      </c>
      <c r="I2749" t="str">
        <f>"001003981107-12252"</f>
        <v>001003981107-12252</v>
      </c>
    </row>
    <row r="2750" spans="1:9" x14ac:dyDescent="0.25">
      <c r="A2750" t="str">
        <f>""</f>
        <v/>
      </c>
      <c r="F2750" t="str">
        <f>"C39201804180391"</f>
        <v>C39201804180391</v>
      </c>
      <c r="G2750" t="str">
        <f>"0012352184423-1520"</f>
        <v>0012352184423-1520</v>
      </c>
      <c r="H2750">
        <v>273.23</v>
      </c>
      <c r="I2750" t="str">
        <f>"0012352184423-1520"</f>
        <v>0012352184423-1520</v>
      </c>
    </row>
    <row r="2751" spans="1:9" x14ac:dyDescent="0.25">
      <c r="A2751" t="str">
        <f>""</f>
        <v/>
      </c>
      <c r="F2751" t="str">
        <f>"C42201804180391"</f>
        <v>C42201804180391</v>
      </c>
      <c r="G2751" t="str">
        <f>"001236769211-14410"</f>
        <v>001236769211-14410</v>
      </c>
      <c r="H2751">
        <v>230.31</v>
      </c>
      <c r="I2751" t="str">
        <f>"001236769211-14410"</f>
        <v>001236769211-14410</v>
      </c>
    </row>
    <row r="2752" spans="1:9" x14ac:dyDescent="0.25">
      <c r="A2752" t="str">
        <f>""</f>
        <v/>
      </c>
      <c r="F2752" t="str">
        <f>"C46201804180391"</f>
        <v>C46201804180391</v>
      </c>
      <c r="G2752" t="str">
        <f>"CAUSE# 11-14911"</f>
        <v>CAUSE# 11-14911</v>
      </c>
      <c r="H2752">
        <v>238.62</v>
      </c>
      <c r="I2752" t="str">
        <f>"CAUSE# 11-14911"</f>
        <v>CAUSE# 11-14911</v>
      </c>
    </row>
    <row r="2753" spans="1:9" x14ac:dyDescent="0.25">
      <c r="A2753" t="str">
        <f>""</f>
        <v/>
      </c>
      <c r="F2753" t="str">
        <f>"C53201804180391"</f>
        <v>C53201804180391</v>
      </c>
      <c r="G2753" t="str">
        <f>"0012453366"</f>
        <v>0012453366</v>
      </c>
      <c r="H2753">
        <v>207.69</v>
      </c>
      <c r="I2753" t="str">
        <f>"0012453366"</f>
        <v>0012453366</v>
      </c>
    </row>
    <row r="2754" spans="1:9" x14ac:dyDescent="0.25">
      <c r="A2754" t="str">
        <f>""</f>
        <v/>
      </c>
      <c r="F2754" t="str">
        <f>"C59201804180391"</f>
        <v>C59201804180391</v>
      </c>
      <c r="G2754" t="str">
        <f>"0012936495140043"</f>
        <v>0012936495140043</v>
      </c>
      <c r="H2754">
        <v>226.15</v>
      </c>
      <c r="I2754" t="str">
        <f>"0012936495140043"</f>
        <v>0012936495140043</v>
      </c>
    </row>
    <row r="2755" spans="1:9" x14ac:dyDescent="0.25">
      <c r="A2755" t="str">
        <f>""</f>
        <v/>
      </c>
      <c r="F2755" t="str">
        <f>"C60201804180391"</f>
        <v>C60201804180391</v>
      </c>
      <c r="G2755" t="str">
        <f>"00130730762012V300"</f>
        <v>00130730762012V300</v>
      </c>
      <c r="H2755">
        <v>399.32</v>
      </c>
      <c r="I2755" t="str">
        <f>"00130730762012V300"</f>
        <v>00130730762012V300</v>
      </c>
    </row>
    <row r="2756" spans="1:9" x14ac:dyDescent="0.25">
      <c r="A2756" t="str">
        <f>""</f>
        <v/>
      </c>
      <c r="F2756" t="str">
        <f>"C61201804180391"</f>
        <v>C61201804180391</v>
      </c>
      <c r="G2756" t="str">
        <f>"001174398213713"</f>
        <v>001174398213713</v>
      </c>
      <c r="H2756">
        <v>22.39</v>
      </c>
      <c r="I2756" t="str">
        <f>"001174398213713"</f>
        <v>001174398213713</v>
      </c>
    </row>
    <row r="2757" spans="1:9" x14ac:dyDescent="0.25">
      <c r="A2757" t="str">
        <f>""</f>
        <v/>
      </c>
      <c r="F2757" t="str">
        <f>"C62201804180391"</f>
        <v>C62201804180391</v>
      </c>
      <c r="G2757" t="str">
        <f>"# 0012128865"</f>
        <v># 0012128865</v>
      </c>
      <c r="H2757">
        <v>243.23</v>
      </c>
      <c r="I2757" t="str">
        <f>"# 0012128865"</f>
        <v># 0012128865</v>
      </c>
    </row>
    <row r="2758" spans="1:9" x14ac:dyDescent="0.25">
      <c r="A2758" t="str">
        <f>""</f>
        <v/>
      </c>
      <c r="F2758" t="str">
        <f>"C65201804180391"</f>
        <v>C65201804180391</v>
      </c>
      <c r="G2758" t="str">
        <f>"12-14956"</f>
        <v>12-14956</v>
      </c>
      <c r="H2758">
        <v>351.1</v>
      </c>
      <c r="I2758" t="str">
        <f>"12-14956"</f>
        <v>12-14956</v>
      </c>
    </row>
    <row r="2759" spans="1:9" x14ac:dyDescent="0.25">
      <c r="A2759" t="str">
        <f>""</f>
        <v/>
      </c>
      <c r="F2759" t="str">
        <f>"C66201804180391"</f>
        <v>C66201804180391</v>
      </c>
      <c r="G2759" t="str">
        <f>"# 0012871801"</f>
        <v># 0012871801</v>
      </c>
      <c r="H2759">
        <v>90</v>
      </c>
      <c r="I2759" t="str">
        <f>"# 0012871801"</f>
        <v># 0012871801</v>
      </c>
    </row>
    <row r="2760" spans="1:9" x14ac:dyDescent="0.25">
      <c r="A2760" t="str">
        <f>""</f>
        <v/>
      </c>
      <c r="F2760" t="str">
        <f>"C66201804180393"</f>
        <v>C66201804180393</v>
      </c>
      <c r="G2760" t="str">
        <f>"CAUSE#D1FM13007058"</f>
        <v>CAUSE#D1FM13007058</v>
      </c>
      <c r="H2760">
        <v>138.46</v>
      </c>
      <c r="I2760" t="str">
        <f>"CAUSE#D1FM13007058"</f>
        <v>CAUSE#D1FM13007058</v>
      </c>
    </row>
    <row r="2761" spans="1:9" x14ac:dyDescent="0.25">
      <c r="A2761" t="str">
        <f>""</f>
        <v/>
      </c>
      <c r="F2761" t="str">
        <f>"C68201804180391"</f>
        <v>C68201804180391</v>
      </c>
      <c r="G2761" t="str">
        <f>"00125374142011CM2291"</f>
        <v>00125374142011CM2291</v>
      </c>
      <c r="H2761">
        <v>402.92</v>
      </c>
      <c r="I2761" t="str">
        <f>"00125374142011CM2291"</f>
        <v>00125374142011CM2291</v>
      </c>
    </row>
    <row r="2762" spans="1:9" x14ac:dyDescent="0.25">
      <c r="A2762" t="str">
        <f>""</f>
        <v/>
      </c>
      <c r="F2762" t="str">
        <f>"C69201804180391"</f>
        <v>C69201804180391</v>
      </c>
      <c r="G2762" t="str">
        <f>"0012046911423672"</f>
        <v>0012046911423672</v>
      </c>
      <c r="H2762">
        <v>187.38</v>
      </c>
      <c r="I2762" t="str">
        <f>"0012046911423672"</f>
        <v>0012046911423672</v>
      </c>
    </row>
    <row r="2763" spans="1:9" x14ac:dyDescent="0.25">
      <c r="A2763" t="str">
        <f>"TCDRS"</f>
        <v>TCDRS</v>
      </c>
      <c r="B2763" t="s">
        <v>507</v>
      </c>
      <c r="C2763">
        <v>0</v>
      </c>
      <c r="D2763" s="2">
        <v>320377.92</v>
      </c>
      <c r="E2763" s="1">
        <v>43210</v>
      </c>
      <c r="F2763" t="str">
        <f>"RET201804049962"</f>
        <v>RET201804049962</v>
      </c>
      <c r="G2763" t="str">
        <f>"TEXAS COUNTY &amp; DISTRICT RET"</f>
        <v>TEXAS COUNTY &amp; DISTRICT RET</v>
      </c>
      <c r="H2763">
        <v>144835.56</v>
      </c>
      <c r="I2763" t="str">
        <f t="shared" ref="I2763:I2794" si="52">"TEXAS COUNTY &amp; DISTRICT RET"</f>
        <v>TEXAS COUNTY &amp; DISTRICT RET</v>
      </c>
    </row>
    <row r="2764" spans="1:9" x14ac:dyDescent="0.25">
      <c r="A2764" t="str">
        <f>""</f>
        <v/>
      </c>
      <c r="F2764" t="str">
        <f>""</f>
        <v/>
      </c>
      <c r="G2764" t="str">
        <f>""</f>
        <v/>
      </c>
      <c r="I2764" t="str">
        <f t="shared" si="52"/>
        <v>TEXAS COUNTY &amp; DISTRICT RET</v>
      </c>
    </row>
    <row r="2765" spans="1:9" x14ac:dyDescent="0.25">
      <c r="A2765" t="str">
        <f>""</f>
        <v/>
      </c>
      <c r="F2765" t="str">
        <f>""</f>
        <v/>
      </c>
      <c r="G2765" t="str">
        <f>""</f>
        <v/>
      </c>
      <c r="I2765" t="str">
        <f t="shared" si="52"/>
        <v>TEXAS COUNTY &amp; DISTRICT RET</v>
      </c>
    </row>
    <row r="2766" spans="1:9" x14ac:dyDescent="0.25">
      <c r="A2766" t="str">
        <f>""</f>
        <v/>
      </c>
      <c r="F2766" t="str">
        <f>""</f>
        <v/>
      </c>
      <c r="G2766" t="str">
        <f>""</f>
        <v/>
      </c>
      <c r="I2766" t="str">
        <f t="shared" si="52"/>
        <v>TEXAS COUNTY &amp; DISTRICT RET</v>
      </c>
    </row>
    <row r="2767" spans="1:9" x14ac:dyDescent="0.25">
      <c r="A2767" t="str">
        <f>""</f>
        <v/>
      </c>
      <c r="F2767" t="str">
        <f>""</f>
        <v/>
      </c>
      <c r="G2767" t="str">
        <f>""</f>
        <v/>
      </c>
      <c r="I2767" t="str">
        <f t="shared" si="52"/>
        <v>TEXAS COUNTY &amp; DISTRICT RET</v>
      </c>
    </row>
    <row r="2768" spans="1:9" x14ac:dyDescent="0.25">
      <c r="A2768" t="str">
        <f>""</f>
        <v/>
      </c>
      <c r="F2768" t="str">
        <f>""</f>
        <v/>
      </c>
      <c r="G2768" t="str">
        <f>""</f>
        <v/>
      </c>
      <c r="I2768" t="str">
        <f t="shared" si="52"/>
        <v>TEXAS COUNTY &amp; DISTRICT RET</v>
      </c>
    </row>
    <row r="2769" spans="1:9" x14ac:dyDescent="0.25">
      <c r="A2769" t="str">
        <f>""</f>
        <v/>
      </c>
      <c r="F2769" t="str">
        <f>""</f>
        <v/>
      </c>
      <c r="G2769" t="str">
        <f>""</f>
        <v/>
      </c>
      <c r="I2769" t="str">
        <f t="shared" si="52"/>
        <v>TEXAS COUNTY &amp; DISTRICT RET</v>
      </c>
    </row>
    <row r="2770" spans="1:9" x14ac:dyDescent="0.25">
      <c r="A2770" t="str">
        <f>""</f>
        <v/>
      </c>
      <c r="F2770" t="str">
        <f>""</f>
        <v/>
      </c>
      <c r="G2770" t="str">
        <f>""</f>
        <v/>
      </c>
      <c r="I2770" t="str">
        <f t="shared" si="52"/>
        <v>TEXAS COUNTY &amp; DISTRICT RET</v>
      </c>
    </row>
    <row r="2771" spans="1:9" x14ac:dyDescent="0.25">
      <c r="A2771" t="str">
        <f>""</f>
        <v/>
      </c>
      <c r="F2771" t="str">
        <f>""</f>
        <v/>
      </c>
      <c r="G2771" t="str">
        <f>""</f>
        <v/>
      </c>
      <c r="I2771" t="str">
        <f t="shared" si="52"/>
        <v>TEXAS COUNTY &amp; DISTRICT RET</v>
      </c>
    </row>
    <row r="2772" spans="1:9" x14ac:dyDescent="0.25">
      <c r="A2772" t="str">
        <f>""</f>
        <v/>
      </c>
      <c r="F2772" t="str">
        <f>""</f>
        <v/>
      </c>
      <c r="G2772" t="str">
        <f>""</f>
        <v/>
      </c>
      <c r="I2772" t="str">
        <f t="shared" si="52"/>
        <v>TEXAS COUNTY &amp; DISTRICT RET</v>
      </c>
    </row>
    <row r="2773" spans="1:9" x14ac:dyDescent="0.25">
      <c r="A2773" t="str">
        <f>""</f>
        <v/>
      </c>
      <c r="F2773" t="str">
        <f>""</f>
        <v/>
      </c>
      <c r="G2773" t="str">
        <f>""</f>
        <v/>
      </c>
      <c r="I2773" t="str">
        <f t="shared" si="52"/>
        <v>TEXAS COUNTY &amp; DISTRICT RET</v>
      </c>
    </row>
    <row r="2774" spans="1:9" x14ac:dyDescent="0.25">
      <c r="A2774" t="str">
        <f>""</f>
        <v/>
      </c>
      <c r="F2774" t="str">
        <f>""</f>
        <v/>
      </c>
      <c r="G2774" t="str">
        <f>""</f>
        <v/>
      </c>
      <c r="I2774" t="str">
        <f t="shared" si="52"/>
        <v>TEXAS COUNTY &amp; DISTRICT RET</v>
      </c>
    </row>
    <row r="2775" spans="1:9" x14ac:dyDescent="0.25">
      <c r="A2775" t="str">
        <f>""</f>
        <v/>
      </c>
      <c r="F2775" t="str">
        <f>""</f>
        <v/>
      </c>
      <c r="G2775" t="str">
        <f>""</f>
        <v/>
      </c>
      <c r="I2775" t="str">
        <f t="shared" si="52"/>
        <v>TEXAS COUNTY &amp; DISTRICT RET</v>
      </c>
    </row>
    <row r="2776" spans="1:9" x14ac:dyDescent="0.25">
      <c r="A2776" t="str">
        <f>""</f>
        <v/>
      </c>
      <c r="F2776" t="str">
        <f>""</f>
        <v/>
      </c>
      <c r="G2776" t="str">
        <f>""</f>
        <v/>
      </c>
      <c r="I2776" t="str">
        <f t="shared" si="52"/>
        <v>TEXAS COUNTY &amp; DISTRICT RET</v>
      </c>
    </row>
    <row r="2777" spans="1:9" x14ac:dyDescent="0.25">
      <c r="A2777" t="str">
        <f>""</f>
        <v/>
      </c>
      <c r="F2777" t="str">
        <f>""</f>
        <v/>
      </c>
      <c r="G2777" t="str">
        <f>""</f>
        <v/>
      </c>
      <c r="I2777" t="str">
        <f t="shared" si="52"/>
        <v>TEXAS COUNTY &amp; DISTRICT RET</v>
      </c>
    </row>
    <row r="2778" spans="1:9" x14ac:dyDescent="0.25">
      <c r="A2778" t="str">
        <f>""</f>
        <v/>
      </c>
      <c r="F2778" t="str">
        <f>""</f>
        <v/>
      </c>
      <c r="G2778" t="str">
        <f>""</f>
        <v/>
      </c>
      <c r="I2778" t="str">
        <f t="shared" si="52"/>
        <v>TEXAS COUNTY &amp; DISTRICT RET</v>
      </c>
    </row>
    <row r="2779" spans="1:9" x14ac:dyDescent="0.25">
      <c r="A2779" t="str">
        <f>""</f>
        <v/>
      </c>
      <c r="F2779" t="str">
        <f>""</f>
        <v/>
      </c>
      <c r="G2779" t="str">
        <f>""</f>
        <v/>
      </c>
      <c r="I2779" t="str">
        <f t="shared" si="52"/>
        <v>TEXAS COUNTY &amp; DISTRICT RET</v>
      </c>
    </row>
    <row r="2780" spans="1:9" x14ac:dyDescent="0.25">
      <c r="A2780" t="str">
        <f>""</f>
        <v/>
      </c>
      <c r="F2780" t="str">
        <f>""</f>
        <v/>
      </c>
      <c r="G2780" t="str">
        <f>""</f>
        <v/>
      </c>
      <c r="I2780" t="str">
        <f t="shared" si="52"/>
        <v>TEXAS COUNTY &amp; DISTRICT RET</v>
      </c>
    </row>
    <row r="2781" spans="1:9" x14ac:dyDescent="0.25">
      <c r="A2781" t="str">
        <f>""</f>
        <v/>
      </c>
      <c r="F2781" t="str">
        <f>""</f>
        <v/>
      </c>
      <c r="G2781" t="str">
        <f>""</f>
        <v/>
      </c>
      <c r="I2781" t="str">
        <f t="shared" si="52"/>
        <v>TEXAS COUNTY &amp; DISTRICT RET</v>
      </c>
    </row>
    <row r="2782" spans="1:9" x14ac:dyDescent="0.25">
      <c r="A2782" t="str">
        <f>""</f>
        <v/>
      </c>
      <c r="F2782" t="str">
        <f>""</f>
        <v/>
      </c>
      <c r="G2782" t="str">
        <f>""</f>
        <v/>
      </c>
      <c r="I2782" t="str">
        <f t="shared" si="52"/>
        <v>TEXAS COUNTY &amp; DISTRICT RET</v>
      </c>
    </row>
    <row r="2783" spans="1:9" x14ac:dyDescent="0.25">
      <c r="A2783" t="str">
        <f>""</f>
        <v/>
      </c>
      <c r="F2783" t="str">
        <f>""</f>
        <v/>
      </c>
      <c r="G2783" t="str">
        <f>""</f>
        <v/>
      </c>
      <c r="I2783" t="str">
        <f t="shared" si="52"/>
        <v>TEXAS COUNTY &amp; DISTRICT RET</v>
      </c>
    </row>
    <row r="2784" spans="1:9" x14ac:dyDescent="0.25">
      <c r="A2784" t="str">
        <f>""</f>
        <v/>
      </c>
      <c r="F2784" t="str">
        <f>""</f>
        <v/>
      </c>
      <c r="G2784" t="str">
        <f>""</f>
        <v/>
      </c>
      <c r="I2784" t="str">
        <f t="shared" si="52"/>
        <v>TEXAS COUNTY &amp; DISTRICT RET</v>
      </c>
    </row>
    <row r="2785" spans="1:9" x14ac:dyDescent="0.25">
      <c r="A2785" t="str">
        <f>""</f>
        <v/>
      </c>
      <c r="F2785" t="str">
        <f>""</f>
        <v/>
      </c>
      <c r="G2785" t="str">
        <f>""</f>
        <v/>
      </c>
      <c r="I2785" t="str">
        <f t="shared" si="52"/>
        <v>TEXAS COUNTY &amp; DISTRICT RET</v>
      </c>
    </row>
    <row r="2786" spans="1:9" x14ac:dyDescent="0.25">
      <c r="A2786" t="str">
        <f>""</f>
        <v/>
      </c>
      <c r="F2786" t="str">
        <f>""</f>
        <v/>
      </c>
      <c r="G2786" t="str">
        <f>""</f>
        <v/>
      </c>
      <c r="I2786" t="str">
        <f t="shared" si="52"/>
        <v>TEXAS COUNTY &amp; DISTRICT RET</v>
      </c>
    </row>
    <row r="2787" spans="1:9" x14ac:dyDescent="0.25">
      <c r="A2787" t="str">
        <f>""</f>
        <v/>
      </c>
      <c r="F2787" t="str">
        <f>""</f>
        <v/>
      </c>
      <c r="G2787" t="str">
        <f>""</f>
        <v/>
      </c>
      <c r="I2787" t="str">
        <f t="shared" si="52"/>
        <v>TEXAS COUNTY &amp; DISTRICT RET</v>
      </c>
    </row>
    <row r="2788" spans="1:9" x14ac:dyDescent="0.25">
      <c r="A2788" t="str">
        <f>""</f>
        <v/>
      </c>
      <c r="F2788" t="str">
        <f>""</f>
        <v/>
      </c>
      <c r="G2788" t="str">
        <f>""</f>
        <v/>
      </c>
      <c r="I2788" t="str">
        <f t="shared" si="52"/>
        <v>TEXAS COUNTY &amp; DISTRICT RET</v>
      </c>
    </row>
    <row r="2789" spans="1:9" x14ac:dyDescent="0.25">
      <c r="A2789" t="str">
        <f>""</f>
        <v/>
      </c>
      <c r="F2789" t="str">
        <f>""</f>
        <v/>
      </c>
      <c r="G2789" t="str">
        <f>""</f>
        <v/>
      </c>
      <c r="I2789" t="str">
        <f t="shared" si="52"/>
        <v>TEXAS COUNTY &amp; DISTRICT RET</v>
      </c>
    </row>
    <row r="2790" spans="1:9" x14ac:dyDescent="0.25">
      <c r="A2790" t="str">
        <f>""</f>
        <v/>
      </c>
      <c r="F2790" t="str">
        <f>""</f>
        <v/>
      </c>
      <c r="G2790" t="str">
        <f>""</f>
        <v/>
      </c>
      <c r="I2790" t="str">
        <f t="shared" si="52"/>
        <v>TEXAS COUNTY &amp; DISTRICT RET</v>
      </c>
    </row>
    <row r="2791" spans="1:9" x14ac:dyDescent="0.25">
      <c r="A2791" t="str">
        <f>""</f>
        <v/>
      </c>
      <c r="F2791" t="str">
        <f>""</f>
        <v/>
      </c>
      <c r="G2791" t="str">
        <f>""</f>
        <v/>
      </c>
      <c r="I2791" t="str">
        <f t="shared" si="52"/>
        <v>TEXAS COUNTY &amp; DISTRICT RET</v>
      </c>
    </row>
    <row r="2792" spans="1:9" x14ac:dyDescent="0.25">
      <c r="A2792" t="str">
        <f>""</f>
        <v/>
      </c>
      <c r="F2792" t="str">
        <f>""</f>
        <v/>
      </c>
      <c r="G2792" t="str">
        <f>""</f>
        <v/>
      </c>
      <c r="I2792" t="str">
        <f t="shared" si="52"/>
        <v>TEXAS COUNTY &amp; DISTRICT RET</v>
      </c>
    </row>
    <row r="2793" spans="1:9" x14ac:dyDescent="0.25">
      <c r="A2793" t="str">
        <f>""</f>
        <v/>
      </c>
      <c r="F2793" t="str">
        <f>""</f>
        <v/>
      </c>
      <c r="G2793" t="str">
        <f>""</f>
        <v/>
      </c>
      <c r="I2793" t="str">
        <f t="shared" si="52"/>
        <v>TEXAS COUNTY &amp; DISTRICT RET</v>
      </c>
    </row>
    <row r="2794" spans="1:9" x14ac:dyDescent="0.25">
      <c r="A2794" t="str">
        <f>""</f>
        <v/>
      </c>
      <c r="F2794" t="str">
        <f>""</f>
        <v/>
      </c>
      <c r="G2794" t="str">
        <f>""</f>
        <v/>
      </c>
      <c r="I2794" t="str">
        <f t="shared" si="52"/>
        <v>TEXAS COUNTY &amp; DISTRICT RET</v>
      </c>
    </row>
    <row r="2795" spans="1:9" x14ac:dyDescent="0.25">
      <c r="A2795" t="str">
        <f>""</f>
        <v/>
      </c>
      <c r="F2795" t="str">
        <f>""</f>
        <v/>
      </c>
      <c r="G2795" t="str">
        <f>""</f>
        <v/>
      </c>
      <c r="I2795" t="str">
        <f t="shared" ref="I2795:I2814" si="53">"TEXAS COUNTY &amp; DISTRICT RET"</f>
        <v>TEXAS COUNTY &amp; DISTRICT RET</v>
      </c>
    </row>
    <row r="2796" spans="1:9" x14ac:dyDescent="0.25">
      <c r="A2796" t="str">
        <f>""</f>
        <v/>
      </c>
      <c r="F2796" t="str">
        <f>""</f>
        <v/>
      </c>
      <c r="G2796" t="str">
        <f>""</f>
        <v/>
      </c>
      <c r="I2796" t="str">
        <f t="shared" si="53"/>
        <v>TEXAS COUNTY &amp; DISTRICT RET</v>
      </c>
    </row>
    <row r="2797" spans="1:9" x14ac:dyDescent="0.25">
      <c r="A2797" t="str">
        <f>""</f>
        <v/>
      </c>
      <c r="F2797" t="str">
        <f>""</f>
        <v/>
      </c>
      <c r="G2797" t="str">
        <f>""</f>
        <v/>
      </c>
      <c r="I2797" t="str">
        <f t="shared" si="53"/>
        <v>TEXAS COUNTY &amp; DISTRICT RET</v>
      </c>
    </row>
    <row r="2798" spans="1:9" x14ac:dyDescent="0.25">
      <c r="A2798" t="str">
        <f>""</f>
        <v/>
      </c>
      <c r="F2798" t="str">
        <f>""</f>
        <v/>
      </c>
      <c r="G2798" t="str">
        <f>""</f>
        <v/>
      </c>
      <c r="I2798" t="str">
        <f t="shared" si="53"/>
        <v>TEXAS COUNTY &amp; DISTRICT RET</v>
      </c>
    </row>
    <row r="2799" spans="1:9" x14ac:dyDescent="0.25">
      <c r="A2799" t="str">
        <f>""</f>
        <v/>
      </c>
      <c r="F2799" t="str">
        <f>""</f>
        <v/>
      </c>
      <c r="G2799" t="str">
        <f>""</f>
        <v/>
      </c>
      <c r="I2799" t="str">
        <f t="shared" si="53"/>
        <v>TEXAS COUNTY &amp; DISTRICT RET</v>
      </c>
    </row>
    <row r="2800" spans="1:9" x14ac:dyDescent="0.25">
      <c r="A2800" t="str">
        <f>""</f>
        <v/>
      </c>
      <c r="F2800" t="str">
        <f>""</f>
        <v/>
      </c>
      <c r="G2800" t="str">
        <f>""</f>
        <v/>
      </c>
      <c r="I2800" t="str">
        <f t="shared" si="53"/>
        <v>TEXAS COUNTY &amp; DISTRICT RET</v>
      </c>
    </row>
    <row r="2801" spans="1:9" x14ac:dyDescent="0.25">
      <c r="A2801" t="str">
        <f>""</f>
        <v/>
      </c>
      <c r="F2801" t="str">
        <f>""</f>
        <v/>
      </c>
      <c r="G2801" t="str">
        <f>""</f>
        <v/>
      </c>
      <c r="I2801" t="str">
        <f t="shared" si="53"/>
        <v>TEXAS COUNTY &amp; DISTRICT RET</v>
      </c>
    </row>
    <row r="2802" spans="1:9" x14ac:dyDescent="0.25">
      <c r="A2802" t="str">
        <f>""</f>
        <v/>
      </c>
      <c r="F2802" t="str">
        <f>""</f>
        <v/>
      </c>
      <c r="G2802" t="str">
        <f>""</f>
        <v/>
      </c>
      <c r="I2802" t="str">
        <f t="shared" si="53"/>
        <v>TEXAS COUNTY &amp; DISTRICT RET</v>
      </c>
    </row>
    <row r="2803" spans="1:9" x14ac:dyDescent="0.25">
      <c r="A2803" t="str">
        <f>""</f>
        <v/>
      </c>
      <c r="F2803" t="str">
        <f>""</f>
        <v/>
      </c>
      <c r="G2803" t="str">
        <f>""</f>
        <v/>
      </c>
      <c r="I2803" t="str">
        <f t="shared" si="53"/>
        <v>TEXAS COUNTY &amp; DISTRICT RET</v>
      </c>
    </row>
    <row r="2804" spans="1:9" x14ac:dyDescent="0.25">
      <c r="A2804" t="str">
        <f>""</f>
        <v/>
      </c>
      <c r="F2804" t="str">
        <f>""</f>
        <v/>
      </c>
      <c r="G2804" t="str">
        <f>""</f>
        <v/>
      </c>
      <c r="I2804" t="str">
        <f t="shared" si="53"/>
        <v>TEXAS COUNTY &amp; DISTRICT RET</v>
      </c>
    </row>
    <row r="2805" spans="1:9" x14ac:dyDescent="0.25">
      <c r="A2805" t="str">
        <f>""</f>
        <v/>
      </c>
      <c r="F2805" t="str">
        <f>""</f>
        <v/>
      </c>
      <c r="G2805" t="str">
        <f>""</f>
        <v/>
      </c>
      <c r="I2805" t="str">
        <f t="shared" si="53"/>
        <v>TEXAS COUNTY &amp; DISTRICT RET</v>
      </c>
    </row>
    <row r="2806" spans="1:9" x14ac:dyDescent="0.25">
      <c r="A2806" t="str">
        <f>""</f>
        <v/>
      </c>
      <c r="F2806" t="str">
        <f>""</f>
        <v/>
      </c>
      <c r="G2806" t="str">
        <f>""</f>
        <v/>
      </c>
      <c r="I2806" t="str">
        <f t="shared" si="53"/>
        <v>TEXAS COUNTY &amp; DISTRICT RET</v>
      </c>
    </row>
    <row r="2807" spans="1:9" x14ac:dyDescent="0.25">
      <c r="A2807" t="str">
        <f>""</f>
        <v/>
      </c>
      <c r="F2807" t="str">
        <f>""</f>
        <v/>
      </c>
      <c r="G2807" t="str">
        <f>""</f>
        <v/>
      </c>
      <c r="I2807" t="str">
        <f t="shared" si="53"/>
        <v>TEXAS COUNTY &amp; DISTRICT RET</v>
      </c>
    </row>
    <row r="2808" spans="1:9" x14ac:dyDescent="0.25">
      <c r="A2808" t="str">
        <f>""</f>
        <v/>
      </c>
      <c r="F2808" t="str">
        <f>""</f>
        <v/>
      </c>
      <c r="G2808" t="str">
        <f>""</f>
        <v/>
      </c>
      <c r="I2808" t="str">
        <f t="shared" si="53"/>
        <v>TEXAS COUNTY &amp; DISTRICT RET</v>
      </c>
    </row>
    <row r="2809" spans="1:9" x14ac:dyDescent="0.25">
      <c r="A2809" t="str">
        <f>""</f>
        <v/>
      </c>
      <c r="F2809" t="str">
        <f>""</f>
        <v/>
      </c>
      <c r="G2809" t="str">
        <f>""</f>
        <v/>
      </c>
      <c r="I2809" t="str">
        <f t="shared" si="53"/>
        <v>TEXAS COUNTY &amp; DISTRICT RET</v>
      </c>
    </row>
    <row r="2810" spans="1:9" x14ac:dyDescent="0.25">
      <c r="A2810" t="str">
        <f>""</f>
        <v/>
      </c>
      <c r="F2810" t="str">
        <f>""</f>
        <v/>
      </c>
      <c r="G2810" t="str">
        <f>""</f>
        <v/>
      </c>
      <c r="I2810" t="str">
        <f t="shared" si="53"/>
        <v>TEXAS COUNTY &amp; DISTRICT RET</v>
      </c>
    </row>
    <row r="2811" spans="1:9" x14ac:dyDescent="0.25">
      <c r="A2811" t="str">
        <f>""</f>
        <v/>
      </c>
      <c r="F2811" t="str">
        <f>""</f>
        <v/>
      </c>
      <c r="G2811" t="str">
        <f>""</f>
        <v/>
      </c>
      <c r="I2811" t="str">
        <f t="shared" si="53"/>
        <v>TEXAS COUNTY &amp; DISTRICT RET</v>
      </c>
    </row>
    <row r="2812" spans="1:9" x14ac:dyDescent="0.25">
      <c r="A2812" t="str">
        <f>""</f>
        <v/>
      </c>
      <c r="F2812" t="str">
        <f>""</f>
        <v/>
      </c>
      <c r="G2812" t="str">
        <f>""</f>
        <v/>
      </c>
      <c r="I2812" t="str">
        <f t="shared" si="53"/>
        <v>TEXAS COUNTY &amp; DISTRICT RET</v>
      </c>
    </row>
    <row r="2813" spans="1:9" x14ac:dyDescent="0.25">
      <c r="A2813" t="str">
        <f>""</f>
        <v/>
      </c>
      <c r="F2813" t="str">
        <f>""</f>
        <v/>
      </c>
      <c r="G2813" t="str">
        <f>""</f>
        <v/>
      </c>
      <c r="I2813" t="str">
        <f t="shared" si="53"/>
        <v>TEXAS COUNTY &amp; DISTRICT RET</v>
      </c>
    </row>
    <row r="2814" spans="1:9" x14ac:dyDescent="0.25">
      <c r="A2814" t="str">
        <f>""</f>
        <v/>
      </c>
      <c r="F2814" t="str">
        <f>""</f>
        <v/>
      </c>
      <c r="G2814" t="str">
        <f>""</f>
        <v/>
      </c>
      <c r="I2814" t="str">
        <f t="shared" si="53"/>
        <v>TEXAS COUNTY &amp; DISTRICT RET</v>
      </c>
    </row>
    <row r="2815" spans="1:9" x14ac:dyDescent="0.25">
      <c r="A2815" t="str">
        <f>""</f>
        <v/>
      </c>
      <c r="F2815" t="str">
        <f>"RET201804049989"</f>
        <v>RET201804049989</v>
      </c>
      <c r="G2815" t="str">
        <f>"TEXAS COUNTY  DISTRICT RET"</f>
        <v>TEXAS COUNTY  DISTRICT RET</v>
      </c>
      <c r="H2815">
        <v>5821.1</v>
      </c>
      <c r="I2815" t="str">
        <f>"TEXAS COUNTY  DISTRICT RET"</f>
        <v>TEXAS COUNTY  DISTRICT RET</v>
      </c>
    </row>
    <row r="2816" spans="1:9" x14ac:dyDescent="0.25">
      <c r="A2816" t="str">
        <f>""</f>
        <v/>
      </c>
      <c r="F2816" t="str">
        <f>""</f>
        <v/>
      </c>
      <c r="G2816" t="str">
        <f>""</f>
        <v/>
      </c>
      <c r="I2816" t="str">
        <f>"TEXAS COUNTY  DISTRICT RET"</f>
        <v>TEXAS COUNTY  DISTRICT RET</v>
      </c>
    </row>
    <row r="2817" spans="1:9" x14ac:dyDescent="0.25">
      <c r="A2817" t="str">
        <f>""</f>
        <v/>
      </c>
      <c r="F2817" t="str">
        <f>"RET201804049990"</f>
        <v>RET201804049990</v>
      </c>
      <c r="G2817" t="str">
        <f>"TEXAS COUNTY &amp; DISTRICT RET"</f>
        <v>TEXAS COUNTY &amp; DISTRICT RET</v>
      </c>
      <c r="H2817">
        <v>8352.27</v>
      </c>
      <c r="I2817" t="str">
        <f t="shared" ref="I2817:I2848" si="54">"TEXAS COUNTY &amp; DISTRICT RET"</f>
        <v>TEXAS COUNTY &amp; DISTRICT RET</v>
      </c>
    </row>
    <row r="2818" spans="1:9" x14ac:dyDescent="0.25">
      <c r="A2818" t="str">
        <f>""</f>
        <v/>
      </c>
      <c r="F2818" t="str">
        <f>""</f>
        <v/>
      </c>
      <c r="G2818" t="str">
        <f>""</f>
        <v/>
      </c>
      <c r="I2818" t="str">
        <f t="shared" si="54"/>
        <v>TEXAS COUNTY &amp; DISTRICT RET</v>
      </c>
    </row>
    <row r="2819" spans="1:9" x14ac:dyDescent="0.25">
      <c r="A2819" t="str">
        <f>""</f>
        <v/>
      </c>
      <c r="F2819" t="str">
        <f>"RET201804180391"</f>
        <v>RET201804180391</v>
      </c>
      <c r="G2819" t="str">
        <f>"TEXAS COUNTY &amp; DISTRICT RET"</f>
        <v>TEXAS COUNTY &amp; DISTRICT RET</v>
      </c>
      <c r="H2819">
        <v>146649.46</v>
      </c>
      <c r="I2819" t="str">
        <f t="shared" si="54"/>
        <v>TEXAS COUNTY &amp; DISTRICT RET</v>
      </c>
    </row>
    <row r="2820" spans="1:9" x14ac:dyDescent="0.25">
      <c r="A2820" t="str">
        <f>""</f>
        <v/>
      </c>
      <c r="F2820" t="str">
        <f>""</f>
        <v/>
      </c>
      <c r="G2820" t="str">
        <f>""</f>
        <v/>
      </c>
      <c r="I2820" t="str">
        <f t="shared" si="54"/>
        <v>TEXAS COUNTY &amp; DISTRICT RET</v>
      </c>
    </row>
    <row r="2821" spans="1:9" x14ac:dyDescent="0.25">
      <c r="A2821" t="str">
        <f>""</f>
        <v/>
      </c>
      <c r="F2821" t="str">
        <f>""</f>
        <v/>
      </c>
      <c r="G2821" t="str">
        <f>""</f>
        <v/>
      </c>
      <c r="I2821" t="str">
        <f t="shared" si="54"/>
        <v>TEXAS COUNTY &amp; DISTRICT RET</v>
      </c>
    </row>
    <row r="2822" spans="1:9" x14ac:dyDescent="0.25">
      <c r="A2822" t="str">
        <f>""</f>
        <v/>
      </c>
      <c r="F2822" t="str">
        <f>""</f>
        <v/>
      </c>
      <c r="G2822" t="str">
        <f>""</f>
        <v/>
      </c>
      <c r="I2822" t="str">
        <f t="shared" si="54"/>
        <v>TEXAS COUNTY &amp; DISTRICT RET</v>
      </c>
    </row>
    <row r="2823" spans="1:9" x14ac:dyDescent="0.25">
      <c r="A2823" t="str">
        <f>""</f>
        <v/>
      </c>
      <c r="F2823" t="str">
        <f>""</f>
        <v/>
      </c>
      <c r="G2823" t="str">
        <f>""</f>
        <v/>
      </c>
      <c r="I2823" t="str">
        <f t="shared" si="54"/>
        <v>TEXAS COUNTY &amp; DISTRICT RET</v>
      </c>
    </row>
    <row r="2824" spans="1:9" x14ac:dyDescent="0.25">
      <c r="A2824" t="str">
        <f>""</f>
        <v/>
      </c>
      <c r="F2824" t="str">
        <f>""</f>
        <v/>
      </c>
      <c r="G2824" t="str">
        <f>""</f>
        <v/>
      </c>
      <c r="I2824" t="str">
        <f t="shared" si="54"/>
        <v>TEXAS COUNTY &amp; DISTRICT RET</v>
      </c>
    </row>
    <row r="2825" spans="1:9" x14ac:dyDescent="0.25">
      <c r="A2825" t="str">
        <f>""</f>
        <v/>
      </c>
      <c r="F2825" t="str">
        <f>""</f>
        <v/>
      </c>
      <c r="G2825" t="str">
        <f>""</f>
        <v/>
      </c>
      <c r="I2825" t="str">
        <f t="shared" si="54"/>
        <v>TEXAS COUNTY &amp; DISTRICT RET</v>
      </c>
    </row>
    <row r="2826" spans="1:9" x14ac:dyDescent="0.25">
      <c r="A2826" t="str">
        <f>""</f>
        <v/>
      </c>
      <c r="F2826" t="str">
        <f>""</f>
        <v/>
      </c>
      <c r="G2826" t="str">
        <f>""</f>
        <v/>
      </c>
      <c r="I2826" t="str">
        <f t="shared" si="54"/>
        <v>TEXAS COUNTY &amp; DISTRICT RET</v>
      </c>
    </row>
    <row r="2827" spans="1:9" x14ac:dyDescent="0.25">
      <c r="A2827" t="str">
        <f>""</f>
        <v/>
      </c>
      <c r="F2827" t="str">
        <f>""</f>
        <v/>
      </c>
      <c r="G2827" t="str">
        <f>""</f>
        <v/>
      </c>
      <c r="I2827" t="str">
        <f t="shared" si="54"/>
        <v>TEXAS COUNTY &amp; DISTRICT RET</v>
      </c>
    </row>
    <row r="2828" spans="1:9" x14ac:dyDescent="0.25">
      <c r="A2828" t="str">
        <f>""</f>
        <v/>
      </c>
      <c r="F2828" t="str">
        <f>""</f>
        <v/>
      </c>
      <c r="G2828" t="str">
        <f>""</f>
        <v/>
      </c>
      <c r="I2828" t="str">
        <f t="shared" si="54"/>
        <v>TEXAS COUNTY &amp; DISTRICT RET</v>
      </c>
    </row>
    <row r="2829" spans="1:9" x14ac:dyDescent="0.25">
      <c r="A2829" t="str">
        <f>""</f>
        <v/>
      </c>
      <c r="F2829" t="str">
        <f>""</f>
        <v/>
      </c>
      <c r="G2829" t="str">
        <f>""</f>
        <v/>
      </c>
      <c r="I2829" t="str">
        <f t="shared" si="54"/>
        <v>TEXAS COUNTY &amp; DISTRICT RET</v>
      </c>
    </row>
    <row r="2830" spans="1:9" x14ac:dyDescent="0.25">
      <c r="A2830" t="str">
        <f>""</f>
        <v/>
      </c>
      <c r="F2830" t="str">
        <f>""</f>
        <v/>
      </c>
      <c r="G2830" t="str">
        <f>""</f>
        <v/>
      </c>
      <c r="I2830" t="str">
        <f t="shared" si="54"/>
        <v>TEXAS COUNTY &amp; DISTRICT RET</v>
      </c>
    </row>
    <row r="2831" spans="1:9" x14ac:dyDescent="0.25">
      <c r="A2831" t="str">
        <f>""</f>
        <v/>
      </c>
      <c r="F2831" t="str">
        <f>""</f>
        <v/>
      </c>
      <c r="G2831" t="str">
        <f>""</f>
        <v/>
      </c>
      <c r="I2831" t="str">
        <f t="shared" si="54"/>
        <v>TEXAS COUNTY &amp; DISTRICT RET</v>
      </c>
    </row>
    <row r="2832" spans="1:9" x14ac:dyDescent="0.25">
      <c r="A2832" t="str">
        <f>""</f>
        <v/>
      </c>
      <c r="F2832" t="str">
        <f>""</f>
        <v/>
      </c>
      <c r="G2832" t="str">
        <f>""</f>
        <v/>
      </c>
      <c r="I2832" t="str">
        <f t="shared" si="54"/>
        <v>TEXAS COUNTY &amp; DISTRICT RET</v>
      </c>
    </row>
    <row r="2833" spans="1:9" x14ac:dyDescent="0.25">
      <c r="A2833" t="str">
        <f>""</f>
        <v/>
      </c>
      <c r="F2833" t="str">
        <f>""</f>
        <v/>
      </c>
      <c r="G2833" t="str">
        <f>""</f>
        <v/>
      </c>
      <c r="I2833" t="str">
        <f t="shared" si="54"/>
        <v>TEXAS COUNTY &amp; DISTRICT RET</v>
      </c>
    </row>
    <row r="2834" spans="1:9" x14ac:dyDescent="0.25">
      <c r="A2834" t="str">
        <f>""</f>
        <v/>
      </c>
      <c r="F2834" t="str">
        <f>""</f>
        <v/>
      </c>
      <c r="G2834" t="str">
        <f>""</f>
        <v/>
      </c>
      <c r="I2834" t="str">
        <f t="shared" si="54"/>
        <v>TEXAS COUNTY &amp; DISTRICT RET</v>
      </c>
    </row>
    <row r="2835" spans="1:9" x14ac:dyDescent="0.25">
      <c r="A2835" t="str">
        <f>""</f>
        <v/>
      </c>
      <c r="F2835" t="str">
        <f>""</f>
        <v/>
      </c>
      <c r="G2835" t="str">
        <f>""</f>
        <v/>
      </c>
      <c r="I2835" t="str">
        <f t="shared" si="54"/>
        <v>TEXAS COUNTY &amp; DISTRICT RET</v>
      </c>
    </row>
    <row r="2836" spans="1:9" x14ac:dyDescent="0.25">
      <c r="A2836" t="str">
        <f>""</f>
        <v/>
      </c>
      <c r="F2836" t="str">
        <f>""</f>
        <v/>
      </c>
      <c r="G2836" t="str">
        <f>""</f>
        <v/>
      </c>
      <c r="I2836" t="str">
        <f t="shared" si="54"/>
        <v>TEXAS COUNTY &amp; DISTRICT RET</v>
      </c>
    </row>
    <row r="2837" spans="1:9" x14ac:dyDescent="0.25">
      <c r="A2837" t="str">
        <f>""</f>
        <v/>
      </c>
      <c r="F2837" t="str">
        <f>""</f>
        <v/>
      </c>
      <c r="G2837" t="str">
        <f>""</f>
        <v/>
      </c>
      <c r="I2837" t="str">
        <f t="shared" si="54"/>
        <v>TEXAS COUNTY &amp; DISTRICT RET</v>
      </c>
    </row>
    <row r="2838" spans="1:9" x14ac:dyDescent="0.25">
      <c r="A2838" t="str">
        <f>""</f>
        <v/>
      </c>
      <c r="F2838" t="str">
        <f>""</f>
        <v/>
      </c>
      <c r="G2838" t="str">
        <f>""</f>
        <v/>
      </c>
      <c r="I2838" t="str">
        <f t="shared" si="54"/>
        <v>TEXAS COUNTY &amp; DISTRICT RET</v>
      </c>
    </row>
    <row r="2839" spans="1:9" x14ac:dyDescent="0.25">
      <c r="A2839" t="str">
        <f>""</f>
        <v/>
      </c>
      <c r="F2839" t="str">
        <f>""</f>
        <v/>
      </c>
      <c r="G2839" t="str">
        <f>""</f>
        <v/>
      </c>
      <c r="I2839" t="str">
        <f t="shared" si="54"/>
        <v>TEXAS COUNTY &amp; DISTRICT RET</v>
      </c>
    </row>
    <row r="2840" spans="1:9" x14ac:dyDescent="0.25">
      <c r="A2840" t="str">
        <f>""</f>
        <v/>
      </c>
      <c r="F2840" t="str">
        <f>""</f>
        <v/>
      </c>
      <c r="G2840" t="str">
        <f>""</f>
        <v/>
      </c>
      <c r="I2840" t="str">
        <f t="shared" si="54"/>
        <v>TEXAS COUNTY &amp; DISTRICT RET</v>
      </c>
    </row>
    <row r="2841" spans="1:9" x14ac:dyDescent="0.25">
      <c r="A2841" t="str">
        <f>""</f>
        <v/>
      </c>
      <c r="F2841" t="str">
        <f>""</f>
        <v/>
      </c>
      <c r="G2841" t="str">
        <f>""</f>
        <v/>
      </c>
      <c r="I2841" t="str">
        <f t="shared" si="54"/>
        <v>TEXAS COUNTY &amp; DISTRICT RET</v>
      </c>
    </row>
    <row r="2842" spans="1:9" x14ac:dyDescent="0.25">
      <c r="A2842" t="str">
        <f>""</f>
        <v/>
      </c>
      <c r="F2842" t="str">
        <f>""</f>
        <v/>
      </c>
      <c r="G2842" t="str">
        <f>""</f>
        <v/>
      </c>
      <c r="I2842" t="str">
        <f t="shared" si="54"/>
        <v>TEXAS COUNTY &amp; DISTRICT RET</v>
      </c>
    </row>
    <row r="2843" spans="1:9" x14ac:dyDescent="0.25">
      <c r="A2843" t="str">
        <f>""</f>
        <v/>
      </c>
      <c r="F2843" t="str">
        <f>""</f>
        <v/>
      </c>
      <c r="G2843" t="str">
        <f>""</f>
        <v/>
      </c>
      <c r="I2843" t="str">
        <f t="shared" si="54"/>
        <v>TEXAS COUNTY &amp; DISTRICT RET</v>
      </c>
    </row>
    <row r="2844" spans="1:9" x14ac:dyDescent="0.25">
      <c r="A2844" t="str">
        <f>""</f>
        <v/>
      </c>
      <c r="F2844" t="str">
        <f>""</f>
        <v/>
      </c>
      <c r="G2844" t="str">
        <f>""</f>
        <v/>
      </c>
      <c r="I2844" t="str">
        <f t="shared" si="54"/>
        <v>TEXAS COUNTY &amp; DISTRICT RET</v>
      </c>
    </row>
    <row r="2845" spans="1:9" x14ac:dyDescent="0.25">
      <c r="A2845" t="str">
        <f>""</f>
        <v/>
      </c>
      <c r="F2845" t="str">
        <f>""</f>
        <v/>
      </c>
      <c r="G2845" t="str">
        <f>""</f>
        <v/>
      </c>
      <c r="I2845" t="str">
        <f t="shared" si="54"/>
        <v>TEXAS COUNTY &amp; DISTRICT RET</v>
      </c>
    </row>
    <row r="2846" spans="1:9" x14ac:dyDescent="0.25">
      <c r="A2846" t="str">
        <f>""</f>
        <v/>
      </c>
      <c r="F2846" t="str">
        <f>""</f>
        <v/>
      </c>
      <c r="G2846" t="str">
        <f>""</f>
        <v/>
      </c>
      <c r="I2846" t="str">
        <f t="shared" si="54"/>
        <v>TEXAS COUNTY &amp; DISTRICT RET</v>
      </c>
    </row>
    <row r="2847" spans="1:9" x14ac:dyDescent="0.25">
      <c r="A2847" t="str">
        <f>""</f>
        <v/>
      </c>
      <c r="F2847" t="str">
        <f>""</f>
        <v/>
      </c>
      <c r="G2847" t="str">
        <f>""</f>
        <v/>
      </c>
      <c r="I2847" t="str">
        <f t="shared" si="54"/>
        <v>TEXAS COUNTY &amp; DISTRICT RET</v>
      </c>
    </row>
    <row r="2848" spans="1:9" x14ac:dyDescent="0.25">
      <c r="A2848" t="str">
        <f>""</f>
        <v/>
      </c>
      <c r="F2848" t="str">
        <f>""</f>
        <v/>
      </c>
      <c r="G2848" t="str">
        <f>""</f>
        <v/>
      </c>
      <c r="I2848" t="str">
        <f t="shared" si="54"/>
        <v>TEXAS COUNTY &amp; DISTRICT RET</v>
      </c>
    </row>
    <row r="2849" spans="1:9" x14ac:dyDescent="0.25">
      <c r="A2849" t="str">
        <f>""</f>
        <v/>
      </c>
      <c r="F2849" t="str">
        <f>""</f>
        <v/>
      </c>
      <c r="G2849" t="str">
        <f>""</f>
        <v/>
      </c>
      <c r="I2849" t="str">
        <f t="shared" ref="I2849:I2870" si="55">"TEXAS COUNTY &amp; DISTRICT RET"</f>
        <v>TEXAS COUNTY &amp; DISTRICT RET</v>
      </c>
    </row>
    <row r="2850" spans="1:9" x14ac:dyDescent="0.25">
      <c r="A2850" t="str">
        <f>""</f>
        <v/>
      </c>
      <c r="F2850" t="str">
        <f>""</f>
        <v/>
      </c>
      <c r="G2850" t="str">
        <f>""</f>
        <v/>
      </c>
      <c r="I2850" t="str">
        <f t="shared" si="55"/>
        <v>TEXAS COUNTY &amp; DISTRICT RET</v>
      </c>
    </row>
    <row r="2851" spans="1:9" x14ac:dyDescent="0.25">
      <c r="A2851" t="str">
        <f>""</f>
        <v/>
      </c>
      <c r="F2851" t="str">
        <f>""</f>
        <v/>
      </c>
      <c r="G2851" t="str">
        <f>""</f>
        <v/>
      </c>
      <c r="I2851" t="str">
        <f t="shared" si="55"/>
        <v>TEXAS COUNTY &amp; DISTRICT RET</v>
      </c>
    </row>
    <row r="2852" spans="1:9" x14ac:dyDescent="0.25">
      <c r="A2852" t="str">
        <f>""</f>
        <v/>
      </c>
      <c r="F2852" t="str">
        <f>""</f>
        <v/>
      </c>
      <c r="G2852" t="str">
        <f>""</f>
        <v/>
      </c>
      <c r="I2852" t="str">
        <f t="shared" si="55"/>
        <v>TEXAS COUNTY &amp; DISTRICT RET</v>
      </c>
    </row>
    <row r="2853" spans="1:9" x14ac:dyDescent="0.25">
      <c r="A2853" t="str">
        <f>""</f>
        <v/>
      </c>
      <c r="F2853" t="str">
        <f>""</f>
        <v/>
      </c>
      <c r="G2853" t="str">
        <f>""</f>
        <v/>
      </c>
      <c r="I2853" t="str">
        <f t="shared" si="55"/>
        <v>TEXAS COUNTY &amp; DISTRICT RET</v>
      </c>
    </row>
    <row r="2854" spans="1:9" x14ac:dyDescent="0.25">
      <c r="A2854" t="str">
        <f>""</f>
        <v/>
      </c>
      <c r="F2854" t="str">
        <f>""</f>
        <v/>
      </c>
      <c r="G2854" t="str">
        <f>""</f>
        <v/>
      </c>
      <c r="I2854" t="str">
        <f t="shared" si="55"/>
        <v>TEXAS COUNTY &amp; DISTRICT RET</v>
      </c>
    </row>
    <row r="2855" spans="1:9" x14ac:dyDescent="0.25">
      <c r="A2855" t="str">
        <f>""</f>
        <v/>
      </c>
      <c r="F2855" t="str">
        <f>""</f>
        <v/>
      </c>
      <c r="G2855" t="str">
        <f>""</f>
        <v/>
      </c>
      <c r="I2855" t="str">
        <f t="shared" si="55"/>
        <v>TEXAS COUNTY &amp; DISTRICT RET</v>
      </c>
    </row>
    <row r="2856" spans="1:9" x14ac:dyDescent="0.25">
      <c r="A2856" t="str">
        <f>""</f>
        <v/>
      </c>
      <c r="F2856" t="str">
        <f>""</f>
        <v/>
      </c>
      <c r="G2856" t="str">
        <f>""</f>
        <v/>
      </c>
      <c r="I2856" t="str">
        <f t="shared" si="55"/>
        <v>TEXAS COUNTY &amp; DISTRICT RET</v>
      </c>
    </row>
    <row r="2857" spans="1:9" x14ac:dyDescent="0.25">
      <c r="A2857" t="str">
        <f>""</f>
        <v/>
      </c>
      <c r="F2857" t="str">
        <f>""</f>
        <v/>
      </c>
      <c r="G2857" t="str">
        <f>""</f>
        <v/>
      </c>
      <c r="I2857" t="str">
        <f t="shared" si="55"/>
        <v>TEXAS COUNTY &amp; DISTRICT RET</v>
      </c>
    </row>
    <row r="2858" spans="1:9" x14ac:dyDescent="0.25">
      <c r="A2858" t="str">
        <f>""</f>
        <v/>
      </c>
      <c r="F2858" t="str">
        <f>""</f>
        <v/>
      </c>
      <c r="G2858" t="str">
        <f>""</f>
        <v/>
      </c>
      <c r="I2858" t="str">
        <f t="shared" si="55"/>
        <v>TEXAS COUNTY &amp; DISTRICT RET</v>
      </c>
    </row>
    <row r="2859" spans="1:9" x14ac:dyDescent="0.25">
      <c r="A2859" t="str">
        <f>""</f>
        <v/>
      </c>
      <c r="F2859" t="str">
        <f>""</f>
        <v/>
      </c>
      <c r="G2859" t="str">
        <f>""</f>
        <v/>
      </c>
      <c r="I2859" t="str">
        <f t="shared" si="55"/>
        <v>TEXAS COUNTY &amp; DISTRICT RET</v>
      </c>
    </row>
    <row r="2860" spans="1:9" x14ac:dyDescent="0.25">
      <c r="A2860" t="str">
        <f>""</f>
        <v/>
      </c>
      <c r="F2860" t="str">
        <f>""</f>
        <v/>
      </c>
      <c r="G2860" t="str">
        <f>""</f>
        <v/>
      </c>
      <c r="I2860" t="str">
        <f t="shared" si="55"/>
        <v>TEXAS COUNTY &amp; DISTRICT RET</v>
      </c>
    </row>
    <row r="2861" spans="1:9" x14ac:dyDescent="0.25">
      <c r="A2861" t="str">
        <f>""</f>
        <v/>
      </c>
      <c r="F2861" t="str">
        <f>""</f>
        <v/>
      </c>
      <c r="G2861" t="str">
        <f>""</f>
        <v/>
      </c>
      <c r="I2861" t="str">
        <f t="shared" si="55"/>
        <v>TEXAS COUNTY &amp; DISTRICT RET</v>
      </c>
    </row>
    <row r="2862" spans="1:9" x14ac:dyDescent="0.25">
      <c r="A2862" t="str">
        <f>""</f>
        <v/>
      </c>
      <c r="F2862" t="str">
        <f>""</f>
        <v/>
      </c>
      <c r="G2862" t="str">
        <f>""</f>
        <v/>
      </c>
      <c r="I2862" t="str">
        <f t="shared" si="55"/>
        <v>TEXAS COUNTY &amp; DISTRICT RET</v>
      </c>
    </row>
    <row r="2863" spans="1:9" x14ac:dyDescent="0.25">
      <c r="A2863" t="str">
        <f>""</f>
        <v/>
      </c>
      <c r="F2863" t="str">
        <f>""</f>
        <v/>
      </c>
      <c r="G2863" t="str">
        <f>""</f>
        <v/>
      </c>
      <c r="I2863" t="str">
        <f t="shared" si="55"/>
        <v>TEXAS COUNTY &amp; DISTRICT RET</v>
      </c>
    </row>
    <row r="2864" spans="1:9" x14ac:dyDescent="0.25">
      <c r="A2864" t="str">
        <f>""</f>
        <v/>
      </c>
      <c r="F2864" t="str">
        <f>""</f>
        <v/>
      </c>
      <c r="G2864" t="str">
        <f>""</f>
        <v/>
      </c>
      <c r="I2864" t="str">
        <f t="shared" si="55"/>
        <v>TEXAS COUNTY &amp; DISTRICT RET</v>
      </c>
    </row>
    <row r="2865" spans="1:9" x14ac:dyDescent="0.25">
      <c r="A2865" t="str">
        <f>""</f>
        <v/>
      </c>
      <c r="F2865" t="str">
        <f>""</f>
        <v/>
      </c>
      <c r="G2865" t="str">
        <f>""</f>
        <v/>
      </c>
      <c r="I2865" t="str">
        <f t="shared" si="55"/>
        <v>TEXAS COUNTY &amp; DISTRICT RET</v>
      </c>
    </row>
    <row r="2866" spans="1:9" x14ac:dyDescent="0.25">
      <c r="A2866" t="str">
        <f>""</f>
        <v/>
      </c>
      <c r="F2866" t="str">
        <f>""</f>
        <v/>
      </c>
      <c r="G2866" t="str">
        <f>""</f>
        <v/>
      </c>
      <c r="I2866" t="str">
        <f t="shared" si="55"/>
        <v>TEXAS COUNTY &amp; DISTRICT RET</v>
      </c>
    </row>
    <row r="2867" spans="1:9" x14ac:dyDescent="0.25">
      <c r="A2867" t="str">
        <f>""</f>
        <v/>
      </c>
      <c r="F2867" t="str">
        <f>""</f>
        <v/>
      </c>
      <c r="G2867" t="str">
        <f>""</f>
        <v/>
      </c>
      <c r="I2867" t="str">
        <f t="shared" si="55"/>
        <v>TEXAS COUNTY &amp; DISTRICT RET</v>
      </c>
    </row>
    <row r="2868" spans="1:9" x14ac:dyDescent="0.25">
      <c r="A2868" t="str">
        <f>""</f>
        <v/>
      </c>
      <c r="F2868" t="str">
        <f>""</f>
        <v/>
      </c>
      <c r="G2868" t="str">
        <f>""</f>
        <v/>
      </c>
      <c r="I2868" t="str">
        <f t="shared" si="55"/>
        <v>TEXAS COUNTY &amp; DISTRICT RET</v>
      </c>
    </row>
    <row r="2869" spans="1:9" x14ac:dyDescent="0.25">
      <c r="A2869" t="str">
        <f>""</f>
        <v/>
      </c>
      <c r="F2869" t="str">
        <f>""</f>
        <v/>
      </c>
      <c r="G2869" t="str">
        <f>""</f>
        <v/>
      </c>
      <c r="I2869" t="str">
        <f t="shared" si="55"/>
        <v>TEXAS COUNTY &amp; DISTRICT RET</v>
      </c>
    </row>
    <row r="2870" spans="1:9" x14ac:dyDescent="0.25">
      <c r="A2870" t="str">
        <f>""</f>
        <v/>
      </c>
      <c r="F2870" t="str">
        <f>""</f>
        <v/>
      </c>
      <c r="G2870" t="str">
        <f>""</f>
        <v/>
      </c>
      <c r="I2870" t="str">
        <f t="shared" si="55"/>
        <v>TEXAS COUNTY &amp; DISTRICT RET</v>
      </c>
    </row>
    <row r="2871" spans="1:9" x14ac:dyDescent="0.25">
      <c r="A2871" t="str">
        <f>""</f>
        <v/>
      </c>
      <c r="F2871" t="str">
        <f>"RET201804180392"</f>
        <v>RET201804180392</v>
      </c>
      <c r="G2871" t="str">
        <f>"TEXAS COUNTY  DISTRICT RET"</f>
        <v>TEXAS COUNTY  DISTRICT RET</v>
      </c>
      <c r="H2871">
        <v>5822.97</v>
      </c>
      <c r="I2871" t="str">
        <f>"TEXAS COUNTY  DISTRICT RET"</f>
        <v>TEXAS COUNTY  DISTRICT RET</v>
      </c>
    </row>
    <row r="2872" spans="1:9" x14ac:dyDescent="0.25">
      <c r="A2872" t="str">
        <f>""</f>
        <v/>
      </c>
      <c r="F2872" t="str">
        <f>""</f>
        <v/>
      </c>
      <c r="G2872" t="str">
        <f>""</f>
        <v/>
      </c>
      <c r="I2872" t="str">
        <f>"TEXAS COUNTY  DISTRICT RET"</f>
        <v>TEXAS COUNTY  DISTRICT RET</v>
      </c>
    </row>
    <row r="2873" spans="1:9" x14ac:dyDescent="0.25">
      <c r="A2873" t="str">
        <f>""</f>
        <v/>
      </c>
      <c r="F2873" t="str">
        <f>"RET201804180393"</f>
        <v>RET201804180393</v>
      </c>
      <c r="G2873" t="str">
        <f>"TEXAS COUNTY &amp; DISTRICT RET"</f>
        <v>TEXAS COUNTY &amp; DISTRICT RET</v>
      </c>
      <c r="H2873">
        <v>8896.56</v>
      </c>
      <c r="I2873" t="str">
        <f>"TEXAS COUNTY &amp; DISTRICT RET"</f>
        <v>TEXAS COUNTY &amp; DISTRICT RET</v>
      </c>
    </row>
    <row r="2874" spans="1:9" x14ac:dyDescent="0.25">
      <c r="A2874" t="str">
        <f>""</f>
        <v/>
      </c>
      <c r="F2874" t="str">
        <f>""</f>
        <v/>
      </c>
      <c r="G2874" t="str">
        <f>""</f>
        <v/>
      </c>
      <c r="I2874" t="str">
        <f>"TEXAS COUNTY &amp; DISTRICT RET"</f>
        <v>TEXAS COUNTY &amp; DISTRICT RET</v>
      </c>
    </row>
    <row r="2875" spans="1:9" x14ac:dyDescent="0.25">
      <c r="A2875" t="str">
        <f>"002457"</f>
        <v>002457</v>
      </c>
      <c r="B2875" t="s">
        <v>508</v>
      </c>
      <c r="C2875">
        <v>46286</v>
      </c>
      <c r="D2875" s="2">
        <v>1125</v>
      </c>
      <c r="E2875" s="1">
        <v>43214</v>
      </c>
      <c r="F2875" t="str">
        <f>"LEG201804049962"</f>
        <v>LEG201804049962</v>
      </c>
      <c r="G2875" t="str">
        <f>"TEXAS LEGAL PROTECTION PLAN"</f>
        <v>TEXAS LEGAL PROTECTION PLAN</v>
      </c>
      <c r="H2875">
        <v>562.5</v>
      </c>
      <c r="I2875" t="str">
        <f>"TEXAS LEGAL PROTECTION PLAN"</f>
        <v>TEXAS LEGAL PROTECTION PLAN</v>
      </c>
    </row>
    <row r="2876" spans="1:9" x14ac:dyDescent="0.25">
      <c r="A2876" t="str">
        <f>""</f>
        <v/>
      </c>
      <c r="F2876" t="str">
        <f>"LEG201804180391"</f>
        <v>LEG201804180391</v>
      </c>
      <c r="G2876" t="str">
        <f>"TEXAS LEGAL PROTECTION PLAN"</f>
        <v>TEXAS LEGAL PROTECTION PLAN</v>
      </c>
      <c r="H2876">
        <v>562.5</v>
      </c>
      <c r="I2876" t="str">
        <f>"TEXAS LEGAL PROTECTION PLAN"</f>
        <v>TEXAS LEGAL PROTECTION PLAN</v>
      </c>
    </row>
    <row r="2877" spans="1:9" x14ac:dyDescent="0.25">
      <c r="A2877" t="str">
        <f>"T14362"</f>
        <v>T14362</v>
      </c>
      <c r="B2877" t="s">
        <v>509</v>
      </c>
      <c r="C2877">
        <v>46263</v>
      </c>
      <c r="D2877" s="2">
        <v>186</v>
      </c>
      <c r="E2877" s="1">
        <v>43196</v>
      </c>
      <c r="F2877" t="str">
        <f>"SL6201804049962"</f>
        <v>SL6201804049962</v>
      </c>
      <c r="G2877" t="str">
        <f>"TG STUDENT LOAN - P CROUCH"</f>
        <v>TG STUDENT LOAN - P CROUCH</v>
      </c>
      <c r="H2877">
        <v>186</v>
      </c>
      <c r="I2877" t="str">
        <f>"TG STUDENT LOAN - P CROUCH"</f>
        <v>TG STUDENT LOAN - P CROUCH</v>
      </c>
    </row>
    <row r="2878" spans="1:9" x14ac:dyDescent="0.25">
      <c r="A2878" t="str">
        <f>"T14362"</f>
        <v>T14362</v>
      </c>
      <c r="B2878" t="s">
        <v>509</v>
      </c>
      <c r="C2878">
        <v>46285</v>
      </c>
      <c r="D2878" s="2">
        <v>186</v>
      </c>
      <c r="E2878" s="1">
        <v>43210</v>
      </c>
      <c r="F2878" t="str">
        <f>"SL6201804180391"</f>
        <v>SL6201804180391</v>
      </c>
      <c r="G2878" t="str">
        <f>"TG STUDENT LOAN - P CROUCH"</f>
        <v>TG STUDENT LOAN - P CROUCH</v>
      </c>
      <c r="H2878">
        <v>186</v>
      </c>
      <c r="I2878" t="str">
        <f>"TG STUDENT LOAN - P CROUCH"</f>
        <v>TG STUDENT LOAN - P CROUCH</v>
      </c>
    </row>
    <row r="2879" spans="1:9" x14ac:dyDescent="0.25">
      <c r="A2879" t="str">
        <f>"T10887"</f>
        <v>T10887</v>
      </c>
      <c r="B2879" t="s">
        <v>510</v>
      </c>
      <c r="C2879">
        <v>46262</v>
      </c>
      <c r="D2879" s="2">
        <v>378.02</v>
      </c>
      <c r="E2879" s="1">
        <v>43196</v>
      </c>
      <c r="F2879" t="str">
        <f>"S10201804049962"</f>
        <v>S10201804049962</v>
      </c>
      <c r="G2879" t="str">
        <f>"STUDENT LOAN"</f>
        <v>STUDENT LOAN</v>
      </c>
      <c r="H2879">
        <v>165.37</v>
      </c>
      <c r="I2879" t="str">
        <f>"STUDENT LOAN"</f>
        <v>STUDENT LOAN</v>
      </c>
    </row>
    <row r="2880" spans="1:9" x14ac:dyDescent="0.25">
      <c r="A2880" t="str">
        <f>""</f>
        <v/>
      </c>
      <c r="F2880" t="str">
        <f>"SL9201804049962"</f>
        <v>SL9201804049962</v>
      </c>
      <c r="G2880" t="str">
        <f>"STUDENT LOAN"</f>
        <v>STUDENT LOAN</v>
      </c>
      <c r="H2880">
        <v>212.65</v>
      </c>
      <c r="I2880" t="str">
        <f>"STUDENT LOAN"</f>
        <v>STUDENT LOAN</v>
      </c>
    </row>
    <row r="2881" spans="1:9" x14ac:dyDescent="0.25">
      <c r="A2881" t="str">
        <f>"T10887"</f>
        <v>T10887</v>
      </c>
      <c r="B2881" t="s">
        <v>510</v>
      </c>
      <c r="C2881">
        <v>46284</v>
      </c>
      <c r="D2881" s="2">
        <v>378.02</v>
      </c>
      <c r="E2881" s="1">
        <v>43210</v>
      </c>
      <c r="F2881" t="str">
        <f>"S10201804180391"</f>
        <v>S10201804180391</v>
      </c>
      <c r="G2881" t="str">
        <f>"STUDENT LOAN"</f>
        <v>STUDENT LOAN</v>
      </c>
      <c r="H2881">
        <v>165.37</v>
      </c>
      <c r="I2881" t="str">
        <f>"STUDENT LOAN"</f>
        <v>STUDENT LOAN</v>
      </c>
    </row>
    <row r="2882" spans="1:9" x14ac:dyDescent="0.25">
      <c r="A2882" t="str">
        <f>""</f>
        <v/>
      </c>
      <c r="F2882" t="str">
        <f>"SL9201804180391"</f>
        <v>SL9201804180391</v>
      </c>
      <c r="G2882" t="str">
        <f>"STUDENT LOAN"</f>
        <v>STUDENT LOAN</v>
      </c>
      <c r="H2882">
        <v>212.65</v>
      </c>
      <c r="I2882" t="str">
        <f>"STUDENT LOAN"</f>
        <v>STUDENT LOAN</v>
      </c>
    </row>
    <row r="2883" spans="1:9" x14ac:dyDescent="0.25">
      <c r="A2883" t="str">
        <f>"004767"</f>
        <v>004767</v>
      </c>
      <c r="B2883" t="s">
        <v>511</v>
      </c>
      <c r="C2883">
        <v>0</v>
      </c>
      <c r="D2883" s="2">
        <v>12419.66</v>
      </c>
      <c r="E2883" s="1">
        <v>43196</v>
      </c>
      <c r="F2883" t="str">
        <f>"FSA201804049962"</f>
        <v>FSA201804049962</v>
      </c>
      <c r="G2883" t="str">
        <f>"WAGE WORKS"</f>
        <v>WAGE WORKS</v>
      </c>
      <c r="H2883">
        <v>8628.48</v>
      </c>
      <c r="I2883" t="str">
        <f>"WAGE WORKS"</f>
        <v>WAGE WORKS</v>
      </c>
    </row>
    <row r="2884" spans="1:9" x14ac:dyDescent="0.25">
      <c r="A2884" t="str">
        <f>""</f>
        <v/>
      </c>
      <c r="F2884" t="str">
        <f>"FSA201804049989"</f>
        <v>FSA201804049989</v>
      </c>
      <c r="G2884" t="str">
        <f>"WAGE WORKS"</f>
        <v>WAGE WORKS</v>
      </c>
      <c r="H2884">
        <v>574</v>
      </c>
      <c r="I2884" t="str">
        <f>"WAGE WORKS"</f>
        <v>WAGE WORKS</v>
      </c>
    </row>
    <row r="2885" spans="1:9" x14ac:dyDescent="0.25">
      <c r="A2885" t="str">
        <f>""</f>
        <v/>
      </c>
      <c r="F2885" t="str">
        <f>"FSC201804049962"</f>
        <v>FSC201804049962</v>
      </c>
      <c r="G2885" t="str">
        <f>"WAGE WORKS"</f>
        <v>WAGE WORKS</v>
      </c>
      <c r="H2885">
        <v>913.95</v>
      </c>
      <c r="I2885" t="str">
        <f>"WAGE WORKS"</f>
        <v>WAGE WORKS</v>
      </c>
    </row>
    <row r="2886" spans="1:9" x14ac:dyDescent="0.25">
      <c r="A2886" t="str">
        <f>""</f>
        <v/>
      </c>
      <c r="F2886" t="str">
        <f>"FSF201804049962"</f>
        <v>FSF201804049962</v>
      </c>
      <c r="G2886" t="str">
        <f>"WAGE WORKS - FSA &amp; HRA FEES"</f>
        <v>WAGE WORKS - FSA &amp; HRA FEES</v>
      </c>
      <c r="H2886">
        <v>549.08000000000004</v>
      </c>
      <c r="I2886" t="str">
        <f t="shared" ref="I2886:I2926" si="56">"WAGE WORKS - FSA &amp; HRA FEES"</f>
        <v>WAGE WORKS - FSA &amp; HRA FEES</v>
      </c>
    </row>
    <row r="2887" spans="1:9" x14ac:dyDescent="0.25">
      <c r="A2887" t="str">
        <f>""</f>
        <v/>
      </c>
      <c r="F2887" t="str">
        <f>""</f>
        <v/>
      </c>
      <c r="G2887" t="str">
        <f>""</f>
        <v/>
      </c>
      <c r="I2887" t="str">
        <f t="shared" si="56"/>
        <v>WAGE WORKS - FSA &amp; HRA FEES</v>
      </c>
    </row>
    <row r="2888" spans="1:9" x14ac:dyDescent="0.25">
      <c r="A2888" t="str">
        <f>""</f>
        <v/>
      </c>
      <c r="F2888" t="str">
        <f>""</f>
        <v/>
      </c>
      <c r="G2888" t="str">
        <f>""</f>
        <v/>
      </c>
      <c r="I2888" t="str">
        <f t="shared" si="56"/>
        <v>WAGE WORKS - FSA &amp; HRA FEES</v>
      </c>
    </row>
    <row r="2889" spans="1:9" x14ac:dyDescent="0.25">
      <c r="A2889" t="str">
        <f>""</f>
        <v/>
      </c>
      <c r="F2889" t="str">
        <f>""</f>
        <v/>
      </c>
      <c r="G2889" t="str">
        <f>""</f>
        <v/>
      </c>
      <c r="I2889" t="str">
        <f t="shared" si="56"/>
        <v>WAGE WORKS - FSA &amp; HRA FEES</v>
      </c>
    </row>
    <row r="2890" spans="1:9" x14ac:dyDescent="0.25">
      <c r="A2890" t="str">
        <f>""</f>
        <v/>
      </c>
      <c r="F2890" t="str">
        <f>""</f>
        <v/>
      </c>
      <c r="G2890" t="str">
        <f>""</f>
        <v/>
      </c>
      <c r="I2890" t="str">
        <f t="shared" si="56"/>
        <v>WAGE WORKS - FSA &amp; HRA FEES</v>
      </c>
    </row>
    <row r="2891" spans="1:9" x14ac:dyDescent="0.25">
      <c r="A2891" t="str">
        <f>""</f>
        <v/>
      </c>
      <c r="F2891" t="str">
        <f>""</f>
        <v/>
      </c>
      <c r="G2891" t="str">
        <f>""</f>
        <v/>
      </c>
      <c r="I2891" t="str">
        <f t="shared" si="56"/>
        <v>WAGE WORKS - FSA &amp; HRA FEES</v>
      </c>
    </row>
    <row r="2892" spans="1:9" x14ac:dyDescent="0.25">
      <c r="A2892" t="str">
        <f>""</f>
        <v/>
      </c>
      <c r="F2892" t="str">
        <f>""</f>
        <v/>
      </c>
      <c r="G2892" t="str">
        <f>""</f>
        <v/>
      </c>
      <c r="I2892" t="str">
        <f t="shared" si="56"/>
        <v>WAGE WORKS - FSA &amp; HRA FEES</v>
      </c>
    </row>
    <row r="2893" spans="1:9" x14ac:dyDescent="0.25">
      <c r="A2893" t="str">
        <f>""</f>
        <v/>
      </c>
      <c r="F2893" t="str">
        <f>""</f>
        <v/>
      </c>
      <c r="G2893" t="str">
        <f>""</f>
        <v/>
      </c>
      <c r="I2893" t="str">
        <f t="shared" si="56"/>
        <v>WAGE WORKS - FSA &amp; HRA FEES</v>
      </c>
    </row>
    <row r="2894" spans="1:9" x14ac:dyDescent="0.25">
      <c r="A2894" t="str">
        <f>""</f>
        <v/>
      </c>
      <c r="F2894" t="str">
        <f>""</f>
        <v/>
      </c>
      <c r="G2894" t="str">
        <f>""</f>
        <v/>
      </c>
      <c r="I2894" t="str">
        <f t="shared" si="56"/>
        <v>WAGE WORKS - FSA &amp; HRA FEES</v>
      </c>
    </row>
    <row r="2895" spans="1:9" x14ac:dyDescent="0.25">
      <c r="A2895" t="str">
        <f>""</f>
        <v/>
      </c>
      <c r="F2895" t="str">
        <f>""</f>
        <v/>
      </c>
      <c r="G2895" t="str">
        <f>""</f>
        <v/>
      </c>
      <c r="I2895" t="str">
        <f t="shared" si="56"/>
        <v>WAGE WORKS - FSA &amp; HRA FEES</v>
      </c>
    </row>
    <row r="2896" spans="1:9" x14ac:dyDescent="0.25">
      <c r="A2896" t="str">
        <f>""</f>
        <v/>
      </c>
      <c r="F2896" t="str">
        <f>""</f>
        <v/>
      </c>
      <c r="G2896" t="str">
        <f>""</f>
        <v/>
      </c>
      <c r="I2896" t="str">
        <f t="shared" si="56"/>
        <v>WAGE WORKS - FSA &amp; HRA FEES</v>
      </c>
    </row>
    <row r="2897" spans="1:9" x14ac:dyDescent="0.25">
      <c r="A2897" t="str">
        <f>""</f>
        <v/>
      </c>
      <c r="F2897" t="str">
        <f>""</f>
        <v/>
      </c>
      <c r="G2897" t="str">
        <f>""</f>
        <v/>
      </c>
      <c r="I2897" t="str">
        <f t="shared" si="56"/>
        <v>WAGE WORKS - FSA &amp; HRA FEES</v>
      </c>
    </row>
    <row r="2898" spans="1:9" x14ac:dyDescent="0.25">
      <c r="A2898" t="str">
        <f>""</f>
        <v/>
      </c>
      <c r="F2898" t="str">
        <f>""</f>
        <v/>
      </c>
      <c r="G2898" t="str">
        <f>""</f>
        <v/>
      </c>
      <c r="I2898" t="str">
        <f t="shared" si="56"/>
        <v>WAGE WORKS - FSA &amp; HRA FEES</v>
      </c>
    </row>
    <row r="2899" spans="1:9" x14ac:dyDescent="0.25">
      <c r="A2899" t="str">
        <f>""</f>
        <v/>
      </c>
      <c r="F2899" t="str">
        <f>""</f>
        <v/>
      </c>
      <c r="G2899" t="str">
        <f>""</f>
        <v/>
      </c>
      <c r="I2899" t="str">
        <f t="shared" si="56"/>
        <v>WAGE WORKS - FSA &amp; HRA FEES</v>
      </c>
    </row>
    <row r="2900" spans="1:9" x14ac:dyDescent="0.25">
      <c r="A2900" t="str">
        <f>""</f>
        <v/>
      </c>
      <c r="F2900" t="str">
        <f>""</f>
        <v/>
      </c>
      <c r="G2900" t="str">
        <f>""</f>
        <v/>
      </c>
      <c r="I2900" t="str">
        <f t="shared" si="56"/>
        <v>WAGE WORKS - FSA &amp; HRA FEES</v>
      </c>
    </row>
    <row r="2901" spans="1:9" x14ac:dyDescent="0.25">
      <c r="A2901" t="str">
        <f>""</f>
        <v/>
      </c>
      <c r="F2901" t="str">
        <f>""</f>
        <v/>
      </c>
      <c r="G2901" t="str">
        <f>""</f>
        <v/>
      </c>
      <c r="I2901" t="str">
        <f t="shared" si="56"/>
        <v>WAGE WORKS - FSA &amp; HRA FEES</v>
      </c>
    </row>
    <row r="2902" spans="1:9" x14ac:dyDescent="0.25">
      <c r="A2902" t="str">
        <f>""</f>
        <v/>
      </c>
      <c r="F2902" t="str">
        <f>""</f>
        <v/>
      </c>
      <c r="G2902" t="str">
        <f>""</f>
        <v/>
      </c>
      <c r="I2902" t="str">
        <f t="shared" si="56"/>
        <v>WAGE WORKS - FSA &amp; HRA FEES</v>
      </c>
    </row>
    <row r="2903" spans="1:9" x14ac:dyDescent="0.25">
      <c r="A2903" t="str">
        <f>""</f>
        <v/>
      </c>
      <c r="F2903" t="str">
        <f>""</f>
        <v/>
      </c>
      <c r="G2903" t="str">
        <f>""</f>
        <v/>
      </c>
      <c r="I2903" t="str">
        <f t="shared" si="56"/>
        <v>WAGE WORKS - FSA &amp; HRA FEES</v>
      </c>
    </row>
    <row r="2904" spans="1:9" x14ac:dyDescent="0.25">
      <c r="A2904" t="str">
        <f>""</f>
        <v/>
      </c>
      <c r="F2904" t="str">
        <f>""</f>
        <v/>
      </c>
      <c r="G2904" t="str">
        <f>""</f>
        <v/>
      </c>
      <c r="I2904" t="str">
        <f t="shared" si="56"/>
        <v>WAGE WORKS - FSA &amp; HRA FEES</v>
      </c>
    </row>
    <row r="2905" spans="1:9" x14ac:dyDescent="0.25">
      <c r="A2905" t="str">
        <f>""</f>
        <v/>
      </c>
      <c r="F2905" t="str">
        <f>""</f>
        <v/>
      </c>
      <c r="G2905" t="str">
        <f>""</f>
        <v/>
      </c>
      <c r="I2905" t="str">
        <f t="shared" si="56"/>
        <v>WAGE WORKS - FSA &amp; HRA FEES</v>
      </c>
    </row>
    <row r="2906" spans="1:9" x14ac:dyDescent="0.25">
      <c r="A2906" t="str">
        <f>""</f>
        <v/>
      </c>
      <c r="F2906" t="str">
        <f>""</f>
        <v/>
      </c>
      <c r="G2906" t="str">
        <f>""</f>
        <v/>
      </c>
      <c r="I2906" t="str">
        <f t="shared" si="56"/>
        <v>WAGE WORKS - FSA &amp; HRA FEES</v>
      </c>
    </row>
    <row r="2907" spans="1:9" x14ac:dyDescent="0.25">
      <c r="A2907" t="str">
        <f>""</f>
        <v/>
      </c>
      <c r="F2907" t="str">
        <f>""</f>
        <v/>
      </c>
      <c r="G2907" t="str">
        <f>""</f>
        <v/>
      </c>
      <c r="I2907" t="str">
        <f t="shared" si="56"/>
        <v>WAGE WORKS - FSA &amp; HRA FEES</v>
      </c>
    </row>
    <row r="2908" spans="1:9" x14ac:dyDescent="0.25">
      <c r="A2908" t="str">
        <f>""</f>
        <v/>
      </c>
      <c r="F2908" t="str">
        <f>""</f>
        <v/>
      </c>
      <c r="G2908" t="str">
        <f>""</f>
        <v/>
      </c>
      <c r="I2908" t="str">
        <f t="shared" si="56"/>
        <v>WAGE WORKS - FSA &amp; HRA FEES</v>
      </c>
    </row>
    <row r="2909" spans="1:9" x14ac:dyDescent="0.25">
      <c r="A2909" t="str">
        <f>""</f>
        <v/>
      </c>
      <c r="F2909" t="str">
        <f>""</f>
        <v/>
      </c>
      <c r="G2909" t="str">
        <f>""</f>
        <v/>
      </c>
      <c r="I2909" t="str">
        <f t="shared" si="56"/>
        <v>WAGE WORKS - FSA &amp; HRA FEES</v>
      </c>
    </row>
    <row r="2910" spans="1:9" x14ac:dyDescent="0.25">
      <c r="A2910" t="str">
        <f>""</f>
        <v/>
      </c>
      <c r="F2910" t="str">
        <f>""</f>
        <v/>
      </c>
      <c r="G2910" t="str">
        <f>""</f>
        <v/>
      </c>
      <c r="I2910" t="str">
        <f t="shared" si="56"/>
        <v>WAGE WORKS - FSA &amp; HRA FEES</v>
      </c>
    </row>
    <row r="2911" spans="1:9" x14ac:dyDescent="0.25">
      <c r="A2911" t="str">
        <f>""</f>
        <v/>
      </c>
      <c r="F2911" t="str">
        <f>""</f>
        <v/>
      </c>
      <c r="G2911" t="str">
        <f>""</f>
        <v/>
      </c>
      <c r="I2911" t="str">
        <f t="shared" si="56"/>
        <v>WAGE WORKS - FSA &amp; HRA FEES</v>
      </c>
    </row>
    <row r="2912" spans="1:9" x14ac:dyDescent="0.25">
      <c r="A2912" t="str">
        <f>""</f>
        <v/>
      </c>
      <c r="F2912" t="str">
        <f>""</f>
        <v/>
      </c>
      <c r="G2912" t="str">
        <f>""</f>
        <v/>
      </c>
      <c r="I2912" t="str">
        <f t="shared" si="56"/>
        <v>WAGE WORKS - FSA &amp; HRA FEES</v>
      </c>
    </row>
    <row r="2913" spans="1:9" x14ac:dyDescent="0.25">
      <c r="A2913" t="str">
        <f>""</f>
        <v/>
      </c>
      <c r="F2913" t="str">
        <f>""</f>
        <v/>
      </c>
      <c r="G2913" t="str">
        <f>""</f>
        <v/>
      </c>
      <c r="I2913" t="str">
        <f t="shared" si="56"/>
        <v>WAGE WORKS - FSA &amp; HRA FEES</v>
      </c>
    </row>
    <row r="2914" spans="1:9" x14ac:dyDescent="0.25">
      <c r="A2914" t="str">
        <f>""</f>
        <v/>
      </c>
      <c r="F2914" t="str">
        <f>""</f>
        <v/>
      </c>
      <c r="G2914" t="str">
        <f>""</f>
        <v/>
      </c>
      <c r="I2914" t="str">
        <f t="shared" si="56"/>
        <v>WAGE WORKS - FSA &amp; HRA FEES</v>
      </c>
    </row>
    <row r="2915" spans="1:9" x14ac:dyDescent="0.25">
      <c r="A2915" t="str">
        <f>""</f>
        <v/>
      </c>
      <c r="F2915" t="str">
        <f>""</f>
        <v/>
      </c>
      <c r="G2915" t="str">
        <f>""</f>
        <v/>
      </c>
      <c r="I2915" t="str">
        <f t="shared" si="56"/>
        <v>WAGE WORKS - FSA &amp; HRA FEES</v>
      </c>
    </row>
    <row r="2916" spans="1:9" x14ac:dyDescent="0.25">
      <c r="A2916" t="str">
        <f>""</f>
        <v/>
      </c>
      <c r="F2916" t="str">
        <f>""</f>
        <v/>
      </c>
      <c r="G2916" t="str">
        <f>""</f>
        <v/>
      </c>
      <c r="I2916" t="str">
        <f t="shared" si="56"/>
        <v>WAGE WORKS - FSA &amp; HRA FEES</v>
      </c>
    </row>
    <row r="2917" spans="1:9" x14ac:dyDescent="0.25">
      <c r="A2917" t="str">
        <f>""</f>
        <v/>
      </c>
      <c r="F2917" t="str">
        <f>""</f>
        <v/>
      </c>
      <c r="G2917" t="str">
        <f>""</f>
        <v/>
      </c>
      <c r="I2917" t="str">
        <f t="shared" si="56"/>
        <v>WAGE WORKS - FSA &amp; HRA FEES</v>
      </c>
    </row>
    <row r="2918" spans="1:9" x14ac:dyDescent="0.25">
      <c r="A2918" t="str">
        <f>""</f>
        <v/>
      </c>
      <c r="F2918" t="str">
        <f>""</f>
        <v/>
      </c>
      <c r="G2918" t="str">
        <f>""</f>
        <v/>
      </c>
      <c r="I2918" t="str">
        <f t="shared" si="56"/>
        <v>WAGE WORKS - FSA &amp; HRA FEES</v>
      </c>
    </row>
    <row r="2919" spans="1:9" x14ac:dyDescent="0.25">
      <c r="A2919" t="str">
        <f>""</f>
        <v/>
      </c>
      <c r="F2919" t="str">
        <f>""</f>
        <v/>
      </c>
      <c r="G2919" t="str">
        <f>""</f>
        <v/>
      </c>
      <c r="I2919" t="str">
        <f t="shared" si="56"/>
        <v>WAGE WORKS - FSA &amp; HRA FEES</v>
      </c>
    </row>
    <row r="2920" spans="1:9" x14ac:dyDescent="0.25">
      <c r="A2920" t="str">
        <f>""</f>
        <v/>
      </c>
      <c r="F2920" t="str">
        <f>""</f>
        <v/>
      </c>
      <c r="G2920" t="str">
        <f>""</f>
        <v/>
      </c>
      <c r="I2920" t="str">
        <f t="shared" si="56"/>
        <v>WAGE WORKS - FSA &amp; HRA FEES</v>
      </c>
    </row>
    <row r="2921" spans="1:9" x14ac:dyDescent="0.25">
      <c r="A2921" t="str">
        <f>""</f>
        <v/>
      </c>
      <c r="F2921" t="str">
        <f>""</f>
        <v/>
      </c>
      <c r="G2921" t="str">
        <f>""</f>
        <v/>
      </c>
      <c r="I2921" t="str">
        <f t="shared" si="56"/>
        <v>WAGE WORKS - FSA &amp; HRA FEES</v>
      </c>
    </row>
    <row r="2922" spans="1:9" x14ac:dyDescent="0.25">
      <c r="A2922" t="str">
        <f>""</f>
        <v/>
      </c>
      <c r="F2922" t="str">
        <f>""</f>
        <v/>
      </c>
      <c r="G2922" t="str">
        <f>""</f>
        <v/>
      </c>
      <c r="I2922" t="str">
        <f t="shared" si="56"/>
        <v>WAGE WORKS - FSA &amp; HRA FEES</v>
      </c>
    </row>
    <row r="2923" spans="1:9" x14ac:dyDescent="0.25">
      <c r="A2923" t="str">
        <f>""</f>
        <v/>
      </c>
      <c r="F2923" t="str">
        <f>""</f>
        <v/>
      </c>
      <c r="G2923" t="str">
        <f>""</f>
        <v/>
      </c>
      <c r="I2923" t="str">
        <f t="shared" si="56"/>
        <v>WAGE WORKS - FSA &amp; HRA FEES</v>
      </c>
    </row>
    <row r="2924" spans="1:9" x14ac:dyDescent="0.25">
      <c r="A2924" t="str">
        <f>""</f>
        <v/>
      </c>
      <c r="F2924" t="str">
        <f>""</f>
        <v/>
      </c>
      <c r="G2924" t="str">
        <f>""</f>
        <v/>
      </c>
      <c r="I2924" t="str">
        <f t="shared" si="56"/>
        <v>WAGE WORKS - FSA &amp; HRA FEES</v>
      </c>
    </row>
    <row r="2925" spans="1:9" x14ac:dyDescent="0.25">
      <c r="A2925" t="str">
        <f>""</f>
        <v/>
      </c>
      <c r="F2925" t="str">
        <f>""</f>
        <v/>
      </c>
      <c r="G2925" t="str">
        <f>""</f>
        <v/>
      </c>
      <c r="I2925" t="str">
        <f t="shared" si="56"/>
        <v>WAGE WORKS - FSA &amp; HRA FEES</v>
      </c>
    </row>
    <row r="2926" spans="1:9" x14ac:dyDescent="0.25">
      <c r="A2926" t="str">
        <f>""</f>
        <v/>
      </c>
      <c r="F2926" t="str">
        <f>"FSF201804049989"</f>
        <v>FSF201804049989</v>
      </c>
      <c r="G2926" t="str">
        <f>"WAGE WORKS - FSA &amp; HRA FEES"</f>
        <v>WAGE WORKS - FSA &amp; HRA FEES</v>
      </c>
      <c r="H2926">
        <v>25.97</v>
      </c>
      <c r="I2926" t="str">
        <f t="shared" si="56"/>
        <v>WAGE WORKS - FSA &amp; HRA FEES</v>
      </c>
    </row>
    <row r="2927" spans="1:9" x14ac:dyDescent="0.25">
      <c r="A2927" t="str">
        <f>""</f>
        <v/>
      </c>
      <c r="F2927" t="str">
        <f>"FSO201804049962"</f>
        <v>FSO201804049962</v>
      </c>
      <c r="G2927" t="str">
        <f>"WAGE WORKS - FSA FEES"</f>
        <v>WAGE WORKS - FSA FEES</v>
      </c>
      <c r="H2927">
        <v>13.02</v>
      </c>
      <c r="I2927" t="str">
        <f t="shared" ref="I2927:I2935" si="57">"WAGE WORKS - FSA FEES"</f>
        <v>WAGE WORKS - FSA FEES</v>
      </c>
    </row>
    <row r="2928" spans="1:9" x14ac:dyDescent="0.25">
      <c r="A2928" t="str">
        <f>""</f>
        <v/>
      </c>
      <c r="F2928" t="str">
        <f>""</f>
        <v/>
      </c>
      <c r="G2928" t="str">
        <f>""</f>
        <v/>
      </c>
      <c r="I2928" t="str">
        <f t="shared" si="57"/>
        <v>WAGE WORKS - FSA FEES</v>
      </c>
    </row>
    <row r="2929" spans="1:9" x14ac:dyDescent="0.25">
      <c r="A2929" t="str">
        <f>""</f>
        <v/>
      </c>
      <c r="F2929" t="str">
        <f>""</f>
        <v/>
      </c>
      <c r="G2929" t="str">
        <f>""</f>
        <v/>
      </c>
      <c r="I2929" t="str">
        <f t="shared" si="57"/>
        <v>WAGE WORKS - FSA FEES</v>
      </c>
    </row>
    <row r="2930" spans="1:9" x14ac:dyDescent="0.25">
      <c r="A2930" t="str">
        <f>""</f>
        <v/>
      </c>
      <c r="F2930" t="str">
        <f>""</f>
        <v/>
      </c>
      <c r="G2930" t="str">
        <f>""</f>
        <v/>
      </c>
      <c r="I2930" t="str">
        <f t="shared" si="57"/>
        <v>WAGE WORKS - FSA FEES</v>
      </c>
    </row>
    <row r="2931" spans="1:9" x14ac:dyDescent="0.25">
      <c r="A2931" t="str">
        <f>""</f>
        <v/>
      </c>
      <c r="F2931" t="str">
        <f>""</f>
        <v/>
      </c>
      <c r="G2931" t="str">
        <f>""</f>
        <v/>
      </c>
      <c r="I2931" t="str">
        <f t="shared" si="57"/>
        <v>WAGE WORKS - FSA FEES</v>
      </c>
    </row>
    <row r="2932" spans="1:9" x14ac:dyDescent="0.25">
      <c r="A2932" t="str">
        <f>""</f>
        <v/>
      </c>
      <c r="F2932" t="str">
        <f>""</f>
        <v/>
      </c>
      <c r="G2932" t="str">
        <f>""</f>
        <v/>
      </c>
      <c r="I2932" t="str">
        <f t="shared" si="57"/>
        <v>WAGE WORKS - FSA FEES</v>
      </c>
    </row>
    <row r="2933" spans="1:9" x14ac:dyDescent="0.25">
      <c r="A2933" t="str">
        <f>""</f>
        <v/>
      </c>
      <c r="F2933" t="str">
        <f>""</f>
        <v/>
      </c>
      <c r="G2933" t="str">
        <f>""</f>
        <v/>
      </c>
      <c r="I2933" t="str">
        <f t="shared" si="57"/>
        <v>WAGE WORKS - FSA FEES</v>
      </c>
    </row>
    <row r="2934" spans="1:9" x14ac:dyDescent="0.25">
      <c r="A2934" t="str">
        <f>""</f>
        <v/>
      </c>
      <c r="F2934" t="str">
        <f>""</f>
        <v/>
      </c>
      <c r="G2934" t="str">
        <f>""</f>
        <v/>
      </c>
      <c r="I2934" t="str">
        <f t="shared" si="57"/>
        <v>WAGE WORKS - FSA FEES</v>
      </c>
    </row>
    <row r="2935" spans="1:9" x14ac:dyDescent="0.25">
      <c r="A2935" t="str">
        <f>""</f>
        <v/>
      </c>
      <c r="F2935" t="str">
        <f>"FSO201804049989"</f>
        <v>FSO201804049989</v>
      </c>
      <c r="G2935" t="str">
        <f>"WAGE WORKS - FSA FEES"</f>
        <v>WAGE WORKS - FSA FEES</v>
      </c>
      <c r="H2935">
        <v>1.86</v>
      </c>
      <c r="I2935" t="str">
        <f t="shared" si="57"/>
        <v>WAGE WORKS - FSA FEES</v>
      </c>
    </row>
    <row r="2936" spans="1:9" x14ac:dyDescent="0.25">
      <c r="A2936" t="str">
        <f>""</f>
        <v/>
      </c>
      <c r="F2936" t="str">
        <f>"HRA201804049962"</f>
        <v>HRA201804049962</v>
      </c>
      <c r="G2936" t="str">
        <f>"WAGE WORKS"</f>
        <v>WAGE WORKS</v>
      </c>
      <c r="H2936">
        <v>1199.94</v>
      </c>
      <c r="I2936" t="str">
        <f>"WAGE WORKS"</f>
        <v>WAGE WORKS</v>
      </c>
    </row>
    <row r="2937" spans="1:9" x14ac:dyDescent="0.25">
      <c r="A2937" t="str">
        <f>""</f>
        <v/>
      </c>
      <c r="F2937" t="str">
        <f>""</f>
        <v/>
      </c>
      <c r="G2937" t="str">
        <f>""</f>
        <v/>
      </c>
      <c r="I2937" t="str">
        <f>"WAGE WORKS"</f>
        <v>WAGE WORKS</v>
      </c>
    </row>
    <row r="2938" spans="1:9" x14ac:dyDescent="0.25">
      <c r="A2938" t="str">
        <f>""</f>
        <v/>
      </c>
      <c r="F2938" t="str">
        <f>""</f>
        <v/>
      </c>
      <c r="G2938" t="str">
        <f>""</f>
        <v/>
      </c>
      <c r="I2938" t="str">
        <f>"WAGE WORKS"</f>
        <v>WAGE WORKS</v>
      </c>
    </row>
    <row r="2939" spans="1:9" x14ac:dyDescent="0.25">
      <c r="A2939" t="str">
        <f>""</f>
        <v/>
      </c>
      <c r="F2939" t="str">
        <f>""</f>
        <v/>
      </c>
      <c r="G2939" t="str">
        <f>""</f>
        <v/>
      </c>
      <c r="I2939" t="str">
        <f>"WAGE WORKS"</f>
        <v>WAGE WORKS</v>
      </c>
    </row>
    <row r="2940" spans="1:9" x14ac:dyDescent="0.25">
      <c r="A2940" t="str">
        <f>""</f>
        <v/>
      </c>
      <c r="F2940" t="str">
        <f>""</f>
        <v/>
      </c>
      <c r="G2940" t="str">
        <f>""</f>
        <v/>
      </c>
      <c r="I2940" t="str">
        <f>"WAGE WORKS"</f>
        <v>WAGE WORKS</v>
      </c>
    </row>
    <row r="2941" spans="1:9" x14ac:dyDescent="0.25">
      <c r="A2941" t="str">
        <f>""</f>
        <v/>
      </c>
      <c r="F2941" t="str">
        <f>"HRF201804049962"</f>
        <v>HRF201804049962</v>
      </c>
      <c r="G2941" t="str">
        <f>"WAGE WORKS - HRA FEES"</f>
        <v>WAGE WORKS - HRA FEES</v>
      </c>
      <c r="H2941">
        <v>496.62</v>
      </c>
      <c r="I2941" t="str">
        <f t="shared" ref="I2941:I2980" si="58">"WAGE WORKS - HRA FEES"</f>
        <v>WAGE WORKS - HRA FEES</v>
      </c>
    </row>
    <row r="2942" spans="1:9" x14ac:dyDescent="0.25">
      <c r="A2942" t="str">
        <f>""</f>
        <v/>
      </c>
      <c r="F2942" t="str">
        <f>""</f>
        <v/>
      </c>
      <c r="G2942" t="str">
        <f>""</f>
        <v/>
      </c>
      <c r="I2942" t="str">
        <f t="shared" si="58"/>
        <v>WAGE WORKS - HRA FEES</v>
      </c>
    </row>
    <row r="2943" spans="1:9" x14ac:dyDescent="0.25">
      <c r="A2943" t="str">
        <f>""</f>
        <v/>
      </c>
      <c r="F2943" t="str">
        <f>""</f>
        <v/>
      </c>
      <c r="G2943" t="str">
        <f>""</f>
        <v/>
      </c>
      <c r="I2943" t="str">
        <f t="shared" si="58"/>
        <v>WAGE WORKS - HRA FEES</v>
      </c>
    </row>
    <row r="2944" spans="1:9" x14ac:dyDescent="0.25">
      <c r="A2944" t="str">
        <f>""</f>
        <v/>
      </c>
      <c r="F2944" t="str">
        <f>""</f>
        <v/>
      </c>
      <c r="G2944" t="str">
        <f>""</f>
        <v/>
      </c>
      <c r="I2944" t="str">
        <f t="shared" si="58"/>
        <v>WAGE WORKS - HRA FEES</v>
      </c>
    </row>
    <row r="2945" spans="1:9" x14ac:dyDescent="0.25">
      <c r="A2945" t="str">
        <f>""</f>
        <v/>
      </c>
      <c r="F2945" t="str">
        <f>""</f>
        <v/>
      </c>
      <c r="G2945" t="str">
        <f>""</f>
        <v/>
      </c>
      <c r="I2945" t="str">
        <f t="shared" si="58"/>
        <v>WAGE WORKS - HRA FEES</v>
      </c>
    </row>
    <row r="2946" spans="1:9" x14ac:dyDescent="0.25">
      <c r="A2946" t="str">
        <f>""</f>
        <v/>
      </c>
      <c r="F2946" t="str">
        <f>""</f>
        <v/>
      </c>
      <c r="G2946" t="str">
        <f>""</f>
        <v/>
      </c>
      <c r="I2946" t="str">
        <f t="shared" si="58"/>
        <v>WAGE WORKS - HRA FEES</v>
      </c>
    </row>
    <row r="2947" spans="1:9" x14ac:dyDescent="0.25">
      <c r="A2947" t="str">
        <f>""</f>
        <v/>
      </c>
      <c r="F2947" t="str">
        <f>""</f>
        <v/>
      </c>
      <c r="G2947" t="str">
        <f>""</f>
        <v/>
      </c>
      <c r="I2947" t="str">
        <f t="shared" si="58"/>
        <v>WAGE WORKS - HRA FEES</v>
      </c>
    </row>
    <row r="2948" spans="1:9" x14ac:dyDescent="0.25">
      <c r="A2948" t="str">
        <f>""</f>
        <v/>
      </c>
      <c r="F2948" t="str">
        <f>""</f>
        <v/>
      </c>
      <c r="G2948" t="str">
        <f>""</f>
        <v/>
      </c>
      <c r="I2948" t="str">
        <f t="shared" si="58"/>
        <v>WAGE WORKS - HRA FEES</v>
      </c>
    </row>
    <row r="2949" spans="1:9" x14ac:dyDescent="0.25">
      <c r="A2949" t="str">
        <f>""</f>
        <v/>
      </c>
      <c r="F2949" t="str">
        <f>""</f>
        <v/>
      </c>
      <c r="G2949" t="str">
        <f>""</f>
        <v/>
      </c>
      <c r="I2949" t="str">
        <f t="shared" si="58"/>
        <v>WAGE WORKS - HRA FEES</v>
      </c>
    </row>
    <row r="2950" spans="1:9" x14ac:dyDescent="0.25">
      <c r="A2950" t="str">
        <f>""</f>
        <v/>
      </c>
      <c r="F2950" t="str">
        <f>""</f>
        <v/>
      </c>
      <c r="G2950" t="str">
        <f>""</f>
        <v/>
      </c>
      <c r="I2950" t="str">
        <f t="shared" si="58"/>
        <v>WAGE WORKS - HRA FEES</v>
      </c>
    </row>
    <row r="2951" spans="1:9" x14ac:dyDescent="0.25">
      <c r="A2951" t="str">
        <f>""</f>
        <v/>
      </c>
      <c r="F2951" t="str">
        <f>""</f>
        <v/>
      </c>
      <c r="G2951" t="str">
        <f>""</f>
        <v/>
      </c>
      <c r="I2951" t="str">
        <f t="shared" si="58"/>
        <v>WAGE WORKS - HRA FEES</v>
      </c>
    </row>
    <row r="2952" spans="1:9" x14ac:dyDescent="0.25">
      <c r="A2952" t="str">
        <f>""</f>
        <v/>
      </c>
      <c r="F2952" t="str">
        <f>""</f>
        <v/>
      </c>
      <c r="G2952" t="str">
        <f>""</f>
        <v/>
      </c>
      <c r="I2952" t="str">
        <f t="shared" si="58"/>
        <v>WAGE WORKS - HRA FEES</v>
      </c>
    </row>
    <row r="2953" spans="1:9" x14ac:dyDescent="0.25">
      <c r="A2953" t="str">
        <f>""</f>
        <v/>
      </c>
      <c r="F2953" t="str">
        <f>""</f>
        <v/>
      </c>
      <c r="G2953" t="str">
        <f>""</f>
        <v/>
      </c>
      <c r="I2953" t="str">
        <f t="shared" si="58"/>
        <v>WAGE WORKS - HRA FEES</v>
      </c>
    </row>
    <row r="2954" spans="1:9" x14ac:dyDescent="0.25">
      <c r="A2954" t="str">
        <f>""</f>
        <v/>
      </c>
      <c r="F2954" t="str">
        <f>""</f>
        <v/>
      </c>
      <c r="G2954" t="str">
        <f>""</f>
        <v/>
      </c>
      <c r="I2954" t="str">
        <f t="shared" si="58"/>
        <v>WAGE WORKS - HRA FEES</v>
      </c>
    </row>
    <row r="2955" spans="1:9" x14ac:dyDescent="0.25">
      <c r="A2955" t="str">
        <f>""</f>
        <v/>
      </c>
      <c r="F2955" t="str">
        <f>""</f>
        <v/>
      </c>
      <c r="G2955" t="str">
        <f>""</f>
        <v/>
      </c>
      <c r="I2955" t="str">
        <f t="shared" si="58"/>
        <v>WAGE WORKS - HRA FEES</v>
      </c>
    </row>
    <row r="2956" spans="1:9" x14ac:dyDescent="0.25">
      <c r="A2956" t="str">
        <f>""</f>
        <v/>
      </c>
      <c r="F2956" t="str">
        <f>""</f>
        <v/>
      </c>
      <c r="G2956" t="str">
        <f>""</f>
        <v/>
      </c>
      <c r="I2956" t="str">
        <f t="shared" si="58"/>
        <v>WAGE WORKS - HRA FEES</v>
      </c>
    </row>
    <row r="2957" spans="1:9" x14ac:dyDescent="0.25">
      <c r="A2957" t="str">
        <f>""</f>
        <v/>
      </c>
      <c r="F2957" t="str">
        <f>""</f>
        <v/>
      </c>
      <c r="G2957" t="str">
        <f>""</f>
        <v/>
      </c>
      <c r="I2957" t="str">
        <f t="shared" si="58"/>
        <v>WAGE WORKS - HRA FEES</v>
      </c>
    </row>
    <row r="2958" spans="1:9" x14ac:dyDescent="0.25">
      <c r="A2958" t="str">
        <f>""</f>
        <v/>
      </c>
      <c r="F2958" t="str">
        <f>""</f>
        <v/>
      </c>
      <c r="G2958" t="str">
        <f>""</f>
        <v/>
      </c>
      <c r="I2958" t="str">
        <f t="shared" si="58"/>
        <v>WAGE WORKS - HRA FEES</v>
      </c>
    </row>
    <row r="2959" spans="1:9" x14ac:dyDescent="0.25">
      <c r="A2959" t="str">
        <f>""</f>
        <v/>
      </c>
      <c r="F2959" t="str">
        <f>""</f>
        <v/>
      </c>
      <c r="G2959" t="str">
        <f>""</f>
        <v/>
      </c>
      <c r="I2959" t="str">
        <f t="shared" si="58"/>
        <v>WAGE WORKS - HRA FEES</v>
      </c>
    </row>
    <row r="2960" spans="1:9" x14ac:dyDescent="0.25">
      <c r="A2960" t="str">
        <f>""</f>
        <v/>
      </c>
      <c r="F2960" t="str">
        <f>""</f>
        <v/>
      </c>
      <c r="G2960" t="str">
        <f>""</f>
        <v/>
      </c>
      <c r="I2960" t="str">
        <f t="shared" si="58"/>
        <v>WAGE WORKS - HRA FEES</v>
      </c>
    </row>
    <row r="2961" spans="1:9" x14ac:dyDescent="0.25">
      <c r="A2961" t="str">
        <f>""</f>
        <v/>
      </c>
      <c r="F2961" t="str">
        <f>""</f>
        <v/>
      </c>
      <c r="G2961" t="str">
        <f>""</f>
        <v/>
      </c>
      <c r="I2961" t="str">
        <f t="shared" si="58"/>
        <v>WAGE WORKS - HRA FEES</v>
      </c>
    </row>
    <row r="2962" spans="1:9" x14ac:dyDescent="0.25">
      <c r="A2962" t="str">
        <f>""</f>
        <v/>
      </c>
      <c r="F2962" t="str">
        <f>""</f>
        <v/>
      </c>
      <c r="G2962" t="str">
        <f>""</f>
        <v/>
      </c>
      <c r="I2962" t="str">
        <f t="shared" si="58"/>
        <v>WAGE WORKS - HRA FEES</v>
      </c>
    </row>
    <row r="2963" spans="1:9" x14ac:dyDescent="0.25">
      <c r="A2963" t="str">
        <f>""</f>
        <v/>
      </c>
      <c r="F2963" t="str">
        <f>""</f>
        <v/>
      </c>
      <c r="G2963" t="str">
        <f>""</f>
        <v/>
      </c>
      <c r="I2963" t="str">
        <f t="shared" si="58"/>
        <v>WAGE WORKS - HRA FEES</v>
      </c>
    </row>
    <row r="2964" spans="1:9" x14ac:dyDescent="0.25">
      <c r="A2964" t="str">
        <f>""</f>
        <v/>
      </c>
      <c r="F2964" t="str">
        <f>""</f>
        <v/>
      </c>
      <c r="G2964" t="str">
        <f>""</f>
        <v/>
      </c>
      <c r="I2964" t="str">
        <f t="shared" si="58"/>
        <v>WAGE WORKS - HRA FEES</v>
      </c>
    </row>
    <row r="2965" spans="1:9" x14ac:dyDescent="0.25">
      <c r="A2965" t="str">
        <f>""</f>
        <v/>
      </c>
      <c r="F2965" t="str">
        <f>""</f>
        <v/>
      </c>
      <c r="G2965" t="str">
        <f>""</f>
        <v/>
      </c>
      <c r="I2965" t="str">
        <f t="shared" si="58"/>
        <v>WAGE WORKS - HRA FEES</v>
      </c>
    </row>
    <row r="2966" spans="1:9" x14ac:dyDescent="0.25">
      <c r="A2966" t="str">
        <f>""</f>
        <v/>
      </c>
      <c r="F2966" t="str">
        <f>""</f>
        <v/>
      </c>
      <c r="G2966" t="str">
        <f>""</f>
        <v/>
      </c>
      <c r="I2966" t="str">
        <f t="shared" si="58"/>
        <v>WAGE WORKS - HRA FEES</v>
      </c>
    </row>
    <row r="2967" spans="1:9" x14ac:dyDescent="0.25">
      <c r="A2967" t="str">
        <f>""</f>
        <v/>
      </c>
      <c r="F2967" t="str">
        <f>""</f>
        <v/>
      </c>
      <c r="G2967" t="str">
        <f>""</f>
        <v/>
      </c>
      <c r="I2967" t="str">
        <f t="shared" si="58"/>
        <v>WAGE WORKS - HRA FEES</v>
      </c>
    </row>
    <row r="2968" spans="1:9" x14ac:dyDescent="0.25">
      <c r="A2968" t="str">
        <f>""</f>
        <v/>
      </c>
      <c r="F2968" t="str">
        <f>""</f>
        <v/>
      </c>
      <c r="G2968" t="str">
        <f>""</f>
        <v/>
      </c>
      <c r="I2968" t="str">
        <f t="shared" si="58"/>
        <v>WAGE WORKS - HRA FEES</v>
      </c>
    </row>
    <row r="2969" spans="1:9" x14ac:dyDescent="0.25">
      <c r="A2969" t="str">
        <f>""</f>
        <v/>
      </c>
      <c r="F2969" t="str">
        <f>""</f>
        <v/>
      </c>
      <c r="G2969" t="str">
        <f>""</f>
        <v/>
      </c>
      <c r="I2969" t="str">
        <f t="shared" si="58"/>
        <v>WAGE WORKS - HRA FEES</v>
      </c>
    </row>
    <row r="2970" spans="1:9" x14ac:dyDescent="0.25">
      <c r="A2970" t="str">
        <f>""</f>
        <v/>
      </c>
      <c r="F2970" t="str">
        <f>""</f>
        <v/>
      </c>
      <c r="G2970" t="str">
        <f>""</f>
        <v/>
      </c>
      <c r="I2970" t="str">
        <f t="shared" si="58"/>
        <v>WAGE WORKS - HRA FEES</v>
      </c>
    </row>
    <row r="2971" spans="1:9" x14ac:dyDescent="0.25">
      <c r="A2971" t="str">
        <f>""</f>
        <v/>
      </c>
      <c r="F2971" t="str">
        <f>""</f>
        <v/>
      </c>
      <c r="G2971" t="str">
        <f>""</f>
        <v/>
      </c>
      <c r="I2971" t="str">
        <f t="shared" si="58"/>
        <v>WAGE WORKS - HRA FEES</v>
      </c>
    </row>
    <row r="2972" spans="1:9" x14ac:dyDescent="0.25">
      <c r="A2972" t="str">
        <f>""</f>
        <v/>
      </c>
      <c r="F2972" t="str">
        <f>""</f>
        <v/>
      </c>
      <c r="G2972" t="str">
        <f>""</f>
        <v/>
      </c>
      <c r="I2972" t="str">
        <f t="shared" si="58"/>
        <v>WAGE WORKS - HRA FEES</v>
      </c>
    </row>
    <row r="2973" spans="1:9" x14ac:dyDescent="0.25">
      <c r="A2973" t="str">
        <f>""</f>
        <v/>
      </c>
      <c r="F2973" t="str">
        <f>""</f>
        <v/>
      </c>
      <c r="G2973" t="str">
        <f>""</f>
        <v/>
      </c>
      <c r="I2973" t="str">
        <f t="shared" si="58"/>
        <v>WAGE WORKS - HRA FEES</v>
      </c>
    </row>
    <row r="2974" spans="1:9" x14ac:dyDescent="0.25">
      <c r="A2974" t="str">
        <f>""</f>
        <v/>
      </c>
      <c r="F2974" t="str">
        <f>""</f>
        <v/>
      </c>
      <c r="G2974" t="str">
        <f>""</f>
        <v/>
      </c>
      <c r="I2974" t="str">
        <f t="shared" si="58"/>
        <v>WAGE WORKS - HRA FEES</v>
      </c>
    </row>
    <row r="2975" spans="1:9" x14ac:dyDescent="0.25">
      <c r="A2975" t="str">
        <f>""</f>
        <v/>
      </c>
      <c r="F2975" t="str">
        <f>""</f>
        <v/>
      </c>
      <c r="G2975" t="str">
        <f>""</f>
        <v/>
      </c>
      <c r="I2975" t="str">
        <f t="shared" si="58"/>
        <v>WAGE WORKS - HRA FEES</v>
      </c>
    </row>
    <row r="2976" spans="1:9" x14ac:dyDescent="0.25">
      <c r="A2976" t="str">
        <f>""</f>
        <v/>
      </c>
      <c r="F2976" t="str">
        <f>""</f>
        <v/>
      </c>
      <c r="G2976" t="str">
        <f>""</f>
        <v/>
      </c>
      <c r="I2976" t="str">
        <f t="shared" si="58"/>
        <v>WAGE WORKS - HRA FEES</v>
      </c>
    </row>
    <row r="2977" spans="1:9" x14ac:dyDescent="0.25">
      <c r="A2977" t="str">
        <f>""</f>
        <v/>
      </c>
      <c r="F2977" t="str">
        <f>""</f>
        <v/>
      </c>
      <c r="G2977" t="str">
        <f>""</f>
        <v/>
      </c>
      <c r="I2977" t="str">
        <f t="shared" si="58"/>
        <v>WAGE WORKS - HRA FEES</v>
      </c>
    </row>
    <row r="2978" spans="1:9" x14ac:dyDescent="0.25">
      <c r="A2978" t="str">
        <f>""</f>
        <v/>
      </c>
      <c r="F2978" t="str">
        <f>""</f>
        <v/>
      </c>
      <c r="G2978" t="str">
        <f>""</f>
        <v/>
      </c>
      <c r="I2978" t="str">
        <f t="shared" si="58"/>
        <v>WAGE WORKS - HRA FEES</v>
      </c>
    </row>
    <row r="2979" spans="1:9" x14ac:dyDescent="0.25">
      <c r="A2979" t="str">
        <f>""</f>
        <v/>
      </c>
      <c r="F2979" t="str">
        <f>""</f>
        <v/>
      </c>
      <c r="G2979" t="str">
        <f>""</f>
        <v/>
      </c>
      <c r="I2979" t="str">
        <f t="shared" si="58"/>
        <v>WAGE WORKS - HRA FEES</v>
      </c>
    </row>
    <row r="2980" spans="1:9" x14ac:dyDescent="0.25">
      <c r="A2980" t="str">
        <f>""</f>
        <v/>
      </c>
      <c r="F2980" t="str">
        <f>"HRF201804049989"</f>
        <v>HRF201804049989</v>
      </c>
      <c r="G2980" t="str">
        <f>"WAGE WORKS - HRA FEES"</f>
        <v>WAGE WORKS - HRA FEES</v>
      </c>
      <c r="H2980">
        <v>16.739999999999998</v>
      </c>
      <c r="I2980" t="str">
        <f t="shared" si="58"/>
        <v>WAGE WORKS - HRA FEES</v>
      </c>
    </row>
    <row r="2981" spans="1:9" x14ac:dyDescent="0.25">
      <c r="A2981" t="str">
        <f>"004767"</f>
        <v>004767</v>
      </c>
      <c r="B2981" t="s">
        <v>511</v>
      </c>
      <c r="C2981">
        <v>0</v>
      </c>
      <c r="D2981" s="2">
        <v>11219.72</v>
      </c>
      <c r="E2981" s="1">
        <v>43210</v>
      </c>
      <c r="F2981" t="str">
        <f>"FSA201804180391"</f>
        <v>FSA201804180391</v>
      </c>
      <c r="G2981" t="str">
        <f>"WAGE WORKS"</f>
        <v>WAGE WORKS</v>
      </c>
      <c r="H2981">
        <v>8628.48</v>
      </c>
      <c r="I2981" t="str">
        <f>"WAGE WORKS"</f>
        <v>WAGE WORKS</v>
      </c>
    </row>
    <row r="2982" spans="1:9" x14ac:dyDescent="0.25">
      <c r="A2982" t="str">
        <f>""</f>
        <v/>
      </c>
      <c r="F2982" t="str">
        <f>"FSA201804180392"</f>
        <v>FSA201804180392</v>
      </c>
      <c r="G2982" t="str">
        <f>"WAGE WORKS"</f>
        <v>WAGE WORKS</v>
      </c>
      <c r="H2982">
        <v>574</v>
      </c>
      <c r="I2982" t="str">
        <f>"WAGE WORKS"</f>
        <v>WAGE WORKS</v>
      </c>
    </row>
    <row r="2983" spans="1:9" x14ac:dyDescent="0.25">
      <c r="A2983" t="str">
        <f>""</f>
        <v/>
      </c>
      <c r="F2983" t="str">
        <f>"FSC201804180391"</f>
        <v>FSC201804180391</v>
      </c>
      <c r="G2983" t="str">
        <f>"WAGE WORKS"</f>
        <v>WAGE WORKS</v>
      </c>
      <c r="H2983">
        <v>913.95</v>
      </c>
      <c r="I2983" t="str">
        <f>"WAGE WORKS"</f>
        <v>WAGE WORKS</v>
      </c>
    </row>
    <row r="2984" spans="1:9" x14ac:dyDescent="0.25">
      <c r="A2984" t="str">
        <f>""</f>
        <v/>
      </c>
      <c r="F2984" t="str">
        <f>"FSF201804180391"</f>
        <v>FSF201804180391</v>
      </c>
      <c r="G2984" t="str">
        <f>"WAGE WORKS - FSA &amp; HRA FEES"</f>
        <v>WAGE WORKS - FSA &amp; HRA FEES</v>
      </c>
      <c r="H2984">
        <v>549.08000000000004</v>
      </c>
      <c r="I2984" t="str">
        <f t="shared" ref="I2984:I3024" si="59">"WAGE WORKS - FSA &amp; HRA FEES"</f>
        <v>WAGE WORKS - FSA &amp; HRA FEES</v>
      </c>
    </row>
    <row r="2985" spans="1:9" x14ac:dyDescent="0.25">
      <c r="A2985" t="str">
        <f>""</f>
        <v/>
      </c>
      <c r="F2985" t="str">
        <f>""</f>
        <v/>
      </c>
      <c r="G2985" t="str">
        <f>""</f>
        <v/>
      </c>
      <c r="I2985" t="str">
        <f t="shared" si="59"/>
        <v>WAGE WORKS - FSA &amp; HRA FEES</v>
      </c>
    </row>
    <row r="2986" spans="1:9" x14ac:dyDescent="0.25">
      <c r="A2986" t="str">
        <f>""</f>
        <v/>
      </c>
      <c r="F2986" t="str">
        <f>""</f>
        <v/>
      </c>
      <c r="G2986" t="str">
        <f>""</f>
        <v/>
      </c>
      <c r="I2986" t="str">
        <f t="shared" si="59"/>
        <v>WAGE WORKS - FSA &amp; HRA FEES</v>
      </c>
    </row>
    <row r="2987" spans="1:9" x14ac:dyDescent="0.25">
      <c r="A2987" t="str">
        <f>""</f>
        <v/>
      </c>
      <c r="F2987" t="str">
        <f>""</f>
        <v/>
      </c>
      <c r="G2987" t="str">
        <f>""</f>
        <v/>
      </c>
      <c r="I2987" t="str">
        <f t="shared" si="59"/>
        <v>WAGE WORKS - FSA &amp; HRA FEES</v>
      </c>
    </row>
    <row r="2988" spans="1:9" x14ac:dyDescent="0.25">
      <c r="A2988" t="str">
        <f>""</f>
        <v/>
      </c>
      <c r="F2988" t="str">
        <f>""</f>
        <v/>
      </c>
      <c r="G2988" t="str">
        <f>""</f>
        <v/>
      </c>
      <c r="I2988" t="str">
        <f t="shared" si="59"/>
        <v>WAGE WORKS - FSA &amp; HRA FEES</v>
      </c>
    </row>
    <row r="2989" spans="1:9" x14ac:dyDescent="0.25">
      <c r="A2989" t="str">
        <f>""</f>
        <v/>
      </c>
      <c r="F2989" t="str">
        <f>""</f>
        <v/>
      </c>
      <c r="G2989" t="str">
        <f>""</f>
        <v/>
      </c>
      <c r="I2989" t="str">
        <f t="shared" si="59"/>
        <v>WAGE WORKS - FSA &amp; HRA FEES</v>
      </c>
    </row>
    <row r="2990" spans="1:9" x14ac:dyDescent="0.25">
      <c r="A2990" t="str">
        <f>""</f>
        <v/>
      </c>
      <c r="F2990" t="str">
        <f>""</f>
        <v/>
      </c>
      <c r="G2990" t="str">
        <f>""</f>
        <v/>
      </c>
      <c r="I2990" t="str">
        <f t="shared" si="59"/>
        <v>WAGE WORKS - FSA &amp; HRA FEES</v>
      </c>
    </row>
    <row r="2991" spans="1:9" x14ac:dyDescent="0.25">
      <c r="A2991" t="str">
        <f>""</f>
        <v/>
      </c>
      <c r="F2991" t="str">
        <f>""</f>
        <v/>
      </c>
      <c r="G2991" t="str">
        <f>""</f>
        <v/>
      </c>
      <c r="I2991" t="str">
        <f t="shared" si="59"/>
        <v>WAGE WORKS - FSA &amp; HRA FEES</v>
      </c>
    </row>
    <row r="2992" spans="1:9" x14ac:dyDescent="0.25">
      <c r="A2992" t="str">
        <f>""</f>
        <v/>
      </c>
      <c r="F2992" t="str">
        <f>""</f>
        <v/>
      </c>
      <c r="G2992" t="str">
        <f>""</f>
        <v/>
      </c>
      <c r="I2992" t="str">
        <f t="shared" si="59"/>
        <v>WAGE WORKS - FSA &amp; HRA FEES</v>
      </c>
    </row>
    <row r="2993" spans="1:9" x14ac:dyDescent="0.25">
      <c r="A2993" t="str">
        <f>""</f>
        <v/>
      </c>
      <c r="F2993" t="str">
        <f>""</f>
        <v/>
      </c>
      <c r="G2993" t="str">
        <f>""</f>
        <v/>
      </c>
      <c r="I2993" t="str">
        <f t="shared" si="59"/>
        <v>WAGE WORKS - FSA &amp; HRA FEES</v>
      </c>
    </row>
    <row r="2994" spans="1:9" x14ac:dyDescent="0.25">
      <c r="A2994" t="str">
        <f>""</f>
        <v/>
      </c>
      <c r="F2994" t="str">
        <f>""</f>
        <v/>
      </c>
      <c r="G2994" t="str">
        <f>""</f>
        <v/>
      </c>
      <c r="I2994" t="str">
        <f t="shared" si="59"/>
        <v>WAGE WORKS - FSA &amp; HRA FEES</v>
      </c>
    </row>
    <row r="2995" spans="1:9" x14ac:dyDescent="0.25">
      <c r="A2995" t="str">
        <f>""</f>
        <v/>
      </c>
      <c r="F2995" t="str">
        <f>""</f>
        <v/>
      </c>
      <c r="G2995" t="str">
        <f>""</f>
        <v/>
      </c>
      <c r="I2995" t="str">
        <f t="shared" si="59"/>
        <v>WAGE WORKS - FSA &amp; HRA FEES</v>
      </c>
    </row>
    <row r="2996" spans="1:9" x14ac:dyDescent="0.25">
      <c r="A2996" t="str">
        <f>""</f>
        <v/>
      </c>
      <c r="F2996" t="str">
        <f>""</f>
        <v/>
      </c>
      <c r="G2996" t="str">
        <f>""</f>
        <v/>
      </c>
      <c r="I2996" t="str">
        <f t="shared" si="59"/>
        <v>WAGE WORKS - FSA &amp; HRA FEES</v>
      </c>
    </row>
    <row r="2997" spans="1:9" x14ac:dyDescent="0.25">
      <c r="A2997" t="str">
        <f>""</f>
        <v/>
      </c>
      <c r="F2997" t="str">
        <f>""</f>
        <v/>
      </c>
      <c r="G2997" t="str">
        <f>""</f>
        <v/>
      </c>
      <c r="I2997" t="str">
        <f t="shared" si="59"/>
        <v>WAGE WORKS - FSA &amp; HRA FEES</v>
      </c>
    </row>
    <row r="2998" spans="1:9" x14ac:dyDescent="0.25">
      <c r="A2998" t="str">
        <f>""</f>
        <v/>
      </c>
      <c r="F2998" t="str">
        <f>""</f>
        <v/>
      </c>
      <c r="G2998" t="str">
        <f>""</f>
        <v/>
      </c>
      <c r="I2998" t="str">
        <f t="shared" si="59"/>
        <v>WAGE WORKS - FSA &amp; HRA FEES</v>
      </c>
    </row>
    <row r="2999" spans="1:9" x14ac:dyDescent="0.25">
      <c r="A2999" t="str">
        <f>""</f>
        <v/>
      </c>
      <c r="F2999" t="str">
        <f>""</f>
        <v/>
      </c>
      <c r="G2999" t="str">
        <f>""</f>
        <v/>
      </c>
      <c r="I2999" t="str">
        <f t="shared" si="59"/>
        <v>WAGE WORKS - FSA &amp; HRA FEES</v>
      </c>
    </row>
    <row r="3000" spans="1:9" x14ac:dyDescent="0.25">
      <c r="A3000" t="str">
        <f>""</f>
        <v/>
      </c>
      <c r="F3000" t="str">
        <f>""</f>
        <v/>
      </c>
      <c r="G3000" t="str">
        <f>""</f>
        <v/>
      </c>
      <c r="I3000" t="str">
        <f t="shared" si="59"/>
        <v>WAGE WORKS - FSA &amp; HRA FEES</v>
      </c>
    </row>
    <row r="3001" spans="1:9" x14ac:dyDescent="0.25">
      <c r="A3001" t="str">
        <f>""</f>
        <v/>
      </c>
      <c r="F3001" t="str">
        <f>""</f>
        <v/>
      </c>
      <c r="G3001" t="str">
        <f>""</f>
        <v/>
      </c>
      <c r="I3001" t="str">
        <f t="shared" si="59"/>
        <v>WAGE WORKS - FSA &amp; HRA FEES</v>
      </c>
    </row>
    <row r="3002" spans="1:9" x14ac:dyDescent="0.25">
      <c r="A3002" t="str">
        <f>""</f>
        <v/>
      </c>
      <c r="F3002" t="str">
        <f>""</f>
        <v/>
      </c>
      <c r="G3002" t="str">
        <f>""</f>
        <v/>
      </c>
      <c r="I3002" t="str">
        <f t="shared" si="59"/>
        <v>WAGE WORKS - FSA &amp; HRA FEES</v>
      </c>
    </row>
    <row r="3003" spans="1:9" x14ac:dyDescent="0.25">
      <c r="A3003" t="str">
        <f>""</f>
        <v/>
      </c>
      <c r="F3003" t="str">
        <f>""</f>
        <v/>
      </c>
      <c r="G3003" t="str">
        <f>""</f>
        <v/>
      </c>
      <c r="I3003" t="str">
        <f t="shared" si="59"/>
        <v>WAGE WORKS - FSA &amp; HRA FEES</v>
      </c>
    </row>
    <row r="3004" spans="1:9" x14ac:dyDescent="0.25">
      <c r="A3004" t="str">
        <f>""</f>
        <v/>
      </c>
      <c r="F3004" t="str">
        <f>""</f>
        <v/>
      </c>
      <c r="G3004" t="str">
        <f>""</f>
        <v/>
      </c>
      <c r="I3004" t="str">
        <f t="shared" si="59"/>
        <v>WAGE WORKS - FSA &amp; HRA FEES</v>
      </c>
    </row>
    <row r="3005" spans="1:9" x14ac:dyDescent="0.25">
      <c r="A3005" t="str">
        <f>""</f>
        <v/>
      </c>
      <c r="F3005" t="str">
        <f>""</f>
        <v/>
      </c>
      <c r="G3005" t="str">
        <f>""</f>
        <v/>
      </c>
      <c r="I3005" t="str">
        <f t="shared" si="59"/>
        <v>WAGE WORKS - FSA &amp; HRA FEES</v>
      </c>
    </row>
    <row r="3006" spans="1:9" x14ac:dyDescent="0.25">
      <c r="A3006" t="str">
        <f>""</f>
        <v/>
      </c>
      <c r="F3006" t="str">
        <f>""</f>
        <v/>
      </c>
      <c r="G3006" t="str">
        <f>""</f>
        <v/>
      </c>
      <c r="I3006" t="str">
        <f t="shared" si="59"/>
        <v>WAGE WORKS - FSA &amp; HRA FEES</v>
      </c>
    </row>
    <row r="3007" spans="1:9" x14ac:dyDescent="0.25">
      <c r="A3007" t="str">
        <f>""</f>
        <v/>
      </c>
      <c r="F3007" t="str">
        <f>""</f>
        <v/>
      </c>
      <c r="G3007" t="str">
        <f>""</f>
        <v/>
      </c>
      <c r="I3007" t="str">
        <f t="shared" si="59"/>
        <v>WAGE WORKS - FSA &amp; HRA FEES</v>
      </c>
    </row>
    <row r="3008" spans="1:9" x14ac:dyDescent="0.25">
      <c r="A3008" t="str">
        <f>""</f>
        <v/>
      </c>
      <c r="F3008" t="str">
        <f>""</f>
        <v/>
      </c>
      <c r="G3008" t="str">
        <f>""</f>
        <v/>
      </c>
      <c r="I3008" t="str">
        <f t="shared" si="59"/>
        <v>WAGE WORKS - FSA &amp; HRA FEES</v>
      </c>
    </row>
    <row r="3009" spans="1:9" x14ac:dyDescent="0.25">
      <c r="A3009" t="str">
        <f>""</f>
        <v/>
      </c>
      <c r="F3009" t="str">
        <f>""</f>
        <v/>
      </c>
      <c r="G3009" t="str">
        <f>""</f>
        <v/>
      </c>
      <c r="I3009" t="str">
        <f t="shared" si="59"/>
        <v>WAGE WORKS - FSA &amp; HRA FEES</v>
      </c>
    </row>
    <row r="3010" spans="1:9" x14ac:dyDescent="0.25">
      <c r="A3010" t="str">
        <f>""</f>
        <v/>
      </c>
      <c r="F3010" t="str">
        <f>""</f>
        <v/>
      </c>
      <c r="G3010" t="str">
        <f>""</f>
        <v/>
      </c>
      <c r="I3010" t="str">
        <f t="shared" si="59"/>
        <v>WAGE WORKS - FSA &amp; HRA FEES</v>
      </c>
    </row>
    <row r="3011" spans="1:9" x14ac:dyDescent="0.25">
      <c r="A3011" t="str">
        <f>""</f>
        <v/>
      </c>
      <c r="F3011" t="str">
        <f>""</f>
        <v/>
      </c>
      <c r="G3011" t="str">
        <f>""</f>
        <v/>
      </c>
      <c r="I3011" t="str">
        <f t="shared" si="59"/>
        <v>WAGE WORKS - FSA &amp; HRA FEES</v>
      </c>
    </row>
    <row r="3012" spans="1:9" x14ac:dyDescent="0.25">
      <c r="A3012" t="str">
        <f>""</f>
        <v/>
      </c>
      <c r="F3012" t="str">
        <f>""</f>
        <v/>
      </c>
      <c r="G3012" t="str">
        <f>""</f>
        <v/>
      </c>
      <c r="I3012" t="str">
        <f t="shared" si="59"/>
        <v>WAGE WORKS - FSA &amp; HRA FEES</v>
      </c>
    </row>
    <row r="3013" spans="1:9" x14ac:dyDescent="0.25">
      <c r="A3013" t="str">
        <f>""</f>
        <v/>
      </c>
      <c r="F3013" t="str">
        <f>""</f>
        <v/>
      </c>
      <c r="G3013" t="str">
        <f>""</f>
        <v/>
      </c>
      <c r="I3013" t="str">
        <f t="shared" si="59"/>
        <v>WAGE WORKS - FSA &amp; HRA FEES</v>
      </c>
    </row>
    <row r="3014" spans="1:9" x14ac:dyDescent="0.25">
      <c r="A3014" t="str">
        <f>""</f>
        <v/>
      </c>
      <c r="F3014" t="str">
        <f>""</f>
        <v/>
      </c>
      <c r="G3014" t="str">
        <f>""</f>
        <v/>
      </c>
      <c r="I3014" t="str">
        <f t="shared" si="59"/>
        <v>WAGE WORKS - FSA &amp; HRA FEES</v>
      </c>
    </row>
    <row r="3015" spans="1:9" x14ac:dyDescent="0.25">
      <c r="A3015" t="str">
        <f>""</f>
        <v/>
      </c>
      <c r="F3015" t="str">
        <f>""</f>
        <v/>
      </c>
      <c r="G3015" t="str">
        <f>""</f>
        <v/>
      </c>
      <c r="I3015" t="str">
        <f t="shared" si="59"/>
        <v>WAGE WORKS - FSA &amp; HRA FEES</v>
      </c>
    </row>
    <row r="3016" spans="1:9" x14ac:dyDescent="0.25">
      <c r="A3016" t="str">
        <f>""</f>
        <v/>
      </c>
      <c r="F3016" t="str">
        <f>""</f>
        <v/>
      </c>
      <c r="G3016" t="str">
        <f>""</f>
        <v/>
      </c>
      <c r="I3016" t="str">
        <f t="shared" si="59"/>
        <v>WAGE WORKS - FSA &amp; HRA FEES</v>
      </c>
    </row>
    <row r="3017" spans="1:9" x14ac:dyDescent="0.25">
      <c r="A3017" t="str">
        <f>""</f>
        <v/>
      </c>
      <c r="F3017" t="str">
        <f>""</f>
        <v/>
      </c>
      <c r="G3017" t="str">
        <f>""</f>
        <v/>
      </c>
      <c r="I3017" t="str">
        <f t="shared" si="59"/>
        <v>WAGE WORKS - FSA &amp; HRA FEES</v>
      </c>
    </row>
    <row r="3018" spans="1:9" x14ac:dyDescent="0.25">
      <c r="A3018" t="str">
        <f>""</f>
        <v/>
      </c>
      <c r="F3018" t="str">
        <f>""</f>
        <v/>
      </c>
      <c r="G3018" t="str">
        <f>""</f>
        <v/>
      </c>
      <c r="I3018" t="str">
        <f t="shared" si="59"/>
        <v>WAGE WORKS - FSA &amp; HRA FEES</v>
      </c>
    </row>
    <row r="3019" spans="1:9" x14ac:dyDescent="0.25">
      <c r="A3019" t="str">
        <f>""</f>
        <v/>
      </c>
      <c r="F3019" t="str">
        <f>""</f>
        <v/>
      </c>
      <c r="G3019" t="str">
        <f>""</f>
        <v/>
      </c>
      <c r="I3019" t="str">
        <f t="shared" si="59"/>
        <v>WAGE WORKS - FSA &amp; HRA FEES</v>
      </c>
    </row>
    <row r="3020" spans="1:9" x14ac:dyDescent="0.25">
      <c r="A3020" t="str">
        <f>""</f>
        <v/>
      </c>
      <c r="F3020" t="str">
        <f>""</f>
        <v/>
      </c>
      <c r="G3020" t="str">
        <f>""</f>
        <v/>
      </c>
      <c r="I3020" t="str">
        <f t="shared" si="59"/>
        <v>WAGE WORKS - FSA &amp; HRA FEES</v>
      </c>
    </row>
    <row r="3021" spans="1:9" x14ac:dyDescent="0.25">
      <c r="A3021" t="str">
        <f>""</f>
        <v/>
      </c>
      <c r="F3021" t="str">
        <f>""</f>
        <v/>
      </c>
      <c r="G3021" t="str">
        <f>""</f>
        <v/>
      </c>
      <c r="I3021" t="str">
        <f t="shared" si="59"/>
        <v>WAGE WORKS - FSA &amp; HRA FEES</v>
      </c>
    </row>
    <row r="3022" spans="1:9" x14ac:dyDescent="0.25">
      <c r="A3022" t="str">
        <f>""</f>
        <v/>
      </c>
      <c r="F3022" t="str">
        <f>""</f>
        <v/>
      </c>
      <c r="G3022" t="str">
        <f>""</f>
        <v/>
      </c>
      <c r="I3022" t="str">
        <f t="shared" si="59"/>
        <v>WAGE WORKS - FSA &amp; HRA FEES</v>
      </c>
    </row>
    <row r="3023" spans="1:9" x14ac:dyDescent="0.25">
      <c r="A3023" t="str">
        <f>""</f>
        <v/>
      </c>
      <c r="F3023" t="str">
        <f>""</f>
        <v/>
      </c>
      <c r="G3023" t="str">
        <f>""</f>
        <v/>
      </c>
      <c r="I3023" t="str">
        <f t="shared" si="59"/>
        <v>WAGE WORKS - FSA &amp; HRA FEES</v>
      </c>
    </row>
    <row r="3024" spans="1:9" x14ac:dyDescent="0.25">
      <c r="A3024" t="str">
        <f>""</f>
        <v/>
      </c>
      <c r="F3024" t="str">
        <f>"FSF201804180392"</f>
        <v>FSF201804180392</v>
      </c>
      <c r="G3024" t="str">
        <f>"WAGE WORKS - FSA &amp; HRA FEES"</f>
        <v>WAGE WORKS - FSA &amp; HRA FEES</v>
      </c>
      <c r="H3024">
        <v>25.97</v>
      </c>
      <c r="I3024" t="str">
        <f t="shared" si="59"/>
        <v>WAGE WORKS - FSA &amp; HRA FEES</v>
      </c>
    </row>
    <row r="3025" spans="1:9" x14ac:dyDescent="0.25">
      <c r="A3025" t="str">
        <f>""</f>
        <v/>
      </c>
      <c r="F3025" t="str">
        <f>"FSO201804180391"</f>
        <v>FSO201804180391</v>
      </c>
      <c r="G3025" t="str">
        <f>"WAGE WORKS - FSA FEES"</f>
        <v>WAGE WORKS - FSA FEES</v>
      </c>
      <c r="H3025">
        <v>13.02</v>
      </c>
      <c r="I3025" t="str">
        <f t="shared" ref="I3025:I3033" si="60">"WAGE WORKS - FSA FEES"</f>
        <v>WAGE WORKS - FSA FEES</v>
      </c>
    </row>
    <row r="3026" spans="1:9" x14ac:dyDescent="0.25">
      <c r="A3026" t="str">
        <f>""</f>
        <v/>
      </c>
      <c r="F3026" t="str">
        <f>""</f>
        <v/>
      </c>
      <c r="G3026" t="str">
        <f>""</f>
        <v/>
      </c>
      <c r="I3026" t="str">
        <f t="shared" si="60"/>
        <v>WAGE WORKS - FSA FEES</v>
      </c>
    </row>
    <row r="3027" spans="1:9" x14ac:dyDescent="0.25">
      <c r="A3027" t="str">
        <f>""</f>
        <v/>
      </c>
      <c r="F3027" t="str">
        <f>""</f>
        <v/>
      </c>
      <c r="G3027" t="str">
        <f>""</f>
        <v/>
      </c>
      <c r="I3027" t="str">
        <f t="shared" si="60"/>
        <v>WAGE WORKS - FSA FEES</v>
      </c>
    </row>
    <row r="3028" spans="1:9" x14ac:dyDescent="0.25">
      <c r="A3028" t="str">
        <f>""</f>
        <v/>
      </c>
      <c r="F3028" t="str">
        <f>""</f>
        <v/>
      </c>
      <c r="G3028" t="str">
        <f>""</f>
        <v/>
      </c>
      <c r="I3028" t="str">
        <f t="shared" si="60"/>
        <v>WAGE WORKS - FSA FEES</v>
      </c>
    </row>
    <row r="3029" spans="1:9" x14ac:dyDescent="0.25">
      <c r="A3029" t="str">
        <f>""</f>
        <v/>
      </c>
      <c r="F3029" t="str">
        <f>""</f>
        <v/>
      </c>
      <c r="G3029" t="str">
        <f>""</f>
        <v/>
      </c>
      <c r="I3029" t="str">
        <f t="shared" si="60"/>
        <v>WAGE WORKS - FSA FEES</v>
      </c>
    </row>
    <row r="3030" spans="1:9" x14ac:dyDescent="0.25">
      <c r="A3030" t="str">
        <f>""</f>
        <v/>
      </c>
      <c r="F3030" t="str">
        <f>""</f>
        <v/>
      </c>
      <c r="G3030" t="str">
        <f>""</f>
        <v/>
      </c>
      <c r="I3030" t="str">
        <f t="shared" si="60"/>
        <v>WAGE WORKS - FSA FEES</v>
      </c>
    </row>
    <row r="3031" spans="1:9" x14ac:dyDescent="0.25">
      <c r="A3031" t="str">
        <f>""</f>
        <v/>
      </c>
      <c r="F3031" t="str">
        <f>""</f>
        <v/>
      </c>
      <c r="G3031" t="str">
        <f>""</f>
        <v/>
      </c>
      <c r="I3031" t="str">
        <f t="shared" si="60"/>
        <v>WAGE WORKS - FSA FEES</v>
      </c>
    </row>
    <row r="3032" spans="1:9" x14ac:dyDescent="0.25">
      <c r="A3032" t="str">
        <f>""</f>
        <v/>
      </c>
      <c r="F3032" t="str">
        <f>""</f>
        <v/>
      </c>
      <c r="G3032" t="str">
        <f>""</f>
        <v/>
      </c>
      <c r="I3032" t="str">
        <f t="shared" si="60"/>
        <v>WAGE WORKS - FSA FEES</v>
      </c>
    </row>
    <row r="3033" spans="1:9" x14ac:dyDescent="0.25">
      <c r="A3033" t="str">
        <f>""</f>
        <v/>
      </c>
      <c r="F3033" t="str">
        <f>"FSO201804180392"</f>
        <v>FSO201804180392</v>
      </c>
      <c r="G3033" t="str">
        <f>"WAGE WORKS - FSA FEES"</f>
        <v>WAGE WORKS - FSA FEES</v>
      </c>
      <c r="H3033">
        <v>1.86</v>
      </c>
      <c r="I3033" t="str">
        <f t="shared" si="60"/>
        <v>WAGE WORKS - FSA FEES</v>
      </c>
    </row>
    <row r="3034" spans="1:9" x14ac:dyDescent="0.25">
      <c r="A3034" t="str">
        <f>""</f>
        <v/>
      </c>
      <c r="F3034" t="str">
        <f>"HRF201804180391"</f>
        <v>HRF201804180391</v>
      </c>
      <c r="G3034" t="str">
        <f>"WAGE WORKS - HRA FEES"</f>
        <v>WAGE WORKS - HRA FEES</v>
      </c>
      <c r="H3034">
        <v>496.62</v>
      </c>
      <c r="I3034" t="str">
        <f t="shared" ref="I3034:I3073" si="61">"WAGE WORKS - HRA FEES"</f>
        <v>WAGE WORKS - HRA FEES</v>
      </c>
    </row>
    <row r="3035" spans="1:9" x14ac:dyDescent="0.25">
      <c r="A3035" t="str">
        <f>""</f>
        <v/>
      </c>
      <c r="F3035" t="str">
        <f>""</f>
        <v/>
      </c>
      <c r="G3035" t="str">
        <f>""</f>
        <v/>
      </c>
      <c r="I3035" t="str">
        <f t="shared" si="61"/>
        <v>WAGE WORKS - HRA FEES</v>
      </c>
    </row>
    <row r="3036" spans="1:9" x14ac:dyDescent="0.25">
      <c r="A3036" t="str">
        <f>""</f>
        <v/>
      </c>
      <c r="F3036" t="str">
        <f>""</f>
        <v/>
      </c>
      <c r="G3036" t="str">
        <f>""</f>
        <v/>
      </c>
      <c r="I3036" t="str">
        <f t="shared" si="61"/>
        <v>WAGE WORKS - HRA FEES</v>
      </c>
    </row>
    <row r="3037" spans="1:9" x14ac:dyDescent="0.25">
      <c r="A3037" t="str">
        <f>""</f>
        <v/>
      </c>
      <c r="F3037" t="str">
        <f>""</f>
        <v/>
      </c>
      <c r="G3037" t="str">
        <f>""</f>
        <v/>
      </c>
      <c r="I3037" t="str">
        <f t="shared" si="61"/>
        <v>WAGE WORKS - HRA FEES</v>
      </c>
    </row>
    <row r="3038" spans="1:9" x14ac:dyDescent="0.25">
      <c r="A3038" t="str">
        <f>""</f>
        <v/>
      </c>
      <c r="F3038" t="str">
        <f>""</f>
        <v/>
      </c>
      <c r="G3038" t="str">
        <f>""</f>
        <v/>
      </c>
      <c r="I3038" t="str">
        <f t="shared" si="61"/>
        <v>WAGE WORKS - HRA FEES</v>
      </c>
    </row>
    <row r="3039" spans="1:9" x14ac:dyDescent="0.25">
      <c r="A3039" t="str">
        <f>""</f>
        <v/>
      </c>
      <c r="F3039" t="str">
        <f>""</f>
        <v/>
      </c>
      <c r="G3039" t="str">
        <f>""</f>
        <v/>
      </c>
      <c r="I3039" t="str">
        <f t="shared" si="61"/>
        <v>WAGE WORKS - HRA FEES</v>
      </c>
    </row>
    <row r="3040" spans="1:9" x14ac:dyDescent="0.25">
      <c r="A3040" t="str">
        <f>""</f>
        <v/>
      </c>
      <c r="F3040" t="str">
        <f>""</f>
        <v/>
      </c>
      <c r="G3040" t="str">
        <f>""</f>
        <v/>
      </c>
      <c r="I3040" t="str">
        <f t="shared" si="61"/>
        <v>WAGE WORKS - HRA FEES</v>
      </c>
    </row>
    <row r="3041" spans="1:9" x14ac:dyDescent="0.25">
      <c r="A3041" t="str">
        <f>""</f>
        <v/>
      </c>
      <c r="F3041" t="str">
        <f>""</f>
        <v/>
      </c>
      <c r="G3041" t="str">
        <f>""</f>
        <v/>
      </c>
      <c r="I3041" t="str">
        <f t="shared" si="61"/>
        <v>WAGE WORKS - HRA FEES</v>
      </c>
    </row>
    <row r="3042" spans="1:9" x14ac:dyDescent="0.25">
      <c r="A3042" t="str">
        <f>""</f>
        <v/>
      </c>
      <c r="F3042" t="str">
        <f>""</f>
        <v/>
      </c>
      <c r="G3042" t="str">
        <f>""</f>
        <v/>
      </c>
      <c r="I3042" t="str">
        <f t="shared" si="61"/>
        <v>WAGE WORKS - HRA FEES</v>
      </c>
    </row>
    <row r="3043" spans="1:9" x14ac:dyDescent="0.25">
      <c r="A3043" t="str">
        <f>""</f>
        <v/>
      </c>
      <c r="F3043" t="str">
        <f>""</f>
        <v/>
      </c>
      <c r="G3043" t="str">
        <f>""</f>
        <v/>
      </c>
      <c r="I3043" t="str">
        <f t="shared" si="61"/>
        <v>WAGE WORKS - HRA FEES</v>
      </c>
    </row>
    <row r="3044" spans="1:9" x14ac:dyDescent="0.25">
      <c r="A3044" t="str">
        <f>""</f>
        <v/>
      </c>
      <c r="F3044" t="str">
        <f>""</f>
        <v/>
      </c>
      <c r="G3044" t="str">
        <f>""</f>
        <v/>
      </c>
      <c r="I3044" t="str">
        <f t="shared" si="61"/>
        <v>WAGE WORKS - HRA FEES</v>
      </c>
    </row>
    <row r="3045" spans="1:9" x14ac:dyDescent="0.25">
      <c r="A3045" t="str">
        <f>""</f>
        <v/>
      </c>
      <c r="F3045" t="str">
        <f>""</f>
        <v/>
      </c>
      <c r="G3045" t="str">
        <f>""</f>
        <v/>
      </c>
      <c r="I3045" t="str">
        <f t="shared" si="61"/>
        <v>WAGE WORKS - HRA FEES</v>
      </c>
    </row>
    <row r="3046" spans="1:9" x14ac:dyDescent="0.25">
      <c r="A3046" t="str">
        <f>""</f>
        <v/>
      </c>
      <c r="F3046" t="str">
        <f>""</f>
        <v/>
      </c>
      <c r="G3046" t="str">
        <f>""</f>
        <v/>
      </c>
      <c r="I3046" t="str">
        <f t="shared" si="61"/>
        <v>WAGE WORKS - HRA FEES</v>
      </c>
    </row>
    <row r="3047" spans="1:9" x14ac:dyDescent="0.25">
      <c r="A3047" t="str">
        <f>""</f>
        <v/>
      </c>
      <c r="F3047" t="str">
        <f>""</f>
        <v/>
      </c>
      <c r="G3047" t="str">
        <f>""</f>
        <v/>
      </c>
      <c r="I3047" t="str">
        <f t="shared" si="61"/>
        <v>WAGE WORKS - HRA FEES</v>
      </c>
    </row>
    <row r="3048" spans="1:9" x14ac:dyDescent="0.25">
      <c r="A3048" t="str">
        <f>""</f>
        <v/>
      </c>
      <c r="F3048" t="str">
        <f>""</f>
        <v/>
      </c>
      <c r="G3048" t="str">
        <f>""</f>
        <v/>
      </c>
      <c r="I3048" t="str">
        <f t="shared" si="61"/>
        <v>WAGE WORKS - HRA FEES</v>
      </c>
    </row>
    <row r="3049" spans="1:9" x14ac:dyDescent="0.25">
      <c r="A3049" t="str">
        <f>""</f>
        <v/>
      </c>
      <c r="F3049" t="str">
        <f>""</f>
        <v/>
      </c>
      <c r="G3049" t="str">
        <f>""</f>
        <v/>
      </c>
      <c r="I3049" t="str">
        <f t="shared" si="61"/>
        <v>WAGE WORKS - HRA FEES</v>
      </c>
    </row>
    <row r="3050" spans="1:9" x14ac:dyDescent="0.25">
      <c r="A3050" t="str">
        <f>""</f>
        <v/>
      </c>
      <c r="F3050" t="str">
        <f>""</f>
        <v/>
      </c>
      <c r="G3050" t="str">
        <f>""</f>
        <v/>
      </c>
      <c r="I3050" t="str">
        <f t="shared" si="61"/>
        <v>WAGE WORKS - HRA FEES</v>
      </c>
    </row>
    <row r="3051" spans="1:9" x14ac:dyDescent="0.25">
      <c r="A3051" t="str">
        <f>""</f>
        <v/>
      </c>
      <c r="F3051" t="str">
        <f>""</f>
        <v/>
      </c>
      <c r="G3051" t="str">
        <f>""</f>
        <v/>
      </c>
      <c r="I3051" t="str">
        <f t="shared" si="61"/>
        <v>WAGE WORKS - HRA FEES</v>
      </c>
    </row>
    <row r="3052" spans="1:9" x14ac:dyDescent="0.25">
      <c r="A3052" t="str">
        <f>""</f>
        <v/>
      </c>
      <c r="F3052" t="str">
        <f>""</f>
        <v/>
      </c>
      <c r="G3052" t="str">
        <f>""</f>
        <v/>
      </c>
      <c r="I3052" t="str">
        <f t="shared" si="61"/>
        <v>WAGE WORKS - HRA FEES</v>
      </c>
    </row>
    <row r="3053" spans="1:9" x14ac:dyDescent="0.25">
      <c r="A3053" t="str">
        <f>""</f>
        <v/>
      </c>
      <c r="F3053" t="str">
        <f>""</f>
        <v/>
      </c>
      <c r="G3053" t="str">
        <f>""</f>
        <v/>
      </c>
      <c r="I3053" t="str">
        <f t="shared" si="61"/>
        <v>WAGE WORKS - HRA FEES</v>
      </c>
    </row>
    <row r="3054" spans="1:9" x14ac:dyDescent="0.25">
      <c r="A3054" t="str">
        <f>""</f>
        <v/>
      </c>
      <c r="F3054" t="str">
        <f>""</f>
        <v/>
      </c>
      <c r="G3054" t="str">
        <f>""</f>
        <v/>
      </c>
      <c r="I3054" t="str">
        <f t="shared" si="61"/>
        <v>WAGE WORKS - HRA FEES</v>
      </c>
    </row>
    <row r="3055" spans="1:9" x14ac:dyDescent="0.25">
      <c r="A3055" t="str">
        <f>""</f>
        <v/>
      </c>
      <c r="F3055" t="str">
        <f>""</f>
        <v/>
      </c>
      <c r="G3055" t="str">
        <f>""</f>
        <v/>
      </c>
      <c r="I3055" t="str">
        <f t="shared" si="61"/>
        <v>WAGE WORKS - HRA FEES</v>
      </c>
    </row>
    <row r="3056" spans="1:9" x14ac:dyDescent="0.25">
      <c r="A3056" t="str">
        <f>""</f>
        <v/>
      </c>
      <c r="F3056" t="str">
        <f>""</f>
        <v/>
      </c>
      <c r="G3056" t="str">
        <f>""</f>
        <v/>
      </c>
      <c r="I3056" t="str">
        <f t="shared" si="61"/>
        <v>WAGE WORKS - HRA FEES</v>
      </c>
    </row>
    <row r="3057" spans="1:9" x14ac:dyDescent="0.25">
      <c r="A3057" t="str">
        <f>""</f>
        <v/>
      </c>
      <c r="F3057" t="str">
        <f>""</f>
        <v/>
      </c>
      <c r="G3057" t="str">
        <f>""</f>
        <v/>
      </c>
      <c r="I3057" t="str">
        <f t="shared" si="61"/>
        <v>WAGE WORKS - HRA FEES</v>
      </c>
    </row>
    <row r="3058" spans="1:9" x14ac:dyDescent="0.25">
      <c r="A3058" t="str">
        <f>""</f>
        <v/>
      </c>
      <c r="F3058" t="str">
        <f>""</f>
        <v/>
      </c>
      <c r="G3058" t="str">
        <f>""</f>
        <v/>
      </c>
      <c r="I3058" t="str">
        <f t="shared" si="61"/>
        <v>WAGE WORKS - HRA FEES</v>
      </c>
    </row>
    <row r="3059" spans="1:9" x14ac:dyDescent="0.25">
      <c r="A3059" t="str">
        <f>""</f>
        <v/>
      </c>
      <c r="F3059" t="str">
        <f>""</f>
        <v/>
      </c>
      <c r="G3059" t="str">
        <f>""</f>
        <v/>
      </c>
      <c r="I3059" t="str">
        <f t="shared" si="61"/>
        <v>WAGE WORKS - HRA FEES</v>
      </c>
    </row>
    <row r="3060" spans="1:9" x14ac:dyDescent="0.25">
      <c r="A3060" t="str">
        <f>""</f>
        <v/>
      </c>
      <c r="F3060" t="str">
        <f>""</f>
        <v/>
      </c>
      <c r="G3060" t="str">
        <f>""</f>
        <v/>
      </c>
      <c r="I3060" t="str">
        <f t="shared" si="61"/>
        <v>WAGE WORKS - HRA FEES</v>
      </c>
    </row>
    <row r="3061" spans="1:9" x14ac:dyDescent="0.25">
      <c r="A3061" t="str">
        <f>""</f>
        <v/>
      </c>
      <c r="F3061" t="str">
        <f>""</f>
        <v/>
      </c>
      <c r="G3061" t="str">
        <f>""</f>
        <v/>
      </c>
      <c r="I3061" t="str">
        <f t="shared" si="61"/>
        <v>WAGE WORKS - HRA FEES</v>
      </c>
    </row>
    <row r="3062" spans="1:9" x14ac:dyDescent="0.25">
      <c r="A3062" t="str">
        <f>""</f>
        <v/>
      </c>
      <c r="F3062" t="str">
        <f>""</f>
        <v/>
      </c>
      <c r="G3062" t="str">
        <f>""</f>
        <v/>
      </c>
      <c r="I3062" t="str">
        <f t="shared" si="61"/>
        <v>WAGE WORKS - HRA FEES</v>
      </c>
    </row>
    <row r="3063" spans="1:9" x14ac:dyDescent="0.25">
      <c r="A3063" t="str">
        <f>""</f>
        <v/>
      </c>
      <c r="F3063" t="str">
        <f>""</f>
        <v/>
      </c>
      <c r="G3063" t="str">
        <f>""</f>
        <v/>
      </c>
      <c r="I3063" t="str">
        <f t="shared" si="61"/>
        <v>WAGE WORKS - HRA FEES</v>
      </c>
    </row>
    <row r="3064" spans="1:9" x14ac:dyDescent="0.25">
      <c r="A3064" t="str">
        <f>""</f>
        <v/>
      </c>
      <c r="F3064" t="str">
        <f>""</f>
        <v/>
      </c>
      <c r="G3064" t="str">
        <f>""</f>
        <v/>
      </c>
      <c r="I3064" t="str">
        <f t="shared" si="61"/>
        <v>WAGE WORKS - HRA FEES</v>
      </c>
    </row>
    <row r="3065" spans="1:9" x14ac:dyDescent="0.25">
      <c r="A3065" t="str">
        <f>""</f>
        <v/>
      </c>
      <c r="F3065" t="str">
        <f>""</f>
        <v/>
      </c>
      <c r="G3065" t="str">
        <f>""</f>
        <v/>
      </c>
      <c r="I3065" t="str">
        <f t="shared" si="61"/>
        <v>WAGE WORKS - HRA FEES</v>
      </c>
    </row>
    <row r="3066" spans="1:9" x14ac:dyDescent="0.25">
      <c r="A3066" t="str">
        <f>""</f>
        <v/>
      </c>
      <c r="F3066" t="str">
        <f>""</f>
        <v/>
      </c>
      <c r="G3066" t="str">
        <f>""</f>
        <v/>
      </c>
      <c r="I3066" t="str">
        <f t="shared" si="61"/>
        <v>WAGE WORKS - HRA FEES</v>
      </c>
    </row>
    <row r="3067" spans="1:9" x14ac:dyDescent="0.25">
      <c r="A3067" t="str">
        <f>""</f>
        <v/>
      </c>
      <c r="F3067" t="str">
        <f>""</f>
        <v/>
      </c>
      <c r="G3067" t="str">
        <f>""</f>
        <v/>
      </c>
      <c r="I3067" t="str">
        <f t="shared" si="61"/>
        <v>WAGE WORKS - HRA FEES</v>
      </c>
    </row>
    <row r="3068" spans="1:9" x14ac:dyDescent="0.25">
      <c r="A3068" t="str">
        <f>""</f>
        <v/>
      </c>
      <c r="F3068" t="str">
        <f>""</f>
        <v/>
      </c>
      <c r="G3068" t="str">
        <f>""</f>
        <v/>
      </c>
      <c r="I3068" t="str">
        <f t="shared" si="61"/>
        <v>WAGE WORKS - HRA FEES</v>
      </c>
    </row>
    <row r="3069" spans="1:9" x14ac:dyDescent="0.25">
      <c r="A3069" t="str">
        <f>""</f>
        <v/>
      </c>
      <c r="F3069" t="str">
        <f>""</f>
        <v/>
      </c>
      <c r="G3069" t="str">
        <f>""</f>
        <v/>
      </c>
      <c r="I3069" t="str">
        <f t="shared" si="61"/>
        <v>WAGE WORKS - HRA FEES</v>
      </c>
    </row>
    <row r="3070" spans="1:9" x14ac:dyDescent="0.25">
      <c r="A3070" t="str">
        <f>""</f>
        <v/>
      </c>
      <c r="F3070" t="str">
        <f>""</f>
        <v/>
      </c>
      <c r="G3070" t="str">
        <f>""</f>
        <v/>
      </c>
      <c r="I3070" t="str">
        <f t="shared" si="61"/>
        <v>WAGE WORKS - HRA FEES</v>
      </c>
    </row>
    <row r="3071" spans="1:9" x14ac:dyDescent="0.25">
      <c r="A3071" t="str">
        <f>""</f>
        <v/>
      </c>
      <c r="F3071" t="str">
        <f>""</f>
        <v/>
      </c>
      <c r="G3071" t="str">
        <f>""</f>
        <v/>
      </c>
      <c r="I3071" t="str">
        <f t="shared" si="61"/>
        <v>WAGE WORKS - HRA FEES</v>
      </c>
    </row>
    <row r="3072" spans="1:9" x14ac:dyDescent="0.25">
      <c r="A3072" t="str">
        <f>""</f>
        <v/>
      </c>
      <c r="F3072" t="str">
        <f>""</f>
        <v/>
      </c>
      <c r="G3072" t="str">
        <f>""</f>
        <v/>
      </c>
      <c r="I3072" t="str">
        <f t="shared" si="61"/>
        <v>WAGE WORKS - HRA FEES</v>
      </c>
    </row>
    <row r="3073" spans="1:9" x14ac:dyDescent="0.25">
      <c r="A3073" t="str">
        <f>""</f>
        <v/>
      </c>
      <c r="C3073" s="3" t="s">
        <v>512</v>
      </c>
      <c r="D3073" s="2">
        <f>SUM(D2:D3072)</f>
        <v>3081364.9899999998</v>
      </c>
      <c r="F3073" t="str">
        <f>"HRF201804180392"</f>
        <v>HRF201804180392</v>
      </c>
      <c r="G3073" t="str">
        <f>"WAGE WORKS - HRA FEES"</f>
        <v>WAGE WORKS - HRA FEES</v>
      </c>
      <c r="H3073">
        <v>16.739999999999998</v>
      </c>
      <c r="I3073" t="str">
        <f t="shared" si="61"/>
        <v>WAGE WORKS - HRA FEES</v>
      </c>
    </row>
  </sheetData>
  <pageMargins left="0.7" right="0.7" top="0.75" bottom="0.75" header="0.3" footer="0.3"/>
  <pageSetup scale="6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AP-CHK-RPT-20180430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Krystel Burton</cp:lastModifiedBy>
  <cp:lastPrinted>2018-06-29T16:16:11Z</cp:lastPrinted>
  <dcterms:created xsi:type="dcterms:W3CDTF">2018-05-01T01:29:21Z</dcterms:created>
  <dcterms:modified xsi:type="dcterms:W3CDTF">2018-06-29T16:17:43Z</dcterms:modified>
</cp:coreProperties>
</file>