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2980" windowHeight="10848"/>
  </bookViews>
  <sheets>
    <sheet name="AP-CHK-RPT-20180430" sheetId="1" r:id="rId1"/>
  </sheets>
  <calcPr calcId="145621"/>
</workbook>
</file>

<file path=xl/calcChain.xml><?xml version="1.0" encoding="utf-8"?>
<calcChain xmlns="http://schemas.openxmlformats.org/spreadsheetml/2006/main">
  <c r="D3147" i="1" l="1"/>
  <c r="A2" i="1" l="1"/>
  <c r="F2" i="1"/>
  <c r="G2" i="1"/>
  <c r="I2" i="1"/>
  <c r="A3" i="1"/>
  <c r="F3" i="1"/>
  <c r="G3" i="1"/>
  <c r="I3" i="1"/>
  <c r="A4" i="1"/>
  <c r="F4" i="1"/>
  <c r="G4" i="1"/>
  <c r="I4" i="1"/>
  <c r="A5" i="1"/>
  <c r="F5" i="1"/>
  <c r="G5" i="1"/>
  <c r="I5" i="1"/>
  <c r="A6" i="1"/>
  <c r="F6" i="1"/>
  <c r="G6" i="1"/>
  <c r="I6" i="1"/>
  <c r="A7" i="1"/>
  <c r="F7" i="1"/>
  <c r="G7" i="1"/>
  <c r="I7" i="1"/>
  <c r="A8" i="1"/>
  <c r="F8" i="1"/>
  <c r="G8" i="1"/>
  <c r="I8" i="1"/>
  <c r="A9" i="1"/>
  <c r="F9" i="1"/>
  <c r="G9" i="1"/>
  <c r="I9" i="1"/>
  <c r="A10" i="1"/>
  <c r="F10" i="1"/>
  <c r="G10" i="1"/>
  <c r="I10" i="1"/>
  <c r="A11" i="1"/>
  <c r="F11" i="1"/>
  <c r="G11" i="1"/>
  <c r="I11" i="1"/>
  <c r="A12" i="1"/>
  <c r="F12" i="1"/>
  <c r="G12" i="1"/>
  <c r="I12" i="1"/>
  <c r="A13" i="1"/>
  <c r="F13" i="1"/>
  <c r="G13" i="1"/>
  <c r="I13" i="1"/>
  <c r="A14" i="1"/>
  <c r="F14" i="1"/>
  <c r="G14" i="1"/>
  <c r="I14" i="1"/>
  <c r="A15" i="1"/>
  <c r="F15" i="1"/>
  <c r="G15" i="1"/>
  <c r="I15" i="1"/>
  <c r="A16" i="1"/>
  <c r="F16" i="1"/>
  <c r="G16" i="1"/>
  <c r="I16" i="1"/>
  <c r="A17" i="1"/>
  <c r="F17" i="1"/>
  <c r="G17" i="1"/>
  <c r="I17" i="1"/>
  <c r="A18" i="1"/>
  <c r="F18" i="1"/>
  <c r="G18" i="1"/>
  <c r="I18" i="1"/>
  <c r="A19" i="1"/>
  <c r="F19" i="1"/>
  <c r="G19" i="1"/>
  <c r="I19" i="1"/>
  <c r="A20" i="1"/>
  <c r="F20" i="1"/>
  <c r="G20" i="1"/>
  <c r="I20" i="1"/>
  <c r="A21" i="1"/>
  <c r="F21" i="1"/>
  <c r="G21" i="1"/>
  <c r="I21" i="1"/>
  <c r="A22" i="1"/>
  <c r="F22" i="1"/>
  <c r="G22" i="1"/>
  <c r="I22" i="1"/>
  <c r="A23" i="1"/>
  <c r="F23" i="1"/>
  <c r="G23" i="1"/>
  <c r="I23" i="1"/>
  <c r="A24" i="1"/>
  <c r="F24" i="1"/>
  <c r="G24" i="1"/>
  <c r="I24" i="1"/>
  <c r="A25" i="1"/>
  <c r="F25" i="1"/>
  <c r="G25" i="1"/>
  <c r="I25" i="1"/>
  <c r="A26" i="1"/>
  <c r="F26" i="1"/>
  <c r="G26" i="1"/>
  <c r="I26" i="1"/>
  <c r="A27" i="1"/>
  <c r="F27" i="1"/>
  <c r="G27" i="1"/>
  <c r="I27" i="1"/>
  <c r="A28" i="1"/>
  <c r="F28" i="1"/>
  <c r="G28" i="1"/>
  <c r="I28" i="1"/>
  <c r="A29" i="1"/>
  <c r="F29" i="1"/>
  <c r="G29" i="1"/>
  <c r="I29" i="1"/>
  <c r="A30" i="1"/>
  <c r="F30" i="1"/>
  <c r="G30" i="1"/>
  <c r="I30" i="1"/>
  <c r="A31" i="1"/>
  <c r="F31" i="1"/>
  <c r="G31" i="1"/>
  <c r="I31" i="1"/>
  <c r="A32" i="1"/>
  <c r="F32" i="1"/>
  <c r="G32" i="1"/>
  <c r="I32" i="1"/>
  <c r="A33" i="1"/>
  <c r="F33" i="1"/>
  <c r="G33" i="1"/>
  <c r="I33" i="1"/>
  <c r="A34" i="1"/>
  <c r="F34" i="1"/>
  <c r="G34" i="1"/>
  <c r="I34" i="1"/>
  <c r="A35" i="1"/>
  <c r="F35" i="1"/>
  <c r="G35" i="1"/>
  <c r="I35" i="1"/>
  <c r="A36" i="1"/>
  <c r="F36" i="1"/>
  <c r="G36" i="1"/>
  <c r="I36" i="1"/>
  <c r="A37" i="1"/>
  <c r="F37" i="1"/>
  <c r="G37" i="1"/>
  <c r="I37" i="1"/>
  <c r="A38" i="1"/>
  <c r="F38" i="1"/>
  <c r="G38" i="1"/>
  <c r="I38" i="1"/>
  <c r="A39" i="1"/>
  <c r="F39" i="1"/>
  <c r="G39" i="1"/>
  <c r="I39" i="1"/>
  <c r="A40" i="1"/>
  <c r="F40" i="1"/>
  <c r="G40" i="1"/>
  <c r="I40" i="1"/>
  <c r="A41" i="1"/>
  <c r="F41" i="1"/>
  <c r="G41" i="1"/>
  <c r="I41" i="1"/>
  <c r="A42" i="1"/>
  <c r="F42" i="1"/>
  <c r="G42" i="1"/>
  <c r="I42" i="1"/>
  <c r="A43" i="1"/>
  <c r="F43" i="1"/>
  <c r="G43" i="1"/>
  <c r="I43" i="1"/>
  <c r="A44" i="1"/>
  <c r="F44" i="1"/>
  <c r="G44" i="1"/>
  <c r="I44" i="1"/>
  <c r="A45" i="1"/>
  <c r="F45" i="1"/>
  <c r="G45" i="1"/>
  <c r="I45" i="1"/>
  <c r="A46" i="1"/>
  <c r="F46" i="1"/>
  <c r="G46" i="1"/>
  <c r="I46" i="1"/>
  <c r="A47" i="1"/>
  <c r="F47" i="1"/>
  <c r="G47" i="1"/>
  <c r="I47" i="1"/>
  <c r="A48" i="1"/>
  <c r="F48" i="1"/>
  <c r="G48" i="1"/>
  <c r="I48" i="1"/>
  <c r="A49" i="1"/>
  <c r="F49" i="1"/>
  <c r="G49" i="1"/>
  <c r="I49" i="1"/>
  <c r="A50" i="1"/>
  <c r="F50" i="1"/>
  <c r="G50" i="1"/>
  <c r="I50" i="1"/>
  <c r="A51" i="1"/>
  <c r="F51" i="1"/>
  <c r="G51" i="1"/>
  <c r="I51" i="1"/>
  <c r="A52" i="1"/>
  <c r="F52" i="1"/>
  <c r="G52" i="1"/>
  <c r="I52" i="1"/>
  <c r="A53" i="1"/>
  <c r="F53" i="1"/>
  <c r="G53" i="1"/>
  <c r="I53" i="1"/>
  <c r="A54" i="1"/>
  <c r="F54" i="1"/>
  <c r="G54" i="1"/>
  <c r="I54" i="1"/>
  <c r="A55" i="1"/>
  <c r="F55" i="1"/>
  <c r="G55" i="1"/>
  <c r="I55" i="1"/>
  <c r="A56" i="1"/>
  <c r="F56" i="1"/>
  <c r="G56" i="1"/>
  <c r="I56" i="1"/>
  <c r="A57" i="1"/>
  <c r="F57" i="1"/>
  <c r="G57" i="1"/>
  <c r="I57" i="1"/>
  <c r="A58" i="1"/>
  <c r="F58" i="1"/>
  <c r="G58" i="1"/>
  <c r="I58" i="1"/>
  <c r="A59" i="1"/>
  <c r="F59" i="1"/>
  <c r="G59" i="1"/>
  <c r="I59" i="1"/>
  <c r="A60" i="1"/>
  <c r="F60" i="1"/>
  <c r="G60" i="1"/>
  <c r="I60" i="1"/>
  <c r="A61" i="1"/>
  <c r="F61" i="1"/>
  <c r="G61" i="1"/>
  <c r="I61" i="1"/>
  <c r="A62" i="1"/>
  <c r="F62" i="1"/>
  <c r="G62" i="1"/>
  <c r="I62" i="1"/>
  <c r="A63" i="1"/>
  <c r="F63" i="1"/>
  <c r="G63" i="1"/>
  <c r="I63" i="1"/>
  <c r="A64" i="1"/>
  <c r="F64" i="1"/>
  <c r="G64" i="1"/>
  <c r="I64" i="1"/>
  <c r="A65" i="1"/>
  <c r="F65" i="1"/>
  <c r="G65" i="1"/>
  <c r="I65" i="1"/>
  <c r="A66" i="1"/>
  <c r="F66" i="1"/>
  <c r="G66" i="1"/>
  <c r="I66" i="1"/>
  <c r="A67" i="1"/>
  <c r="F67" i="1"/>
  <c r="G67" i="1"/>
  <c r="I67" i="1"/>
  <c r="A68" i="1"/>
  <c r="F68" i="1"/>
  <c r="G68" i="1"/>
  <c r="I68" i="1"/>
  <c r="A69" i="1"/>
  <c r="F69" i="1"/>
  <c r="G69" i="1"/>
  <c r="I69" i="1"/>
  <c r="A70" i="1"/>
  <c r="F70" i="1"/>
  <c r="G70" i="1"/>
  <c r="I70" i="1"/>
  <c r="A71" i="1"/>
  <c r="F71" i="1"/>
  <c r="G71" i="1"/>
  <c r="I71" i="1"/>
  <c r="A72" i="1"/>
  <c r="F72" i="1"/>
  <c r="G72" i="1"/>
  <c r="I72" i="1"/>
  <c r="A73" i="1"/>
  <c r="F73" i="1"/>
  <c r="G73" i="1"/>
  <c r="I73" i="1"/>
  <c r="A74" i="1"/>
  <c r="F74" i="1"/>
  <c r="G74" i="1"/>
  <c r="I74" i="1"/>
  <c r="A75" i="1"/>
  <c r="F75" i="1"/>
  <c r="G75" i="1"/>
  <c r="I75" i="1"/>
  <c r="A76" i="1"/>
  <c r="F76" i="1"/>
  <c r="G76" i="1"/>
  <c r="I76" i="1"/>
  <c r="A77" i="1"/>
  <c r="F77" i="1"/>
  <c r="G77" i="1"/>
  <c r="I77" i="1"/>
  <c r="A78" i="1"/>
  <c r="F78" i="1"/>
  <c r="G78" i="1"/>
  <c r="I78" i="1"/>
  <c r="A79" i="1"/>
  <c r="F79" i="1"/>
  <c r="G79" i="1"/>
  <c r="I79" i="1"/>
  <c r="A80" i="1"/>
  <c r="F80" i="1"/>
  <c r="G80" i="1"/>
  <c r="I80" i="1"/>
  <c r="A81" i="1"/>
  <c r="F81" i="1"/>
  <c r="G81" i="1"/>
  <c r="I81" i="1"/>
  <c r="A82" i="1"/>
  <c r="F82" i="1"/>
  <c r="G82" i="1"/>
  <c r="I82" i="1"/>
  <c r="A83" i="1"/>
  <c r="F83" i="1"/>
  <c r="G83" i="1"/>
  <c r="I83" i="1"/>
  <c r="A84" i="1"/>
  <c r="F84" i="1"/>
  <c r="G84" i="1"/>
  <c r="I84" i="1"/>
  <c r="A85" i="1"/>
  <c r="F85" i="1"/>
  <c r="G85" i="1"/>
  <c r="I85" i="1"/>
  <c r="A86" i="1"/>
  <c r="F86" i="1"/>
  <c r="G86" i="1"/>
  <c r="I86" i="1"/>
  <c r="A87" i="1"/>
  <c r="F87" i="1"/>
  <c r="G87" i="1"/>
  <c r="I87" i="1"/>
  <c r="A88" i="1"/>
  <c r="F88" i="1"/>
  <c r="G88" i="1"/>
  <c r="I88" i="1"/>
  <c r="A89" i="1"/>
  <c r="F89" i="1"/>
  <c r="G89" i="1"/>
  <c r="I89" i="1"/>
  <c r="A90" i="1"/>
  <c r="F90" i="1"/>
  <c r="G90" i="1"/>
  <c r="I90" i="1"/>
  <c r="A91" i="1"/>
  <c r="F91" i="1"/>
  <c r="G91" i="1"/>
  <c r="I91" i="1"/>
  <c r="A92" i="1"/>
  <c r="F92" i="1"/>
  <c r="G92" i="1"/>
  <c r="I92" i="1"/>
  <c r="A93" i="1"/>
  <c r="F93" i="1"/>
  <c r="G93" i="1"/>
  <c r="I93" i="1"/>
  <c r="A94" i="1"/>
  <c r="F94" i="1"/>
  <c r="G94" i="1"/>
  <c r="I94" i="1"/>
  <c r="A95" i="1"/>
  <c r="F95" i="1"/>
  <c r="G95" i="1"/>
  <c r="I95" i="1"/>
  <c r="A96" i="1"/>
  <c r="F96" i="1"/>
  <c r="G96" i="1"/>
  <c r="I96" i="1"/>
  <c r="A97" i="1"/>
  <c r="F97" i="1"/>
  <c r="G97" i="1"/>
  <c r="I97" i="1"/>
  <c r="A98" i="1"/>
  <c r="F98" i="1"/>
  <c r="G98" i="1"/>
  <c r="I98" i="1"/>
  <c r="A99" i="1"/>
  <c r="F99" i="1"/>
  <c r="G99" i="1"/>
  <c r="I99" i="1"/>
  <c r="A100" i="1"/>
  <c r="F100" i="1"/>
  <c r="G100" i="1"/>
  <c r="I100" i="1"/>
  <c r="A101" i="1"/>
  <c r="F101" i="1"/>
  <c r="G101" i="1"/>
  <c r="I101" i="1"/>
  <c r="A102" i="1"/>
  <c r="F102" i="1"/>
  <c r="G102" i="1"/>
  <c r="I102" i="1"/>
  <c r="A103" i="1"/>
  <c r="F103" i="1"/>
  <c r="G103" i="1"/>
  <c r="I103" i="1"/>
  <c r="A104" i="1"/>
  <c r="F104" i="1"/>
  <c r="G104" i="1"/>
  <c r="I104" i="1"/>
  <c r="A105" i="1"/>
  <c r="F105" i="1"/>
  <c r="G105" i="1"/>
  <c r="I105" i="1"/>
  <c r="A106" i="1"/>
  <c r="F106" i="1"/>
  <c r="G106" i="1"/>
  <c r="I106" i="1"/>
  <c r="A107" i="1"/>
  <c r="F107" i="1"/>
  <c r="G107" i="1"/>
  <c r="I107" i="1"/>
  <c r="A108" i="1"/>
  <c r="F108" i="1"/>
  <c r="G108" i="1"/>
  <c r="I108" i="1"/>
  <c r="A109" i="1"/>
  <c r="F109" i="1"/>
  <c r="G109" i="1"/>
  <c r="I109" i="1"/>
  <c r="A110" i="1"/>
  <c r="F110" i="1"/>
  <c r="G110" i="1"/>
  <c r="I110" i="1"/>
  <c r="A111" i="1"/>
  <c r="F111" i="1"/>
  <c r="G111" i="1"/>
  <c r="I111" i="1"/>
  <c r="A112" i="1"/>
  <c r="F112" i="1"/>
  <c r="G112" i="1"/>
  <c r="I112" i="1"/>
  <c r="A113" i="1"/>
  <c r="F113" i="1"/>
  <c r="G113" i="1"/>
  <c r="I113" i="1"/>
  <c r="A114" i="1"/>
  <c r="F114" i="1"/>
  <c r="G114" i="1"/>
  <c r="I114" i="1"/>
  <c r="A115" i="1"/>
  <c r="F115" i="1"/>
  <c r="G115" i="1"/>
  <c r="I115" i="1"/>
  <c r="A116" i="1"/>
  <c r="F116" i="1"/>
  <c r="G116" i="1"/>
  <c r="I116" i="1"/>
  <c r="A117" i="1"/>
  <c r="F117" i="1"/>
  <c r="G117" i="1"/>
  <c r="I117" i="1"/>
  <c r="A118" i="1"/>
  <c r="F118" i="1"/>
  <c r="G118" i="1"/>
  <c r="I118" i="1"/>
  <c r="A119" i="1"/>
  <c r="F119" i="1"/>
  <c r="G119" i="1"/>
  <c r="I119" i="1"/>
  <c r="A120" i="1"/>
  <c r="F120" i="1"/>
  <c r="G120" i="1"/>
  <c r="I120" i="1"/>
  <c r="A121" i="1"/>
  <c r="F121" i="1"/>
  <c r="G121" i="1"/>
  <c r="I121" i="1"/>
  <c r="A122" i="1"/>
  <c r="F122" i="1"/>
  <c r="G122" i="1"/>
  <c r="I122" i="1"/>
  <c r="A123" i="1"/>
  <c r="F123" i="1"/>
  <c r="G123" i="1"/>
  <c r="I123" i="1"/>
  <c r="A124" i="1"/>
  <c r="F124" i="1"/>
  <c r="G124" i="1"/>
  <c r="I124" i="1"/>
  <c r="A125" i="1"/>
  <c r="F125" i="1"/>
  <c r="G125" i="1"/>
  <c r="I125" i="1"/>
  <c r="A126" i="1"/>
  <c r="F126" i="1"/>
  <c r="G126" i="1"/>
  <c r="I126" i="1"/>
  <c r="A127" i="1"/>
  <c r="F127" i="1"/>
  <c r="G127" i="1"/>
  <c r="I127" i="1"/>
  <c r="A128" i="1"/>
  <c r="F128" i="1"/>
  <c r="G128" i="1"/>
  <c r="I128" i="1"/>
  <c r="A129" i="1"/>
  <c r="F129" i="1"/>
  <c r="G129" i="1"/>
  <c r="I129" i="1"/>
  <c r="A130" i="1"/>
  <c r="F130" i="1"/>
  <c r="G130" i="1"/>
  <c r="I130" i="1"/>
  <c r="A131" i="1"/>
  <c r="F131" i="1"/>
  <c r="G131" i="1"/>
  <c r="I131" i="1"/>
  <c r="A132" i="1"/>
  <c r="F132" i="1"/>
  <c r="G132" i="1"/>
  <c r="I132" i="1"/>
  <c r="A133" i="1"/>
  <c r="F133" i="1"/>
  <c r="G133" i="1"/>
  <c r="I133" i="1"/>
  <c r="A134" i="1"/>
  <c r="F134" i="1"/>
  <c r="G134" i="1"/>
  <c r="I134" i="1"/>
  <c r="A135" i="1"/>
  <c r="F135" i="1"/>
  <c r="G135" i="1"/>
  <c r="I135" i="1"/>
  <c r="A136" i="1"/>
  <c r="F136" i="1"/>
  <c r="G136" i="1"/>
  <c r="I136" i="1"/>
  <c r="A137" i="1"/>
  <c r="F137" i="1"/>
  <c r="G137" i="1"/>
  <c r="I137" i="1"/>
  <c r="A138" i="1"/>
  <c r="F138" i="1"/>
  <c r="G138" i="1"/>
  <c r="I138" i="1"/>
  <c r="A139" i="1"/>
  <c r="F139" i="1"/>
  <c r="G139" i="1"/>
  <c r="I139" i="1"/>
  <c r="A140" i="1"/>
  <c r="F140" i="1"/>
  <c r="G140" i="1"/>
  <c r="I140" i="1"/>
  <c r="A141" i="1"/>
  <c r="F141" i="1"/>
  <c r="G141" i="1"/>
  <c r="I141" i="1"/>
  <c r="A142" i="1"/>
  <c r="F142" i="1"/>
  <c r="G142" i="1"/>
  <c r="I142" i="1"/>
  <c r="A143" i="1"/>
  <c r="F143" i="1"/>
  <c r="G143" i="1"/>
  <c r="I143" i="1"/>
  <c r="A144" i="1"/>
  <c r="F144" i="1"/>
  <c r="G144" i="1"/>
  <c r="I144" i="1"/>
  <c r="A145" i="1"/>
  <c r="F145" i="1"/>
  <c r="G145" i="1"/>
  <c r="I145" i="1"/>
  <c r="A146" i="1"/>
  <c r="F146" i="1"/>
  <c r="G146" i="1"/>
  <c r="I146" i="1"/>
  <c r="A147" i="1"/>
  <c r="F147" i="1"/>
  <c r="G147" i="1"/>
  <c r="I147" i="1"/>
  <c r="A148" i="1"/>
  <c r="F148" i="1"/>
  <c r="G148" i="1"/>
  <c r="I148" i="1"/>
  <c r="A149" i="1"/>
  <c r="F149" i="1"/>
  <c r="G149" i="1"/>
  <c r="I149" i="1"/>
  <c r="A150" i="1"/>
  <c r="F150" i="1"/>
  <c r="G150" i="1"/>
  <c r="I150" i="1"/>
  <c r="A151" i="1"/>
  <c r="F151" i="1"/>
  <c r="G151" i="1"/>
  <c r="I151" i="1"/>
  <c r="A152" i="1"/>
  <c r="F152" i="1"/>
  <c r="G152" i="1"/>
  <c r="I152" i="1"/>
  <c r="A153" i="1"/>
  <c r="F153" i="1"/>
  <c r="G153" i="1"/>
  <c r="I153" i="1"/>
  <c r="A154" i="1"/>
  <c r="F154" i="1"/>
  <c r="G154" i="1"/>
  <c r="I154" i="1"/>
  <c r="A155" i="1"/>
  <c r="F155" i="1"/>
  <c r="G155" i="1"/>
  <c r="I155" i="1"/>
  <c r="A156" i="1"/>
  <c r="F156" i="1"/>
  <c r="G156" i="1"/>
  <c r="I156" i="1"/>
  <c r="A157" i="1"/>
  <c r="F157" i="1"/>
  <c r="G157" i="1"/>
  <c r="I157" i="1"/>
  <c r="A158" i="1"/>
  <c r="F158" i="1"/>
  <c r="G158" i="1"/>
  <c r="I158" i="1"/>
  <c r="A159" i="1"/>
  <c r="F159" i="1"/>
  <c r="G159" i="1"/>
  <c r="I159" i="1"/>
  <c r="A160" i="1"/>
  <c r="F160" i="1"/>
  <c r="G160" i="1"/>
  <c r="I160" i="1"/>
  <c r="A161" i="1"/>
  <c r="F161" i="1"/>
  <c r="G161" i="1"/>
  <c r="I161" i="1"/>
  <c r="A162" i="1"/>
  <c r="F162" i="1"/>
  <c r="G162" i="1"/>
  <c r="I162" i="1"/>
  <c r="A163" i="1"/>
  <c r="F163" i="1"/>
  <c r="G163" i="1"/>
  <c r="I163" i="1"/>
  <c r="A164" i="1"/>
  <c r="F164" i="1"/>
  <c r="G164" i="1"/>
  <c r="I164" i="1"/>
  <c r="A165" i="1"/>
  <c r="F165" i="1"/>
  <c r="G165" i="1"/>
  <c r="I165" i="1"/>
  <c r="A166" i="1"/>
  <c r="F166" i="1"/>
  <c r="G166" i="1"/>
  <c r="I166" i="1"/>
  <c r="A167" i="1"/>
  <c r="F167" i="1"/>
  <c r="G167" i="1"/>
  <c r="I167" i="1"/>
  <c r="A168" i="1"/>
  <c r="F168" i="1"/>
  <c r="G168" i="1"/>
  <c r="I168" i="1"/>
  <c r="A169" i="1"/>
  <c r="F169" i="1"/>
  <c r="G169" i="1"/>
  <c r="I169" i="1"/>
  <c r="A170" i="1"/>
  <c r="F170" i="1"/>
  <c r="G170" i="1"/>
  <c r="I170" i="1"/>
  <c r="A171" i="1"/>
  <c r="F171" i="1"/>
  <c r="G171" i="1"/>
  <c r="I171" i="1"/>
  <c r="A172" i="1"/>
  <c r="F172" i="1"/>
  <c r="G172" i="1"/>
  <c r="I172" i="1"/>
  <c r="A173" i="1"/>
  <c r="F173" i="1"/>
  <c r="G173" i="1"/>
  <c r="I173" i="1"/>
  <c r="A174" i="1"/>
  <c r="F174" i="1"/>
  <c r="G174" i="1"/>
  <c r="I174" i="1"/>
  <c r="A175" i="1"/>
  <c r="F175" i="1"/>
  <c r="G175" i="1"/>
  <c r="I175" i="1"/>
  <c r="A176" i="1"/>
  <c r="F176" i="1"/>
  <c r="G176" i="1"/>
  <c r="I176" i="1"/>
  <c r="A177" i="1"/>
  <c r="F177" i="1"/>
  <c r="G177" i="1"/>
  <c r="I177" i="1"/>
  <c r="A178" i="1"/>
  <c r="F178" i="1"/>
  <c r="G178" i="1"/>
  <c r="I178" i="1"/>
  <c r="A179" i="1"/>
  <c r="F179" i="1"/>
  <c r="G179" i="1"/>
  <c r="I179" i="1"/>
  <c r="A180" i="1"/>
  <c r="F180" i="1"/>
  <c r="G180" i="1"/>
  <c r="I180" i="1"/>
  <c r="A181" i="1"/>
  <c r="F181" i="1"/>
  <c r="G181" i="1"/>
  <c r="I181" i="1"/>
  <c r="A182" i="1"/>
  <c r="F182" i="1"/>
  <c r="G182" i="1"/>
  <c r="I182" i="1"/>
  <c r="A183" i="1"/>
  <c r="H183" i="1"/>
  <c r="I183" i="1"/>
  <c r="A184" i="1"/>
  <c r="F184" i="1"/>
  <c r="G184" i="1"/>
  <c r="I184" i="1"/>
  <c r="A185" i="1"/>
  <c r="F185" i="1"/>
  <c r="G185" i="1"/>
  <c r="I185" i="1"/>
  <c r="A186" i="1"/>
  <c r="F186" i="1"/>
  <c r="G186" i="1"/>
  <c r="I186" i="1"/>
  <c r="A187" i="1"/>
  <c r="F187" i="1"/>
  <c r="G187" i="1"/>
  <c r="I187" i="1"/>
  <c r="A188" i="1"/>
  <c r="F188" i="1"/>
  <c r="G188" i="1"/>
  <c r="I188" i="1"/>
  <c r="A189" i="1"/>
  <c r="F189" i="1"/>
  <c r="G189" i="1"/>
  <c r="I189" i="1"/>
  <c r="A190" i="1"/>
  <c r="F190" i="1"/>
  <c r="G190" i="1"/>
  <c r="I190" i="1"/>
  <c r="A191" i="1"/>
  <c r="F191" i="1"/>
  <c r="G191" i="1"/>
  <c r="I191" i="1"/>
  <c r="A192" i="1"/>
  <c r="F192" i="1"/>
  <c r="G192" i="1"/>
  <c r="I192" i="1"/>
  <c r="A193" i="1"/>
  <c r="F193" i="1"/>
  <c r="G193" i="1"/>
  <c r="I193" i="1"/>
  <c r="A194" i="1"/>
  <c r="F194" i="1"/>
  <c r="G194" i="1"/>
  <c r="I194" i="1"/>
  <c r="A195" i="1"/>
  <c r="H195" i="1"/>
  <c r="I195" i="1"/>
  <c r="A196" i="1"/>
  <c r="F196" i="1"/>
  <c r="G196" i="1"/>
  <c r="I196" i="1"/>
  <c r="A197" i="1"/>
  <c r="F197" i="1"/>
  <c r="G197" i="1"/>
  <c r="I197" i="1"/>
  <c r="A198" i="1"/>
  <c r="F198" i="1"/>
  <c r="G198" i="1"/>
  <c r="I198" i="1"/>
  <c r="A199" i="1"/>
  <c r="F199" i="1"/>
  <c r="G199" i="1"/>
  <c r="I199" i="1"/>
  <c r="A200" i="1"/>
  <c r="F200" i="1"/>
  <c r="G200" i="1"/>
  <c r="I200" i="1"/>
  <c r="A201" i="1"/>
  <c r="F201" i="1"/>
  <c r="G201" i="1"/>
  <c r="I201" i="1"/>
  <c r="A202" i="1"/>
  <c r="F202" i="1"/>
  <c r="G202" i="1"/>
  <c r="I202" i="1"/>
  <c r="A203" i="1"/>
  <c r="F203" i="1"/>
  <c r="G203" i="1"/>
  <c r="I203" i="1"/>
  <c r="A204" i="1"/>
  <c r="F204" i="1"/>
  <c r="G204" i="1"/>
  <c r="I204" i="1"/>
  <c r="A205" i="1"/>
  <c r="F205" i="1"/>
  <c r="G205" i="1"/>
  <c r="I205" i="1"/>
  <c r="A206" i="1"/>
  <c r="F206" i="1"/>
  <c r="G206" i="1"/>
  <c r="I206" i="1"/>
  <c r="A207" i="1"/>
  <c r="F207" i="1"/>
  <c r="G207" i="1"/>
  <c r="I207" i="1"/>
  <c r="A208" i="1"/>
  <c r="F208" i="1"/>
  <c r="G208" i="1"/>
  <c r="I208" i="1"/>
  <c r="A209" i="1"/>
  <c r="F209" i="1"/>
  <c r="G209" i="1"/>
  <c r="I209" i="1"/>
  <c r="A210" i="1"/>
  <c r="F210" i="1"/>
  <c r="G210" i="1"/>
  <c r="I210" i="1"/>
  <c r="A211" i="1"/>
  <c r="F211" i="1"/>
  <c r="G211" i="1"/>
  <c r="I211" i="1"/>
  <c r="A212" i="1"/>
  <c r="F212" i="1"/>
  <c r="G212" i="1"/>
  <c r="I212" i="1"/>
  <c r="A213" i="1"/>
  <c r="F213" i="1"/>
  <c r="G213" i="1"/>
  <c r="I213" i="1"/>
  <c r="A214" i="1"/>
  <c r="F214" i="1"/>
  <c r="G214" i="1"/>
  <c r="I214" i="1"/>
  <c r="A215" i="1"/>
  <c r="F215" i="1"/>
  <c r="G215" i="1"/>
  <c r="I215" i="1"/>
  <c r="A216" i="1"/>
  <c r="F216" i="1"/>
  <c r="G216" i="1"/>
  <c r="I216" i="1"/>
  <c r="A217" i="1"/>
  <c r="F217" i="1"/>
  <c r="G217" i="1"/>
  <c r="I217" i="1"/>
  <c r="A218" i="1"/>
  <c r="F218" i="1"/>
  <c r="G218" i="1"/>
  <c r="I218" i="1"/>
  <c r="A219" i="1"/>
  <c r="F219" i="1"/>
  <c r="G219" i="1"/>
  <c r="I219" i="1"/>
  <c r="A220" i="1"/>
  <c r="F220" i="1"/>
  <c r="G220" i="1"/>
  <c r="I220" i="1"/>
  <c r="A221" i="1"/>
  <c r="F221" i="1"/>
  <c r="G221" i="1"/>
  <c r="I221" i="1"/>
  <c r="A222" i="1"/>
  <c r="F222" i="1"/>
  <c r="G222" i="1"/>
  <c r="I222" i="1"/>
  <c r="A223" i="1"/>
  <c r="F223" i="1"/>
  <c r="G223" i="1"/>
  <c r="I223" i="1"/>
  <c r="A224" i="1"/>
  <c r="F224" i="1"/>
  <c r="G224" i="1"/>
  <c r="I224" i="1"/>
  <c r="A225" i="1"/>
  <c r="F225" i="1"/>
  <c r="G225" i="1"/>
  <c r="I225" i="1"/>
  <c r="A226" i="1"/>
  <c r="F226" i="1"/>
  <c r="G226" i="1"/>
  <c r="I226" i="1"/>
  <c r="A227" i="1"/>
  <c r="F227" i="1"/>
  <c r="G227" i="1"/>
  <c r="I227" i="1"/>
  <c r="A228" i="1"/>
  <c r="F228" i="1"/>
  <c r="G228" i="1"/>
  <c r="I228" i="1"/>
  <c r="A229" i="1"/>
  <c r="F229" i="1"/>
  <c r="G229" i="1"/>
  <c r="I229" i="1"/>
  <c r="A230" i="1"/>
  <c r="F230" i="1"/>
  <c r="G230" i="1"/>
  <c r="I230" i="1"/>
  <c r="A231" i="1"/>
  <c r="F231" i="1"/>
  <c r="G231" i="1"/>
  <c r="I231" i="1"/>
  <c r="A232" i="1"/>
  <c r="F232" i="1"/>
  <c r="G232" i="1"/>
  <c r="I232" i="1"/>
  <c r="A233" i="1"/>
  <c r="F233" i="1"/>
  <c r="G233" i="1"/>
  <c r="I233" i="1"/>
  <c r="A234" i="1"/>
  <c r="F234" i="1"/>
  <c r="G234" i="1"/>
  <c r="I234" i="1"/>
  <c r="A235" i="1"/>
  <c r="F235" i="1"/>
  <c r="G235" i="1"/>
  <c r="I235" i="1"/>
  <c r="A236" i="1"/>
  <c r="F236" i="1"/>
  <c r="G236" i="1"/>
  <c r="I236" i="1"/>
  <c r="A237" i="1"/>
  <c r="F237" i="1"/>
  <c r="G237" i="1"/>
  <c r="I237" i="1"/>
  <c r="A238" i="1"/>
  <c r="F238" i="1"/>
  <c r="G238" i="1"/>
  <c r="I238" i="1"/>
  <c r="A239" i="1"/>
  <c r="F239" i="1"/>
  <c r="G239" i="1"/>
  <c r="I239" i="1"/>
  <c r="A240" i="1"/>
  <c r="F240" i="1"/>
  <c r="G240" i="1"/>
  <c r="I240" i="1"/>
  <c r="A241" i="1"/>
  <c r="F241" i="1"/>
  <c r="G241" i="1"/>
  <c r="I241" i="1"/>
  <c r="A242" i="1"/>
  <c r="F242" i="1"/>
  <c r="G242" i="1"/>
  <c r="I242" i="1"/>
  <c r="A243" i="1"/>
  <c r="F243" i="1"/>
  <c r="G243" i="1"/>
  <c r="I243" i="1"/>
  <c r="A244" i="1"/>
  <c r="F244" i="1"/>
  <c r="G244" i="1"/>
  <c r="I244" i="1"/>
  <c r="A245" i="1"/>
  <c r="F245" i="1"/>
  <c r="G245" i="1"/>
  <c r="I245" i="1"/>
  <c r="A246" i="1"/>
  <c r="F246" i="1"/>
  <c r="G246" i="1"/>
  <c r="I246" i="1"/>
  <c r="A247" i="1"/>
  <c r="F247" i="1"/>
  <c r="G247" i="1"/>
  <c r="I247" i="1"/>
  <c r="A248" i="1"/>
  <c r="F248" i="1"/>
  <c r="G248" i="1"/>
  <c r="I248" i="1"/>
  <c r="A249" i="1"/>
  <c r="F249" i="1"/>
  <c r="G249" i="1"/>
  <c r="I249" i="1"/>
  <c r="A250" i="1"/>
  <c r="F250" i="1"/>
  <c r="G250" i="1"/>
  <c r="I250" i="1"/>
  <c r="A251" i="1"/>
  <c r="F251" i="1"/>
  <c r="G251" i="1"/>
  <c r="I251" i="1"/>
  <c r="A252" i="1"/>
  <c r="F252" i="1"/>
  <c r="G252" i="1"/>
  <c r="I252" i="1"/>
  <c r="A253" i="1"/>
  <c r="F253" i="1"/>
  <c r="G253" i="1"/>
  <c r="I253" i="1"/>
  <c r="A254" i="1"/>
  <c r="F254" i="1"/>
  <c r="G254" i="1"/>
  <c r="I254" i="1"/>
  <c r="A255" i="1"/>
  <c r="F255" i="1"/>
  <c r="G255" i="1"/>
  <c r="I255" i="1"/>
  <c r="A256" i="1"/>
  <c r="F256" i="1"/>
  <c r="G256" i="1"/>
  <c r="I256" i="1"/>
  <c r="A257" i="1"/>
  <c r="F257" i="1"/>
  <c r="G257" i="1"/>
  <c r="I257" i="1"/>
  <c r="A258" i="1"/>
  <c r="F258" i="1"/>
  <c r="G258" i="1"/>
  <c r="I258" i="1"/>
  <c r="A259" i="1"/>
  <c r="F259" i="1"/>
  <c r="G259" i="1"/>
  <c r="I259" i="1"/>
  <c r="A260" i="1"/>
  <c r="F260" i="1"/>
  <c r="G260" i="1"/>
  <c r="I260" i="1"/>
  <c r="A261" i="1"/>
  <c r="F261" i="1"/>
  <c r="G261" i="1"/>
  <c r="I261" i="1"/>
  <c r="A262" i="1"/>
  <c r="F262" i="1"/>
  <c r="G262" i="1"/>
  <c r="I262" i="1"/>
  <c r="A263" i="1"/>
  <c r="F263" i="1"/>
  <c r="G263" i="1"/>
  <c r="I263" i="1"/>
  <c r="A264" i="1"/>
  <c r="F264" i="1"/>
  <c r="G264" i="1"/>
  <c r="I264" i="1"/>
  <c r="A265" i="1"/>
  <c r="F265" i="1"/>
  <c r="G265" i="1"/>
  <c r="I265" i="1"/>
  <c r="A266" i="1"/>
  <c r="F266" i="1"/>
  <c r="G266" i="1"/>
  <c r="I266" i="1"/>
  <c r="A267" i="1"/>
  <c r="F267" i="1"/>
  <c r="G267" i="1"/>
  <c r="I267" i="1"/>
  <c r="A268" i="1"/>
  <c r="F268" i="1"/>
  <c r="G268" i="1"/>
  <c r="I268" i="1"/>
  <c r="A269" i="1"/>
  <c r="F269" i="1"/>
  <c r="G269" i="1"/>
  <c r="I269" i="1"/>
  <c r="A270" i="1"/>
  <c r="F270" i="1"/>
  <c r="G270" i="1"/>
  <c r="I270" i="1"/>
  <c r="A271" i="1"/>
  <c r="F271" i="1"/>
  <c r="G271" i="1"/>
  <c r="I271" i="1"/>
  <c r="A272" i="1"/>
  <c r="F272" i="1"/>
  <c r="G272" i="1"/>
  <c r="I272" i="1"/>
  <c r="A273" i="1"/>
  <c r="F273" i="1"/>
  <c r="G273" i="1"/>
  <c r="I273" i="1"/>
  <c r="A274" i="1"/>
  <c r="F274" i="1"/>
  <c r="G274" i="1"/>
  <c r="I274" i="1"/>
  <c r="A275" i="1"/>
  <c r="F275" i="1"/>
  <c r="G275" i="1"/>
  <c r="I275" i="1"/>
  <c r="A276" i="1"/>
  <c r="F276" i="1"/>
  <c r="G276" i="1"/>
  <c r="I276" i="1"/>
  <c r="A277" i="1"/>
  <c r="F277" i="1"/>
  <c r="G277" i="1"/>
  <c r="I277" i="1"/>
  <c r="A278" i="1"/>
  <c r="F278" i="1"/>
  <c r="G278" i="1"/>
  <c r="I278" i="1"/>
  <c r="A279" i="1"/>
  <c r="F279" i="1"/>
  <c r="G279" i="1"/>
  <c r="I279" i="1"/>
  <c r="A280" i="1"/>
  <c r="F280" i="1"/>
  <c r="G280" i="1"/>
  <c r="I280" i="1"/>
  <c r="A281" i="1"/>
  <c r="F281" i="1"/>
  <c r="G281" i="1"/>
  <c r="I281" i="1"/>
  <c r="A282" i="1"/>
  <c r="F282" i="1"/>
  <c r="G282" i="1"/>
  <c r="I282" i="1"/>
  <c r="A283" i="1"/>
  <c r="F283" i="1"/>
  <c r="G283" i="1"/>
  <c r="I283" i="1"/>
  <c r="A284" i="1"/>
  <c r="F284" i="1"/>
  <c r="G284" i="1"/>
  <c r="I284" i="1"/>
  <c r="A285" i="1"/>
  <c r="F285" i="1"/>
  <c r="G285" i="1"/>
  <c r="I285" i="1"/>
  <c r="A286" i="1"/>
  <c r="F286" i="1"/>
  <c r="G286" i="1"/>
  <c r="I286" i="1"/>
  <c r="A287" i="1"/>
  <c r="F287" i="1"/>
  <c r="G287" i="1"/>
  <c r="I287" i="1"/>
  <c r="A288" i="1"/>
  <c r="F288" i="1"/>
  <c r="G288" i="1"/>
  <c r="I288" i="1"/>
  <c r="A289" i="1"/>
  <c r="F289" i="1"/>
  <c r="G289" i="1"/>
  <c r="I289" i="1"/>
  <c r="A290" i="1"/>
  <c r="F290" i="1"/>
  <c r="G290" i="1"/>
  <c r="I290" i="1"/>
  <c r="A291" i="1"/>
  <c r="F291" i="1"/>
  <c r="G291" i="1"/>
  <c r="I291" i="1"/>
  <c r="A292" i="1"/>
  <c r="F292" i="1"/>
  <c r="G292" i="1"/>
  <c r="I292" i="1"/>
  <c r="A293" i="1"/>
  <c r="F293" i="1"/>
  <c r="G293" i="1"/>
  <c r="I293" i="1"/>
  <c r="A294" i="1"/>
  <c r="F294" i="1"/>
  <c r="G294" i="1"/>
  <c r="I294" i="1"/>
  <c r="A295" i="1"/>
  <c r="F295" i="1"/>
  <c r="G295" i="1"/>
  <c r="I295" i="1"/>
  <c r="A296" i="1"/>
  <c r="F296" i="1"/>
  <c r="G296" i="1"/>
  <c r="I296" i="1"/>
  <c r="A297" i="1"/>
  <c r="F297" i="1"/>
  <c r="G297" i="1"/>
  <c r="I297" i="1"/>
  <c r="A298" i="1"/>
  <c r="F298" i="1"/>
  <c r="G298" i="1"/>
  <c r="I298" i="1"/>
  <c r="A299" i="1"/>
  <c r="F299" i="1"/>
  <c r="G299" i="1"/>
  <c r="I299" i="1"/>
  <c r="A300" i="1"/>
  <c r="F300" i="1"/>
  <c r="G300" i="1"/>
  <c r="I300" i="1"/>
  <c r="A301" i="1"/>
  <c r="F301" i="1"/>
  <c r="G301" i="1"/>
  <c r="I301" i="1"/>
  <c r="A302" i="1"/>
  <c r="F302" i="1"/>
  <c r="G302" i="1"/>
  <c r="I302" i="1"/>
  <c r="A303" i="1"/>
  <c r="F303" i="1"/>
  <c r="G303" i="1"/>
  <c r="I303" i="1"/>
  <c r="A304" i="1"/>
  <c r="F304" i="1"/>
  <c r="G304" i="1"/>
  <c r="I304" i="1"/>
  <c r="A305" i="1"/>
  <c r="F305" i="1"/>
  <c r="G305" i="1"/>
  <c r="I305" i="1"/>
  <c r="A306" i="1"/>
  <c r="F306" i="1"/>
  <c r="G306" i="1"/>
  <c r="I306" i="1"/>
  <c r="A307" i="1"/>
  <c r="F307" i="1"/>
  <c r="G307" i="1"/>
  <c r="I307" i="1"/>
  <c r="A308" i="1"/>
  <c r="F308" i="1"/>
  <c r="G308" i="1"/>
  <c r="I308" i="1"/>
  <c r="A309" i="1"/>
  <c r="F309" i="1"/>
  <c r="G309" i="1"/>
  <c r="I309" i="1"/>
  <c r="A310" i="1"/>
  <c r="F310" i="1"/>
  <c r="G310" i="1"/>
  <c r="I310" i="1"/>
  <c r="A311" i="1"/>
  <c r="F311" i="1"/>
  <c r="G311" i="1"/>
  <c r="I311" i="1"/>
  <c r="A312" i="1"/>
  <c r="F312" i="1"/>
  <c r="G312" i="1"/>
  <c r="I312" i="1"/>
  <c r="A313" i="1"/>
  <c r="F313" i="1"/>
  <c r="G313" i="1"/>
  <c r="I313" i="1"/>
  <c r="A314" i="1"/>
  <c r="F314" i="1"/>
  <c r="G314" i="1"/>
  <c r="I314" i="1"/>
  <c r="A315" i="1"/>
  <c r="F315" i="1"/>
  <c r="G315" i="1"/>
  <c r="I315" i="1"/>
  <c r="A316" i="1"/>
  <c r="F316" i="1"/>
  <c r="G316" i="1"/>
  <c r="I316" i="1"/>
  <c r="A317" i="1"/>
  <c r="F317" i="1"/>
  <c r="G317" i="1"/>
  <c r="I317" i="1"/>
  <c r="A318" i="1"/>
  <c r="F318" i="1"/>
  <c r="G318" i="1"/>
  <c r="I318" i="1"/>
  <c r="A319" i="1"/>
  <c r="F319" i="1"/>
  <c r="G319" i="1"/>
  <c r="I319" i="1"/>
  <c r="A320" i="1"/>
  <c r="F320" i="1"/>
  <c r="G320" i="1"/>
  <c r="I320" i="1"/>
  <c r="A321" i="1"/>
  <c r="F321" i="1"/>
  <c r="G321" i="1"/>
  <c r="I321" i="1"/>
  <c r="A322" i="1"/>
  <c r="F322" i="1"/>
  <c r="G322" i="1"/>
  <c r="I322" i="1"/>
  <c r="A323" i="1"/>
  <c r="F323" i="1"/>
  <c r="G323" i="1"/>
  <c r="I323" i="1"/>
  <c r="A324" i="1"/>
  <c r="F324" i="1"/>
  <c r="G324" i="1"/>
  <c r="I324" i="1"/>
  <c r="A325" i="1"/>
  <c r="F325" i="1"/>
  <c r="G325" i="1"/>
  <c r="I325" i="1"/>
  <c r="A326" i="1"/>
  <c r="F326" i="1"/>
  <c r="G326" i="1"/>
  <c r="I326" i="1"/>
  <c r="A327" i="1"/>
  <c r="F327" i="1"/>
  <c r="G327" i="1"/>
  <c r="I327" i="1"/>
  <c r="A328" i="1"/>
  <c r="F328" i="1"/>
  <c r="G328" i="1"/>
  <c r="I328" i="1"/>
  <c r="A329" i="1"/>
  <c r="F329" i="1"/>
  <c r="G329" i="1"/>
  <c r="I329" i="1"/>
  <c r="A330" i="1"/>
  <c r="F330" i="1"/>
  <c r="G330" i="1"/>
  <c r="I330" i="1"/>
  <c r="A331" i="1"/>
  <c r="F331" i="1"/>
  <c r="G331" i="1"/>
  <c r="I331" i="1"/>
  <c r="A332" i="1"/>
  <c r="F332" i="1"/>
  <c r="G332" i="1"/>
  <c r="I332" i="1"/>
  <c r="A333" i="1"/>
  <c r="F333" i="1"/>
  <c r="G333" i="1"/>
  <c r="I333" i="1"/>
  <c r="A334" i="1"/>
  <c r="F334" i="1"/>
  <c r="G334" i="1"/>
  <c r="I334" i="1"/>
  <c r="A335" i="1"/>
  <c r="F335" i="1"/>
  <c r="G335" i="1"/>
  <c r="I335" i="1"/>
  <c r="A336" i="1"/>
  <c r="F336" i="1"/>
  <c r="G336" i="1"/>
  <c r="I336" i="1"/>
  <c r="A337" i="1"/>
  <c r="F337" i="1"/>
  <c r="G337" i="1"/>
  <c r="I337" i="1"/>
  <c r="A338" i="1"/>
  <c r="F338" i="1"/>
  <c r="G338" i="1"/>
  <c r="I338" i="1"/>
  <c r="A339" i="1"/>
  <c r="F339" i="1"/>
  <c r="G339" i="1"/>
  <c r="I339" i="1"/>
  <c r="A340" i="1"/>
  <c r="F340" i="1"/>
  <c r="G340" i="1"/>
  <c r="I340" i="1"/>
  <c r="A341" i="1"/>
  <c r="F341" i="1"/>
  <c r="G341" i="1"/>
  <c r="I341" i="1"/>
  <c r="A342" i="1"/>
  <c r="F342" i="1"/>
  <c r="G342" i="1"/>
  <c r="I342" i="1"/>
  <c r="A343" i="1"/>
  <c r="F343" i="1"/>
  <c r="G343" i="1"/>
  <c r="I343" i="1"/>
  <c r="A344" i="1"/>
  <c r="F344" i="1"/>
  <c r="G344" i="1"/>
  <c r="I344" i="1"/>
  <c r="A345" i="1"/>
  <c r="F345" i="1"/>
  <c r="G345" i="1"/>
  <c r="I345" i="1"/>
  <c r="A346" i="1"/>
  <c r="F346" i="1"/>
  <c r="G346" i="1"/>
  <c r="I346" i="1"/>
  <c r="A347" i="1"/>
  <c r="F347" i="1"/>
  <c r="G347" i="1"/>
  <c r="I347" i="1"/>
  <c r="A348" i="1"/>
  <c r="F348" i="1"/>
  <c r="G348" i="1"/>
  <c r="I348" i="1"/>
  <c r="A349" i="1"/>
  <c r="F349" i="1"/>
  <c r="G349" i="1"/>
  <c r="I349" i="1"/>
  <c r="A350" i="1"/>
  <c r="F350" i="1"/>
  <c r="G350" i="1"/>
  <c r="I350" i="1"/>
  <c r="A351" i="1"/>
  <c r="F351" i="1"/>
  <c r="G351" i="1"/>
  <c r="I351" i="1"/>
  <c r="A352" i="1"/>
  <c r="F352" i="1"/>
  <c r="G352" i="1"/>
  <c r="I352" i="1"/>
  <c r="A353" i="1"/>
  <c r="F353" i="1"/>
  <c r="G353" i="1"/>
  <c r="I353" i="1"/>
  <c r="A354" i="1"/>
  <c r="F354" i="1"/>
  <c r="G354" i="1"/>
  <c r="I354" i="1"/>
  <c r="A355" i="1"/>
  <c r="F355" i="1"/>
  <c r="G355" i="1"/>
  <c r="I355" i="1"/>
  <c r="A356" i="1"/>
  <c r="F356" i="1"/>
  <c r="G356" i="1"/>
  <c r="I356" i="1"/>
  <c r="A357" i="1"/>
  <c r="F357" i="1"/>
  <c r="G357" i="1"/>
  <c r="I357" i="1"/>
  <c r="A358" i="1"/>
  <c r="F358" i="1"/>
  <c r="G358" i="1"/>
  <c r="I358" i="1"/>
  <c r="A359" i="1"/>
  <c r="F359" i="1"/>
  <c r="G359" i="1"/>
  <c r="I359" i="1"/>
  <c r="A360" i="1"/>
  <c r="F360" i="1"/>
  <c r="G360" i="1"/>
  <c r="I360" i="1"/>
  <c r="A361" i="1"/>
  <c r="F361" i="1"/>
  <c r="G361" i="1"/>
  <c r="I361" i="1"/>
  <c r="A362" i="1"/>
  <c r="F362" i="1"/>
  <c r="G362" i="1"/>
  <c r="I362" i="1"/>
  <c r="A363" i="1"/>
  <c r="F363" i="1"/>
  <c r="G363" i="1"/>
  <c r="I363" i="1"/>
  <c r="A364" i="1"/>
  <c r="F364" i="1"/>
  <c r="G364" i="1"/>
  <c r="I364" i="1"/>
  <c r="A365" i="1"/>
  <c r="F365" i="1"/>
  <c r="G365" i="1"/>
  <c r="I365" i="1"/>
  <c r="A366" i="1"/>
  <c r="F366" i="1"/>
  <c r="G366" i="1"/>
  <c r="I366" i="1"/>
  <c r="A367" i="1"/>
  <c r="F367" i="1"/>
  <c r="G367" i="1"/>
  <c r="I367" i="1"/>
  <c r="A368" i="1"/>
  <c r="F368" i="1"/>
  <c r="G368" i="1"/>
  <c r="I368" i="1"/>
  <c r="A369" i="1"/>
  <c r="F369" i="1"/>
  <c r="G369" i="1"/>
  <c r="I369" i="1"/>
  <c r="A370" i="1"/>
  <c r="F370" i="1"/>
  <c r="G370" i="1"/>
  <c r="I370" i="1"/>
  <c r="A371" i="1"/>
  <c r="F371" i="1"/>
  <c r="G371" i="1"/>
  <c r="I371" i="1"/>
  <c r="A372" i="1"/>
  <c r="F372" i="1"/>
  <c r="G372" i="1"/>
  <c r="I372" i="1"/>
  <c r="A373" i="1"/>
  <c r="F373" i="1"/>
  <c r="G373" i="1"/>
  <c r="I373" i="1"/>
  <c r="A374" i="1"/>
  <c r="F374" i="1"/>
  <c r="G374" i="1"/>
  <c r="I374" i="1"/>
  <c r="A375" i="1"/>
  <c r="F375" i="1"/>
  <c r="G375" i="1"/>
  <c r="I375" i="1"/>
  <c r="A376" i="1"/>
  <c r="F376" i="1"/>
  <c r="G376" i="1"/>
  <c r="I376" i="1"/>
  <c r="A377" i="1"/>
  <c r="F377" i="1"/>
  <c r="G377" i="1"/>
  <c r="I377" i="1"/>
  <c r="A378" i="1"/>
  <c r="F378" i="1"/>
  <c r="G378" i="1"/>
  <c r="I378" i="1"/>
  <c r="A379" i="1"/>
  <c r="F379" i="1"/>
  <c r="G379" i="1"/>
  <c r="I379" i="1"/>
  <c r="A380" i="1"/>
  <c r="F380" i="1"/>
  <c r="G380" i="1"/>
  <c r="I380" i="1"/>
  <c r="A381" i="1"/>
  <c r="F381" i="1"/>
  <c r="G381" i="1"/>
  <c r="I381" i="1"/>
  <c r="A382" i="1"/>
  <c r="F382" i="1"/>
  <c r="G382" i="1"/>
  <c r="I382" i="1"/>
  <c r="A383" i="1"/>
  <c r="F383" i="1"/>
  <c r="G383" i="1"/>
  <c r="I383" i="1"/>
  <c r="A384" i="1"/>
  <c r="F384" i="1"/>
  <c r="G384" i="1"/>
  <c r="I384" i="1"/>
  <c r="A385" i="1"/>
  <c r="F385" i="1"/>
  <c r="G385" i="1"/>
  <c r="I385" i="1"/>
  <c r="A386" i="1"/>
  <c r="F386" i="1"/>
  <c r="G386" i="1"/>
  <c r="I386" i="1"/>
  <c r="A387" i="1"/>
  <c r="F387" i="1"/>
  <c r="G387" i="1"/>
  <c r="I387" i="1"/>
  <c r="A388" i="1"/>
  <c r="F388" i="1"/>
  <c r="G388" i="1"/>
  <c r="I388" i="1"/>
  <c r="A389" i="1"/>
  <c r="F389" i="1"/>
  <c r="G389" i="1"/>
  <c r="I389" i="1"/>
  <c r="A390" i="1"/>
  <c r="F390" i="1"/>
  <c r="G390" i="1"/>
  <c r="I390" i="1"/>
  <c r="A391" i="1"/>
  <c r="F391" i="1"/>
  <c r="G391" i="1"/>
  <c r="I391" i="1"/>
  <c r="A392" i="1"/>
  <c r="F392" i="1"/>
  <c r="G392" i="1"/>
  <c r="I392" i="1"/>
  <c r="A393" i="1"/>
  <c r="F393" i="1"/>
  <c r="G393" i="1"/>
  <c r="I393" i="1"/>
  <c r="A394" i="1"/>
  <c r="F394" i="1"/>
  <c r="G394" i="1"/>
  <c r="I394" i="1"/>
  <c r="A395" i="1"/>
  <c r="F395" i="1"/>
  <c r="G395" i="1"/>
  <c r="I395" i="1"/>
  <c r="A396" i="1"/>
  <c r="F396" i="1"/>
  <c r="G396" i="1"/>
  <c r="I396" i="1"/>
  <c r="A397" i="1"/>
  <c r="F397" i="1"/>
  <c r="G397" i="1"/>
  <c r="I397" i="1"/>
  <c r="A398" i="1"/>
  <c r="F398" i="1"/>
  <c r="G398" i="1"/>
  <c r="I398" i="1"/>
  <c r="A399" i="1"/>
  <c r="F399" i="1"/>
  <c r="G399" i="1"/>
  <c r="I399" i="1"/>
  <c r="A400" i="1"/>
  <c r="F400" i="1"/>
  <c r="G400" i="1"/>
  <c r="I400" i="1"/>
  <c r="A401" i="1"/>
  <c r="F401" i="1"/>
  <c r="G401" i="1"/>
  <c r="I401" i="1"/>
  <c r="A402" i="1"/>
  <c r="F402" i="1"/>
  <c r="G402" i="1"/>
  <c r="I402" i="1"/>
  <c r="A403" i="1"/>
  <c r="F403" i="1"/>
  <c r="G403" i="1"/>
  <c r="I403" i="1"/>
  <c r="A404" i="1"/>
  <c r="F404" i="1"/>
  <c r="G404" i="1"/>
  <c r="I404" i="1"/>
  <c r="A405" i="1"/>
  <c r="F405" i="1"/>
  <c r="G405" i="1"/>
  <c r="I405" i="1"/>
  <c r="A406" i="1"/>
  <c r="F406" i="1"/>
  <c r="G406" i="1"/>
  <c r="I406" i="1"/>
  <c r="A407" i="1"/>
  <c r="F407" i="1"/>
  <c r="G407" i="1"/>
  <c r="I407" i="1"/>
  <c r="A408" i="1"/>
  <c r="F408" i="1"/>
  <c r="G408" i="1"/>
  <c r="I408" i="1"/>
  <c r="A409" i="1"/>
  <c r="F409" i="1"/>
  <c r="G409" i="1"/>
  <c r="I409" i="1"/>
  <c r="A410" i="1"/>
  <c r="F410" i="1"/>
  <c r="G410" i="1"/>
  <c r="I410" i="1"/>
  <c r="A411" i="1"/>
  <c r="F411" i="1"/>
  <c r="G411" i="1"/>
  <c r="I411" i="1"/>
  <c r="A412" i="1"/>
  <c r="F412" i="1"/>
  <c r="G412" i="1"/>
  <c r="I412" i="1"/>
  <c r="A413" i="1"/>
  <c r="F413" i="1"/>
  <c r="G413" i="1"/>
  <c r="I413" i="1"/>
  <c r="A414" i="1"/>
  <c r="F414" i="1"/>
  <c r="G414" i="1"/>
  <c r="I414" i="1"/>
  <c r="A415" i="1"/>
  <c r="F415" i="1"/>
  <c r="G415" i="1"/>
  <c r="I415" i="1"/>
  <c r="A416" i="1"/>
  <c r="F416" i="1"/>
  <c r="G416" i="1"/>
  <c r="I416" i="1"/>
  <c r="A417" i="1"/>
  <c r="F417" i="1"/>
  <c r="G417" i="1"/>
  <c r="I417" i="1"/>
  <c r="A418" i="1"/>
  <c r="F418" i="1"/>
  <c r="G418" i="1"/>
  <c r="I418" i="1"/>
  <c r="A419" i="1"/>
  <c r="F419" i="1"/>
  <c r="G419" i="1"/>
  <c r="I419" i="1"/>
  <c r="A420" i="1"/>
  <c r="F420" i="1"/>
  <c r="G420" i="1"/>
  <c r="I420" i="1"/>
  <c r="A421" i="1"/>
  <c r="F421" i="1"/>
  <c r="G421" i="1"/>
  <c r="I421" i="1"/>
  <c r="A422" i="1"/>
  <c r="F422" i="1"/>
  <c r="G422" i="1"/>
  <c r="I422" i="1"/>
  <c r="A423" i="1"/>
  <c r="F423" i="1"/>
  <c r="G423" i="1"/>
  <c r="I423" i="1"/>
  <c r="A424" i="1"/>
  <c r="F424" i="1"/>
  <c r="G424" i="1"/>
  <c r="I424" i="1"/>
  <c r="A425" i="1"/>
  <c r="F425" i="1"/>
  <c r="G425" i="1"/>
  <c r="I425" i="1"/>
  <c r="A426" i="1"/>
  <c r="F426" i="1"/>
  <c r="G426" i="1"/>
  <c r="I426" i="1"/>
  <c r="A427" i="1"/>
  <c r="F427" i="1"/>
  <c r="G427" i="1"/>
  <c r="I427" i="1"/>
  <c r="A428" i="1"/>
  <c r="F428" i="1"/>
  <c r="G428" i="1"/>
  <c r="I428" i="1"/>
  <c r="A429" i="1"/>
  <c r="F429" i="1"/>
  <c r="G429" i="1"/>
  <c r="I429" i="1"/>
  <c r="A430" i="1"/>
  <c r="F430" i="1"/>
  <c r="G430" i="1"/>
  <c r="I430" i="1"/>
  <c r="A431" i="1"/>
  <c r="F431" i="1"/>
  <c r="G431" i="1"/>
  <c r="I431" i="1"/>
  <c r="A432" i="1"/>
  <c r="F432" i="1"/>
  <c r="G432" i="1"/>
  <c r="I432" i="1"/>
  <c r="A433" i="1"/>
  <c r="F433" i="1"/>
  <c r="G433" i="1"/>
  <c r="I433" i="1"/>
  <c r="A434" i="1"/>
  <c r="F434" i="1"/>
  <c r="G434" i="1"/>
  <c r="I434" i="1"/>
  <c r="A435" i="1"/>
  <c r="F435" i="1"/>
  <c r="G435" i="1"/>
  <c r="I435" i="1"/>
  <c r="A436" i="1"/>
  <c r="F436" i="1"/>
  <c r="G436" i="1"/>
  <c r="I436" i="1"/>
  <c r="A437" i="1"/>
  <c r="F437" i="1"/>
  <c r="G437" i="1"/>
  <c r="I437" i="1"/>
  <c r="A438" i="1"/>
  <c r="F438" i="1"/>
  <c r="G438" i="1"/>
  <c r="I438" i="1"/>
  <c r="A439" i="1"/>
  <c r="F439" i="1"/>
  <c r="G439" i="1"/>
  <c r="I439" i="1"/>
  <c r="A440" i="1"/>
  <c r="F440" i="1"/>
  <c r="G440" i="1"/>
  <c r="I440" i="1"/>
  <c r="A441" i="1"/>
  <c r="F441" i="1"/>
  <c r="G441" i="1"/>
  <c r="I441" i="1"/>
  <c r="A442" i="1"/>
  <c r="F442" i="1"/>
  <c r="G442" i="1"/>
  <c r="I442" i="1"/>
  <c r="A443" i="1"/>
  <c r="F443" i="1"/>
  <c r="G443" i="1"/>
  <c r="I443" i="1"/>
  <c r="A444" i="1"/>
  <c r="F444" i="1"/>
  <c r="G444" i="1"/>
  <c r="I444" i="1"/>
  <c r="A445" i="1"/>
  <c r="F445" i="1"/>
  <c r="G445" i="1"/>
  <c r="I445" i="1"/>
  <c r="A446" i="1"/>
  <c r="F446" i="1"/>
  <c r="G446" i="1"/>
  <c r="I446" i="1"/>
  <c r="A447" i="1"/>
  <c r="F447" i="1"/>
  <c r="G447" i="1"/>
  <c r="I447" i="1"/>
  <c r="A448" i="1"/>
  <c r="F448" i="1"/>
  <c r="G448" i="1"/>
  <c r="I448" i="1"/>
  <c r="A449" i="1"/>
  <c r="F449" i="1"/>
  <c r="G449" i="1"/>
  <c r="I449" i="1"/>
  <c r="A450" i="1"/>
  <c r="F450" i="1"/>
  <c r="G450" i="1"/>
  <c r="I450" i="1"/>
  <c r="A451" i="1"/>
  <c r="F451" i="1"/>
  <c r="G451" i="1"/>
  <c r="I451" i="1"/>
  <c r="A452" i="1"/>
  <c r="F452" i="1"/>
  <c r="G452" i="1"/>
  <c r="I452" i="1"/>
  <c r="A453" i="1"/>
  <c r="F453" i="1"/>
  <c r="G453" i="1"/>
  <c r="I453" i="1"/>
  <c r="A454" i="1"/>
  <c r="F454" i="1"/>
  <c r="G454" i="1"/>
  <c r="I454" i="1"/>
  <c r="A455" i="1"/>
  <c r="F455" i="1"/>
  <c r="G455" i="1"/>
  <c r="I455" i="1"/>
  <c r="A456" i="1"/>
  <c r="F456" i="1"/>
  <c r="G456" i="1"/>
  <c r="I456" i="1"/>
  <c r="A457" i="1"/>
  <c r="F457" i="1"/>
  <c r="G457" i="1"/>
  <c r="I457" i="1"/>
  <c r="A458" i="1"/>
  <c r="F458" i="1"/>
  <c r="G458" i="1"/>
  <c r="I458" i="1"/>
  <c r="A459" i="1"/>
  <c r="F459" i="1"/>
  <c r="G459" i="1"/>
  <c r="I459" i="1"/>
  <c r="A460" i="1"/>
  <c r="F460" i="1"/>
  <c r="G460" i="1"/>
  <c r="I460" i="1"/>
  <c r="A461" i="1"/>
  <c r="F461" i="1"/>
  <c r="G461" i="1"/>
  <c r="I461" i="1"/>
  <c r="A462" i="1"/>
  <c r="F462" i="1"/>
  <c r="G462" i="1"/>
  <c r="I462" i="1"/>
  <c r="A463" i="1"/>
  <c r="F463" i="1"/>
  <c r="G463" i="1"/>
  <c r="I463" i="1"/>
  <c r="A464" i="1"/>
  <c r="F464" i="1"/>
  <c r="G464" i="1"/>
  <c r="I464" i="1"/>
  <c r="A465" i="1"/>
  <c r="F465" i="1"/>
  <c r="G465" i="1"/>
  <c r="I465" i="1"/>
  <c r="A466" i="1"/>
  <c r="F466" i="1"/>
  <c r="G466" i="1"/>
  <c r="I466" i="1"/>
  <c r="A467" i="1"/>
  <c r="F467" i="1"/>
  <c r="G467" i="1"/>
  <c r="I467" i="1"/>
  <c r="A468" i="1"/>
  <c r="F468" i="1"/>
  <c r="G468" i="1"/>
  <c r="I468" i="1"/>
  <c r="A469" i="1"/>
  <c r="F469" i="1"/>
  <c r="G469" i="1"/>
  <c r="I469" i="1"/>
  <c r="A470" i="1"/>
  <c r="F470" i="1"/>
  <c r="G470" i="1"/>
  <c r="I470" i="1"/>
  <c r="A471" i="1"/>
  <c r="F471" i="1"/>
  <c r="G471" i="1"/>
  <c r="I471" i="1"/>
  <c r="A472" i="1"/>
  <c r="F472" i="1"/>
  <c r="G472" i="1"/>
  <c r="I472" i="1"/>
  <c r="A473" i="1"/>
  <c r="F473" i="1"/>
  <c r="G473" i="1"/>
  <c r="I473" i="1"/>
  <c r="A474" i="1"/>
  <c r="F474" i="1"/>
  <c r="G474" i="1"/>
  <c r="I474" i="1"/>
  <c r="A475" i="1"/>
  <c r="F475" i="1"/>
  <c r="G475" i="1"/>
  <c r="I475" i="1"/>
  <c r="A476" i="1"/>
  <c r="F476" i="1"/>
  <c r="G476" i="1"/>
  <c r="I476" i="1"/>
  <c r="A477" i="1"/>
  <c r="F477" i="1"/>
  <c r="G477" i="1"/>
  <c r="I477" i="1"/>
  <c r="A478" i="1"/>
  <c r="F478" i="1"/>
  <c r="G478" i="1"/>
  <c r="I478" i="1"/>
  <c r="A479" i="1"/>
  <c r="F479" i="1"/>
  <c r="G479" i="1"/>
  <c r="I479" i="1"/>
  <c r="A480" i="1"/>
  <c r="F480" i="1"/>
  <c r="G480" i="1"/>
  <c r="I480" i="1"/>
  <c r="A481" i="1"/>
  <c r="F481" i="1"/>
  <c r="G481" i="1"/>
  <c r="I481" i="1"/>
  <c r="A482" i="1"/>
  <c r="F482" i="1"/>
  <c r="G482" i="1"/>
  <c r="I482" i="1"/>
  <c r="A483" i="1"/>
  <c r="F483" i="1"/>
  <c r="G483" i="1"/>
  <c r="I483" i="1"/>
  <c r="A484" i="1"/>
  <c r="F484" i="1"/>
  <c r="G484" i="1"/>
  <c r="I484" i="1"/>
  <c r="A485" i="1"/>
  <c r="F485" i="1"/>
  <c r="G485" i="1"/>
  <c r="I485" i="1"/>
  <c r="A486" i="1"/>
  <c r="F486" i="1"/>
  <c r="G486" i="1"/>
  <c r="I486" i="1"/>
  <c r="A487" i="1"/>
  <c r="F487" i="1"/>
  <c r="G487" i="1"/>
  <c r="I487" i="1"/>
  <c r="A488" i="1"/>
  <c r="F488" i="1"/>
  <c r="G488" i="1"/>
  <c r="I488" i="1"/>
  <c r="A489" i="1"/>
  <c r="F489" i="1"/>
  <c r="G489" i="1"/>
  <c r="I489" i="1"/>
  <c r="A490" i="1"/>
  <c r="F490" i="1"/>
  <c r="G490" i="1"/>
  <c r="I490" i="1"/>
  <c r="A491" i="1"/>
  <c r="F491" i="1"/>
  <c r="G491" i="1"/>
  <c r="I491" i="1"/>
  <c r="A492" i="1"/>
  <c r="F492" i="1"/>
  <c r="G492" i="1"/>
  <c r="I492" i="1"/>
  <c r="A493" i="1"/>
  <c r="F493" i="1"/>
  <c r="G493" i="1"/>
  <c r="I493" i="1"/>
  <c r="A494" i="1"/>
  <c r="F494" i="1"/>
  <c r="G494" i="1"/>
  <c r="I494" i="1"/>
  <c r="A495" i="1"/>
  <c r="F495" i="1"/>
  <c r="G495" i="1"/>
  <c r="I495" i="1"/>
  <c r="A496" i="1"/>
  <c r="F496" i="1"/>
  <c r="G496" i="1"/>
  <c r="I496" i="1"/>
  <c r="A497" i="1"/>
  <c r="F497" i="1"/>
  <c r="G497" i="1"/>
  <c r="I497" i="1"/>
  <c r="A498" i="1"/>
  <c r="F498" i="1"/>
  <c r="G498" i="1"/>
  <c r="I498" i="1"/>
  <c r="A499" i="1"/>
  <c r="F499" i="1"/>
  <c r="G499" i="1"/>
  <c r="I499" i="1"/>
  <c r="A500" i="1"/>
  <c r="F500" i="1"/>
  <c r="G500" i="1"/>
  <c r="I500" i="1"/>
  <c r="A501" i="1"/>
  <c r="F501" i="1"/>
  <c r="G501" i="1"/>
  <c r="I501" i="1"/>
  <c r="A502" i="1"/>
  <c r="F502" i="1"/>
  <c r="G502" i="1"/>
  <c r="I502" i="1"/>
  <c r="A503" i="1"/>
  <c r="F503" i="1"/>
  <c r="G503" i="1"/>
  <c r="I503" i="1"/>
  <c r="A504" i="1"/>
  <c r="F504" i="1"/>
  <c r="G504" i="1"/>
  <c r="I504" i="1"/>
  <c r="A505" i="1"/>
  <c r="F505" i="1"/>
  <c r="G505" i="1"/>
  <c r="I505" i="1"/>
  <c r="A506" i="1"/>
  <c r="F506" i="1"/>
  <c r="G506" i="1"/>
  <c r="I506" i="1"/>
  <c r="A507" i="1"/>
  <c r="F507" i="1"/>
  <c r="G507" i="1"/>
  <c r="I507" i="1"/>
  <c r="A508" i="1"/>
  <c r="F508" i="1"/>
  <c r="G508" i="1"/>
  <c r="I508" i="1"/>
  <c r="A509" i="1"/>
  <c r="F509" i="1"/>
  <c r="G509" i="1"/>
  <c r="I509" i="1"/>
  <c r="A510" i="1"/>
  <c r="F510" i="1"/>
  <c r="G510" i="1"/>
  <c r="I510" i="1"/>
  <c r="A511" i="1"/>
  <c r="F511" i="1"/>
  <c r="G511" i="1"/>
  <c r="I511" i="1"/>
  <c r="A512" i="1"/>
  <c r="F512" i="1"/>
  <c r="G512" i="1"/>
  <c r="I512" i="1"/>
  <c r="A513" i="1"/>
  <c r="F513" i="1"/>
  <c r="G513" i="1"/>
  <c r="I513" i="1"/>
  <c r="A514" i="1"/>
  <c r="F514" i="1"/>
  <c r="G514" i="1"/>
  <c r="I514" i="1"/>
  <c r="A515" i="1"/>
  <c r="F515" i="1"/>
  <c r="G515" i="1"/>
  <c r="I515" i="1"/>
  <c r="A516" i="1"/>
  <c r="F516" i="1"/>
  <c r="G516" i="1"/>
  <c r="I516" i="1"/>
  <c r="A517" i="1"/>
  <c r="F517" i="1"/>
  <c r="G517" i="1"/>
  <c r="I517" i="1"/>
  <c r="A518" i="1"/>
  <c r="F518" i="1"/>
  <c r="G518" i="1"/>
  <c r="I518" i="1"/>
  <c r="A519" i="1"/>
  <c r="F519" i="1"/>
  <c r="G519" i="1"/>
  <c r="I519" i="1"/>
  <c r="A520" i="1"/>
  <c r="F520" i="1"/>
  <c r="G520" i="1"/>
  <c r="I520" i="1"/>
  <c r="A521" i="1"/>
  <c r="F521" i="1"/>
  <c r="G521" i="1"/>
  <c r="I521" i="1"/>
  <c r="A522" i="1"/>
  <c r="F522" i="1"/>
  <c r="G522" i="1"/>
  <c r="I522" i="1"/>
  <c r="A523" i="1"/>
  <c r="F523" i="1"/>
  <c r="G523" i="1"/>
  <c r="I523" i="1"/>
  <c r="A524" i="1"/>
  <c r="F524" i="1"/>
  <c r="G524" i="1"/>
  <c r="I524" i="1"/>
  <c r="A525" i="1"/>
  <c r="F525" i="1"/>
  <c r="G525" i="1"/>
  <c r="I525" i="1"/>
  <c r="A526" i="1"/>
  <c r="F526" i="1"/>
  <c r="G526" i="1"/>
  <c r="I526" i="1"/>
  <c r="A527" i="1"/>
  <c r="F527" i="1"/>
  <c r="G527" i="1"/>
  <c r="I527" i="1"/>
  <c r="A528" i="1"/>
  <c r="F528" i="1"/>
  <c r="G528" i="1"/>
  <c r="I528" i="1"/>
  <c r="A529" i="1"/>
  <c r="F529" i="1"/>
  <c r="G529" i="1"/>
  <c r="I529" i="1"/>
  <c r="A530" i="1"/>
  <c r="F530" i="1"/>
  <c r="G530" i="1"/>
  <c r="I530" i="1"/>
  <c r="A531" i="1"/>
  <c r="F531" i="1"/>
  <c r="G531" i="1"/>
  <c r="I531" i="1"/>
  <c r="A532" i="1"/>
  <c r="F532" i="1"/>
  <c r="G532" i="1"/>
  <c r="I532" i="1"/>
  <c r="A533" i="1"/>
  <c r="F533" i="1"/>
  <c r="G533" i="1"/>
  <c r="I533" i="1"/>
  <c r="A534" i="1"/>
  <c r="F534" i="1"/>
  <c r="G534" i="1"/>
  <c r="I534" i="1"/>
  <c r="A535" i="1"/>
  <c r="F535" i="1"/>
  <c r="G535" i="1"/>
  <c r="I535" i="1"/>
  <c r="A536" i="1"/>
  <c r="F536" i="1"/>
  <c r="G536" i="1"/>
  <c r="I536" i="1"/>
  <c r="A537" i="1"/>
  <c r="F537" i="1"/>
  <c r="G537" i="1"/>
  <c r="I537" i="1"/>
  <c r="A538" i="1"/>
  <c r="F538" i="1"/>
  <c r="G538" i="1"/>
  <c r="I538" i="1"/>
  <c r="A539" i="1"/>
  <c r="F539" i="1"/>
  <c r="G539" i="1"/>
  <c r="I539" i="1"/>
  <c r="A540" i="1"/>
  <c r="F540" i="1"/>
  <c r="G540" i="1"/>
  <c r="I540" i="1"/>
  <c r="A541" i="1"/>
  <c r="F541" i="1"/>
  <c r="G541" i="1"/>
  <c r="I541" i="1"/>
  <c r="A542" i="1"/>
  <c r="F542" i="1"/>
  <c r="G542" i="1"/>
  <c r="I542" i="1"/>
  <c r="A543" i="1"/>
  <c r="F543" i="1"/>
  <c r="G543" i="1"/>
  <c r="I543" i="1"/>
  <c r="A544" i="1"/>
  <c r="F544" i="1"/>
  <c r="G544" i="1"/>
  <c r="I544" i="1"/>
  <c r="A545" i="1"/>
  <c r="F545" i="1"/>
  <c r="G545" i="1"/>
  <c r="I545" i="1"/>
  <c r="A546" i="1"/>
  <c r="F546" i="1"/>
  <c r="G546" i="1"/>
  <c r="I546" i="1"/>
  <c r="A547" i="1"/>
  <c r="F547" i="1"/>
  <c r="G547" i="1"/>
  <c r="I547" i="1"/>
  <c r="A548" i="1"/>
  <c r="F548" i="1"/>
  <c r="G548" i="1"/>
  <c r="I548" i="1"/>
  <c r="A549" i="1"/>
  <c r="F549" i="1"/>
  <c r="G549" i="1"/>
  <c r="I549" i="1"/>
  <c r="A550" i="1"/>
  <c r="F550" i="1"/>
  <c r="G550" i="1"/>
  <c r="I550" i="1"/>
  <c r="A551" i="1"/>
  <c r="F551" i="1"/>
  <c r="G551" i="1"/>
  <c r="I551" i="1"/>
  <c r="A552" i="1"/>
  <c r="F552" i="1"/>
  <c r="G552" i="1"/>
  <c r="I552" i="1"/>
  <c r="A553" i="1"/>
  <c r="F553" i="1"/>
  <c r="G553" i="1"/>
  <c r="I553" i="1"/>
  <c r="A554" i="1"/>
  <c r="F554" i="1"/>
  <c r="G554" i="1"/>
  <c r="I554" i="1"/>
  <c r="A555" i="1"/>
  <c r="F555" i="1"/>
  <c r="G555" i="1"/>
  <c r="I555" i="1"/>
  <c r="A556" i="1"/>
  <c r="F556" i="1"/>
  <c r="G556" i="1"/>
  <c r="I556" i="1"/>
  <c r="A557" i="1"/>
  <c r="F557" i="1"/>
  <c r="G557" i="1"/>
  <c r="I557" i="1"/>
  <c r="A558" i="1"/>
  <c r="F558" i="1"/>
  <c r="G558" i="1"/>
  <c r="I558" i="1"/>
  <c r="A559" i="1"/>
  <c r="F559" i="1"/>
  <c r="G559" i="1"/>
  <c r="I559" i="1"/>
  <c r="A560" i="1"/>
  <c r="F560" i="1"/>
  <c r="G560" i="1"/>
  <c r="I560" i="1"/>
  <c r="A561" i="1"/>
  <c r="F561" i="1"/>
  <c r="G561" i="1"/>
  <c r="I561" i="1"/>
  <c r="A562" i="1"/>
  <c r="F562" i="1"/>
  <c r="G562" i="1"/>
  <c r="I562" i="1"/>
  <c r="A563" i="1"/>
  <c r="F563" i="1"/>
  <c r="G563" i="1"/>
  <c r="I563" i="1"/>
  <c r="A564" i="1"/>
  <c r="F564" i="1"/>
  <c r="G564" i="1"/>
  <c r="I564" i="1"/>
  <c r="A565" i="1"/>
  <c r="F565" i="1"/>
  <c r="G565" i="1"/>
  <c r="I565" i="1"/>
  <c r="A566" i="1"/>
  <c r="F566" i="1"/>
  <c r="G566" i="1"/>
  <c r="I566" i="1"/>
  <c r="A567" i="1"/>
  <c r="F567" i="1"/>
  <c r="G567" i="1"/>
  <c r="I567" i="1"/>
  <c r="A568" i="1"/>
  <c r="F568" i="1"/>
  <c r="G568" i="1"/>
  <c r="I568" i="1"/>
  <c r="A569" i="1"/>
  <c r="F569" i="1"/>
  <c r="G569" i="1"/>
  <c r="I569" i="1"/>
  <c r="A570" i="1"/>
  <c r="F570" i="1"/>
  <c r="G570" i="1"/>
  <c r="I570" i="1"/>
  <c r="A571" i="1"/>
  <c r="F571" i="1"/>
  <c r="G571" i="1"/>
  <c r="I571" i="1"/>
  <c r="A572" i="1"/>
  <c r="F572" i="1"/>
  <c r="G572" i="1"/>
  <c r="I572" i="1"/>
  <c r="A573" i="1"/>
  <c r="F573" i="1"/>
  <c r="G573" i="1"/>
  <c r="I573" i="1"/>
  <c r="A574" i="1"/>
  <c r="F574" i="1"/>
  <c r="G574" i="1"/>
  <c r="I574" i="1"/>
  <c r="A575" i="1"/>
  <c r="F575" i="1"/>
  <c r="G575" i="1"/>
  <c r="I575" i="1"/>
  <c r="A576" i="1"/>
  <c r="F576" i="1"/>
  <c r="G576" i="1"/>
  <c r="I576" i="1"/>
  <c r="A577" i="1"/>
  <c r="F577" i="1"/>
  <c r="G577" i="1"/>
  <c r="I577" i="1"/>
  <c r="A578" i="1"/>
  <c r="F578" i="1"/>
  <c r="G578" i="1"/>
  <c r="I578" i="1"/>
  <c r="A579" i="1"/>
  <c r="F579" i="1"/>
  <c r="G579" i="1"/>
  <c r="I579" i="1"/>
  <c r="A580" i="1"/>
  <c r="F580" i="1"/>
  <c r="G580" i="1"/>
  <c r="I580" i="1"/>
  <c r="A581" i="1"/>
  <c r="F581" i="1"/>
  <c r="G581" i="1"/>
  <c r="I581" i="1"/>
  <c r="A582" i="1"/>
  <c r="F582" i="1"/>
  <c r="G582" i="1"/>
  <c r="I582" i="1"/>
  <c r="A583" i="1"/>
  <c r="F583" i="1"/>
  <c r="G583" i="1"/>
  <c r="I583" i="1"/>
  <c r="A584" i="1"/>
  <c r="F584" i="1"/>
  <c r="G584" i="1"/>
  <c r="I584" i="1"/>
  <c r="A585" i="1"/>
  <c r="F585" i="1"/>
  <c r="G585" i="1"/>
  <c r="I585" i="1"/>
  <c r="A586" i="1"/>
  <c r="F586" i="1"/>
  <c r="G586" i="1"/>
  <c r="I586" i="1"/>
  <c r="A587" i="1"/>
  <c r="H587" i="1"/>
  <c r="I587" i="1"/>
  <c r="A588" i="1"/>
  <c r="F588" i="1"/>
  <c r="G588" i="1"/>
  <c r="I588" i="1"/>
  <c r="A589" i="1"/>
  <c r="F589" i="1"/>
  <c r="G589" i="1"/>
  <c r="I589" i="1"/>
  <c r="A590" i="1"/>
  <c r="F590" i="1"/>
  <c r="G590" i="1"/>
  <c r="I590" i="1"/>
  <c r="A591" i="1"/>
  <c r="F591" i="1"/>
  <c r="G591" i="1"/>
  <c r="I591" i="1"/>
  <c r="A592" i="1"/>
  <c r="F592" i="1"/>
  <c r="G592" i="1"/>
  <c r="I592" i="1"/>
  <c r="A593" i="1"/>
  <c r="F593" i="1"/>
  <c r="G593" i="1"/>
  <c r="I593" i="1"/>
  <c r="A594" i="1"/>
  <c r="F594" i="1"/>
  <c r="G594" i="1"/>
  <c r="I594" i="1"/>
  <c r="A595" i="1"/>
  <c r="F595" i="1"/>
  <c r="G595" i="1"/>
  <c r="I595" i="1"/>
  <c r="A596" i="1"/>
  <c r="F596" i="1"/>
  <c r="G596" i="1"/>
  <c r="I596" i="1"/>
  <c r="A597" i="1"/>
  <c r="F597" i="1"/>
  <c r="G597" i="1"/>
  <c r="I597" i="1"/>
  <c r="A598" i="1"/>
  <c r="F598" i="1"/>
  <c r="G598" i="1"/>
  <c r="I598" i="1"/>
  <c r="A599" i="1"/>
  <c r="F599" i="1"/>
  <c r="G599" i="1"/>
  <c r="I599" i="1"/>
  <c r="A600" i="1"/>
  <c r="F600" i="1"/>
  <c r="G600" i="1"/>
  <c r="I600" i="1"/>
  <c r="A601" i="1"/>
  <c r="F601" i="1"/>
  <c r="G601" i="1"/>
  <c r="I601" i="1"/>
  <c r="A602" i="1"/>
  <c r="F602" i="1"/>
  <c r="G602" i="1"/>
  <c r="I602" i="1"/>
  <c r="A603" i="1"/>
  <c r="F603" i="1"/>
  <c r="G603" i="1"/>
  <c r="I603" i="1"/>
  <c r="A604" i="1"/>
  <c r="F604" i="1"/>
  <c r="G604" i="1"/>
  <c r="I604" i="1"/>
  <c r="A605" i="1"/>
  <c r="F605" i="1"/>
  <c r="G605" i="1"/>
  <c r="I605" i="1"/>
  <c r="A606" i="1"/>
  <c r="F606" i="1"/>
  <c r="G606" i="1"/>
  <c r="I606" i="1"/>
  <c r="A607" i="1"/>
  <c r="F607" i="1"/>
  <c r="G607" i="1"/>
  <c r="I607" i="1"/>
  <c r="A608" i="1"/>
  <c r="F608" i="1"/>
  <c r="G608" i="1"/>
  <c r="I608" i="1"/>
  <c r="A609" i="1"/>
  <c r="F609" i="1"/>
  <c r="G609" i="1"/>
  <c r="I609" i="1"/>
  <c r="A610" i="1"/>
  <c r="F610" i="1"/>
  <c r="G610" i="1"/>
  <c r="I610" i="1"/>
  <c r="A611" i="1"/>
  <c r="F611" i="1"/>
  <c r="G611" i="1"/>
  <c r="I611" i="1"/>
  <c r="A612" i="1"/>
  <c r="F612" i="1"/>
  <c r="G612" i="1"/>
  <c r="I612" i="1"/>
  <c r="A613" i="1"/>
  <c r="F613" i="1"/>
  <c r="G613" i="1"/>
  <c r="I613" i="1"/>
  <c r="A614" i="1"/>
  <c r="F614" i="1"/>
  <c r="G614" i="1"/>
  <c r="I614" i="1"/>
  <c r="A615" i="1"/>
  <c r="F615" i="1"/>
  <c r="G615" i="1"/>
  <c r="I615" i="1"/>
  <c r="A616" i="1"/>
  <c r="F616" i="1"/>
  <c r="G616" i="1"/>
  <c r="I616" i="1"/>
  <c r="A617" i="1"/>
  <c r="F617" i="1"/>
  <c r="G617" i="1"/>
  <c r="I617" i="1"/>
  <c r="A618" i="1"/>
  <c r="F618" i="1"/>
  <c r="G618" i="1"/>
  <c r="I618" i="1"/>
  <c r="A619" i="1"/>
  <c r="F619" i="1"/>
  <c r="G619" i="1"/>
  <c r="I619" i="1"/>
  <c r="A620" i="1"/>
  <c r="F620" i="1"/>
  <c r="G620" i="1"/>
  <c r="I620" i="1"/>
  <c r="A621" i="1"/>
  <c r="F621" i="1"/>
  <c r="G621" i="1"/>
  <c r="I621" i="1"/>
  <c r="A622" i="1"/>
  <c r="F622" i="1"/>
  <c r="G622" i="1"/>
  <c r="I622" i="1"/>
  <c r="A623" i="1"/>
  <c r="F623" i="1"/>
  <c r="G623" i="1"/>
  <c r="I623" i="1"/>
  <c r="A624" i="1"/>
  <c r="F624" i="1"/>
  <c r="G624" i="1"/>
  <c r="I624" i="1"/>
  <c r="A625" i="1"/>
  <c r="F625" i="1"/>
  <c r="G625" i="1"/>
  <c r="I625" i="1"/>
  <c r="A626" i="1"/>
  <c r="F626" i="1"/>
  <c r="G626" i="1"/>
  <c r="I626" i="1"/>
  <c r="A627" i="1"/>
  <c r="F627" i="1"/>
  <c r="G627" i="1"/>
  <c r="I627" i="1"/>
  <c r="A628" i="1"/>
  <c r="F628" i="1"/>
  <c r="G628" i="1"/>
  <c r="I628" i="1"/>
  <c r="A629" i="1"/>
  <c r="F629" i="1"/>
  <c r="G629" i="1"/>
  <c r="I629" i="1"/>
  <c r="A630" i="1"/>
  <c r="F630" i="1"/>
  <c r="G630" i="1"/>
  <c r="I630" i="1"/>
  <c r="A631" i="1"/>
  <c r="F631" i="1"/>
  <c r="G631" i="1"/>
  <c r="I631" i="1"/>
  <c r="A632" i="1"/>
  <c r="F632" i="1"/>
  <c r="G632" i="1"/>
  <c r="I632" i="1"/>
  <c r="A633" i="1"/>
  <c r="F633" i="1"/>
  <c r="G633" i="1"/>
  <c r="I633" i="1"/>
  <c r="A634" i="1"/>
  <c r="F634" i="1"/>
  <c r="G634" i="1"/>
  <c r="I634" i="1"/>
  <c r="A635" i="1"/>
  <c r="F635" i="1"/>
  <c r="G635" i="1"/>
  <c r="I635" i="1"/>
  <c r="A636" i="1"/>
  <c r="F636" i="1"/>
  <c r="G636" i="1"/>
  <c r="I636" i="1"/>
  <c r="A637" i="1"/>
  <c r="F637" i="1"/>
  <c r="G637" i="1"/>
  <c r="I637" i="1"/>
  <c r="A638" i="1"/>
  <c r="F638" i="1"/>
  <c r="G638" i="1"/>
  <c r="I638" i="1"/>
  <c r="A639" i="1"/>
  <c r="F639" i="1"/>
  <c r="G639" i="1"/>
  <c r="I639" i="1"/>
  <c r="A640" i="1"/>
  <c r="F640" i="1"/>
  <c r="G640" i="1"/>
  <c r="I640" i="1"/>
  <c r="A641" i="1"/>
  <c r="F641" i="1"/>
  <c r="G641" i="1"/>
  <c r="I641" i="1"/>
  <c r="A642" i="1"/>
  <c r="F642" i="1"/>
  <c r="G642" i="1"/>
  <c r="I642" i="1"/>
  <c r="A643" i="1"/>
  <c r="F643" i="1"/>
  <c r="G643" i="1"/>
  <c r="I643" i="1"/>
  <c r="A644" i="1"/>
  <c r="F644" i="1"/>
  <c r="G644" i="1"/>
  <c r="I644" i="1"/>
  <c r="A645" i="1"/>
  <c r="F645" i="1"/>
  <c r="G645" i="1"/>
  <c r="I645" i="1"/>
  <c r="A646" i="1"/>
  <c r="F646" i="1"/>
  <c r="G646" i="1"/>
  <c r="I646" i="1"/>
  <c r="A647" i="1"/>
  <c r="F647" i="1"/>
  <c r="G647" i="1"/>
  <c r="I647" i="1"/>
  <c r="A648" i="1"/>
  <c r="F648" i="1"/>
  <c r="G648" i="1"/>
  <c r="I648" i="1"/>
  <c r="A649" i="1"/>
  <c r="F649" i="1"/>
  <c r="G649" i="1"/>
  <c r="I649" i="1"/>
  <c r="A650" i="1"/>
  <c r="F650" i="1"/>
  <c r="G650" i="1"/>
  <c r="I650" i="1"/>
  <c r="A651" i="1"/>
  <c r="F651" i="1"/>
  <c r="G651" i="1"/>
  <c r="I651" i="1"/>
  <c r="A652" i="1"/>
  <c r="F652" i="1"/>
  <c r="G652" i="1"/>
  <c r="I652" i="1"/>
  <c r="A653" i="1"/>
  <c r="F653" i="1"/>
  <c r="G653" i="1"/>
  <c r="I653" i="1"/>
  <c r="A654" i="1"/>
  <c r="F654" i="1"/>
  <c r="G654" i="1"/>
  <c r="I654" i="1"/>
  <c r="A655" i="1"/>
  <c r="F655" i="1"/>
  <c r="G655" i="1"/>
  <c r="I655" i="1"/>
  <c r="A656" i="1"/>
  <c r="F656" i="1"/>
  <c r="G656" i="1"/>
  <c r="I656" i="1"/>
  <c r="A657" i="1"/>
  <c r="F657" i="1"/>
  <c r="G657" i="1"/>
  <c r="I657" i="1"/>
  <c r="A658" i="1"/>
  <c r="F658" i="1"/>
  <c r="G658" i="1"/>
  <c r="I658" i="1"/>
  <c r="A659" i="1"/>
  <c r="F659" i="1"/>
  <c r="G659" i="1"/>
  <c r="I659" i="1"/>
  <c r="A660" i="1"/>
  <c r="F660" i="1"/>
  <c r="G660" i="1"/>
  <c r="I660" i="1"/>
  <c r="A661" i="1"/>
  <c r="F661" i="1"/>
  <c r="G661" i="1"/>
  <c r="I661" i="1"/>
  <c r="A662" i="1"/>
  <c r="F662" i="1"/>
  <c r="G662" i="1"/>
  <c r="I662" i="1"/>
  <c r="A663" i="1"/>
  <c r="F663" i="1"/>
  <c r="G663" i="1"/>
  <c r="I663" i="1"/>
  <c r="A664" i="1"/>
  <c r="F664" i="1"/>
  <c r="G664" i="1"/>
  <c r="I664" i="1"/>
  <c r="A665" i="1"/>
  <c r="F665" i="1"/>
  <c r="G665" i="1"/>
  <c r="I665" i="1"/>
  <c r="A666" i="1"/>
  <c r="F666" i="1"/>
  <c r="G666" i="1"/>
  <c r="I666" i="1"/>
  <c r="A667" i="1"/>
  <c r="F667" i="1"/>
  <c r="G667" i="1"/>
  <c r="I667" i="1"/>
  <c r="A668" i="1"/>
  <c r="F668" i="1"/>
  <c r="G668" i="1"/>
  <c r="I668" i="1"/>
  <c r="A669" i="1"/>
  <c r="F669" i="1"/>
  <c r="G669" i="1"/>
  <c r="I669" i="1"/>
  <c r="A670" i="1"/>
  <c r="F670" i="1"/>
  <c r="G670" i="1"/>
  <c r="I670" i="1"/>
  <c r="A671" i="1"/>
  <c r="F671" i="1"/>
  <c r="G671" i="1"/>
  <c r="I671" i="1"/>
  <c r="A672" i="1"/>
  <c r="F672" i="1"/>
  <c r="G672" i="1"/>
  <c r="I672" i="1"/>
  <c r="A673" i="1"/>
  <c r="F673" i="1"/>
  <c r="G673" i="1"/>
  <c r="I673" i="1"/>
  <c r="A674" i="1"/>
  <c r="F674" i="1"/>
  <c r="G674" i="1"/>
  <c r="I674" i="1"/>
  <c r="A675" i="1"/>
  <c r="F675" i="1"/>
  <c r="G675" i="1"/>
  <c r="I675" i="1"/>
  <c r="A676" i="1"/>
  <c r="F676" i="1"/>
  <c r="G676" i="1"/>
  <c r="I676" i="1"/>
  <c r="A677" i="1"/>
  <c r="F677" i="1"/>
  <c r="G677" i="1"/>
  <c r="I677" i="1"/>
  <c r="A678" i="1"/>
  <c r="F678" i="1"/>
  <c r="G678" i="1"/>
  <c r="I678" i="1"/>
  <c r="A679" i="1"/>
  <c r="F679" i="1"/>
  <c r="G679" i="1"/>
  <c r="I679" i="1"/>
  <c r="A680" i="1"/>
  <c r="F680" i="1"/>
  <c r="G680" i="1"/>
  <c r="I680" i="1"/>
  <c r="A681" i="1"/>
  <c r="F681" i="1"/>
  <c r="G681" i="1"/>
  <c r="I681" i="1"/>
  <c r="A682" i="1"/>
  <c r="F682" i="1"/>
  <c r="G682" i="1"/>
  <c r="I682" i="1"/>
  <c r="A683" i="1"/>
  <c r="F683" i="1"/>
  <c r="G683" i="1"/>
  <c r="I683" i="1"/>
  <c r="A684" i="1"/>
  <c r="F684" i="1"/>
  <c r="G684" i="1"/>
  <c r="I684" i="1"/>
  <c r="A685" i="1"/>
  <c r="F685" i="1"/>
  <c r="G685" i="1"/>
  <c r="I685" i="1"/>
  <c r="A686" i="1"/>
  <c r="F686" i="1"/>
  <c r="G686" i="1"/>
  <c r="I686" i="1"/>
  <c r="A687" i="1"/>
  <c r="F687" i="1"/>
  <c r="G687" i="1"/>
  <c r="I687" i="1"/>
  <c r="A688" i="1"/>
  <c r="F688" i="1"/>
  <c r="G688" i="1"/>
  <c r="I688" i="1"/>
  <c r="A689" i="1"/>
  <c r="F689" i="1"/>
  <c r="G689" i="1"/>
  <c r="I689" i="1"/>
  <c r="A690" i="1"/>
  <c r="F690" i="1"/>
  <c r="G690" i="1"/>
  <c r="I690" i="1"/>
  <c r="A691" i="1"/>
  <c r="F691" i="1"/>
  <c r="G691" i="1"/>
  <c r="I691" i="1"/>
  <c r="A692" i="1"/>
  <c r="F692" i="1"/>
  <c r="G692" i="1"/>
  <c r="I692" i="1"/>
  <c r="A693" i="1"/>
  <c r="F693" i="1"/>
  <c r="G693" i="1"/>
  <c r="I693" i="1"/>
  <c r="A694" i="1"/>
  <c r="F694" i="1"/>
  <c r="G694" i="1"/>
  <c r="I694" i="1"/>
  <c r="A695" i="1"/>
  <c r="F695" i="1"/>
  <c r="G695" i="1"/>
  <c r="I695" i="1"/>
  <c r="A696" i="1"/>
  <c r="F696" i="1"/>
  <c r="G696" i="1"/>
  <c r="I696" i="1"/>
  <c r="A697" i="1"/>
  <c r="F697" i="1"/>
  <c r="G697" i="1"/>
  <c r="I697" i="1"/>
  <c r="A698" i="1"/>
  <c r="F698" i="1"/>
  <c r="G698" i="1"/>
  <c r="I698" i="1"/>
  <c r="A699" i="1"/>
  <c r="F699" i="1"/>
  <c r="G699" i="1"/>
  <c r="I699" i="1"/>
  <c r="A700" i="1"/>
  <c r="F700" i="1"/>
  <c r="G700" i="1"/>
  <c r="I700" i="1"/>
  <c r="A701" i="1"/>
  <c r="F701" i="1"/>
  <c r="G701" i="1"/>
  <c r="I701" i="1"/>
  <c r="A702" i="1"/>
  <c r="F702" i="1"/>
  <c r="G702" i="1"/>
  <c r="I702" i="1"/>
  <c r="A703" i="1"/>
  <c r="F703" i="1"/>
  <c r="G703" i="1"/>
  <c r="I703" i="1"/>
  <c r="A704" i="1"/>
  <c r="F704" i="1"/>
  <c r="G704" i="1"/>
  <c r="A705" i="1"/>
  <c r="F705" i="1"/>
  <c r="G705" i="1"/>
  <c r="I705" i="1"/>
  <c r="A706" i="1"/>
  <c r="F706" i="1"/>
  <c r="G706" i="1"/>
  <c r="I706" i="1"/>
  <c r="A707" i="1"/>
  <c r="F707" i="1"/>
  <c r="G707" i="1"/>
  <c r="I707" i="1"/>
  <c r="A708" i="1"/>
  <c r="F708" i="1"/>
  <c r="G708" i="1"/>
  <c r="I708" i="1"/>
  <c r="A709" i="1"/>
  <c r="F709" i="1"/>
  <c r="G709" i="1"/>
  <c r="I709" i="1"/>
  <c r="A710" i="1"/>
  <c r="F710" i="1"/>
  <c r="G710" i="1"/>
  <c r="I710" i="1"/>
  <c r="A711" i="1"/>
  <c r="F711" i="1"/>
  <c r="G711" i="1"/>
  <c r="I711" i="1"/>
  <c r="A712" i="1"/>
  <c r="F712" i="1"/>
  <c r="G712" i="1"/>
  <c r="I712" i="1"/>
  <c r="A713" i="1"/>
  <c r="F713" i="1"/>
  <c r="G713" i="1"/>
  <c r="I713" i="1"/>
  <c r="A714" i="1"/>
  <c r="F714" i="1"/>
  <c r="G714" i="1"/>
  <c r="I714" i="1"/>
  <c r="A715" i="1"/>
  <c r="F715" i="1"/>
  <c r="G715" i="1"/>
  <c r="I715" i="1"/>
  <c r="A716" i="1"/>
  <c r="F716" i="1"/>
  <c r="G716" i="1"/>
  <c r="I716" i="1"/>
  <c r="A717" i="1"/>
  <c r="F717" i="1"/>
  <c r="G717" i="1"/>
  <c r="I717" i="1"/>
  <c r="A718" i="1"/>
  <c r="H718" i="1"/>
  <c r="I718" i="1"/>
  <c r="A719" i="1"/>
  <c r="F719" i="1"/>
  <c r="G719" i="1"/>
  <c r="I719" i="1"/>
  <c r="A720" i="1"/>
  <c r="F720" i="1"/>
  <c r="G720" i="1"/>
  <c r="I720" i="1"/>
  <c r="A721" i="1"/>
  <c r="F721" i="1"/>
  <c r="G721" i="1"/>
  <c r="I721" i="1"/>
  <c r="A722" i="1"/>
  <c r="F722" i="1"/>
  <c r="G722" i="1"/>
  <c r="I722" i="1"/>
  <c r="A723" i="1"/>
  <c r="F723" i="1"/>
  <c r="G723" i="1"/>
  <c r="I723" i="1"/>
  <c r="A724" i="1"/>
  <c r="F724" i="1"/>
  <c r="G724" i="1"/>
  <c r="I724" i="1"/>
  <c r="A725" i="1"/>
  <c r="F725" i="1"/>
  <c r="G725" i="1"/>
  <c r="I725" i="1"/>
  <c r="A726" i="1"/>
  <c r="F726" i="1"/>
  <c r="G726" i="1"/>
  <c r="I726" i="1"/>
  <c r="A727" i="1"/>
  <c r="F727" i="1"/>
  <c r="G727" i="1"/>
  <c r="I727" i="1"/>
  <c r="A728" i="1"/>
  <c r="F728" i="1"/>
  <c r="G728" i="1"/>
  <c r="I728" i="1"/>
  <c r="A729" i="1"/>
  <c r="F729" i="1"/>
  <c r="G729" i="1"/>
  <c r="I729" i="1"/>
  <c r="A730" i="1"/>
  <c r="F730" i="1"/>
  <c r="G730" i="1"/>
  <c r="I730" i="1"/>
  <c r="A731" i="1"/>
  <c r="F731" i="1"/>
  <c r="G731" i="1"/>
  <c r="I731" i="1"/>
  <c r="A732" i="1"/>
  <c r="F732" i="1"/>
  <c r="G732" i="1"/>
  <c r="I732" i="1"/>
  <c r="A733" i="1"/>
  <c r="F733" i="1"/>
  <c r="G733" i="1"/>
  <c r="I733" i="1"/>
  <c r="A734" i="1"/>
  <c r="F734" i="1"/>
  <c r="G734" i="1"/>
  <c r="I734" i="1"/>
  <c r="A735" i="1"/>
  <c r="F735" i="1"/>
  <c r="G735" i="1"/>
  <c r="I735" i="1"/>
  <c r="A736" i="1"/>
  <c r="F736" i="1"/>
  <c r="G736" i="1"/>
  <c r="I736" i="1"/>
  <c r="A737" i="1"/>
  <c r="F737" i="1"/>
  <c r="G737" i="1"/>
  <c r="I737" i="1"/>
  <c r="A738" i="1"/>
  <c r="F738" i="1"/>
  <c r="G738" i="1"/>
  <c r="I738" i="1"/>
  <c r="A739" i="1"/>
  <c r="F739" i="1"/>
  <c r="G739" i="1"/>
  <c r="I739" i="1"/>
  <c r="A740" i="1"/>
  <c r="F740" i="1"/>
  <c r="G740" i="1"/>
  <c r="I740" i="1"/>
  <c r="A741" i="1"/>
  <c r="F741" i="1"/>
  <c r="G741" i="1"/>
  <c r="I741" i="1"/>
  <c r="A742" i="1"/>
  <c r="F742" i="1"/>
  <c r="G742" i="1"/>
  <c r="I742" i="1"/>
  <c r="A743" i="1"/>
  <c r="F743" i="1"/>
  <c r="G743" i="1"/>
  <c r="I743" i="1"/>
  <c r="A744" i="1"/>
  <c r="F744" i="1"/>
  <c r="G744" i="1"/>
  <c r="I744" i="1"/>
  <c r="A745" i="1"/>
  <c r="F745" i="1"/>
  <c r="G745" i="1"/>
  <c r="I745" i="1"/>
  <c r="A746" i="1"/>
  <c r="F746" i="1"/>
  <c r="G746" i="1"/>
  <c r="I746" i="1"/>
  <c r="A747" i="1"/>
  <c r="F747" i="1"/>
  <c r="G747" i="1"/>
  <c r="I747" i="1"/>
  <c r="A748" i="1"/>
  <c r="F748" i="1"/>
  <c r="G748" i="1"/>
  <c r="I748" i="1"/>
  <c r="A749" i="1"/>
  <c r="F749" i="1"/>
  <c r="G749" i="1"/>
  <c r="I749" i="1"/>
  <c r="A750" i="1"/>
  <c r="F750" i="1"/>
  <c r="G750" i="1"/>
  <c r="I750" i="1"/>
  <c r="A751" i="1"/>
  <c r="F751" i="1"/>
  <c r="G751" i="1"/>
  <c r="I751" i="1"/>
  <c r="A752" i="1"/>
  <c r="F752" i="1"/>
  <c r="G752" i="1"/>
  <c r="I752" i="1"/>
  <c r="A753" i="1"/>
  <c r="F753" i="1"/>
  <c r="G753" i="1"/>
  <c r="I753" i="1"/>
  <c r="A754" i="1"/>
  <c r="F754" i="1"/>
  <c r="G754" i="1"/>
  <c r="I754" i="1"/>
  <c r="A755" i="1"/>
  <c r="F755" i="1"/>
  <c r="G755" i="1"/>
  <c r="I755" i="1"/>
  <c r="A756" i="1"/>
  <c r="F756" i="1"/>
  <c r="G756" i="1"/>
  <c r="I756" i="1"/>
  <c r="A757" i="1"/>
  <c r="F757" i="1"/>
  <c r="G757" i="1"/>
  <c r="I757" i="1"/>
  <c r="A758" i="1"/>
  <c r="F758" i="1"/>
  <c r="G758" i="1"/>
  <c r="I758" i="1"/>
  <c r="A759" i="1"/>
  <c r="F759" i="1"/>
  <c r="G759" i="1"/>
  <c r="I759" i="1"/>
  <c r="A760" i="1"/>
  <c r="F760" i="1"/>
  <c r="G760" i="1"/>
  <c r="I760" i="1"/>
  <c r="A761" i="1"/>
  <c r="F761" i="1"/>
  <c r="G761" i="1"/>
  <c r="I761" i="1"/>
  <c r="A762" i="1"/>
  <c r="F762" i="1"/>
  <c r="G762" i="1"/>
  <c r="I762" i="1"/>
  <c r="A763" i="1"/>
  <c r="F763" i="1"/>
  <c r="G763" i="1"/>
  <c r="I763" i="1"/>
  <c r="A764" i="1"/>
  <c r="F764" i="1"/>
  <c r="G764" i="1"/>
  <c r="I764" i="1"/>
  <c r="A765" i="1"/>
  <c r="F765" i="1"/>
  <c r="G765" i="1"/>
  <c r="I765" i="1"/>
  <c r="A766" i="1"/>
  <c r="F766" i="1"/>
  <c r="G766" i="1"/>
  <c r="I766" i="1"/>
  <c r="A767" i="1"/>
  <c r="F767" i="1"/>
  <c r="G767" i="1"/>
  <c r="I767" i="1"/>
  <c r="A768" i="1"/>
  <c r="F768" i="1"/>
  <c r="G768" i="1"/>
  <c r="I768" i="1"/>
  <c r="A769" i="1"/>
  <c r="F769" i="1"/>
  <c r="G769" i="1"/>
  <c r="I769" i="1"/>
  <c r="A770" i="1"/>
  <c r="F770" i="1"/>
  <c r="G770" i="1"/>
  <c r="I770" i="1"/>
  <c r="A771" i="1"/>
  <c r="F771" i="1"/>
  <c r="G771" i="1"/>
  <c r="I771" i="1"/>
  <c r="A772" i="1"/>
  <c r="F772" i="1"/>
  <c r="G772" i="1"/>
  <c r="I772" i="1"/>
  <c r="A773" i="1"/>
  <c r="F773" i="1"/>
  <c r="G773" i="1"/>
  <c r="I773" i="1"/>
  <c r="A774" i="1"/>
  <c r="F774" i="1"/>
  <c r="G774" i="1"/>
  <c r="I774" i="1"/>
  <c r="A775" i="1"/>
  <c r="F775" i="1"/>
  <c r="G775" i="1"/>
  <c r="I775" i="1"/>
  <c r="A776" i="1"/>
  <c r="F776" i="1"/>
  <c r="G776" i="1"/>
  <c r="I776" i="1"/>
  <c r="A777" i="1"/>
  <c r="F777" i="1"/>
  <c r="G777" i="1"/>
  <c r="I777" i="1"/>
  <c r="A778" i="1"/>
  <c r="F778" i="1"/>
  <c r="G778" i="1"/>
  <c r="I778" i="1"/>
  <c r="A779" i="1"/>
  <c r="F779" i="1"/>
  <c r="G779" i="1"/>
  <c r="I779" i="1"/>
  <c r="A780" i="1"/>
  <c r="F780" i="1"/>
  <c r="G780" i="1"/>
  <c r="I780" i="1"/>
  <c r="A781" i="1"/>
  <c r="F781" i="1"/>
  <c r="G781" i="1"/>
  <c r="I781" i="1"/>
  <c r="A782" i="1"/>
  <c r="F782" i="1"/>
  <c r="G782" i="1"/>
  <c r="I782" i="1"/>
  <c r="A783" i="1"/>
  <c r="F783" i="1"/>
  <c r="G783" i="1"/>
  <c r="I783" i="1"/>
  <c r="A784" i="1"/>
  <c r="F784" i="1"/>
  <c r="G784" i="1"/>
  <c r="I784" i="1"/>
  <c r="A785" i="1"/>
  <c r="F785" i="1"/>
  <c r="G785" i="1"/>
  <c r="I785" i="1"/>
  <c r="A786" i="1"/>
  <c r="F786" i="1"/>
  <c r="G786" i="1"/>
  <c r="I786" i="1"/>
  <c r="A787" i="1"/>
  <c r="F787" i="1"/>
  <c r="G787" i="1"/>
  <c r="I787" i="1"/>
  <c r="A788" i="1"/>
  <c r="F788" i="1"/>
  <c r="G788" i="1"/>
  <c r="I788" i="1"/>
  <c r="A789" i="1"/>
  <c r="F789" i="1"/>
  <c r="G789" i="1"/>
  <c r="I789" i="1"/>
  <c r="A790" i="1"/>
  <c r="F790" i="1"/>
  <c r="G790" i="1"/>
  <c r="I790" i="1"/>
  <c r="A791" i="1"/>
  <c r="F791" i="1"/>
  <c r="G791" i="1"/>
  <c r="I791" i="1"/>
  <c r="A792" i="1"/>
  <c r="F792" i="1"/>
  <c r="G792" i="1"/>
  <c r="I792" i="1"/>
  <c r="A793" i="1"/>
  <c r="F793" i="1"/>
  <c r="G793" i="1"/>
  <c r="I793" i="1"/>
  <c r="A794" i="1"/>
  <c r="F794" i="1"/>
  <c r="G794" i="1"/>
  <c r="I794" i="1"/>
  <c r="A795" i="1"/>
  <c r="F795" i="1"/>
  <c r="G795" i="1"/>
  <c r="I795" i="1"/>
  <c r="A796" i="1"/>
  <c r="F796" i="1"/>
  <c r="G796" i="1"/>
  <c r="I796" i="1"/>
  <c r="A797" i="1"/>
  <c r="F797" i="1"/>
  <c r="G797" i="1"/>
  <c r="I797" i="1"/>
  <c r="A798" i="1"/>
  <c r="F798" i="1"/>
  <c r="G798" i="1"/>
  <c r="I798" i="1"/>
  <c r="A799" i="1"/>
  <c r="F799" i="1"/>
  <c r="G799" i="1"/>
  <c r="I799" i="1"/>
  <c r="A800" i="1"/>
  <c r="F800" i="1"/>
  <c r="G800" i="1"/>
  <c r="I800" i="1"/>
  <c r="A801" i="1"/>
  <c r="F801" i="1"/>
  <c r="G801" i="1"/>
  <c r="I801" i="1"/>
  <c r="A802" i="1"/>
  <c r="F802" i="1"/>
  <c r="G802" i="1"/>
  <c r="I802" i="1"/>
  <c r="A803" i="1"/>
  <c r="F803" i="1"/>
  <c r="G803" i="1"/>
  <c r="I803" i="1"/>
  <c r="A804" i="1"/>
  <c r="F804" i="1"/>
  <c r="G804" i="1"/>
  <c r="I804" i="1"/>
  <c r="A805" i="1"/>
  <c r="F805" i="1"/>
  <c r="G805" i="1"/>
  <c r="I805" i="1"/>
  <c r="A806" i="1"/>
  <c r="F806" i="1"/>
  <c r="G806" i="1"/>
  <c r="I806" i="1"/>
  <c r="A807" i="1"/>
  <c r="F807" i="1"/>
  <c r="G807" i="1"/>
  <c r="I807" i="1"/>
  <c r="A808" i="1"/>
  <c r="F808" i="1"/>
  <c r="G808" i="1"/>
  <c r="I808" i="1"/>
  <c r="A809" i="1"/>
  <c r="F809" i="1"/>
  <c r="G809" i="1"/>
  <c r="I809" i="1"/>
  <c r="A810" i="1"/>
  <c r="F810" i="1"/>
  <c r="G810" i="1"/>
  <c r="I810" i="1"/>
  <c r="A811" i="1"/>
  <c r="F811" i="1"/>
  <c r="G811" i="1"/>
  <c r="I811" i="1"/>
  <c r="A812" i="1"/>
  <c r="F812" i="1"/>
  <c r="G812" i="1"/>
  <c r="I812" i="1"/>
  <c r="A813" i="1"/>
  <c r="F813" i="1"/>
  <c r="G813" i="1"/>
  <c r="I813" i="1"/>
  <c r="A814" i="1"/>
  <c r="F814" i="1"/>
  <c r="G814" i="1"/>
  <c r="I814" i="1"/>
  <c r="A815" i="1"/>
  <c r="F815" i="1"/>
  <c r="G815" i="1"/>
  <c r="I815" i="1"/>
  <c r="A816" i="1"/>
  <c r="F816" i="1"/>
  <c r="G816" i="1"/>
  <c r="I816" i="1"/>
  <c r="A817" i="1"/>
  <c r="F817" i="1"/>
  <c r="G817" i="1"/>
  <c r="I817" i="1"/>
  <c r="A818" i="1"/>
  <c r="F818" i="1"/>
  <c r="G818" i="1"/>
  <c r="I818" i="1"/>
  <c r="A819" i="1"/>
  <c r="F819" i="1"/>
  <c r="G819" i="1"/>
  <c r="I819" i="1"/>
  <c r="A820" i="1"/>
  <c r="F820" i="1"/>
  <c r="G820" i="1"/>
  <c r="I820" i="1"/>
  <c r="A821" i="1"/>
  <c r="F821" i="1"/>
  <c r="G821" i="1"/>
  <c r="I821" i="1"/>
  <c r="A822" i="1"/>
  <c r="F822" i="1"/>
  <c r="G822" i="1"/>
  <c r="I822" i="1"/>
  <c r="A823" i="1"/>
  <c r="F823" i="1"/>
  <c r="G823" i="1"/>
  <c r="I823" i="1"/>
  <c r="A824" i="1"/>
  <c r="F824" i="1"/>
  <c r="G824" i="1"/>
  <c r="I824" i="1"/>
  <c r="A825" i="1"/>
  <c r="F825" i="1"/>
  <c r="G825" i="1"/>
  <c r="I825" i="1"/>
  <c r="A826" i="1"/>
  <c r="F826" i="1"/>
  <c r="G826" i="1"/>
  <c r="I826" i="1"/>
  <c r="A827" i="1"/>
  <c r="F827" i="1"/>
  <c r="G827" i="1"/>
  <c r="I827" i="1"/>
  <c r="A828" i="1"/>
  <c r="F828" i="1"/>
  <c r="G828" i="1"/>
  <c r="I828" i="1"/>
  <c r="A829" i="1"/>
  <c r="F829" i="1"/>
  <c r="G829" i="1"/>
  <c r="I829" i="1"/>
  <c r="A830" i="1"/>
  <c r="F830" i="1"/>
  <c r="G830" i="1"/>
  <c r="I830" i="1"/>
  <c r="A831" i="1"/>
  <c r="F831" i="1"/>
  <c r="G831" i="1"/>
  <c r="I831" i="1"/>
  <c r="A832" i="1"/>
  <c r="F832" i="1"/>
  <c r="G832" i="1"/>
  <c r="I832" i="1"/>
  <c r="A833" i="1"/>
  <c r="F833" i="1"/>
  <c r="G833" i="1"/>
  <c r="I833" i="1"/>
  <c r="A834" i="1"/>
  <c r="F834" i="1"/>
  <c r="A835" i="1"/>
  <c r="F835" i="1"/>
  <c r="G835" i="1"/>
  <c r="I835" i="1"/>
  <c r="A836" i="1"/>
  <c r="F836" i="1"/>
  <c r="G836" i="1"/>
  <c r="I836" i="1"/>
  <c r="A837" i="1"/>
  <c r="F837" i="1"/>
  <c r="G837" i="1"/>
  <c r="I837" i="1"/>
  <c r="A838" i="1"/>
  <c r="F838" i="1"/>
  <c r="G838" i="1"/>
  <c r="I838" i="1"/>
  <c r="A839" i="1"/>
  <c r="F839" i="1"/>
  <c r="G839" i="1"/>
  <c r="I839" i="1"/>
  <c r="A840" i="1"/>
  <c r="F840" i="1"/>
  <c r="G840" i="1"/>
  <c r="I840" i="1"/>
  <c r="A841" i="1"/>
  <c r="F841" i="1"/>
  <c r="G841" i="1"/>
  <c r="I841" i="1"/>
  <c r="A842" i="1"/>
  <c r="F842" i="1"/>
  <c r="G842" i="1"/>
  <c r="I842" i="1"/>
  <c r="A843" i="1"/>
  <c r="F843" i="1"/>
  <c r="G843" i="1"/>
  <c r="I843" i="1"/>
  <c r="A844" i="1"/>
  <c r="F844" i="1"/>
  <c r="G844" i="1"/>
  <c r="I844" i="1"/>
  <c r="A845" i="1"/>
  <c r="H845" i="1"/>
  <c r="I845" i="1"/>
  <c r="A846" i="1"/>
  <c r="F846" i="1"/>
  <c r="G846" i="1"/>
  <c r="I846" i="1"/>
  <c r="A847" i="1"/>
  <c r="F847" i="1"/>
  <c r="G847" i="1"/>
  <c r="I847" i="1"/>
  <c r="A848" i="1"/>
  <c r="F848" i="1"/>
  <c r="G848" i="1"/>
  <c r="I848" i="1"/>
  <c r="A849" i="1"/>
  <c r="F849" i="1"/>
  <c r="G849" i="1"/>
  <c r="I849" i="1"/>
  <c r="A850" i="1"/>
  <c r="F850" i="1"/>
  <c r="G850" i="1"/>
  <c r="I850" i="1"/>
  <c r="A851" i="1"/>
  <c r="F851" i="1"/>
  <c r="G851" i="1"/>
  <c r="I851" i="1"/>
  <c r="A852" i="1"/>
  <c r="F852" i="1"/>
  <c r="G852" i="1"/>
  <c r="I852" i="1"/>
  <c r="A853" i="1"/>
  <c r="F853" i="1"/>
  <c r="G853" i="1"/>
  <c r="I853" i="1"/>
  <c r="A854" i="1"/>
  <c r="F854" i="1"/>
  <c r="G854" i="1"/>
  <c r="I854" i="1"/>
  <c r="A855" i="1"/>
  <c r="F855" i="1"/>
  <c r="G855" i="1"/>
  <c r="I855" i="1"/>
  <c r="A856" i="1"/>
  <c r="F856" i="1"/>
  <c r="G856" i="1"/>
  <c r="I856" i="1"/>
  <c r="A857" i="1"/>
  <c r="F857" i="1"/>
  <c r="G857" i="1"/>
  <c r="I857" i="1"/>
  <c r="A858" i="1"/>
  <c r="F858" i="1"/>
  <c r="G858" i="1"/>
  <c r="I858" i="1"/>
  <c r="A859" i="1"/>
  <c r="F859" i="1"/>
  <c r="G859" i="1"/>
  <c r="I859" i="1"/>
  <c r="A860" i="1"/>
  <c r="F860" i="1"/>
  <c r="G860" i="1"/>
  <c r="I860" i="1"/>
  <c r="A861" i="1"/>
  <c r="F861" i="1"/>
  <c r="G861" i="1"/>
  <c r="I861" i="1"/>
  <c r="A862" i="1"/>
  <c r="F862" i="1"/>
  <c r="G862" i="1"/>
  <c r="I862" i="1"/>
  <c r="A863" i="1"/>
  <c r="F863" i="1"/>
  <c r="G863" i="1"/>
  <c r="I863" i="1"/>
  <c r="A864" i="1"/>
  <c r="F864" i="1"/>
  <c r="G864" i="1"/>
  <c r="I864" i="1"/>
  <c r="A865" i="1"/>
  <c r="F865" i="1"/>
  <c r="G865" i="1"/>
  <c r="I865" i="1"/>
  <c r="A866" i="1"/>
  <c r="F866" i="1"/>
  <c r="G866" i="1"/>
  <c r="I866" i="1"/>
  <c r="A867" i="1"/>
  <c r="F867" i="1"/>
  <c r="G867" i="1"/>
  <c r="I867" i="1"/>
  <c r="A868" i="1"/>
  <c r="F868" i="1"/>
  <c r="G868" i="1"/>
  <c r="I868" i="1"/>
  <c r="A869" i="1"/>
  <c r="F869" i="1"/>
  <c r="G869" i="1"/>
  <c r="I869" i="1"/>
  <c r="A870" i="1"/>
  <c r="F870" i="1"/>
  <c r="G870" i="1"/>
  <c r="I870" i="1"/>
  <c r="A871" i="1"/>
  <c r="F871" i="1"/>
  <c r="G871" i="1"/>
  <c r="I871" i="1"/>
  <c r="A872" i="1"/>
  <c r="F872" i="1"/>
  <c r="G872" i="1"/>
  <c r="I872" i="1"/>
  <c r="A873" i="1"/>
  <c r="F873" i="1"/>
  <c r="G873" i="1"/>
  <c r="I873" i="1"/>
  <c r="A874" i="1"/>
  <c r="F874" i="1"/>
  <c r="G874" i="1"/>
  <c r="I874" i="1"/>
  <c r="A875" i="1"/>
  <c r="F875" i="1"/>
  <c r="G875" i="1"/>
  <c r="I875" i="1"/>
  <c r="A876" i="1"/>
  <c r="F876" i="1"/>
  <c r="G876" i="1"/>
  <c r="I876" i="1"/>
  <c r="A877" i="1"/>
  <c r="F877" i="1"/>
  <c r="G877" i="1"/>
  <c r="I877" i="1"/>
  <c r="A878" i="1"/>
  <c r="F878" i="1"/>
  <c r="G878" i="1"/>
  <c r="I878" i="1"/>
  <c r="A879" i="1"/>
  <c r="F879" i="1"/>
  <c r="G879" i="1"/>
  <c r="I879" i="1"/>
  <c r="A880" i="1"/>
  <c r="F880" i="1"/>
  <c r="G880" i="1"/>
  <c r="I880" i="1"/>
  <c r="A881" i="1"/>
  <c r="F881" i="1"/>
  <c r="G881" i="1"/>
  <c r="I881" i="1"/>
  <c r="A882" i="1"/>
  <c r="F882" i="1"/>
  <c r="G882" i="1"/>
  <c r="I882" i="1"/>
  <c r="A883" i="1"/>
  <c r="F883" i="1"/>
  <c r="G883" i="1"/>
  <c r="I883" i="1"/>
  <c r="A884" i="1"/>
  <c r="F884" i="1"/>
  <c r="G884" i="1"/>
  <c r="I884" i="1"/>
  <c r="A885" i="1"/>
  <c r="F885" i="1"/>
  <c r="G885" i="1"/>
  <c r="I885" i="1"/>
  <c r="A886" i="1"/>
  <c r="F886" i="1"/>
  <c r="G886" i="1"/>
  <c r="I886" i="1"/>
  <c r="A887" i="1"/>
  <c r="F887" i="1"/>
  <c r="G887" i="1"/>
  <c r="I887" i="1"/>
  <c r="A888" i="1"/>
  <c r="F888" i="1"/>
  <c r="G888" i="1"/>
  <c r="I888" i="1"/>
  <c r="A889" i="1"/>
  <c r="F889" i="1"/>
  <c r="G889" i="1"/>
  <c r="I889" i="1"/>
  <c r="A890" i="1"/>
  <c r="F890" i="1"/>
  <c r="G890" i="1"/>
  <c r="I890" i="1"/>
  <c r="A891" i="1"/>
  <c r="F891" i="1"/>
  <c r="G891" i="1"/>
  <c r="I891" i="1"/>
  <c r="A892" i="1"/>
  <c r="F892" i="1"/>
  <c r="G892" i="1"/>
  <c r="I892" i="1"/>
  <c r="A893" i="1"/>
  <c r="F893" i="1"/>
  <c r="G893" i="1"/>
  <c r="I893" i="1"/>
  <c r="A894" i="1"/>
  <c r="F894" i="1"/>
  <c r="G894" i="1"/>
  <c r="I894" i="1"/>
  <c r="A895" i="1"/>
  <c r="F895" i="1"/>
  <c r="G895" i="1"/>
  <c r="I895" i="1"/>
  <c r="A896" i="1"/>
  <c r="F896" i="1"/>
  <c r="G896" i="1"/>
  <c r="I896" i="1"/>
  <c r="A897" i="1"/>
  <c r="F897" i="1"/>
  <c r="G897" i="1"/>
  <c r="I897" i="1"/>
  <c r="A898" i="1"/>
  <c r="F898" i="1"/>
  <c r="G898" i="1"/>
  <c r="I898" i="1"/>
  <c r="A899" i="1"/>
  <c r="F899" i="1"/>
  <c r="G899" i="1"/>
  <c r="I899" i="1"/>
  <c r="A900" i="1"/>
  <c r="F900" i="1"/>
  <c r="G900" i="1"/>
  <c r="I900" i="1"/>
  <c r="A901" i="1"/>
  <c r="F901" i="1"/>
  <c r="G901" i="1"/>
  <c r="I901" i="1"/>
  <c r="A902" i="1"/>
  <c r="F902" i="1"/>
  <c r="G902" i="1"/>
  <c r="I902" i="1"/>
  <c r="A903" i="1"/>
  <c r="F903" i="1"/>
  <c r="G903" i="1"/>
  <c r="I903" i="1"/>
  <c r="A904" i="1"/>
  <c r="F904" i="1"/>
  <c r="G904" i="1"/>
  <c r="I904" i="1"/>
  <c r="A905" i="1"/>
  <c r="F905" i="1"/>
  <c r="G905" i="1"/>
  <c r="I905" i="1"/>
  <c r="A906" i="1"/>
  <c r="F906" i="1"/>
  <c r="G906" i="1"/>
  <c r="I906" i="1"/>
  <c r="A907" i="1"/>
  <c r="F907" i="1"/>
  <c r="G907" i="1"/>
  <c r="I907" i="1"/>
  <c r="A908" i="1"/>
  <c r="F908" i="1"/>
  <c r="G908" i="1"/>
  <c r="I908" i="1"/>
  <c r="A909" i="1"/>
  <c r="F909" i="1"/>
  <c r="G909" i="1"/>
  <c r="I909" i="1"/>
  <c r="A910" i="1"/>
  <c r="F910" i="1"/>
  <c r="G910" i="1"/>
  <c r="I910" i="1"/>
  <c r="A911" i="1"/>
  <c r="F911" i="1"/>
  <c r="G911" i="1"/>
  <c r="I911" i="1"/>
  <c r="A912" i="1"/>
  <c r="F912" i="1"/>
  <c r="G912" i="1"/>
  <c r="I912" i="1"/>
  <c r="A913" i="1"/>
  <c r="F913" i="1"/>
  <c r="G913" i="1"/>
  <c r="I913" i="1"/>
  <c r="A914" i="1"/>
  <c r="F914" i="1"/>
  <c r="G914" i="1"/>
  <c r="I914" i="1"/>
  <c r="A915" i="1"/>
  <c r="F915" i="1"/>
  <c r="G915" i="1"/>
  <c r="I915" i="1"/>
  <c r="A916" i="1"/>
  <c r="F916" i="1"/>
  <c r="G916" i="1"/>
  <c r="I916" i="1"/>
  <c r="A917" i="1"/>
  <c r="F917" i="1"/>
  <c r="G917" i="1"/>
  <c r="I917" i="1"/>
  <c r="A918" i="1"/>
  <c r="F918" i="1"/>
  <c r="G918" i="1"/>
  <c r="I918" i="1"/>
  <c r="A919" i="1"/>
  <c r="F919" i="1"/>
  <c r="G919" i="1"/>
  <c r="I919" i="1"/>
  <c r="A920" i="1"/>
  <c r="F920" i="1"/>
  <c r="G920" i="1"/>
  <c r="I920" i="1"/>
  <c r="A921" i="1"/>
  <c r="F921" i="1"/>
  <c r="G921" i="1"/>
  <c r="I921" i="1"/>
  <c r="A922" i="1"/>
  <c r="F922" i="1"/>
  <c r="G922" i="1"/>
  <c r="I922" i="1"/>
  <c r="A923" i="1"/>
  <c r="F923" i="1"/>
  <c r="G923" i="1"/>
  <c r="I923" i="1"/>
  <c r="A924" i="1"/>
  <c r="F924" i="1"/>
  <c r="G924" i="1"/>
  <c r="I924" i="1"/>
  <c r="A925" i="1"/>
  <c r="F925" i="1"/>
  <c r="G925" i="1"/>
  <c r="I925" i="1"/>
  <c r="A926" i="1"/>
  <c r="F926" i="1"/>
  <c r="G926" i="1"/>
  <c r="I926" i="1"/>
  <c r="A927" i="1"/>
  <c r="F927" i="1"/>
  <c r="G927" i="1"/>
  <c r="I927" i="1"/>
  <c r="A928" i="1"/>
  <c r="F928" i="1"/>
  <c r="G928" i="1"/>
  <c r="I928" i="1"/>
  <c r="A929" i="1"/>
  <c r="F929" i="1"/>
  <c r="G929" i="1"/>
  <c r="I929" i="1"/>
  <c r="A930" i="1"/>
  <c r="F930" i="1"/>
  <c r="G930" i="1"/>
  <c r="I930" i="1"/>
  <c r="A931" i="1"/>
  <c r="F931" i="1"/>
  <c r="G931" i="1"/>
  <c r="I931" i="1"/>
  <c r="A932" i="1"/>
  <c r="F932" i="1"/>
  <c r="G932" i="1"/>
  <c r="I932" i="1"/>
  <c r="A933" i="1"/>
  <c r="F933" i="1"/>
  <c r="G933" i="1"/>
  <c r="I933" i="1"/>
  <c r="A934" i="1"/>
  <c r="F934" i="1"/>
  <c r="G934" i="1"/>
  <c r="I934" i="1"/>
  <c r="A935" i="1"/>
  <c r="F935" i="1"/>
  <c r="G935" i="1"/>
  <c r="I935" i="1"/>
  <c r="A936" i="1"/>
  <c r="F936" i="1"/>
  <c r="G936" i="1"/>
  <c r="I936" i="1"/>
  <c r="A937" i="1"/>
  <c r="F937" i="1"/>
  <c r="G937" i="1"/>
  <c r="I937" i="1"/>
  <c r="A938" i="1"/>
  <c r="F938" i="1"/>
  <c r="G938" i="1"/>
  <c r="I938" i="1"/>
  <c r="A939" i="1"/>
  <c r="F939" i="1"/>
  <c r="G939" i="1"/>
  <c r="I939" i="1"/>
  <c r="A940" i="1"/>
  <c r="F940" i="1"/>
  <c r="G940" i="1"/>
  <c r="I940" i="1"/>
  <c r="A941" i="1"/>
  <c r="F941" i="1"/>
  <c r="G941" i="1"/>
  <c r="I941" i="1"/>
  <c r="A942" i="1"/>
  <c r="F942" i="1"/>
  <c r="G942" i="1"/>
  <c r="I942" i="1"/>
  <c r="A943" i="1"/>
  <c r="F943" i="1"/>
  <c r="G943" i="1"/>
  <c r="I943" i="1"/>
  <c r="A944" i="1"/>
  <c r="F944" i="1"/>
  <c r="G944" i="1"/>
  <c r="I944" i="1"/>
  <c r="A945" i="1"/>
  <c r="F945" i="1"/>
  <c r="G945" i="1"/>
  <c r="I945" i="1"/>
  <c r="A946" i="1"/>
  <c r="F946" i="1"/>
  <c r="G946" i="1"/>
  <c r="I946" i="1"/>
  <c r="A947" i="1"/>
  <c r="F947" i="1"/>
  <c r="G947" i="1"/>
  <c r="I947" i="1"/>
  <c r="A948" i="1"/>
  <c r="F948" i="1"/>
  <c r="G948" i="1"/>
  <c r="I948" i="1"/>
  <c r="A949" i="1"/>
  <c r="F949" i="1"/>
  <c r="G949" i="1"/>
  <c r="I949" i="1"/>
  <c r="A950" i="1"/>
  <c r="F950" i="1"/>
  <c r="G950" i="1"/>
  <c r="I950" i="1"/>
  <c r="A951" i="1"/>
  <c r="F951" i="1"/>
  <c r="G951" i="1"/>
  <c r="I951" i="1"/>
  <c r="A952" i="1"/>
  <c r="F952" i="1"/>
  <c r="G952" i="1"/>
  <c r="I952" i="1"/>
  <c r="A953" i="1"/>
  <c r="F953" i="1"/>
  <c r="G953" i="1"/>
  <c r="I953" i="1"/>
  <c r="A954" i="1"/>
  <c r="F954" i="1"/>
  <c r="G954" i="1"/>
  <c r="I954" i="1"/>
  <c r="A955" i="1"/>
  <c r="F955" i="1"/>
  <c r="G955" i="1"/>
  <c r="I955" i="1"/>
  <c r="A956" i="1"/>
  <c r="F956" i="1"/>
  <c r="G956" i="1"/>
  <c r="I956" i="1"/>
  <c r="A957" i="1"/>
  <c r="F957" i="1"/>
  <c r="G957" i="1"/>
  <c r="I957" i="1"/>
  <c r="A958" i="1"/>
  <c r="F958" i="1"/>
  <c r="G958" i="1"/>
  <c r="I958" i="1"/>
  <c r="A959" i="1"/>
  <c r="F959" i="1"/>
  <c r="G959" i="1"/>
  <c r="I959" i="1"/>
  <c r="A960" i="1"/>
  <c r="F960" i="1"/>
  <c r="G960" i="1"/>
  <c r="I960" i="1"/>
  <c r="A961" i="1"/>
  <c r="F961" i="1"/>
  <c r="G961" i="1"/>
  <c r="I961" i="1"/>
  <c r="A962" i="1"/>
  <c r="F962" i="1"/>
  <c r="G962" i="1"/>
  <c r="I962" i="1"/>
  <c r="A963" i="1"/>
  <c r="F963" i="1"/>
  <c r="G963" i="1"/>
  <c r="I963" i="1"/>
  <c r="A964" i="1"/>
  <c r="F964" i="1"/>
  <c r="G964" i="1"/>
  <c r="I964" i="1"/>
  <c r="A965" i="1"/>
  <c r="F965" i="1"/>
  <c r="G965" i="1"/>
  <c r="I965" i="1"/>
  <c r="A966" i="1"/>
  <c r="F966" i="1"/>
  <c r="G966" i="1"/>
  <c r="I966" i="1"/>
  <c r="A967" i="1"/>
  <c r="F967" i="1"/>
  <c r="G967" i="1"/>
  <c r="I967" i="1"/>
  <c r="A968" i="1"/>
  <c r="F968" i="1"/>
  <c r="G968" i="1"/>
  <c r="I968" i="1"/>
  <c r="A969" i="1"/>
  <c r="F969" i="1"/>
  <c r="G969" i="1"/>
  <c r="I969" i="1"/>
  <c r="A970" i="1"/>
  <c r="F970" i="1"/>
  <c r="G970" i="1"/>
  <c r="I970" i="1"/>
  <c r="A971" i="1"/>
  <c r="F971" i="1"/>
  <c r="G971" i="1"/>
  <c r="I971" i="1"/>
  <c r="A972" i="1"/>
  <c r="F972" i="1"/>
  <c r="G972" i="1"/>
  <c r="I972" i="1"/>
  <c r="A973" i="1"/>
  <c r="F973" i="1"/>
  <c r="G973" i="1"/>
  <c r="I973" i="1"/>
  <c r="A974" i="1"/>
  <c r="F974" i="1"/>
  <c r="G974" i="1"/>
  <c r="I974" i="1"/>
  <c r="A975" i="1"/>
  <c r="F975" i="1"/>
  <c r="G975" i="1"/>
  <c r="I975" i="1"/>
  <c r="A976" i="1"/>
  <c r="F976" i="1"/>
  <c r="G976" i="1"/>
  <c r="I976" i="1"/>
  <c r="A977" i="1"/>
  <c r="F977" i="1"/>
  <c r="G977" i="1"/>
  <c r="I977" i="1"/>
  <c r="A978" i="1"/>
  <c r="F978" i="1"/>
  <c r="G978" i="1"/>
  <c r="I978" i="1"/>
  <c r="A979" i="1"/>
  <c r="F979" i="1"/>
  <c r="G979" i="1"/>
  <c r="I979" i="1"/>
  <c r="A980" i="1"/>
  <c r="H980" i="1"/>
  <c r="I980" i="1"/>
  <c r="A981" i="1"/>
  <c r="F981" i="1"/>
  <c r="G981" i="1"/>
  <c r="I981" i="1"/>
  <c r="A982" i="1"/>
  <c r="F982" i="1"/>
  <c r="G982" i="1"/>
  <c r="I982" i="1"/>
  <c r="A983" i="1"/>
  <c r="F983" i="1"/>
  <c r="G983" i="1"/>
  <c r="I983" i="1"/>
  <c r="A984" i="1"/>
  <c r="F984" i="1"/>
  <c r="G984" i="1"/>
  <c r="I984" i="1"/>
  <c r="A985" i="1"/>
  <c r="F985" i="1"/>
  <c r="G985" i="1"/>
  <c r="I985" i="1"/>
  <c r="A986" i="1"/>
  <c r="F986" i="1"/>
  <c r="G986" i="1"/>
  <c r="I986" i="1"/>
  <c r="A987" i="1"/>
  <c r="F987" i="1"/>
  <c r="G987" i="1"/>
  <c r="I987" i="1"/>
  <c r="A988" i="1"/>
  <c r="F988" i="1"/>
  <c r="G988" i="1"/>
  <c r="I988" i="1"/>
  <c r="A989" i="1"/>
  <c r="F989" i="1"/>
  <c r="G989" i="1"/>
  <c r="I989" i="1"/>
  <c r="A990" i="1"/>
  <c r="F990" i="1"/>
  <c r="G990" i="1"/>
  <c r="I990" i="1"/>
  <c r="A991" i="1"/>
  <c r="F991" i="1"/>
  <c r="G991" i="1"/>
  <c r="I991" i="1"/>
  <c r="A992" i="1"/>
  <c r="F992" i="1"/>
  <c r="G992" i="1"/>
  <c r="I992" i="1"/>
  <c r="A993" i="1"/>
  <c r="F993" i="1"/>
  <c r="G993" i="1"/>
  <c r="I993" i="1"/>
  <c r="A994" i="1"/>
  <c r="F994" i="1"/>
  <c r="G994" i="1"/>
  <c r="I994" i="1"/>
  <c r="A995" i="1"/>
  <c r="F995" i="1"/>
  <c r="G995" i="1"/>
  <c r="I995" i="1"/>
  <c r="A996" i="1"/>
  <c r="F996" i="1"/>
  <c r="G996" i="1"/>
  <c r="I996" i="1"/>
  <c r="A997" i="1"/>
  <c r="F997" i="1"/>
  <c r="G997" i="1"/>
  <c r="I997" i="1"/>
  <c r="A998" i="1"/>
  <c r="F998" i="1"/>
  <c r="G998" i="1"/>
  <c r="I998" i="1"/>
  <c r="A999" i="1"/>
  <c r="F999" i="1"/>
  <c r="G999" i="1"/>
  <c r="I999" i="1"/>
  <c r="A1000" i="1"/>
  <c r="F1000" i="1"/>
  <c r="G1000" i="1"/>
  <c r="I1000" i="1"/>
  <c r="A1001" i="1"/>
  <c r="F1001" i="1"/>
  <c r="G1001" i="1"/>
  <c r="I1001" i="1"/>
  <c r="A1002" i="1"/>
  <c r="F1002" i="1"/>
  <c r="G1002" i="1"/>
  <c r="I1002" i="1"/>
  <c r="A1003" i="1"/>
  <c r="F1003" i="1"/>
  <c r="G1003" i="1"/>
  <c r="I1003" i="1"/>
  <c r="A1004" i="1"/>
  <c r="F1004" i="1"/>
  <c r="G1004" i="1"/>
  <c r="I1004" i="1"/>
  <c r="A1005" i="1"/>
  <c r="F1005" i="1"/>
  <c r="G1005" i="1"/>
  <c r="I1005" i="1"/>
  <c r="A1006" i="1"/>
  <c r="F1006" i="1"/>
  <c r="G1006" i="1"/>
  <c r="I1006" i="1"/>
  <c r="A1007" i="1"/>
  <c r="F1007" i="1"/>
  <c r="G1007" i="1"/>
  <c r="I1007" i="1"/>
  <c r="A1008" i="1"/>
  <c r="F1008" i="1"/>
  <c r="G1008" i="1"/>
  <c r="I1008" i="1"/>
  <c r="A1009" i="1"/>
  <c r="F1009" i="1"/>
  <c r="G1009" i="1"/>
  <c r="I1009" i="1"/>
  <c r="A1010" i="1"/>
  <c r="F1010" i="1"/>
  <c r="G1010" i="1"/>
  <c r="I1010" i="1"/>
  <c r="A1011" i="1"/>
  <c r="F1011" i="1"/>
  <c r="G1011" i="1"/>
  <c r="I1011" i="1"/>
  <c r="A1012" i="1"/>
  <c r="F1012" i="1"/>
  <c r="G1012" i="1"/>
  <c r="I1012" i="1"/>
  <c r="A1013" i="1"/>
  <c r="F1013" i="1"/>
  <c r="G1013" i="1"/>
  <c r="I1013" i="1"/>
  <c r="A1014" i="1"/>
  <c r="H1014" i="1"/>
  <c r="I1014" i="1"/>
  <c r="A1015" i="1"/>
  <c r="F1015" i="1"/>
  <c r="G1015" i="1"/>
  <c r="I1015" i="1"/>
  <c r="A1016" i="1"/>
  <c r="H1016" i="1"/>
  <c r="I1016" i="1"/>
  <c r="A1017" i="1"/>
  <c r="F1017" i="1"/>
  <c r="G1017" i="1"/>
  <c r="I1017" i="1"/>
  <c r="A1018" i="1"/>
  <c r="F1018" i="1"/>
  <c r="G1018" i="1"/>
  <c r="I1018" i="1"/>
  <c r="A1019" i="1"/>
  <c r="F1019" i="1"/>
  <c r="G1019" i="1"/>
  <c r="I1019" i="1"/>
  <c r="A1020" i="1"/>
  <c r="F1020" i="1"/>
  <c r="G1020" i="1"/>
  <c r="I1020" i="1"/>
  <c r="A1021" i="1"/>
  <c r="F1021" i="1"/>
  <c r="G1021" i="1"/>
  <c r="I1021" i="1"/>
  <c r="A1022" i="1"/>
  <c r="F1022" i="1"/>
  <c r="G1022" i="1"/>
  <c r="I1022" i="1"/>
  <c r="A1023" i="1"/>
  <c r="F1023" i="1"/>
  <c r="G1023" i="1"/>
  <c r="I1023" i="1"/>
  <c r="A1024" i="1"/>
  <c r="F1024" i="1"/>
  <c r="G1024" i="1"/>
  <c r="I1024" i="1"/>
  <c r="A1025" i="1"/>
  <c r="F1025" i="1"/>
  <c r="G1025" i="1"/>
  <c r="I1025" i="1"/>
  <c r="A1026" i="1"/>
  <c r="F1026" i="1"/>
  <c r="G1026" i="1"/>
  <c r="I1026" i="1"/>
  <c r="A1027" i="1"/>
  <c r="F1027" i="1"/>
  <c r="G1027" i="1"/>
  <c r="I1027" i="1"/>
  <c r="A1028" i="1"/>
  <c r="F1028" i="1"/>
  <c r="G1028" i="1"/>
  <c r="I1028" i="1"/>
  <c r="A1029" i="1"/>
  <c r="F1029" i="1"/>
  <c r="G1029" i="1"/>
  <c r="I1029" i="1"/>
  <c r="A1030" i="1"/>
  <c r="F1030" i="1"/>
  <c r="G1030" i="1"/>
  <c r="I1030" i="1"/>
  <c r="A1031" i="1"/>
  <c r="F1031" i="1"/>
  <c r="G1031" i="1"/>
  <c r="I1031" i="1"/>
  <c r="A1032" i="1"/>
  <c r="F1032" i="1"/>
  <c r="G1032" i="1"/>
  <c r="I1032" i="1"/>
  <c r="A1033" i="1"/>
  <c r="F1033" i="1"/>
  <c r="G1033" i="1"/>
  <c r="I1033" i="1"/>
  <c r="A1034" i="1"/>
  <c r="F1034" i="1"/>
  <c r="G1034" i="1"/>
  <c r="I1034" i="1"/>
  <c r="A1035" i="1"/>
  <c r="F1035" i="1"/>
  <c r="G1035" i="1"/>
  <c r="I1035" i="1"/>
  <c r="A1036" i="1"/>
  <c r="F1036" i="1"/>
  <c r="G1036" i="1"/>
  <c r="I1036" i="1"/>
  <c r="A1037" i="1"/>
  <c r="F1037" i="1"/>
  <c r="G1037" i="1"/>
  <c r="I1037" i="1"/>
  <c r="A1038" i="1"/>
  <c r="F1038" i="1"/>
  <c r="G1038" i="1"/>
  <c r="I1038" i="1"/>
  <c r="A1039" i="1"/>
  <c r="F1039" i="1"/>
  <c r="G1039" i="1"/>
  <c r="I1039" i="1"/>
  <c r="A1040" i="1"/>
  <c r="F1040" i="1"/>
  <c r="G1040" i="1"/>
  <c r="I1040" i="1"/>
  <c r="A1041" i="1"/>
  <c r="F1041" i="1"/>
  <c r="G1041" i="1"/>
  <c r="I1041" i="1"/>
  <c r="A1042" i="1"/>
  <c r="F1042" i="1"/>
  <c r="G1042" i="1"/>
  <c r="I1042" i="1"/>
  <c r="A1043" i="1"/>
  <c r="F1043" i="1"/>
  <c r="G1043" i="1"/>
  <c r="I1043" i="1"/>
  <c r="A1044" i="1"/>
  <c r="F1044" i="1"/>
  <c r="G1044" i="1"/>
  <c r="I1044" i="1"/>
  <c r="A1045" i="1"/>
  <c r="F1045" i="1"/>
  <c r="G1045" i="1"/>
  <c r="I1045" i="1"/>
  <c r="A1046" i="1"/>
  <c r="F1046" i="1"/>
  <c r="G1046" i="1"/>
  <c r="I1046" i="1"/>
  <c r="A1047" i="1"/>
  <c r="F1047" i="1"/>
  <c r="G1047" i="1"/>
  <c r="I1047" i="1"/>
  <c r="A1048" i="1"/>
  <c r="F1048" i="1"/>
  <c r="G1048" i="1"/>
  <c r="I1048" i="1"/>
  <c r="A1049" i="1"/>
  <c r="F1049" i="1"/>
  <c r="G1049" i="1"/>
  <c r="I1049" i="1"/>
  <c r="A1050" i="1"/>
  <c r="F1050" i="1"/>
  <c r="G1050" i="1"/>
  <c r="I1050" i="1"/>
  <c r="A1051" i="1"/>
  <c r="F1051" i="1"/>
  <c r="G1051" i="1"/>
  <c r="I1051" i="1"/>
  <c r="A1052" i="1"/>
  <c r="F1052" i="1"/>
  <c r="G1052" i="1"/>
  <c r="I1052" i="1"/>
  <c r="A1053" i="1"/>
  <c r="F1053" i="1"/>
  <c r="G1053" i="1"/>
  <c r="I1053" i="1"/>
  <c r="A1054" i="1"/>
  <c r="F1054" i="1"/>
  <c r="G1054" i="1"/>
  <c r="I1054" i="1"/>
  <c r="A1055" i="1"/>
  <c r="F1055" i="1"/>
  <c r="G1055" i="1"/>
  <c r="I1055" i="1"/>
  <c r="A1056" i="1"/>
  <c r="F1056" i="1"/>
  <c r="G1056" i="1"/>
  <c r="I1056" i="1"/>
  <c r="A1057" i="1"/>
  <c r="F1057" i="1"/>
  <c r="G1057" i="1"/>
  <c r="I1057" i="1"/>
  <c r="A1058" i="1"/>
  <c r="F1058" i="1"/>
  <c r="G1058" i="1"/>
  <c r="I1058" i="1"/>
  <c r="A1059" i="1"/>
  <c r="F1059" i="1"/>
  <c r="G1059" i="1"/>
  <c r="I1059" i="1"/>
  <c r="A1060" i="1"/>
  <c r="F1060" i="1"/>
  <c r="G1060" i="1"/>
  <c r="I1060" i="1"/>
  <c r="A1061" i="1"/>
  <c r="F1061" i="1"/>
  <c r="G1061" i="1"/>
  <c r="I1061" i="1"/>
  <c r="A1062" i="1"/>
  <c r="F1062" i="1"/>
  <c r="G1062" i="1"/>
  <c r="I1062" i="1"/>
  <c r="A1063" i="1"/>
  <c r="F1063" i="1"/>
  <c r="G1063" i="1"/>
  <c r="I1063" i="1"/>
  <c r="A1064" i="1"/>
  <c r="F1064" i="1"/>
  <c r="G1064" i="1"/>
  <c r="I1064" i="1"/>
  <c r="A1065" i="1"/>
  <c r="F1065" i="1"/>
  <c r="G1065" i="1"/>
  <c r="I1065" i="1"/>
  <c r="A1066" i="1"/>
  <c r="F1066" i="1"/>
  <c r="G1066" i="1"/>
  <c r="I1066" i="1"/>
  <c r="A1067" i="1"/>
  <c r="F1067" i="1"/>
  <c r="G1067" i="1"/>
  <c r="I1067" i="1"/>
  <c r="A1068" i="1"/>
  <c r="F1068" i="1"/>
  <c r="G1068" i="1"/>
  <c r="I1068" i="1"/>
  <c r="A1069" i="1"/>
  <c r="F1069" i="1"/>
  <c r="G1069" i="1"/>
  <c r="I1069" i="1"/>
  <c r="A1070" i="1"/>
  <c r="F1070" i="1"/>
  <c r="G1070" i="1"/>
  <c r="I1070" i="1"/>
  <c r="A1071" i="1"/>
  <c r="F1071" i="1"/>
  <c r="G1071" i="1"/>
  <c r="I1071" i="1"/>
  <c r="A1072" i="1"/>
  <c r="F1072" i="1"/>
  <c r="G1072" i="1"/>
  <c r="I1072" i="1"/>
  <c r="A1073" i="1"/>
  <c r="F1073" i="1"/>
  <c r="G1073" i="1"/>
  <c r="I1073" i="1"/>
  <c r="A1074" i="1"/>
  <c r="F1074" i="1"/>
  <c r="G1074" i="1"/>
  <c r="I1074" i="1"/>
  <c r="A1075" i="1"/>
  <c r="F1075" i="1"/>
  <c r="G1075" i="1"/>
  <c r="I1075" i="1"/>
  <c r="A1076" i="1"/>
  <c r="F1076" i="1"/>
  <c r="G1076" i="1"/>
  <c r="I1076" i="1"/>
  <c r="A1077" i="1"/>
  <c r="F1077" i="1"/>
  <c r="G1077" i="1"/>
  <c r="I1077" i="1"/>
  <c r="A1078" i="1"/>
  <c r="F1078" i="1"/>
  <c r="G1078" i="1"/>
  <c r="I1078" i="1"/>
  <c r="A1079" i="1"/>
  <c r="F1079" i="1"/>
  <c r="G1079" i="1"/>
  <c r="I1079" i="1"/>
  <c r="A1080" i="1"/>
  <c r="F1080" i="1"/>
  <c r="G1080" i="1"/>
  <c r="I1080" i="1"/>
  <c r="A1081" i="1"/>
  <c r="F1081" i="1"/>
  <c r="G1081" i="1"/>
  <c r="I1081" i="1"/>
  <c r="A1082" i="1"/>
  <c r="F1082" i="1"/>
  <c r="G1082" i="1"/>
  <c r="I1082" i="1"/>
  <c r="A1083" i="1"/>
  <c r="F1083" i="1"/>
  <c r="G1083" i="1"/>
  <c r="I1083" i="1"/>
  <c r="A1084" i="1"/>
  <c r="F1084" i="1"/>
  <c r="G1084" i="1"/>
  <c r="I1084" i="1"/>
  <c r="A1085" i="1"/>
  <c r="F1085" i="1"/>
  <c r="G1085" i="1"/>
  <c r="I1085" i="1"/>
  <c r="A1086" i="1"/>
  <c r="F1086" i="1"/>
  <c r="G1086" i="1"/>
  <c r="I1086" i="1"/>
  <c r="A1087" i="1"/>
  <c r="F1087" i="1"/>
  <c r="G1087" i="1"/>
  <c r="I1087" i="1"/>
  <c r="A1088" i="1"/>
  <c r="F1088" i="1"/>
  <c r="G1088" i="1"/>
  <c r="I1088" i="1"/>
  <c r="A1089" i="1"/>
  <c r="F1089" i="1"/>
  <c r="G1089" i="1"/>
  <c r="I1089" i="1"/>
  <c r="A1090" i="1"/>
  <c r="F1090" i="1"/>
  <c r="G1090" i="1"/>
  <c r="I1090" i="1"/>
  <c r="A1091" i="1"/>
  <c r="F1091" i="1"/>
  <c r="G1091" i="1"/>
  <c r="I1091" i="1"/>
  <c r="A1092" i="1"/>
  <c r="F1092" i="1"/>
  <c r="G1092" i="1"/>
  <c r="I1092" i="1"/>
  <c r="A1093" i="1"/>
  <c r="F1093" i="1"/>
  <c r="G1093" i="1"/>
  <c r="I1093" i="1"/>
  <c r="A1094" i="1"/>
  <c r="F1094" i="1"/>
  <c r="G1094" i="1"/>
  <c r="I1094" i="1"/>
  <c r="A1095" i="1"/>
  <c r="F1095" i="1"/>
  <c r="G1095" i="1"/>
  <c r="I1095" i="1"/>
  <c r="A1096" i="1"/>
  <c r="F1096" i="1"/>
  <c r="G1096" i="1"/>
  <c r="I1096" i="1"/>
  <c r="A1097" i="1"/>
  <c r="F1097" i="1"/>
  <c r="G1097" i="1"/>
  <c r="I1097" i="1"/>
  <c r="A1098" i="1"/>
  <c r="F1098" i="1"/>
  <c r="G1098" i="1"/>
  <c r="I1098" i="1"/>
  <c r="A1099" i="1"/>
  <c r="F1099" i="1"/>
  <c r="G1099" i="1"/>
  <c r="I1099" i="1"/>
  <c r="A1100" i="1"/>
  <c r="F1100" i="1"/>
  <c r="G1100" i="1"/>
  <c r="I1100" i="1"/>
  <c r="A1101" i="1"/>
  <c r="F1101" i="1"/>
  <c r="G1101" i="1"/>
  <c r="I1101" i="1"/>
  <c r="A1102" i="1"/>
  <c r="F1102" i="1"/>
  <c r="G1102" i="1"/>
  <c r="I1102" i="1"/>
  <c r="A1103" i="1"/>
  <c r="F1103" i="1"/>
  <c r="G1103" i="1"/>
  <c r="I1103" i="1"/>
  <c r="A1104" i="1"/>
  <c r="F1104" i="1"/>
  <c r="G1104" i="1"/>
  <c r="I1104" i="1"/>
  <c r="A1105" i="1"/>
  <c r="F1105" i="1"/>
  <c r="G1105" i="1"/>
  <c r="I1105" i="1"/>
  <c r="A1106" i="1"/>
  <c r="F1106" i="1"/>
  <c r="G1106" i="1"/>
  <c r="I1106" i="1"/>
  <c r="A1107" i="1"/>
  <c r="F1107" i="1"/>
  <c r="G1107" i="1"/>
  <c r="I1107" i="1"/>
  <c r="A1108" i="1"/>
  <c r="F1108" i="1"/>
  <c r="G1108" i="1"/>
  <c r="I1108" i="1"/>
  <c r="A1109" i="1"/>
  <c r="F1109" i="1"/>
  <c r="G1109" i="1"/>
  <c r="I1109" i="1"/>
  <c r="A1110" i="1"/>
  <c r="F1110" i="1"/>
  <c r="G1110" i="1"/>
  <c r="I1110" i="1"/>
  <c r="A1111" i="1"/>
  <c r="F1111" i="1"/>
  <c r="G1111" i="1"/>
  <c r="I1111" i="1"/>
  <c r="A1112" i="1"/>
  <c r="F1112" i="1"/>
  <c r="G1112" i="1"/>
  <c r="I1112" i="1"/>
  <c r="A1113" i="1"/>
  <c r="F1113" i="1"/>
  <c r="G1113" i="1"/>
  <c r="I1113" i="1"/>
  <c r="A1114" i="1"/>
  <c r="F1114" i="1"/>
  <c r="G1114" i="1"/>
  <c r="I1114" i="1"/>
  <c r="A1115" i="1"/>
  <c r="F1115" i="1"/>
  <c r="G1115" i="1"/>
  <c r="I1115" i="1"/>
  <c r="A1116" i="1"/>
  <c r="F1116" i="1"/>
  <c r="G1116" i="1"/>
  <c r="I1116" i="1"/>
  <c r="A1117" i="1"/>
  <c r="F1117" i="1"/>
  <c r="G1117" i="1"/>
  <c r="I1117" i="1"/>
  <c r="A1118" i="1"/>
  <c r="F1118" i="1"/>
  <c r="G1118" i="1"/>
  <c r="I1118" i="1"/>
  <c r="A1119" i="1"/>
  <c r="F1119" i="1"/>
  <c r="G1119" i="1"/>
  <c r="I1119" i="1"/>
  <c r="A1120" i="1"/>
  <c r="F1120" i="1"/>
  <c r="G1120" i="1"/>
  <c r="I1120" i="1"/>
  <c r="A1121" i="1"/>
  <c r="F1121" i="1"/>
  <c r="G1121" i="1"/>
  <c r="I1121" i="1"/>
  <c r="A1122" i="1"/>
  <c r="F1122" i="1"/>
  <c r="G1122" i="1"/>
  <c r="I1122" i="1"/>
  <c r="A1123" i="1"/>
  <c r="F1123" i="1"/>
  <c r="G1123" i="1"/>
  <c r="I1123" i="1"/>
  <c r="A1124" i="1"/>
  <c r="F1124" i="1"/>
  <c r="G1124" i="1"/>
  <c r="I1124" i="1"/>
  <c r="A1125" i="1"/>
  <c r="F1125" i="1"/>
  <c r="G1125" i="1"/>
  <c r="I1125" i="1"/>
  <c r="A1126" i="1"/>
  <c r="F1126" i="1"/>
  <c r="G1126" i="1"/>
  <c r="I1126" i="1"/>
  <c r="A1127" i="1"/>
  <c r="F1127" i="1"/>
  <c r="G1127" i="1"/>
  <c r="I1127" i="1"/>
  <c r="A1128" i="1"/>
  <c r="F1128" i="1"/>
  <c r="G1128" i="1"/>
  <c r="I1128" i="1"/>
  <c r="A1129" i="1"/>
  <c r="F1129" i="1"/>
  <c r="G1129" i="1"/>
  <c r="I1129" i="1"/>
  <c r="A1130" i="1"/>
  <c r="F1130" i="1"/>
  <c r="G1130" i="1"/>
  <c r="I1130" i="1"/>
  <c r="A1131" i="1"/>
  <c r="F1131" i="1"/>
  <c r="G1131" i="1"/>
  <c r="I1131" i="1"/>
  <c r="A1132" i="1"/>
  <c r="F1132" i="1"/>
  <c r="G1132" i="1"/>
  <c r="I1132" i="1"/>
  <c r="A1133" i="1"/>
  <c r="F1133" i="1"/>
  <c r="G1133" i="1"/>
  <c r="I1133" i="1"/>
  <c r="A1134" i="1"/>
  <c r="F1134" i="1"/>
  <c r="G1134" i="1"/>
  <c r="I1134" i="1"/>
  <c r="A1135" i="1"/>
  <c r="F1135" i="1"/>
  <c r="G1135" i="1"/>
  <c r="I1135" i="1"/>
  <c r="A1136" i="1"/>
  <c r="F1136" i="1"/>
  <c r="G1136" i="1"/>
  <c r="I1136" i="1"/>
  <c r="A1137" i="1"/>
  <c r="F1137" i="1"/>
  <c r="G1137" i="1"/>
  <c r="I1137" i="1"/>
  <c r="A1138" i="1"/>
  <c r="F1138" i="1"/>
  <c r="G1138" i="1"/>
  <c r="I1138" i="1"/>
  <c r="A1139" i="1"/>
  <c r="F1139" i="1"/>
  <c r="G1139" i="1"/>
  <c r="I1139" i="1"/>
  <c r="A1140" i="1"/>
  <c r="F1140" i="1"/>
  <c r="G1140" i="1"/>
  <c r="I1140" i="1"/>
  <c r="A1141" i="1"/>
  <c r="F1141" i="1"/>
  <c r="G1141" i="1"/>
  <c r="I1141" i="1"/>
  <c r="A1142" i="1"/>
  <c r="F1142" i="1"/>
  <c r="G1142" i="1"/>
  <c r="I1142" i="1"/>
  <c r="A1143" i="1"/>
  <c r="F1143" i="1"/>
  <c r="G1143" i="1"/>
  <c r="I1143" i="1"/>
  <c r="A1144" i="1"/>
  <c r="F1144" i="1"/>
  <c r="G1144" i="1"/>
  <c r="I1144" i="1"/>
  <c r="A1145" i="1"/>
  <c r="F1145" i="1"/>
  <c r="G1145" i="1"/>
  <c r="I1145" i="1"/>
  <c r="A1146" i="1"/>
  <c r="F1146" i="1"/>
  <c r="G1146" i="1"/>
  <c r="I1146" i="1"/>
  <c r="A1147" i="1"/>
  <c r="F1147" i="1"/>
  <c r="G1147" i="1"/>
  <c r="I1147" i="1"/>
  <c r="A1148" i="1"/>
  <c r="H1148" i="1"/>
  <c r="I1148" i="1"/>
  <c r="A1149" i="1"/>
  <c r="H1149" i="1"/>
  <c r="I1149" i="1"/>
  <c r="A1150" i="1"/>
  <c r="F1150" i="1"/>
  <c r="G1150" i="1"/>
  <c r="I1150" i="1"/>
  <c r="A1151" i="1"/>
  <c r="F1151" i="1"/>
  <c r="G1151" i="1"/>
  <c r="I1151" i="1"/>
  <c r="A1152" i="1"/>
  <c r="F1152" i="1"/>
  <c r="G1152" i="1"/>
  <c r="I1152" i="1"/>
  <c r="A1153" i="1"/>
  <c r="F1153" i="1"/>
  <c r="G1153" i="1"/>
  <c r="I1153" i="1"/>
  <c r="A1154" i="1"/>
  <c r="F1154" i="1"/>
  <c r="G1154" i="1"/>
  <c r="I1154" i="1"/>
  <c r="A1155" i="1"/>
  <c r="F1155" i="1"/>
  <c r="G1155" i="1"/>
  <c r="I1155" i="1"/>
  <c r="A1156" i="1"/>
  <c r="F1156" i="1"/>
  <c r="G1156" i="1"/>
  <c r="I1156" i="1"/>
  <c r="A1157" i="1"/>
  <c r="F1157" i="1"/>
  <c r="G1157" i="1"/>
  <c r="I1157" i="1"/>
  <c r="A1158" i="1"/>
  <c r="F1158" i="1"/>
  <c r="G1158" i="1"/>
  <c r="I1158" i="1"/>
  <c r="A1159" i="1"/>
  <c r="F1159" i="1"/>
  <c r="G1159" i="1"/>
  <c r="I1159" i="1"/>
  <c r="A1160" i="1"/>
  <c r="F1160" i="1"/>
  <c r="G1160" i="1"/>
  <c r="I1160" i="1"/>
  <c r="A1161" i="1"/>
  <c r="F1161" i="1"/>
  <c r="G1161" i="1"/>
  <c r="I1161" i="1"/>
  <c r="A1162" i="1"/>
  <c r="F1162" i="1"/>
  <c r="G1162" i="1"/>
  <c r="I1162" i="1"/>
  <c r="A1163" i="1"/>
  <c r="H1163" i="1"/>
  <c r="I1163" i="1"/>
  <c r="A1164" i="1"/>
  <c r="F1164" i="1"/>
  <c r="G1164" i="1"/>
  <c r="I1164" i="1"/>
  <c r="A1165" i="1"/>
  <c r="F1165" i="1"/>
  <c r="G1165" i="1"/>
  <c r="I1165" i="1"/>
  <c r="A1166" i="1"/>
  <c r="F1166" i="1"/>
  <c r="G1166" i="1"/>
  <c r="I1166" i="1"/>
  <c r="A1167" i="1"/>
  <c r="F1167" i="1"/>
  <c r="G1167" i="1"/>
  <c r="I1167" i="1"/>
  <c r="A1168" i="1"/>
  <c r="F1168" i="1"/>
  <c r="G1168" i="1"/>
  <c r="I1168" i="1"/>
  <c r="A1169" i="1"/>
  <c r="F1169" i="1"/>
  <c r="G1169" i="1"/>
  <c r="I1169" i="1"/>
  <c r="A1170" i="1"/>
  <c r="F1170" i="1"/>
  <c r="G1170" i="1"/>
  <c r="I1170" i="1"/>
  <c r="A1171" i="1"/>
  <c r="F1171" i="1"/>
  <c r="G1171" i="1"/>
  <c r="I1171" i="1"/>
  <c r="A1172" i="1"/>
  <c r="F1172" i="1"/>
  <c r="G1172" i="1"/>
  <c r="I1172" i="1"/>
  <c r="A1173" i="1"/>
  <c r="F1173" i="1"/>
  <c r="G1173" i="1"/>
  <c r="I1173" i="1"/>
  <c r="A1174" i="1"/>
  <c r="F1174" i="1"/>
  <c r="G1174" i="1"/>
  <c r="I1174" i="1"/>
  <c r="A1175" i="1"/>
  <c r="F1175" i="1"/>
  <c r="G1175" i="1"/>
  <c r="I1175" i="1"/>
  <c r="A1176" i="1"/>
  <c r="F1176" i="1"/>
  <c r="G1176" i="1"/>
  <c r="I1176" i="1"/>
  <c r="A1177" i="1"/>
  <c r="F1177" i="1"/>
  <c r="G1177" i="1"/>
  <c r="I1177" i="1"/>
  <c r="A1178" i="1"/>
  <c r="F1178" i="1"/>
  <c r="G1178" i="1"/>
  <c r="I1178" i="1"/>
  <c r="A1179" i="1"/>
  <c r="F1179" i="1"/>
  <c r="G1179" i="1"/>
  <c r="I1179" i="1"/>
  <c r="A1180" i="1"/>
  <c r="F1180" i="1"/>
  <c r="G1180" i="1"/>
  <c r="I1180" i="1"/>
  <c r="A1181" i="1"/>
  <c r="F1181" i="1"/>
  <c r="G1181" i="1"/>
  <c r="I1181" i="1"/>
  <c r="A1182" i="1"/>
  <c r="F1182" i="1"/>
  <c r="G1182" i="1"/>
  <c r="I1182" i="1"/>
  <c r="A1183" i="1"/>
  <c r="F1183" i="1"/>
  <c r="G1183" i="1"/>
  <c r="I1183" i="1"/>
  <c r="A1184" i="1"/>
  <c r="F1184" i="1"/>
  <c r="G1184" i="1"/>
  <c r="I1184" i="1"/>
  <c r="A1185" i="1"/>
  <c r="F1185" i="1"/>
  <c r="G1185" i="1"/>
  <c r="I1185" i="1"/>
  <c r="A1186" i="1"/>
  <c r="F1186" i="1"/>
  <c r="G1186" i="1"/>
  <c r="I1186" i="1"/>
  <c r="A1187" i="1"/>
  <c r="F1187" i="1"/>
  <c r="G1187" i="1"/>
  <c r="I1187" i="1"/>
  <c r="A1188" i="1"/>
  <c r="F1188" i="1"/>
  <c r="G1188" i="1"/>
  <c r="I1188" i="1"/>
  <c r="A1189" i="1"/>
  <c r="F1189" i="1"/>
  <c r="G1189" i="1"/>
  <c r="I1189" i="1"/>
  <c r="A1190" i="1"/>
  <c r="F1190" i="1"/>
  <c r="G1190" i="1"/>
  <c r="I1190" i="1"/>
  <c r="A1191" i="1"/>
  <c r="F1191" i="1"/>
  <c r="G1191" i="1"/>
  <c r="I1191" i="1"/>
  <c r="A1192" i="1"/>
  <c r="F1192" i="1"/>
  <c r="G1192" i="1"/>
  <c r="I1192" i="1"/>
  <c r="A1193" i="1"/>
  <c r="F1193" i="1"/>
  <c r="G1193" i="1"/>
  <c r="I1193" i="1"/>
  <c r="A1194" i="1"/>
  <c r="F1194" i="1"/>
  <c r="G1194" i="1"/>
  <c r="I1194" i="1"/>
  <c r="A1195" i="1"/>
  <c r="F1195" i="1"/>
  <c r="G1195" i="1"/>
  <c r="I1195" i="1"/>
  <c r="A1196" i="1"/>
  <c r="F1196" i="1"/>
  <c r="G1196" i="1"/>
  <c r="I1196" i="1"/>
  <c r="A1197" i="1"/>
  <c r="H1197" i="1"/>
  <c r="I1197" i="1"/>
  <c r="A1198" i="1"/>
  <c r="F1198" i="1"/>
  <c r="G1198" i="1"/>
  <c r="I1198" i="1"/>
  <c r="A1199" i="1"/>
  <c r="F1199" i="1"/>
  <c r="G1199" i="1"/>
  <c r="I1199" i="1"/>
  <c r="A1200" i="1"/>
  <c r="F1200" i="1"/>
  <c r="G1200" i="1"/>
  <c r="I1200" i="1"/>
  <c r="A1201" i="1"/>
  <c r="F1201" i="1"/>
  <c r="G1201" i="1"/>
  <c r="I1201" i="1"/>
  <c r="A1202" i="1"/>
  <c r="F1202" i="1"/>
  <c r="G1202" i="1"/>
  <c r="I1202" i="1"/>
  <c r="A1203" i="1"/>
  <c r="F1203" i="1"/>
  <c r="G1203" i="1"/>
  <c r="I1203" i="1"/>
  <c r="A1204" i="1"/>
  <c r="F1204" i="1"/>
  <c r="G1204" i="1"/>
  <c r="I1204" i="1"/>
  <c r="A1205" i="1"/>
  <c r="F1205" i="1"/>
  <c r="G1205" i="1"/>
  <c r="I1205" i="1"/>
  <c r="A1206" i="1"/>
  <c r="F1206" i="1"/>
  <c r="G1206" i="1"/>
  <c r="I1206" i="1"/>
  <c r="A1207" i="1"/>
  <c r="F1207" i="1"/>
  <c r="G1207" i="1"/>
  <c r="I1207" i="1"/>
  <c r="A1208" i="1"/>
  <c r="F1208" i="1"/>
  <c r="G1208" i="1"/>
  <c r="I1208" i="1"/>
  <c r="A1209" i="1"/>
  <c r="F1209" i="1"/>
  <c r="G1209" i="1"/>
  <c r="I1209" i="1"/>
  <c r="A1210" i="1"/>
  <c r="F1210" i="1"/>
  <c r="G1210" i="1"/>
  <c r="I1210" i="1"/>
  <c r="A1211" i="1"/>
  <c r="F1211" i="1"/>
  <c r="G1211" i="1"/>
  <c r="I1211" i="1"/>
  <c r="A1212" i="1"/>
  <c r="F1212" i="1"/>
  <c r="G1212" i="1"/>
  <c r="I1212" i="1"/>
  <c r="A1213" i="1"/>
  <c r="F1213" i="1"/>
  <c r="G1213" i="1"/>
  <c r="I1213" i="1"/>
  <c r="A1214" i="1"/>
  <c r="F1214" i="1"/>
  <c r="G1214" i="1"/>
  <c r="I1214" i="1"/>
  <c r="A1215" i="1"/>
  <c r="F1215" i="1"/>
  <c r="G1215" i="1"/>
  <c r="I1215" i="1"/>
  <c r="A1216" i="1"/>
  <c r="F1216" i="1"/>
  <c r="G1216" i="1"/>
  <c r="I1216" i="1"/>
  <c r="A1217" i="1"/>
  <c r="F1217" i="1"/>
  <c r="G1217" i="1"/>
  <c r="I1217" i="1"/>
  <c r="A1218" i="1"/>
  <c r="F1218" i="1"/>
  <c r="G1218" i="1"/>
  <c r="I1218" i="1"/>
  <c r="A1219" i="1"/>
  <c r="F1219" i="1"/>
  <c r="G1219" i="1"/>
  <c r="I1219" i="1"/>
  <c r="A1220" i="1"/>
  <c r="F1220" i="1"/>
  <c r="G1220" i="1"/>
  <c r="I1220" i="1"/>
  <c r="A1221" i="1"/>
  <c r="F1221" i="1"/>
  <c r="G1221" i="1"/>
  <c r="I1221" i="1"/>
  <c r="A1222" i="1"/>
  <c r="F1222" i="1"/>
  <c r="G1222" i="1"/>
  <c r="I1222" i="1"/>
  <c r="A1223" i="1"/>
  <c r="F1223" i="1"/>
  <c r="G1223" i="1"/>
  <c r="I1223" i="1"/>
  <c r="A1224" i="1"/>
  <c r="F1224" i="1"/>
  <c r="G1224" i="1"/>
  <c r="I1224" i="1"/>
  <c r="A1225" i="1"/>
  <c r="F1225" i="1"/>
  <c r="G1225" i="1"/>
  <c r="I1225" i="1"/>
  <c r="A1226" i="1"/>
  <c r="F1226" i="1"/>
  <c r="G1226" i="1"/>
  <c r="I1226" i="1"/>
  <c r="A1227" i="1"/>
  <c r="F1227" i="1"/>
  <c r="G1227" i="1"/>
  <c r="I1227" i="1"/>
  <c r="A1228" i="1"/>
  <c r="F1228" i="1"/>
  <c r="G1228" i="1"/>
  <c r="I1228" i="1"/>
  <c r="A1229" i="1"/>
  <c r="F1229" i="1"/>
  <c r="G1229" i="1"/>
  <c r="I1229" i="1"/>
  <c r="A1230" i="1"/>
  <c r="F1230" i="1"/>
  <c r="G1230" i="1"/>
  <c r="I1230" i="1"/>
  <c r="A1231" i="1"/>
  <c r="F1231" i="1"/>
  <c r="G1231" i="1"/>
  <c r="I1231" i="1"/>
  <c r="A1232" i="1"/>
  <c r="F1232" i="1"/>
  <c r="G1232" i="1"/>
  <c r="I1232" i="1"/>
  <c r="A1233" i="1"/>
  <c r="F1233" i="1"/>
  <c r="G1233" i="1"/>
  <c r="I1233" i="1"/>
  <c r="A1234" i="1"/>
  <c r="F1234" i="1"/>
  <c r="G1234" i="1"/>
  <c r="I1234" i="1"/>
  <c r="A1235" i="1"/>
  <c r="F1235" i="1"/>
  <c r="G1235" i="1"/>
  <c r="I1235" i="1"/>
  <c r="A1236" i="1"/>
  <c r="F1236" i="1"/>
  <c r="G1236" i="1"/>
  <c r="I1236" i="1"/>
  <c r="A1237" i="1"/>
  <c r="F1237" i="1"/>
  <c r="G1237" i="1"/>
  <c r="I1237" i="1"/>
  <c r="A1238" i="1"/>
  <c r="F1238" i="1"/>
  <c r="G1238" i="1"/>
  <c r="I1238" i="1"/>
  <c r="A1239" i="1"/>
  <c r="F1239" i="1"/>
  <c r="G1239" i="1"/>
  <c r="I1239" i="1"/>
  <c r="A1240" i="1"/>
  <c r="F1240" i="1"/>
  <c r="G1240" i="1"/>
  <c r="I1240" i="1"/>
  <c r="A1241" i="1"/>
  <c r="F1241" i="1"/>
  <c r="G1241" i="1"/>
  <c r="I1241" i="1"/>
  <c r="A1242" i="1"/>
  <c r="F1242" i="1"/>
  <c r="G1242" i="1"/>
  <c r="I1242" i="1"/>
  <c r="A1243" i="1"/>
  <c r="F1243" i="1"/>
  <c r="G1243" i="1"/>
  <c r="I1243" i="1"/>
  <c r="A1244" i="1"/>
  <c r="F1244" i="1"/>
  <c r="G1244" i="1"/>
  <c r="I1244" i="1"/>
  <c r="A1245" i="1"/>
  <c r="F1245" i="1"/>
  <c r="G1245" i="1"/>
  <c r="I1245" i="1"/>
  <c r="A1246" i="1"/>
  <c r="F1246" i="1"/>
  <c r="G1246" i="1"/>
  <c r="I1246" i="1"/>
  <c r="A1247" i="1"/>
  <c r="F1247" i="1"/>
  <c r="G1247" i="1"/>
  <c r="I1247" i="1"/>
  <c r="A1248" i="1"/>
  <c r="F1248" i="1"/>
  <c r="G1248" i="1"/>
  <c r="I1248" i="1"/>
  <c r="A1249" i="1"/>
  <c r="F1249" i="1"/>
  <c r="G1249" i="1"/>
  <c r="I1249" i="1"/>
  <c r="A1250" i="1"/>
  <c r="F1250" i="1"/>
  <c r="G1250" i="1"/>
  <c r="I1250" i="1"/>
  <c r="A1251" i="1"/>
  <c r="F1251" i="1"/>
  <c r="G1251" i="1"/>
  <c r="I1251" i="1"/>
  <c r="A1252" i="1"/>
  <c r="F1252" i="1"/>
  <c r="G1252" i="1"/>
  <c r="I1252" i="1"/>
  <c r="A1253" i="1"/>
  <c r="F1253" i="1"/>
  <c r="G1253" i="1"/>
  <c r="I1253" i="1"/>
  <c r="A1254" i="1"/>
  <c r="F1254" i="1"/>
  <c r="G1254" i="1"/>
  <c r="I1254" i="1"/>
  <c r="A1255" i="1"/>
  <c r="F1255" i="1"/>
  <c r="G1255" i="1"/>
  <c r="I1255" i="1"/>
  <c r="A1256" i="1"/>
  <c r="F1256" i="1"/>
  <c r="G1256" i="1"/>
  <c r="I1256" i="1"/>
  <c r="A1257" i="1"/>
  <c r="F1257" i="1"/>
  <c r="G1257" i="1"/>
  <c r="I1257" i="1"/>
  <c r="A1258" i="1"/>
  <c r="F1258" i="1"/>
  <c r="G1258" i="1"/>
  <c r="I1258" i="1"/>
  <c r="A1259" i="1"/>
  <c r="F1259" i="1"/>
  <c r="G1259" i="1"/>
  <c r="I1259" i="1"/>
  <c r="A1260" i="1"/>
  <c r="F1260" i="1"/>
  <c r="G1260" i="1"/>
  <c r="I1260" i="1"/>
  <c r="A1261" i="1"/>
  <c r="F1261" i="1"/>
  <c r="G1261" i="1"/>
  <c r="I1261" i="1"/>
  <c r="A1262" i="1"/>
  <c r="F1262" i="1"/>
  <c r="G1262" i="1"/>
  <c r="I1262" i="1"/>
  <c r="A1263" i="1"/>
  <c r="F1263" i="1"/>
  <c r="G1263" i="1"/>
  <c r="I1263" i="1"/>
  <c r="A1264" i="1"/>
  <c r="F1264" i="1"/>
  <c r="G1264" i="1"/>
  <c r="I1264" i="1"/>
  <c r="A1265" i="1"/>
  <c r="F1265" i="1"/>
  <c r="G1265" i="1"/>
  <c r="I1265" i="1"/>
  <c r="A1266" i="1"/>
  <c r="F1266" i="1"/>
  <c r="G1266" i="1"/>
  <c r="I1266" i="1"/>
  <c r="A1267" i="1"/>
  <c r="F1267" i="1"/>
  <c r="G1267" i="1"/>
  <c r="I1267" i="1"/>
  <c r="A1268" i="1"/>
  <c r="F1268" i="1"/>
  <c r="G1268" i="1"/>
  <c r="I1268" i="1"/>
  <c r="A1269" i="1"/>
  <c r="F1269" i="1"/>
  <c r="G1269" i="1"/>
  <c r="I1269" i="1"/>
  <c r="A1270" i="1"/>
  <c r="F1270" i="1"/>
  <c r="G1270" i="1"/>
  <c r="I1270" i="1"/>
  <c r="A1271" i="1"/>
  <c r="F1271" i="1"/>
  <c r="G1271" i="1"/>
  <c r="I1271" i="1"/>
  <c r="A1272" i="1"/>
  <c r="F1272" i="1"/>
  <c r="G1272" i="1"/>
  <c r="I1272" i="1"/>
  <c r="A1273" i="1"/>
  <c r="F1273" i="1"/>
  <c r="G1273" i="1"/>
  <c r="I1273" i="1"/>
  <c r="A1274" i="1"/>
  <c r="F1274" i="1"/>
  <c r="G1274" i="1"/>
  <c r="I1274" i="1"/>
  <c r="A1275" i="1"/>
  <c r="F1275" i="1"/>
  <c r="G1275" i="1"/>
  <c r="I1275" i="1"/>
  <c r="A1276" i="1"/>
  <c r="F1276" i="1"/>
  <c r="G1276" i="1"/>
  <c r="I1276" i="1"/>
  <c r="A1277" i="1"/>
  <c r="F1277" i="1"/>
  <c r="G1277" i="1"/>
  <c r="I1277" i="1"/>
  <c r="A1278" i="1"/>
  <c r="F1278" i="1"/>
  <c r="G1278" i="1"/>
  <c r="I1278" i="1"/>
  <c r="A1279" i="1"/>
  <c r="F1279" i="1"/>
  <c r="G1279" i="1"/>
  <c r="I1279" i="1"/>
  <c r="A1280" i="1"/>
  <c r="F1280" i="1"/>
  <c r="G1280" i="1"/>
  <c r="I1280" i="1"/>
  <c r="A1281" i="1"/>
  <c r="F1281" i="1"/>
  <c r="G1281" i="1"/>
  <c r="I1281" i="1"/>
  <c r="A1282" i="1"/>
  <c r="F1282" i="1"/>
  <c r="G1282" i="1"/>
  <c r="I1282" i="1"/>
  <c r="A1283" i="1"/>
  <c r="F1283" i="1"/>
  <c r="G1283" i="1"/>
  <c r="I1283" i="1"/>
  <c r="A1284" i="1"/>
  <c r="F1284" i="1"/>
  <c r="G1284" i="1"/>
  <c r="I1284" i="1"/>
  <c r="A1285" i="1"/>
  <c r="F1285" i="1"/>
  <c r="G1285" i="1"/>
  <c r="I1285" i="1"/>
  <c r="A1286" i="1"/>
  <c r="F1286" i="1"/>
  <c r="G1286" i="1"/>
  <c r="I1286" i="1"/>
  <c r="A1287" i="1"/>
  <c r="F1287" i="1"/>
  <c r="G1287" i="1"/>
  <c r="I1287" i="1"/>
  <c r="A1288" i="1"/>
  <c r="F1288" i="1"/>
  <c r="G1288" i="1"/>
  <c r="I1288" i="1"/>
  <c r="A1289" i="1"/>
  <c r="F1289" i="1"/>
  <c r="G1289" i="1"/>
  <c r="I1289" i="1"/>
  <c r="A1290" i="1"/>
  <c r="F1290" i="1"/>
  <c r="G1290" i="1"/>
  <c r="I1290" i="1"/>
  <c r="A1291" i="1"/>
  <c r="F1291" i="1"/>
  <c r="G1291" i="1"/>
  <c r="I1291" i="1"/>
  <c r="A1292" i="1"/>
  <c r="F1292" i="1"/>
  <c r="G1292" i="1"/>
  <c r="I1292" i="1"/>
  <c r="A1293" i="1"/>
  <c r="F1293" i="1"/>
  <c r="G1293" i="1"/>
  <c r="I1293" i="1"/>
  <c r="A1294" i="1"/>
  <c r="F1294" i="1"/>
  <c r="G1294" i="1"/>
  <c r="I1294" i="1"/>
  <c r="A1295" i="1"/>
  <c r="F1295" i="1"/>
  <c r="G1295" i="1"/>
  <c r="I1295" i="1"/>
  <c r="A1296" i="1"/>
  <c r="F1296" i="1"/>
  <c r="G1296" i="1"/>
  <c r="I1296" i="1"/>
  <c r="A1297" i="1"/>
  <c r="F1297" i="1"/>
  <c r="G1297" i="1"/>
  <c r="I1297" i="1"/>
  <c r="A1298" i="1"/>
  <c r="F1298" i="1"/>
  <c r="G1298" i="1"/>
  <c r="I1298" i="1"/>
  <c r="A1299" i="1"/>
  <c r="F1299" i="1"/>
  <c r="G1299" i="1"/>
  <c r="I1299" i="1"/>
  <c r="A1300" i="1"/>
  <c r="F1300" i="1"/>
  <c r="G1300" i="1"/>
  <c r="I1300" i="1"/>
  <c r="A1301" i="1"/>
  <c r="F1301" i="1"/>
  <c r="G1301" i="1"/>
  <c r="I1301" i="1"/>
  <c r="A1302" i="1"/>
  <c r="F1302" i="1"/>
  <c r="G1302" i="1"/>
  <c r="I1302" i="1"/>
  <c r="A1303" i="1"/>
  <c r="F1303" i="1"/>
  <c r="G1303" i="1"/>
  <c r="I1303" i="1"/>
  <c r="A1304" i="1"/>
  <c r="F1304" i="1"/>
  <c r="G1304" i="1"/>
  <c r="I1304" i="1"/>
  <c r="A1305" i="1"/>
  <c r="F1305" i="1"/>
  <c r="G1305" i="1"/>
  <c r="I1305" i="1"/>
  <c r="A1306" i="1"/>
  <c r="F1306" i="1"/>
  <c r="G1306" i="1"/>
  <c r="I1306" i="1"/>
  <c r="A1307" i="1"/>
  <c r="F1307" i="1"/>
  <c r="G1307" i="1"/>
  <c r="I1307" i="1"/>
  <c r="A1308" i="1"/>
  <c r="F1308" i="1"/>
  <c r="G1308" i="1"/>
  <c r="I1308" i="1"/>
  <c r="A1309" i="1"/>
  <c r="F1309" i="1"/>
  <c r="G1309" i="1"/>
  <c r="I1309" i="1"/>
  <c r="A1310" i="1"/>
  <c r="F1310" i="1"/>
  <c r="G1310" i="1"/>
  <c r="I1310" i="1"/>
  <c r="A1311" i="1"/>
  <c r="F1311" i="1"/>
  <c r="G1311" i="1"/>
  <c r="I1311" i="1"/>
  <c r="A1312" i="1"/>
  <c r="F1312" i="1"/>
  <c r="G1312" i="1"/>
  <c r="I1312" i="1"/>
  <c r="A1313" i="1"/>
  <c r="F1313" i="1"/>
  <c r="G1313" i="1"/>
  <c r="I1313" i="1"/>
  <c r="A1314" i="1"/>
  <c r="F1314" i="1"/>
  <c r="G1314" i="1"/>
  <c r="I1314" i="1"/>
  <c r="A1315" i="1"/>
  <c r="F1315" i="1"/>
  <c r="G1315" i="1"/>
  <c r="I1315" i="1"/>
  <c r="A1316" i="1"/>
  <c r="F1316" i="1"/>
  <c r="G1316" i="1"/>
  <c r="I1316" i="1"/>
  <c r="A1317" i="1"/>
  <c r="F1317" i="1"/>
  <c r="G1317" i="1"/>
  <c r="I1317" i="1"/>
  <c r="A1318" i="1"/>
  <c r="F1318" i="1"/>
  <c r="G1318" i="1"/>
  <c r="I1318" i="1"/>
  <c r="A1319" i="1"/>
  <c r="F1319" i="1"/>
  <c r="G1319" i="1"/>
  <c r="I1319" i="1"/>
  <c r="A1320" i="1"/>
  <c r="F1320" i="1"/>
  <c r="G1320" i="1"/>
  <c r="I1320" i="1"/>
  <c r="A1321" i="1"/>
  <c r="F1321" i="1"/>
  <c r="G1321" i="1"/>
  <c r="I1321" i="1"/>
  <c r="A1322" i="1"/>
  <c r="F1322" i="1"/>
  <c r="G1322" i="1"/>
  <c r="I1322" i="1"/>
  <c r="A1323" i="1"/>
  <c r="F1323" i="1"/>
  <c r="G1323" i="1"/>
  <c r="I1323" i="1"/>
  <c r="A1324" i="1"/>
  <c r="F1324" i="1"/>
  <c r="G1324" i="1"/>
  <c r="I1324" i="1"/>
  <c r="A1325" i="1"/>
  <c r="F1325" i="1"/>
  <c r="G1325" i="1"/>
  <c r="I1325" i="1"/>
  <c r="A1326" i="1"/>
  <c r="F1326" i="1"/>
  <c r="G1326" i="1"/>
  <c r="I1326" i="1"/>
  <c r="A1327" i="1"/>
  <c r="F1327" i="1"/>
  <c r="G1327" i="1"/>
  <c r="I1327" i="1"/>
  <c r="A1328" i="1"/>
  <c r="F1328" i="1"/>
  <c r="G1328" i="1"/>
  <c r="I1328" i="1"/>
  <c r="A1329" i="1"/>
  <c r="F1329" i="1"/>
  <c r="G1329" i="1"/>
  <c r="I1329" i="1"/>
  <c r="A1330" i="1"/>
  <c r="F1330" i="1"/>
  <c r="G1330" i="1"/>
  <c r="I1330" i="1"/>
  <c r="A1331" i="1"/>
  <c r="F1331" i="1"/>
  <c r="G1331" i="1"/>
  <c r="I1331" i="1"/>
  <c r="A1332" i="1"/>
  <c r="F1332" i="1"/>
  <c r="G1332" i="1"/>
  <c r="I1332" i="1"/>
  <c r="A1333" i="1"/>
  <c r="F1333" i="1"/>
  <c r="G1333" i="1"/>
  <c r="I1333" i="1"/>
  <c r="A1334" i="1"/>
  <c r="F1334" i="1"/>
  <c r="G1334" i="1"/>
  <c r="I1334" i="1"/>
  <c r="A1335" i="1"/>
  <c r="F1335" i="1"/>
  <c r="G1335" i="1"/>
  <c r="I1335" i="1"/>
  <c r="A1336" i="1"/>
  <c r="F1336" i="1"/>
  <c r="G1336" i="1"/>
  <c r="I1336" i="1"/>
  <c r="A1337" i="1"/>
  <c r="F1337" i="1"/>
  <c r="G1337" i="1"/>
  <c r="I1337" i="1"/>
  <c r="A1338" i="1"/>
  <c r="F1338" i="1"/>
  <c r="G1338" i="1"/>
  <c r="I1338" i="1"/>
  <c r="A1339" i="1"/>
  <c r="F1339" i="1"/>
  <c r="G1339" i="1"/>
  <c r="I1339" i="1"/>
  <c r="A1340" i="1"/>
  <c r="F1340" i="1"/>
  <c r="G1340" i="1"/>
  <c r="I1340" i="1"/>
  <c r="A1341" i="1"/>
  <c r="F1341" i="1"/>
  <c r="G1341" i="1"/>
  <c r="I1341" i="1"/>
  <c r="A1342" i="1"/>
  <c r="F1342" i="1"/>
  <c r="G1342" i="1"/>
  <c r="I1342" i="1"/>
  <c r="A1343" i="1"/>
  <c r="F1343" i="1"/>
  <c r="G1343" i="1"/>
  <c r="I1343" i="1"/>
  <c r="A1344" i="1"/>
  <c r="F1344" i="1"/>
  <c r="G1344" i="1"/>
  <c r="I1344" i="1"/>
  <c r="A1345" i="1"/>
  <c r="F1345" i="1"/>
  <c r="G1345" i="1"/>
  <c r="I1345" i="1"/>
  <c r="A1346" i="1"/>
  <c r="F1346" i="1"/>
  <c r="G1346" i="1"/>
  <c r="I1346" i="1"/>
  <c r="A1347" i="1"/>
  <c r="F1347" i="1"/>
  <c r="G1347" i="1"/>
  <c r="I1347" i="1"/>
  <c r="A1348" i="1"/>
  <c r="F1348" i="1"/>
  <c r="G1348" i="1"/>
  <c r="I1348" i="1"/>
  <c r="A1349" i="1"/>
  <c r="F1349" i="1"/>
  <c r="G1349" i="1"/>
  <c r="I1349" i="1"/>
  <c r="A1350" i="1"/>
  <c r="F1350" i="1"/>
  <c r="G1350" i="1"/>
  <c r="I1350" i="1"/>
  <c r="A1351" i="1"/>
  <c r="F1351" i="1"/>
  <c r="G1351" i="1"/>
  <c r="I1351" i="1"/>
  <c r="A1352" i="1"/>
  <c r="F1352" i="1"/>
  <c r="G1352" i="1"/>
  <c r="I1352" i="1"/>
  <c r="A1353" i="1"/>
  <c r="F1353" i="1"/>
  <c r="G1353" i="1"/>
  <c r="I1353" i="1"/>
  <c r="A1354" i="1"/>
  <c r="F1354" i="1"/>
  <c r="G1354" i="1"/>
  <c r="I1354" i="1"/>
  <c r="A1355" i="1"/>
  <c r="F1355" i="1"/>
  <c r="G1355" i="1"/>
  <c r="I1355" i="1"/>
  <c r="A1356" i="1"/>
  <c r="F1356" i="1"/>
  <c r="G1356" i="1"/>
  <c r="I1356" i="1"/>
  <c r="A1357" i="1"/>
  <c r="F1357" i="1"/>
  <c r="G1357" i="1"/>
  <c r="I1357" i="1"/>
  <c r="A1358" i="1"/>
  <c r="F1358" i="1"/>
  <c r="G1358" i="1"/>
  <c r="I1358" i="1"/>
  <c r="A1359" i="1"/>
  <c r="F1359" i="1"/>
  <c r="G1359" i="1"/>
  <c r="I1359" i="1"/>
  <c r="A1360" i="1"/>
  <c r="F1360" i="1"/>
  <c r="G1360" i="1"/>
  <c r="I1360" i="1"/>
  <c r="A1361" i="1"/>
  <c r="F1361" i="1"/>
  <c r="G1361" i="1"/>
  <c r="I1361" i="1"/>
  <c r="A1362" i="1"/>
  <c r="F1362" i="1"/>
  <c r="G1362" i="1"/>
  <c r="I1362" i="1"/>
  <c r="A1363" i="1"/>
  <c r="F1363" i="1"/>
  <c r="G1363" i="1"/>
  <c r="I1363" i="1"/>
  <c r="A1364" i="1"/>
  <c r="F1364" i="1"/>
  <c r="G1364" i="1"/>
  <c r="I1364" i="1"/>
  <c r="A1365" i="1"/>
  <c r="F1365" i="1"/>
  <c r="G1365" i="1"/>
  <c r="I1365" i="1"/>
  <c r="A1366" i="1"/>
  <c r="F1366" i="1"/>
  <c r="G1366" i="1"/>
  <c r="I1366" i="1"/>
  <c r="A1367" i="1"/>
  <c r="F1367" i="1"/>
  <c r="G1367" i="1"/>
  <c r="I1367" i="1"/>
  <c r="A1368" i="1"/>
  <c r="F1368" i="1"/>
  <c r="G1368" i="1"/>
  <c r="I1368" i="1"/>
  <c r="A1369" i="1"/>
  <c r="F1369" i="1"/>
  <c r="G1369" i="1"/>
  <c r="I1369" i="1"/>
  <c r="A1370" i="1"/>
  <c r="F1370" i="1"/>
  <c r="G1370" i="1"/>
  <c r="I1370" i="1"/>
  <c r="A1371" i="1"/>
  <c r="F1371" i="1"/>
  <c r="G1371" i="1"/>
  <c r="I1371" i="1"/>
  <c r="A1372" i="1"/>
  <c r="F1372" i="1"/>
  <c r="G1372" i="1"/>
  <c r="I1372" i="1"/>
  <c r="A1373" i="1"/>
  <c r="F1373" i="1"/>
  <c r="G1373" i="1"/>
  <c r="I1373" i="1"/>
  <c r="A1374" i="1"/>
  <c r="F1374" i="1"/>
  <c r="G1374" i="1"/>
  <c r="I1374" i="1"/>
  <c r="A1375" i="1"/>
  <c r="F1375" i="1"/>
  <c r="G1375" i="1"/>
  <c r="I1375" i="1"/>
  <c r="A1376" i="1"/>
  <c r="F1376" i="1"/>
  <c r="G1376" i="1"/>
  <c r="I1376" i="1"/>
  <c r="A1377" i="1"/>
  <c r="F1377" i="1"/>
  <c r="G1377" i="1"/>
  <c r="I1377" i="1"/>
  <c r="A1378" i="1"/>
  <c r="F1378" i="1"/>
  <c r="G1378" i="1"/>
  <c r="I1378" i="1"/>
  <c r="A1379" i="1"/>
  <c r="F1379" i="1"/>
  <c r="G1379" i="1"/>
  <c r="I1379" i="1"/>
  <c r="A1380" i="1"/>
  <c r="F1380" i="1"/>
  <c r="G1380" i="1"/>
  <c r="I1380" i="1"/>
  <c r="A1381" i="1"/>
  <c r="F1381" i="1"/>
  <c r="G1381" i="1"/>
  <c r="I1381" i="1"/>
  <c r="A1382" i="1"/>
  <c r="F1382" i="1"/>
  <c r="G1382" i="1"/>
  <c r="I1382" i="1"/>
  <c r="A1383" i="1"/>
  <c r="F1383" i="1"/>
  <c r="G1383" i="1"/>
  <c r="I1383" i="1"/>
  <c r="A1384" i="1"/>
  <c r="F1384" i="1"/>
  <c r="G1384" i="1"/>
  <c r="I1384" i="1"/>
  <c r="A1385" i="1"/>
  <c r="F1385" i="1"/>
  <c r="G1385" i="1"/>
  <c r="I1385" i="1"/>
  <c r="A1386" i="1"/>
  <c r="F1386" i="1"/>
  <c r="G1386" i="1"/>
  <c r="I1386" i="1"/>
  <c r="A1387" i="1"/>
  <c r="F1387" i="1"/>
  <c r="G1387" i="1"/>
  <c r="I1387" i="1"/>
  <c r="A1388" i="1"/>
  <c r="F1388" i="1"/>
  <c r="G1388" i="1"/>
  <c r="I1388" i="1"/>
  <c r="A1389" i="1"/>
  <c r="F1389" i="1"/>
  <c r="G1389" i="1"/>
  <c r="I1389" i="1"/>
  <c r="A1390" i="1"/>
  <c r="F1390" i="1"/>
  <c r="G1390" i="1"/>
  <c r="I1390" i="1"/>
  <c r="A1391" i="1"/>
  <c r="F1391" i="1"/>
  <c r="G1391" i="1"/>
  <c r="I1391" i="1"/>
  <c r="A1392" i="1"/>
  <c r="F1392" i="1"/>
  <c r="G1392" i="1"/>
  <c r="I1392" i="1"/>
  <c r="A1393" i="1"/>
  <c r="F1393" i="1"/>
  <c r="G1393" i="1"/>
  <c r="I1393" i="1"/>
  <c r="A1394" i="1"/>
  <c r="F1394" i="1"/>
  <c r="G1394" i="1"/>
  <c r="I1394" i="1"/>
  <c r="A1395" i="1"/>
  <c r="F1395" i="1"/>
  <c r="G1395" i="1"/>
  <c r="I1395" i="1"/>
  <c r="A1396" i="1"/>
  <c r="F1396" i="1"/>
  <c r="G1396" i="1"/>
  <c r="I1396" i="1"/>
  <c r="A1397" i="1"/>
  <c r="F1397" i="1"/>
  <c r="G1397" i="1"/>
  <c r="I1397" i="1"/>
  <c r="A1398" i="1"/>
  <c r="F1398" i="1"/>
  <c r="G1398" i="1"/>
  <c r="I1398" i="1"/>
  <c r="A1399" i="1"/>
  <c r="F1399" i="1"/>
  <c r="G1399" i="1"/>
  <c r="I1399" i="1"/>
  <c r="A1400" i="1"/>
  <c r="F1400" i="1"/>
  <c r="G1400" i="1"/>
  <c r="I1400" i="1"/>
  <c r="A1401" i="1"/>
  <c r="F1401" i="1"/>
  <c r="G1401" i="1"/>
  <c r="I1401" i="1"/>
  <c r="A1402" i="1"/>
  <c r="F1402" i="1"/>
  <c r="G1402" i="1"/>
  <c r="I1402" i="1"/>
  <c r="A1403" i="1"/>
  <c r="F1403" i="1"/>
  <c r="G1403" i="1"/>
  <c r="I1403" i="1"/>
  <c r="A1404" i="1"/>
  <c r="F1404" i="1"/>
  <c r="G1404" i="1"/>
  <c r="I1404" i="1"/>
  <c r="A1405" i="1"/>
  <c r="F1405" i="1"/>
  <c r="G1405" i="1"/>
  <c r="I1405" i="1"/>
  <c r="A1406" i="1"/>
  <c r="F1406" i="1"/>
  <c r="G1406" i="1"/>
  <c r="I1406" i="1"/>
  <c r="A1407" i="1"/>
  <c r="F1407" i="1"/>
  <c r="G1407" i="1"/>
  <c r="I1407" i="1"/>
  <c r="A1408" i="1"/>
  <c r="F1408" i="1"/>
  <c r="G1408" i="1"/>
  <c r="I1408" i="1"/>
  <c r="A1409" i="1"/>
  <c r="F1409" i="1"/>
  <c r="G1409" i="1"/>
  <c r="I1409" i="1"/>
  <c r="A1410" i="1"/>
  <c r="F1410" i="1"/>
  <c r="G1410" i="1"/>
  <c r="I1410" i="1"/>
  <c r="A1411" i="1"/>
  <c r="F1411" i="1"/>
  <c r="G1411" i="1"/>
  <c r="I1411" i="1"/>
  <c r="A1412" i="1"/>
  <c r="F1412" i="1"/>
  <c r="G1412" i="1"/>
  <c r="I1412" i="1"/>
  <c r="A1413" i="1"/>
  <c r="F1413" i="1"/>
  <c r="G1413" i="1"/>
  <c r="I1413" i="1"/>
  <c r="A1414" i="1"/>
  <c r="F1414" i="1"/>
  <c r="G1414" i="1"/>
  <c r="I1414" i="1"/>
  <c r="A1415" i="1"/>
  <c r="F1415" i="1"/>
  <c r="G1415" i="1"/>
  <c r="I1415" i="1"/>
  <c r="A1416" i="1"/>
  <c r="F1416" i="1"/>
  <c r="G1416" i="1"/>
  <c r="I1416" i="1"/>
  <c r="A1417" i="1"/>
  <c r="F1417" i="1"/>
  <c r="G1417" i="1"/>
  <c r="I1417" i="1"/>
  <c r="A1418" i="1"/>
  <c r="F1418" i="1"/>
  <c r="G1418" i="1"/>
  <c r="I1418" i="1"/>
  <c r="A1419" i="1"/>
  <c r="F1419" i="1"/>
  <c r="G1419" i="1"/>
  <c r="I1419" i="1"/>
  <c r="A1420" i="1"/>
  <c r="F1420" i="1"/>
  <c r="G1420" i="1"/>
  <c r="I1420" i="1"/>
  <c r="A1421" i="1"/>
  <c r="F1421" i="1"/>
  <c r="G1421" i="1"/>
  <c r="I1421" i="1"/>
  <c r="A1422" i="1"/>
  <c r="F1422" i="1"/>
  <c r="G1422" i="1"/>
  <c r="I1422" i="1"/>
  <c r="A1423" i="1"/>
  <c r="F1423" i="1"/>
  <c r="G1423" i="1"/>
  <c r="I1423" i="1"/>
  <c r="A1424" i="1"/>
  <c r="F1424" i="1"/>
  <c r="G1424" i="1"/>
  <c r="I1424" i="1"/>
  <c r="A1425" i="1"/>
  <c r="F1425" i="1"/>
  <c r="G1425" i="1"/>
  <c r="I1425" i="1"/>
  <c r="A1426" i="1"/>
  <c r="F1426" i="1"/>
  <c r="G1426" i="1"/>
  <c r="I1426" i="1"/>
  <c r="A1427" i="1"/>
  <c r="F1427" i="1"/>
  <c r="G1427" i="1"/>
  <c r="I1427" i="1"/>
  <c r="A1428" i="1"/>
  <c r="F1428" i="1"/>
  <c r="G1428" i="1"/>
  <c r="I1428" i="1"/>
  <c r="A1429" i="1"/>
  <c r="F1429" i="1"/>
  <c r="G1429" i="1"/>
  <c r="I1429" i="1"/>
  <c r="A1430" i="1"/>
  <c r="F1430" i="1"/>
  <c r="G1430" i="1"/>
  <c r="I1430" i="1"/>
  <c r="A1431" i="1"/>
  <c r="F1431" i="1"/>
  <c r="G1431" i="1"/>
  <c r="I1431" i="1"/>
  <c r="A1432" i="1"/>
  <c r="F1432" i="1"/>
  <c r="G1432" i="1"/>
  <c r="I1432" i="1"/>
  <c r="A1433" i="1"/>
  <c r="F1433" i="1"/>
  <c r="G1433" i="1"/>
  <c r="I1433" i="1"/>
  <c r="A1434" i="1"/>
  <c r="F1434" i="1"/>
  <c r="G1434" i="1"/>
  <c r="I1434" i="1"/>
  <c r="A1435" i="1"/>
  <c r="F1435" i="1"/>
  <c r="G1435" i="1"/>
  <c r="I1435" i="1"/>
  <c r="A1436" i="1"/>
  <c r="F1436" i="1"/>
  <c r="G1436" i="1"/>
  <c r="I1436" i="1"/>
  <c r="A1437" i="1"/>
  <c r="F1437" i="1"/>
  <c r="G1437" i="1"/>
  <c r="I1437" i="1"/>
  <c r="A1438" i="1"/>
  <c r="F1438" i="1"/>
  <c r="G1438" i="1"/>
  <c r="I1438" i="1"/>
  <c r="A1439" i="1"/>
  <c r="F1439" i="1"/>
  <c r="G1439" i="1"/>
  <c r="I1439" i="1"/>
  <c r="A1440" i="1"/>
  <c r="F1440" i="1"/>
  <c r="G1440" i="1"/>
  <c r="I1440" i="1"/>
  <c r="A1441" i="1"/>
  <c r="F1441" i="1"/>
  <c r="G1441" i="1"/>
  <c r="I1441" i="1"/>
  <c r="A1442" i="1"/>
  <c r="F1442" i="1"/>
  <c r="G1442" i="1"/>
  <c r="I1442" i="1"/>
  <c r="A1443" i="1"/>
  <c r="F1443" i="1"/>
  <c r="G1443" i="1"/>
  <c r="I1443" i="1"/>
  <c r="A1444" i="1"/>
  <c r="F1444" i="1"/>
  <c r="G1444" i="1"/>
  <c r="I1444" i="1"/>
  <c r="A1445" i="1"/>
  <c r="F1445" i="1"/>
  <c r="G1445" i="1"/>
  <c r="I1445" i="1"/>
  <c r="A1446" i="1"/>
  <c r="F1446" i="1"/>
  <c r="G1446" i="1"/>
  <c r="I1446" i="1"/>
  <c r="A1447" i="1"/>
  <c r="F1447" i="1"/>
  <c r="G1447" i="1"/>
  <c r="I1447" i="1"/>
  <c r="A1448" i="1"/>
  <c r="F1448" i="1"/>
  <c r="G1448" i="1"/>
  <c r="I1448" i="1"/>
  <c r="A1449" i="1"/>
  <c r="F1449" i="1"/>
  <c r="G1449" i="1"/>
  <c r="I1449" i="1"/>
  <c r="A1450" i="1"/>
  <c r="F1450" i="1"/>
  <c r="G1450" i="1"/>
  <c r="I1450" i="1"/>
  <c r="A1451" i="1"/>
  <c r="F1451" i="1"/>
  <c r="G1451" i="1"/>
  <c r="I1451" i="1"/>
  <c r="A1452" i="1"/>
  <c r="F1452" i="1"/>
  <c r="G1452" i="1"/>
  <c r="I1452" i="1"/>
  <c r="A1453" i="1"/>
  <c r="F1453" i="1"/>
  <c r="G1453" i="1"/>
  <c r="I1453" i="1"/>
  <c r="A1454" i="1"/>
  <c r="F1454" i="1"/>
  <c r="G1454" i="1"/>
  <c r="I1454" i="1"/>
  <c r="A1455" i="1"/>
  <c r="F1455" i="1"/>
  <c r="G1455" i="1"/>
  <c r="I1455" i="1"/>
  <c r="A1456" i="1"/>
  <c r="F1456" i="1"/>
  <c r="G1456" i="1"/>
  <c r="I1456" i="1"/>
  <c r="A1457" i="1"/>
  <c r="F1457" i="1"/>
  <c r="G1457" i="1"/>
  <c r="I1457" i="1"/>
  <c r="A1458" i="1"/>
  <c r="F1458" i="1"/>
  <c r="G1458" i="1"/>
  <c r="I1458" i="1"/>
  <c r="A1459" i="1"/>
  <c r="F1459" i="1"/>
  <c r="G1459" i="1"/>
  <c r="I1459" i="1"/>
  <c r="A1460" i="1"/>
  <c r="F1460" i="1"/>
  <c r="G1460" i="1"/>
  <c r="I1460" i="1"/>
  <c r="A1461" i="1"/>
  <c r="F1461" i="1"/>
  <c r="G1461" i="1"/>
  <c r="I1461" i="1"/>
  <c r="A1462" i="1"/>
  <c r="F1462" i="1"/>
  <c r="G1462" i="1"/>
  <c r="I1462" i="1"/>
  <c r="A1463" i="1"/>
  <c r="F1463" i="1"/>
  <c r="G1463" i="1"/>
  <c r="I1463" i="1"/>
  <c r="A1464" i="1"/>
  <c r="F1464" i="1"/>
  <c r="G1464" i="1"/>
  <c r="I1464" i="1"/>
  <c r="A1465" i="1"/>
  <c r="F1465" i="1"/>
  <c r="A1466" i="1"/>
  <c r="F1466" i="1"/>
  <c r="G1466" i="1"/>
  <c r="I1466" i="1"/>
  <c r="A1467" i="1"/>
  <c r="F1467" i="1"/>
  <c r="G1467" i="1"/>
  <c r="I1467" i="1"/>
  <c r="A1468" i="1"/>
  <c r="F1468" i="1"/>
  <c r="G1468" i="1"/>
  <c r="I1468" i="1"/>
  <c r="A1469" i="1"/>
  <c r="F1469" i="1"/>
  <c r="G1469" i="1"/>
  <c r="I1469" i="1"/>
  <c r="A1470" i="1"/>
  <c r="F1470" i="1"/>
  <c r="G1470" i="1"/>
  <c r="I1470" i="1"/>
  <c r="A1471" i="1"/>
  <c r="F1471" i="1"/>
  <c r="G1471" i="1"/>
  <c r="I1471" i="1"/>
  <c r="A1472" i="1"/>
  <c r="F1472" i="1"/>
  <c r="G1472" i="1"/>
  <c r="I1472" i="1"/>
  <c r="A1473" i="1"/>
  <c r="F1473" i="1"/>
  <c r="G1473" i="1"/>
  <c r="I1473" i="1"/>
  <c r="A1474" i="1"/>
  <c r="F1474" i="1"/>
  <c r="G1474" i="1"/>
  <c r="I1474" i="1"/>
  <c r="A1475" i="1"/>
  <c r="F1475" i="1"/>
  <c r="G1475" i="1"/>
  <c r="I1475" i="1"/>
  <c r="A1476" i="1"/>
  <c r="F1476" i="1"/>
  <c r="G1476" i="1"/>
  <c r="I1476" i="1"/>
  <c r="A1477" i="1"/>
  <c r="F1477" i="1"/>
  <c r="G1477" i="1"/>
  <c r="I1477" i="1"/>
  <c r="A1478" i="1"/>
  <c r="F1478" i="1"/>
  <c r="G1478" i="1"/>
  <c r="I1478" i="1"/>
  <c r="A1479" i="1"/>
  <c r="F1479" i="1"/>
  <c r="G1479" i="1"/>
  <c r="I1479" i="1"/>
  <c r="A1480" i="1"/>
  <c r="F1480" i="1"/>
  <c r="G1480" i="1"/>
  <c r="I1480" i="1"/>
  <c r="A1481" i="1"/>
  <c r="F1481" i="1"/>
  <c r="G1481" i="1"/>
  <c r="I1481" i="1"/>
  <c r="A1482" i="1"/>
  <c r="F1482" i="1"/>
  <c r="G1482" i="1"/>
  <c r="I1482" i="1"/>
  <c r="A1483" i="1"/>
  <c r="F1483" i="1"/>
  <c r="G1483" i="1"/>
  <c r="I1483" i="1"/>
  <c r="A1484" i="1"/>
  <c r="F1484" i="1"/>
  <c r="G1484" i="1"/>
  <c r="I1484" i="1"/>
  <c r="A1485" i="1"/>
  <c r="F1485" i="1"/>
  <c r="G1485" i="1"/>
  <c r="I1485" i="1"/>
  <c r="A1486" i="1"/>
  <c r="F1486" i="1"/>
  <c r="G1486" i="1"/>
  <c r="I1486" i="1"/>
  <c r="A1487" i="1"/>
  <c r="F1487" i="1"/>
  <c r="G1487" i="1"/>
  <c r="I1487" i="1"/>
  <c r="A1488" i="1"/>
  <c r="F1488" i="1"/>
  <c r="G1488" i="1"/>
  <c r="I1488" i="1"/>
  <c r="A1489" i="1"/>
  <c r="F1489" i="1"/>
  <c r="G1489" i="1"/>
  <c r="I1489" i="1"/>
  <c r="A1490" i="1"/>
  <c r="F1490" i="1"/>
  <c r="G1490" i="1"/>
  <c r="I1490" i="1"/>
  <c r="A1491" i="1"/>
  <c r="F1491" i="1"/>
  <c r="G1491" i="1"/>
  <c r="I1491" i="1"/>
  <c r="A1492" i="1"/>
  <c r="F1492" i="1"/>
  <c r="G1492" i="1"/>
  <c r="I1492" i="1"/>
  <c r="A1493" i="1"/>
  <c r="F1493" i="1"/>
  <c r="G1493" i="1"/>
  <c r="I1493" i="1"/>
  <c r="A1494" i="1"/>
  <c r="F1494" i="1"/>
  <c r="G1494" i="1"/>
  <c r="I1494" i="1"/>
  <c r="A1495" i="1"/>
  <c r="H1495" i="1"/>
  <c r="I1495" i="1"/>
  <c r="A1496" i="1"/>
  <c r="F1496" i="1"/>
  <c r="G1496" i="1"/>
  <c r="I1496" i="1"/>
  <c r="A1497" i="1"/>
  <c r="F1497" i="1"/>
  <c r="G1497" i="1"/>
  <c r="I1497" i="1"/>
  <c r="A1498" i="1"/>
  <c r="F1498" i="1"/>
  <c r="G1498" i="1"/>
  <c r="I1498" i="1"/>
  <c r="A1499" i="1"/>
  <c r="F1499" i="1"/>
  <c r="G1499" i="1"/>
  <c r="I1499" i="1"/>
  <c r="A1500" i="1"/>
  <c r="F1500" i="1"/>
  <c r="G1500" i="1"/>
  <c r="I1500" i="1"/>
  <c r="A1501" i="1"/>
  <c r="F1501" i="1"/>
  <c r="G1501" i="1"/>
  <c r="I1501" i="1"/>
  <c r="A1502" i="1"/>
  <c r="F1502" i="1"/>
  <c r="G1502" i="1"/>
  <c r="I1502" i="1"/>
  <c r="A1503" i="1"/>
  <c r="F1503" i="1"/>
  <c r="G1503" i="1"/>
  <c r="I1503" i="1"/>
  <c r="A1504" i="1"/>
  <c r="F1504" i="1"/>
  <c r="G1504" i="1"/>
  <c r="I1504" i="1"/>
  <c r="A1505" i="1"/>
  <c r="F1505" i="1"/>
  <c r="G1505" i="1"/>
  <c r="I1505" i="1"/>
  <c r="A1506" i="1"/>
  <c r="F1506" i="1"/>
  <c r="G1506" i="1"/>
  <c r="I1506" i="1"/>
  <c r="A1507" i="1"/>
  <c r="F1507" i="1"/>
  <c r="G1507" i="1"/>
  <c r="I1507" i="1"/>
  <c r="A1508" i="1"/>
  <c r="F1508" i="1"/>
  <c r="G1508" i="1"/>
  <c r="I1508" i="1"/>
  <c r="A1509" i="1"/>
  <c r="F1509" i="1"/>
  <c r="G1509" i="1"/>
  <c r="I1509" i="1"/>
  <c r="A1510" i="1"/>
  <c r="F1510" i="1"/>
  <c r="G1510" i="1"/>
  <c r="I1510" i="1"/>
  <c r="A1511" i="1"/>
  <c r="F1511" i="1"/>
  <c r="G1511" i="1"/>
  <c r="I1511" i="1"/>
  <c r="A1512" i="1"/>
  <c r="F1512" i="1"/>
  <c r="G1512" i="1"/>
  <c r="I1512" i="1"/>
  <c r="A1513" i="1"/>
  <c r="F1513" i="1"/>
  <c r="G1513" i="1"/>
  <c r="I1513" i="1"/>
  <c r="A1514" i="1"/>
  <c r="F1514" i="1"/>
  <c r="G1514" i="1"/>
  <c r="I1514" i="1"/>
  <c r="A1515" i="1"/>
  <c r="F1515" i="1"/>
  <c r="G1515" i="1"/>
  <c r="I1515" i="1"/>
  <c r="A1516" i="1"/>
  <c r="F1516" i="1"/>
  <c r="G1516" i="1"/>
  <c r="I1516" i="1"/>
  <c r="A1517" i="1"/>
  <c r="F1517" i="1"/>
  <c r="G1517" i="1"/>
  <c r="I1517" i="1"/>
  <c r="A1518" i="1"/>
  <c r="F1518" i="1"/>
  <c r="G1518" i="1"/>
  <c r="I1518" i="1"/>
  <c r="A1519" i="1"/>
  <c r="F1519" i="1"/>
  <c r="G1519" i="1"/>
  <c r="I1519" i="1"/>
  <c r="A1520" i="1"/>
  <c r="F1520" i="1"/>
  <c r="G1520" i="1"/>
  <c r="I1520" i="1"/>
  <c r="A1521" i="1"/>
  <c r="F1521" i="1"/>
  <c r="G1521" i="1"/>
  <c r="I1521" i="1"/>
  <c r="A1522" i="1"/>
  <c r="F1522" i="1"/>
  <c r="G1522" i="1"/>
  <c r="I1522" i="1"/>
  <c r="A1523" i="1"/>
  <c r="F1523" i="1"/>
  <c r="G1523" i="1"/>
  <c r="I1523" i="1"/>
  <c r="A1524" i="1"/>
  <c r="F1524" i="1"/>
  <c r="G1524" i="1"/>
  <c r="I1524" i="1"/>
  <c r="A1525" i="1"/>
  <c r="F1525" i="1"/>
  <c r="G1525" i="1"/>
  <c r="I1525" i="1"/>
  <c r="A1526" i="1"/>
  <c r="F1526" i="1"/>
  <c r="G1526" i="1"/>
  <c r="I1526" i="1"/>
  <c r="A1527" i="1"/>
  <c r="F1527" i="1"/>
  <c r="G1527" i="1"/>
  <c r="I1527" i="1"/>
  <c r="A1528" i="1"/>
  <c r="F1528" i="1"/>
  <c r="G1528" i="1"/>
  <c r="I1528" i="1"/>
  <c r="A1529" i="1"/>
  <c r="F1529" i="1"/>
  <c r="G1529" i="1"/>
  <c r="I1529" i="1"/>
  <c r="A1530" i="1"/>
  <c r="F1530" i="1"/>
  <c r="G1530" i="1"/>
  <c r="I1530" i="1"/>
  <c r="A1531" i="1"/>
  <c r="F1531" i="1"/>
  <c r="G1531" i="1"/>
  <c r="I1531" i="1"/>
  <c r="A1532" i="1"/>
  <c r="F1532" i="1"/>
  <c r="G1532" i="1"/>
  <c r="I1532" i="1"/>
  <c r="A1533" i="1"/>
  <c r="F1533" i="1"/>
  <c r="G1533" i="1"/>
  <c r="I1533" i="1"/>
  <c r="A1534" i="1"/>
  <c r="F1534" i="1"/>
  <c r="G1534" i="1"/>
  <c r="I1534" i="1"/>
  <c r="A1535" i="1"/>
  <c r="F1535" i="1"/>
  <c r="G1535" i="1"/>
  <c r="I1535" i="1"/>
  <c r="A1536" i="1"/>
  <c r="F1536" i="1"/>
  <c r="G1536" i="1"/>
  <c r="I1536" i="1"/>
  <c r="A1537" i="1"/>
  <c r="F1537" i="1"/>
  <c r="G1537" i="1"/>
  <c r="I1537" i="1"/>
  <c r="A1538" i="1"/>
  <c r="F1538" i="1"/>
  <c r="G1538" i="1"/>
  <c r="I1538" i="1"/>
  <c r="A1539" i="1"/>
  <c r="F1539" i="1"/>
  <c r="G1539" i="1"/>
  <c r="I1539" i="1"/>
  <c r="A1540" i="1"/>
  <c r="F1540" i="1"/>
  <c r="G1540" i="1"/>
  <c r="I1540" i="1"/>
  <c r="A1541" i="1"/>
  <c r="F1541" i="1"/>
  <c r="G1541" i="1"/>
  <c r="I1541" i="1"/>
  <c r="A1542" i="1"/>
  <c r="F1542" i="1"/>
  <c r="G1542" i="1"/>
  <c r="I1542" i="1"/>
  <c r="A1543" i="1"/>
  <c r="F1543" i="1"/>
  <c r="G1543" i="1"/>
  <c r="I1543" i="1"/>
  <c r="A1544" i="1"/>
  <c r="F1544" i="1"/>
  <c r="G1544" i="1"/>
  <c r="I1544" i="1"/>
  <c r="A1545" i="1"/>
  <c r="F1545" i="1"/>
  <c r="G1545" i="1"/>
  <c r="I1545" i="1"/>
  <c r="A1546" i="1"/>
  <c r="F1546" i="1"/>
  <c r="G1546" i="1"/>
  <c r="I1546" i="1"/>
  <c r="A1547" i="1"/>
  <c r="F1547" i="1"/>
  <c r="G1547" i="1"/>
  <c r="I1547" i="1"/>
  <c r="A1548" i="1"/>
  <c r="F1548" i="1"/>
  <c r="G1548" i="1"/>
  <c r="I1548" i="1"/>
  <c r="A1549" i="1"/>
  <c r="F1549" i="1"/>
  <c r="G1549" i="1"/>
  <c r="I1549" i="1"/>
  <c r="A1550" i="1"/>
  <c r="F1550" i="1"/>
  <c r="G1550" i="1"/>
  <c r="I1550" i="1"/>
  <c r="A1551" i="1"/>
  <c r="F1551" i="1"/>
  <c r="G1551" i="1"/>
  <c r="I1551" i="1"/>
  <c r="A1552" i="1"/>
  <c r="F1552" i="1"/>
  <c r="G1552" i="1"/>
  <c r="I1552" i="1"/>
  <c r="A1553" i="1"/>
  <c r="F1553" i="1"/>
  <c r="G1553" i="1"/>
  <c r="I1553" i="1"/>
  <c r="A1554" i="1"/>
  <c r="F1554" i="1"/>
  <c r="G1554" i="1"/>
  <c r="I1554" i="1"/>
  <c r="A1555" i="1"/>
  <c r="F1555" i="1"/>
  <c r="G1555" i="1"/>
  <c r="I1555" i="1"/>
  <c r="A1556" i="1"/>
  <c r="F1556" i="1"/>
  <c r="G1556" i="1"/>
  <c r="I1556" i="1"/>
  <c r="A1557" i="1"/>
  <c r="F1557" i="1"/>
  <c r="G1557" i="1"/>
  <c r="I1557" i="1"/>
  <c r="A1558" i="1"/>
  <c r="F1558" i="1"/>
  <c r="G1558" i="1"/>
  <c r="I1558" i="1"/>
  <c r="A1559" i="1"/>
  <c r="F1559" i="1"/>
  <c r="G1559" i="1"/>
  <c r="I1559" i="1"/>
  <c r="A1560" i="1"/>
  <c r="F1560" i="1"/>
  <c r="G1560" i="1"/>
  <c r="I1560" i="1"/>
  <c r="A1561" i="1"/>
  <c r="F1561" i="1"/>
  <c r="G1561" i="1"/>
  <c r="I1561" i="1"/>
  <c r="A1562" i="1"/>
  <c r="F1562" i="1"/>
  <c r="G1562" i="1"/>
  <c r="I1562" i="1"/>
  <c r="A1563" i="1"/>
  <c r="F1563" i="1"/>
  <c r="G1563" i="1"/>
  <c r="I1563" i="1"/>
  <c r="A1564" i="1"/>
  <c r="F1564" i="1"/>
  <c r="G1564" i="1"/>
  <c r="I1564" i="1"/>
  <c r="A1565" i="1"/>
  <c r="F1565" i="1"/>
  <c r="G1565" i="1"/>
  <c r="I1565" i="1"/>
  <c r="A1566" i="1"/>
  <c r="F1566" i="1"/>
  <c r="G1566" i="1"/>
  <c r="I1566" i="1"/>
  <c r="A1567" i="1"/>
  <c r="F1567" i="1"/>
  <c r="G1567" i="1"/>
  <c r="I1567" i="1"/>
  <c r="A1568" i="1"/>
  <c r="F1568" i="1"/>
  <c r="G1568" i="1"/>
  <c r="I1568" i="1"/>
  <c r="A1569" i="1"/>
  <c r="F1569" i="1"/>
  <c r="G1569" i="1"/>
  <c r="I1569" i="1"/>
  <c r="A1570" i="1"/>
  <c r="F1570" i="1"/>
  <c r="G1570" i="1"/>
  <c r="I1570" i="1"/>
  <c r="A1571" i="1"/>
  <c r="F1571" i="1"/>
  <c r="G1571" i="1"/>
  <c r="I1571" i="1"/>
  <c r="A1572" i="1"/>
  <c r="F1572" i="1"/>
  <c r="G1572" i="1"/>
  <c r="I1572" i="1"/>
  <c r="A1573" i="1"/>
  <c r="F1573" i="1"/>
  <c r="G1573" i="1"/>
  <c r="I1573" i="1"/>
  <c r="A1574" i="1"/>
  <c r="F1574" i="1"/>
  <c r="G1574" i="1"/>
  <c r="I1574" i="1"/>
  <c r="A1575" i="1"/>
  <c r="F1575" i="1"/>
  <c r="G1575" i="1"/>
  <c r="I1575" i="1"/>
  <c r="A1576" i="1"/>
  <c r="F1576" i="1"/>
  <c r="G1576" i="1"/>
  <c r="I1576" i="1"/>
  <c r="A1577" i="1"/>
  <c r="F1577" i="1"/>
  <c r="G1577" i="1"/>
  <c r="I1577" i="1"/>
  <c r="A1578" i="1"/>
  <c r="F1578" i="1"/>
  <c r="G1578" i="1"/>
  <c r="I1578" i="1"/>
  <c r="A1579" i="1"/>
  <c r="F1579" i="1"/>
  <c r="G1579" i="1"/>
  <c r="I1579" i="1"/>
  <c r="A1580" i="1"/>
  <c r="F1580" i="1"/>
  <c r="G1580" i="1"/>
  <c r="I1580" i="1"/>
  <c r="A1581" i="1"/>
  <c r="F1581" i="1"/>
  <c r="G1581" i="1"/>
  <c r="I1581" i="1"/>
  <c r="A1582" i="1"/>
  <c r="F1582" i="1"/>
  <c r="G1582" i="1"/>
  <c r="A1583" i="1"/>
  <c r="F1583" i="1"/>
  <c r="G1583" i="1"/>
  <c r="A1584" i="1"/>
  <c r="F1584" i="1"/>
  <c r="G1584" i="1"/>
  <c r="I1584" i="1"/>
  <c r="A1585" i="1"/>
  <c r="F1585" i="1"/>
  <c r="G1585" i="1"/>
  <c r="I1585" i="1"/>
  <c r="A1586" i="1"/>
  <c r="F1586" i="1"/>
  <c r="G1586" i="1"/>
  <c r="I1586" i="1"/>
  <c r="A1587" i="1"/>
  <c r="F1587" i="1"/>
  <c r="G1587" i="1"/>
  <c r="I1587" i="1"/>
  <c r="A1588" i="1"/>
  <c r="F1588" i="1"/>
  <c r="G1588" i="1"/>
  <c r="I1588" i="1"/>
  <c r="A1589" i="1"/>
  <c r="F1589" i="1"/>
  <c r="G1589" i="1"/>
  <c r="I1589" i="1"/>
  <c r="A1590" i="1"/>
  <c r="F1590" i="1"/>
  <c r="G1590" i="1"/>
  <c r="I1590" i="1"/>
  <c r="A1591" i="1"/>
  <c r="F1591" i="1"/>
  <c r="G1591" i="1"/>
  <c r="I1591" i="1"/>
  <c r="A1592" i="1"/>
  <c r="F1592" i="1"/>
  <c r="G1592" i="1"/>
  <c r="I1592" i="1"/>
  <c r="A1593" i="1"/>
  <c r="F1593" i="1"/>
  <c r="G1593" i="1"/>
  <c r="I1593" i="1"/>
  <c r="A1594" i="1"/>
  <c r="F1594" i="1"/>
  <c r="G1594" i="1"/>
  <c r="I1594" i="1"/>
  <c r="A1595" i="1"/>
  <c r="F1595" i="1"/>
  <c r="G1595" i="1"/>
  <c r="I1595" i="1"/>
  <c r="A1596" i="1"/>
  <c r="F1596" i="1"/>
  <c r="G1596" i="1"/>
  <c r="I1596" i="1"/>
  <c r="A1597" i="1"/>
  <c r="F1597" i="1"/>
  <c r="G1597" i="1"/>
  <c r="I1597" i="1"/>
  <c r="A1598" i="1"/>
  <c r="F1598" i="1"/>
  <c r="G1598" i="1"/>
  <c r="I1598" i="1"/>
  <c r="A1599" i="1"/>
  <c r="F1599" i="1"/>
  <c r="G1599" i="1"/>
  <c r="I1599" i="1"/>
  <c r="A1600" i="1"/>
  <c r="F1600" i="1"/>
  <c r="G1600" i="1"/>
  <c r="I1600" i="1"/>
  <c r="A1601" i="1"/>
  <c r="F1601" i="1"/>
  <c r="G1601" i="1"/>
  <c r="I1601" i="1"/>
  <c r="A1602" i="1"/>
  <c r="F1602" i="1"/>
  <c r="G1602" i="1"/>
  <c r="I1602" i="1"/>
  <c r="A1603" i="1"/>
  <c r="F1603" i="1"/>
  <c r="G1603" i="1"/>
  <c r="I1603" i="1"/>
  <c r="A1604" i="1"/>
  <c r="F1604" i="1"/>
  <c r="G1604" i="1"/>
  <c r="I1604" i="1"/>
  <c r="A1605" i="1"/>
  <c r="F1605" i="1"/>
  <c r="G1605" i="1"/>
  <c r="I1605" i="1"/>
  <c r="A1606" i="1"/>
  <c r="F1606" i="1"/>
  <c r="A1607" i="1"/>
  <c r="F1607" i="1"/>
  <c r="G1607" i="1"/>
  <c r="I1607" i="1"/>
  <c r="A1608" i="1"/>
  <c r="F1608" i="1"/>
  <c r="G1608" i="1"/>
  <c r="I1608" i="1"/>
  <c r="A1609" i="1"/>
  <c r="F1609" i="1"/>
  <c r="G1609" i="1"/>
  <c r="I1609" i="1"/>
  <c r="A1610" i="1"/>
  <c r="F1610" i="1"/>
  <c r="G1610" i="1"/>
  <c r="I1610" i="1"/>
  <c r="A1611" i="1"/>
  <c r="F1611" i="1"/>
  <c r="G1611" i="1"/>
  <c r="I1611" i="1"/>
  <c r="A1612" i="1"/>
  <c r="F1612" i="1"/>
  <c r="G1612" i="1"/>
  <c r="I1612" i="1"/>
  <c r="A1613" i="1"/>
  <c r="F1613" i="1"/>
  <c r="G1613" i="1"/>
  <c r="I1613" i="1"/>
  <c r="A1614" i="1"/>
  <c r="F1614" i="1"/>
  <c r="G1614" i="1"/>
  <c r="I1614" i="1"/>
  <c r="A1615" i="1"/>
  <c r="F1615" i="1"/>
  <c r="G1615" i="1"/>
  <c r="I1615" i="1"/>
  <c r="A1616" i="1"/>
  <c r="F1616" i="1"/>
  <c r="G1616" i="1"/>
  <c r="I1616" i="1"/>
  <c r="A1617" i="1"/>
  <c r="F1617" i="1"/>
  <c r="G1617" i="1"/>
  <c r="I1617" i="1"/>
  <c r="A1618" i="1"/>
  <c r="F1618" i="1"/>
  <c r="G1618" i="1"/>
  <c r="I1618" i="1"/>
  <c r="A1619" i="1"/>
  <c r="F1619" i="1"/>
  <c r="G1619" i="1"/>
  <c r="I1619" i="1"/>
  <c r="A1620" i="1"/>
  <c r="F1620" i="1"/>
  <c r="G1620" i="1"/>
  <c r="I1620" i="1"/>
  <c r="A1621" i="1"/>
  <c r="F1621" i="1"/>
  <c r="G1621" i="1"/>
  <c r="I1621" i="1"/>
  <c r="A1622" i="1"/>
  <c r="F1622" i="1"/>
  <c r="G1622" i="1"/>
  <c r="I1622" i="1"/>
  <c r="A1623" i="1"/>
  <c r="F1623" i="1"/>
  <c r="G1623" i="1"/>
  <c r="I1623" i="1"/>
  <c r="A1624" i="1"/>
  <c r="F1624" i="1"/>
  <c r="G1624" i="1"/>
  <c r="I1624" i="1"/>
  <c r="A1625" i="1"/>
  <c r="F1625" i="1"/>
  <c r="G1625" i="1"/>
  <c r="I1625" i="1"/>
  <c r="A1626" i="1"/>
  <c r="F1626" i="1"/>
  <c r="G1626" i="1"/>
  <c r="I1626" i="1"/>
  <c r="A1627" i="1"/>
  <c r="F1627" i="1"/>
  <c r="G1627" i="1"/>
  <c r="I1627" i="1"/>
  <c r="A1628" i="1"/>
  <c r="F1628" i="1"/>
  <c r="G1628" i="1"/>
  <c r="I1628" i="1"/>
  <c r="A1629" i="1"/>
  <c r="F1629" i="1"/>
  <c r="G1629" i="1"/>
  <c r="I1629" i="1"/>
  <c r="A1630" i="1"/>
  <c r="F1630" i="1"/>
  <c r="G1630" i="1"/>
  <c r="I1630" i="1"/>
  <c r="A1631" i="1"/>
  <c r="F1631" i="1"/>
  <c r="G1631" i="1"/>
  <c r="I1631" i="1"/>
  <c r="A1632" i="1"/>
  <c r="F1632" i="1"/>
  <c r="G1632" i="1"/>
  <c r="I1632" i="1"/>
  <c r="A1633" i="1"/>
  <c r="F1633" i="1"/>
  <c r="G1633" i="1"/>
  <c r="I1633" i="1"/>
  <c r="A1634" i="1"/>
  <c r="F1634" i="1"/>
  <c r="G1634" i="1"/>
  <c r="I1634" i="1"/>
  <c r="A1635" i="1"/>
  <c r="F1635" i="1"/>
  <c r="G1635" i="1"/>
  <c r="I1635" i="1"/>
  <c r="A1636" i="1"/>
  <c r="F1636" i="1"/>
  <c r="G1636" i="1"/>
  <c r="I1636" i="1"/>
  <c r="A1637" i="1"/>
  <c r="F1637" i="1"/>
  <c r="G1637" i="1"/>
  <c r="I1637" i="1"/>
  <c r="A1638" i="1"/>
  <c r="F1638" i="1"/>
  <c r="G1638" i="1"/>
  <c r="I1638" i="1"/>
  <c r="A1639" i="1"/>
  <c r="F1639" i="1"/>
  <c r="G1639" i="1"/>
  <c r="I1639" i="1"/>
  <c r="A1640" i="1"/>
  <c r="F1640" i="1"/>
  <c r="G1640" i="1"/>
  <c r="I1640" i="1"/>
  <c r="A1641" i="1"/>
  <c r="F1641" i="1"/>
  <c r="G1641" i="1"/>
  <c r="I1641" i="1"/>
  <c r="A1642" i="1"/>
  <c r="F1642" i="1"/>
  <c r="G1642" i="1"/>
  <c r="I1642" i="1"/>
  <c r="A1643" i="1"/>
  <c r="F1643" i="1"/>
  <c r="G1643" i="1"/>
  <c r="I1643" i="1"/>
  <c r="A1644" i="1"/>
  <c r="F1644" i="1"/>
  <c r="G1644" i="1"/>
  <c r="I1644" i="1"/>
  <c r="A1645" i="1"/>
  <c r="F1645" i="1"/>
  <c r="G1645" i="1"/>
  <c r="I1645" i="1"/>
  <c r="A1646" i="1"/>
  <c r="F1646" i="1"/>
  <c r="G1646" i="1"/>
  <c r="I1646" i="1"/>
  <c r="A1647" i="1"/>
  <c r="F1647" i="1"/>
  <c r="G1647" i="1"/>
  <c r="I1647" i="1"/>
  <c r="A1648" i="1"/>
  <c r="F1648" i="1"/>
  <c r="G1648" i="1"/>
  <c r="I1648" i="1"/>
  <c r="A1649" i="1"/>
  <c r="F1649" i="1"/>
  <c r="G1649" i="1"/>
  <c r="I1649" i="1"/>
  <c r="A1650" i="1"/>
  <c r="F1650" i="1"/>
  <c r="G1650" i="1"/>
  <c r="I1650" i="1"/>
  <c r="A1651" i="1"/>
  <c r="F1651" i="1"/>
  <c r="G1651" i="1"/>
  <c r="I1651" i="1"/>
  <c r="A1652" i="1"/>
  <c r="H1652" i="1"/>
  <c r="I1652" i="1"/>
  <c r="A1653" i="1"/>
  <c r="H1653" i="1"/>
  <c r="I1653" i="1"/>
  <c r="A1654" i="1"/>
  <c r="H1654" i="1"/>
  <c r="I1654" i="1"/>
  <c r="A1655" i="1"/>
  <c r="H1655" i="1"/>
  <c r="I1655" i="1"/>
  <c r="A1656" i="1"/>
  <c r="F1656" i="1"/>
  <c r="G1656" i="1"/>
  <c r="I1656" i="1"/>
  <c r="A1657" i="1"/>
  <c r="F1657" i="1"/>
  <c r="G1657" i="1"/>
  <c r="I1657" i="1"/>
  <c r="A1658" i="1"/>
  <c r="F1658" i="1"/>
  <c r="G1658" i="1"/>
  <c r="I1658" i="1"/>
  <c r="A1659" i="1"/>
  <c r="F1659" i="1"/>
  <c r="G1659" i="1"/>
  <c r="I1659" i="1"/>
  <c r="A1660" i="1"/>
  <c r="F1660" i="1"/>
  <c r="G1660" i="1"/>
  <c r="I1660" i="1"/>
  <c r="A1661" i="1"/>
  <c r="F1661" i="1"/>
  <c r="G1661" i="1"/>
  <c r="I1661" i="1"/>
  <c r="A1662" i="1"/>
  <c r="F1662" i="1"/>
  <c r="G1662" i="1"/>
  <c r="I1662" i="1"/>
  <c r="A1663" i="1"/>
  <c r="F1663" i="1"/>
  <c r="G1663" i="1"/>
  <c r="I1663" i="1"/>
  <c r="A1664" i="1"/>
  <c r="F1664" i="1"/>
  <c r="G1664" i="1"/>
  <c r="I1664" i="1"/>
  <c r="A1665" i="1"/>
  <c r="F1665" i="1"/>
  <c r="G1665" i="1"/>
  <c r="I1665" i="1"/>
  <c r="A1666" i="1"/>
  <c r="F1666" i="1"/>
  <c r="G1666" i="1"/>
  <c r="I1666" i="1"/>
  <c r="A1667" i="1"/>
  <c r="F1667" i="1"/>
  <c r="G1667" i="1"/>
  <c r="I1667" i="1"/>
  <c r="A1668" i="1"/>
  <c r="F1668" i="1"/>
  <c r="G1668" i="1"/>
  <c r="I1668" i="1"/>
  <c r="A1669" i="1"/>
  <c r="F1669" i="1"/>
  <c r="G1669" i="1"/>
  <c r="I1669" i="1"/>
  <c r="A1670" i="1"/>
  <c r="F1670" i="1"/>
  <c r="G1670" i="1"/>
  <c r="I1670" i="1"/>
  <c r="A1671" i="1"/>
  <c r="F1671" i="1"/>
  <c r="G1671" i="1"/>
  <c r="I1671" i="1"/>
  <c r="A1672" i="1"/>
  <c r="F1672" i="1"/>
  <c r="G1672" i="1"/>
  <c r="I1672" i="1"/>
  <c r="A1673" i="1"/>
  <c r="F1673" i="1"/>
  <c r="G1673" i="1"/>
  <c r="I1673" i="1"/>
  <c r="A1674" i="1"/>
  <c r="F1674" i="1"/>
  <c r="G1674" i="1"/>
  <c r="I1674" i="1"/>
  <c r="A1675" i="1"/>
  <c r="F1675" i="1"/>
  <c r="G1675" i="1"/>
  <c r="I1675" i="1"/>
  <c r="A1676" i="1"/>
  <c r="F1676" i="1"/>
  <c r="G1676" i="1"/>
  <c r="I1676" i="1"/>
  <c r="A1677" i="1"/>
  <c r="F1677" i="1"/>
  <c r="G1677" i="1"/>
  <c r="I1677" i="1"/>
  <c r="A1678" i="1"/>
  <c r="F1678" i="1"/>
  <c r="G1678" i="1"/>
  <c r="I1678" i="1"/>
  <c r="A1679" i="1"/>
  <c r="F1679" i="1"/>
  <c r="G1679" i="1"/>
  <c r="I1679" i="1"/>
  <c r="A1680" i="1"/>
  <c r="F1680" i="1"/>
  <c r="G1680" i="1"/>
  <c r="I1680" i="1"/>
  <c r="A1681" i="1"/>
  <c r="F1681" i="1"/>
  <c r="G1681" i="1"/>
  <c r="I1681" i="1"/>
  <c r="A1682" i="1"/>
  <c r="F1682" i="1"/>
  <c r="G1682" i="1"/>
  <c r="I1682" i="1"/>
  <c r="A1683" i="1"/>
  <c r="F1683" i="1"/>
  <c r="G1683" i="1"/>
  <c r="I1683" i="1"/>
  <c r="A1684" i="1"/>
  <c r="F1684" i="1"/>
  <c r="G1684" i="1"/>
  <c r="I1684" i="1"/>
  <c r="A1685" i="1"/>
  <c r="F1685" i="1"/>
  <c r="G1685" i="1"/>
  <c r="I1685" i="1"/>
  <c r="A1686" i="1"/>
  <c r="F1686" i="1"/>
  <c r="G1686" i="1"/>
  <c r="I1686" i="1"/>
  <c r="A1687" i="1"/>
  <c r="F1687" i="1"/>
  <c r="G1687" i="1"/>
  <c r="I1687" i="1"/>
  <c r="A1688" i="1"/>
  <c r="F1688" i="1"/>
  <c r="G1688" i="1"/>
  <c r="I1688" i="1"/>
  <c r="A1689" i="1"/>
  <c r="F1689" i="1"/>
  <c r="G1689" i="1"/>
  <c r="I1689" i="1"/>
  <c r="A1690" i="1"/>
  <c r="F1690" i="1"/>
  <c r="G1690" i="1"/>
  <c r="I1690" i="1"/>
  <c r="A1691" i="1"/>
  <c r="F1691" i="1"/>
  <c r="G1691" i="1"/>
  <c r="I1691" i="1"/>
  <c r="A1692" i="1"/>
  <c r="F1692" i="1"/>
  <c r="G1692" i="1"/>
  <c r="I1692" i="1"/>
  <c r="A1693" i="1"/>
  <c r="F1693" i="1"/>
  <c r="G1693" i="1"/>
  <c r="I1693" i="1"/>
  <c r="A1694" i="1"/>
  <c r="F1694" i="1"/>
  <c r="G1694" i="1"/>
  <c r="I1694" i="1"/>
  <c r="A1695" i="1"/>
  <c r="F1695" i="1"/>
  <c r="G1695" i="1"/>
  <c r="I1695" i="1"/>
  <c r="A1696" i="1"/>
  <c r="F1696" i="1"/>
  <c r="G1696" i="1"/>
  <c r="I1696" i="1"/>
  <c r="A1697" i="1"/>
  <c r="F1697" i="1"/>
  <c r="G1697" i="1"/>
  <c r="I1697" i="1"/>
  <c r="A1698" i="1"/>
  <c r="F1698" i="1"/>
  <c r="G1698" i="1"/>
  <c r="I1698" i="1"/>
  <c r="A1699" i="1"/>
  <c r="F1699" i="1"/>
  <c r="G1699" i="1"/>
  <c r="I1699" i="1"/>
  <c r="A1700" i="1"/>
  <c r="F1700" i="1"/>
  <c r="G1700" i="1"/>
  <c r="I1700" i="1"/>
  <c r="A1701" i="1"/>
  <c r="F1701" i="1"/>
  <c r="G1701" i="1"/>
  <c r="I1701" i="1"/>
  <c r="A1702" i="1"/>
  <c r="F1702" i="1"/>
  <c r="G1702" i="1"/>
  <c r="I1702" i="1"/>
  <c r="A1703" i="1"/>
  <c r="F1703" i="1"/>
  <c r="G1703" i="1"/>
  <c r="I1703" i="1"/>
  <c r="A1704" i="1"/>
  <c r="F1704" i="1"/>
  <c r="G1704" i="1"/>
  <c r="I1704" i="1"/>
  <c r="A1705" i="1"/>
  <c r="F1705" i="1"/>
  <c r="G1705" i="1"/>
  <c r="I1705" i="1"/>
  <c r="A1706" i="1"/>
  <c r="F1706" i="1"/>
  <c r="G1706" i="1"/>
  <c r="I1706" i="1"/>
  <c r="A1707" i="1"/>
  <c r="F1707" i="1"/>
  <c r="G1707" i="1"/>
  <c r="I1707" i="1"/>
  <c r="A1708" i="1"/>
  <c r="F1708" i="1"/>
  <c r="G1708" i="1"/>
  <c r="I1708" i="1"/>
  <c r="A1709" i="1"/>
  <c r="F1709" i="1"/>
  <c r="G1709" i="1"/>
  <c r="I1709" i="1"/>
  <c r="A1710" i="1"/>
  <c r="F1710" i="1"/>
  <c r="G1710" i="1"/>
  <c r="I1710" i="1"/>
  <c r="A1711" i="1"/>
  <c r="F1711" i="1"/>
  <c r="G1711" i="1"/>
  <c r="I1711" i="1"/>
  <c r="A1712" i="1"/>
  <c r="F1712" i="1"/>
  <c r="G1712" i="1"/>
  <c r="I1712" i="1"/>
  <c r="A1713" i="1"/>
  <c r="F1713" i="1"/>
  <c r="G1713" i="1"/>
  <c r="I1713" i="1"/>
  <c r="A1714" i="1"/>
  <c r="F1714" i="1"/>
  <c r="G1714" i="1"/>
  <c r="I1714" i="1"/>
  <c r="A1715" i="1"/>
  <c r="F1715" i="1"/>
  <c r="G1715" i="1"/>
  <c r="I1715" i="1"/>
  <c r="A1716" i="1"/>
  <c r="F1716" i="1"/>
  <c r="G1716" i="1"/>
  <c r="I1716" i="1"/>
  <c r="A1717" i="1"/>
  <c r="F1717" i="1"/>
  <c r="G1717" i="1"/>
  <c r="I1717" i="1"/>
  <c r="A1718" i="1"/>
  <c r="F1718" i="1"/>
  <c r="G1718" i="1"/>
  <c r="I1718" i="1"/>
  <c r="A1719" i="1"/>
  <c r="F1719" i="1"/>
  <c r="G1719" i="1"/>
  <c r="I1719" i="1"/>
  <c r="A1720" i="1"/>
  <c r="F1720" i="1"/>
  <c r="G1720" i="1"/>
  <c r="I1720" i="1"/>
  <c r="A1721" i="1"/>
  <c r="F1721" i="1"/>
  <c r="G1721" i="1"/>
  <c r="I1721" i="1"/>
  <c r="A1722" i="1"/>
  <c r="F1722" i="1"/>
  <c r="G1722" i="1"/>
  <c r="I1722" i="1"/>
  <c r="A1723" i="1"/>
  <c r="F1723" i="1"/>
  <c r="G1723" i="1"/>
  <c r="I1723" i="1"/>
  <c r="A1724" i="1"/>
  <c r="F1724" i="1"/>
  <c r="G1724" i="1"/>
  <c r="I1724" i="1"/>
  <c r="A1725" i="1"/>
  <c r="F1725" i="1"/>
  <c r="G1725" i="1"/>
  <c r="I1725" i="1"/>
  <c r="A1726" i="1"/>
  <c r="F1726" i="1"/>
  <c r="G1726" i="1"/>
  <c r="I1726" i="1"/>
  <c r="A1727" i="1"/>
  <c r="F1727" i="1"/>
  <c r="G1727" i="1"/>
  <c r="I1727" i="1"/>
  <c r="A1728" i="1"/>
  <c r="F1728" i="1"/>
  <c r="G1728" i="1"/>
  <c r="I1728" i="1"/>
  <c r="A1729" i="1"/>
  <c r="F1729" i="1"/>
  <c r="G1729" i="1"/>
  <c r="I1729" i="1"/>
  <c r="A1730" i="1"/>
  <c r="F1730" i="1"/>
  <c r="G1730" i="1"/>
  <c r="I1730" i="1"/>
  <c r="A1731" i="1"/>
  <c r="F1731" i="1"/>
  <c r="G1731" i="1"/>
  <c r="I1731" i="1"/>
  <c r="A1732" i="1"/>
  <c r="F1732" i="1"/>
  <c r="G1732" i="1"/>
  <c r="I1732" i="1"/>
  <c r="A1733" i="1"/>
  <c r="F1733" i="1"/>
  <c r="G1733" i="1"/>
  <c r="I1733" i="1"/>
  <c r="A1734" i="1"/>
  <c r="F1734" i="1"/>
  <c r="G1734" i="1"/>
  <c r="I1734" i="1"/>
  <c r="A1735" i="1"/>
  <c r="F1735" i="1"/>
  <c r="G1735" i="1"/>
  <c r="I1735" i="1"/>
  <c r="A1736" i="1"/>
  <c r="F1736" i="1"/>
  <c r="G1736" i="1"/>
  <c r="I1736" i="1"/>
  <c r="A1737" i="1"/>
  <c r="F1737" i="1"/>
  <c r="G1737" i="1"/>
  <c r="I1737" i="1"/>
  <c r="A1738" i="1"/>
  <c r="F1738" i="1"/>
  <c r="G1738" i="1"/>
  <c r="I1738" i="1"/>
  <c r="A1739" i="1"/>
  <c r="F1739" i="1"/>
  <c r="G1739" i="1"/>
  <c r="I1739" i="1"/>
  <c r="A1740" i="1"/>
  <c r="F1740" i="1"/>
  <c r="G1740" i="1"/>
  <c r="I1740" i="1"/>
  <c r="A1741" i="1"/>
  <c r="F1741" i="1"/>
  <c r="G1741" i="1"/>
  <c r="I1741" i="1"/>
  <c r="A1742" i="1"/>
  <c r="F1742" i="1"/>
  <c r="G1742" i="1"/>
  <c r="I1742" i="1"/>
  <c r="A1743" i="1"/>
  <c r="F1743" i="1"/>
  <c r="G1743" i="1"/>
  <c r="I1743" i="1"/>
  <c r="A1744" i="1"/>
  <c r="F1744" i="1"/>
  <c r="G1744" i="1"/>
  <c r="I1744" i="1"/>
  <c r="A1745" i="1"/>
  <c r="F1745" i="1"/>
  <c r="G1745" i="1"/>
  <c r="I1745" i="1"/>
  <c r="A1746" i="1"/>
  <c r="F1746" i="1"/>
  <c r="G1746" i="1"/>
  <c r="I1746" i="1"/>
  <c r="A1747" i="1"/>
  <c r="F1747" i="1"/>
  <c r="G1747" i="1"/>
  <c r="I1747" i="1"/>
  <c r="A1748" i="1"/>
  <c r="F1748" i="1"/>
  <c r="G1748" i="1"/>
  <c r="I1748" i="1"/>
  <c r="A1749" i="1"/>
  <c r="F1749" i="1"/>
  <c r="G1749" i="1"/>
  <c r="I1749" i="1"/>
  <c r="A1750" i="1"/>
  <c r="F1750" i="1"/>
  <c r="G1750" i="1"/>
  <c r="I1750" i="1"/>
  <c r="A1751" i="1"/>
  <c r="F1751" i="1"/>
  <c r="G1751" i="1"/>
  <c r="I1751" i="1"/>
  <c r="A1752" i="1"/>
  <c r="F1752" i="1"/>
  <c r="G1752" i="1"/>
  <c r="I1752" i="1"/>
  <c r="A1753" i="1"/>
  <c r="F1753" i="1"/>
  <c r="G1753" i="1"/>
  <c r="I1753" i="1"/>
  <c r="A1754" i="1"/>
  <c r="F1754" i="1"/>
  <c r="G1754" i="1"/>
  <c r="I1754" i="1"/>
  <c r="A1755" i="1"/>
  <c r="F1755" i="1"/>
  <c r="G1755" i="1"/>
  <c r="I1755" i="1"/>
  <c r="A1756" i="1"/>
  <c r="F1756" i="1"/>
  <c r="G1756" i="1"/>
  <c r="I1756" i="1"/>
  <c r="A1757" i="1"/>
  <c r="F1757" i="1"/>
  <c r="G1757" i="1"/>
  <c r="I1757" i="1"/>
  <c r="A1758" i="1"/>
  <c r="F1758" i="1"/>
  <c r="G1758" i="1"/>
  <c r="I1758" i="1"/>
  <c r="A1759" i="1"/>
  <c r="F1759" i="1"/>
  <c r="G1759" i="1"/>
  <c r="I1759" i="1"/>
  <c r="A1760" i="1"/>
  <c r="F1760" i="1"/>
  <c r="G1760" i="1"/>
  <c r="I1760" i="1"/>
  <c r="A1761" i="1"/>
  <c r="F1761" i="1"/>
  <c r="G1761" i="1"/>
  <c r="I1761" i="1"/>
  <c r="A1762" i="1"/>
  <c r="F1762" i="1"/>
  <c r="G1762" i="1"/>
  <c r="I1762" i="1"/>
  <c r="A1763" i="1"/>
  <c r="F1763" i="1"/>
  <c r="G1763" i="1"/>
  <c r="I1763" i="1"/>
  <c r="A1764" i="1"/>
  <c r="F1764" i="1"/>
  <c r="G1764" i="1"/>
  <c r="I1764" i="1"/>
  <c r="A1765" i="1"/>
  <c r="F1765" i="1"/>
  <c r="G1765" i="1"/>
  <c r="I1765" i="1"/>
  <c r="A1766" i="1"/>
  <c r="F1766" i="1"/>
  <c r="G1766" i="1"/>
  <c r="I1766" i="1"/>
  <c r="A1767" i="1"/>
  <c r="F1767" i="1"/>
  <c r="G1767" i="1"/>
  <c r="I1767" i="1"/>
  <c r="A1768" i="1"/>
  <c r="F1768" i="1"/>
  <c r="G1768" i="1"/>
  <c r="I1768" i="1"/>
  <c r="A1769" i="1"/>
  <c r="F1769" i="1"/>
  <c r="G1769" i="1"/>
  <c r="I1769" i="1"/>
  <c r="A1770" i="1"/>
  <c r="F1770" i="1"/>
  <c r="G1770" i="1"/>
  <c r="I1770" i="1"/>
  <c r="A1771" i="1"/>
  <c r="F1771" i="1"/>
  <c r="G1771" i="1"/>
  <c r="I1771" i="1"/>
  <c r="A1772" i="1"/>
  <c r="F1772" i="1"/>
  <c r="G1772" i="1"/>
  <c r="I1772" i="1"/>
  <c r="A1773" i="1"/>
  <c r="F1773" i="1"/>
  <c r="G1773" i="1"/>
  <c r="I1773" i="1"/>
  <c r="A1774" i="1"/>
  <c r="F1774" i="1"/>
  <c r="G1774" i="1"/>
  <c r="I1774" i="1"/>
  <c r="A1775" i="1"/>
  <c r="F1775" i="1"/>
  <c r="G1775" i="1"/>
  <c r="I1775" i="1"/>
  <c r="A1776" i="1"/>
  <c r="F1776" i="1"/>
  <c r="G1776" i="1"/>
  <c r="I1776" i="1"/>
  <c r="A1777" i="1"/>
  <c r="F1777" i="1"/>
  <c r="G1777" i="1"/>
  <c r="I1777" i="1"/>
  <c r="A1778" i="1"/>
  <c r="F1778" i="1"/>
  <c r="G1778" i="1"/>
  <c r="I1778" i="1"/>
  <c r="A1779" i="1"/>
  <c r="F1779" i="1"/>
  <c r="G1779" i="1"/>
  <c r="I1779" i="1"/>
  <c r="A1780" i="1"/>
  <c r="F1780" i="1"/>
  <c r="G1780" i="1"/>
  <c r="I1780" i="1"/>
  <c r="A1781" i="1"/>
  <c r="F1781" i="1"/>
  <c r="G1781" i="1"/>
  <c r="I1781" i="1"/>
  <c r="A1782" i="1"/>
  <c r="F1782" i="1"/>
  <c r="G1782" i="1"/>
  <c r="I1782" i="1"/>
  <c r="A1783" i="1"/>
  <c r="F1783" i="1"/>
  <c r="G1783" i="1"/>
  <c r="I1783" i="1"/>
  <c r="A1784" i="1"/>
  <c r="F1784" i="1"/>
  <c r="G1784" i="1"/>
  <c r="I1784" i="1"/>
  <c r="A1785" i="1"/>
  <c r="F1785" i="1"/>
  <c r="G1785" i="1"/>
  <c r="I1785" i="1"/>
  <c r="A1786" i="1"/>
  <c r="F1786" i="1"/>
  <c r="G1786" i="1"/>
  <c r="I1786" i="1"/>
  <c r="A1787" i="1"/>
  <c r="F1787" i="1"/>
  <c r="G1787" i="1"/>
  <c r="I1787" i="1"/>
  <c r="A1788" i="1"/>
  <c r="H1788" i="1"/>
  <c r="I1788" i="1"/>
  <c r="A1789" i="1"/>
  <c r="F1789" i="1"/>
  <c r="G1789" i="1"/>
  <c r="I1789" i="1"/>
  <c r="A1790" i="1"/>
  <c r="F1790" i="1"/>
  <c r="G1790" i="1"/>
  <c r="I1790" i="1"/>
  <c r="A1791" i="1"/>
  <c r="F1791" i="1"/>
  <c r="G1791" i="1"/>
  <c r="I1791" i="1"/>
  <c r="A1792" i="1"/>
  <c r="F1792" i="1"/>
  <c r="G1792" i="1"/>
  <c r="I1792" i="1"/>
  <c r="A1793" i="1"/>
  <c r="F1793" i="1"/>
  <c r="G1793" i="1"/>
  <c r="I1793" i="1"/>
  <c r="A1794" i="1"/>
  <c r="F1794" i="1"/>
  <c r="G1794" i="1"/>
  <c r="I1794" i="1"/>
  <c r="A1795" i="1"/>
  <c r="F1795" i="1"/>
  <c r="G1795" i="1"/>
  <c r="I1795" i="1"/>
  <c r="A1796" i="1"/>
  <c r="F1796" i="1"/>
  <c r="G1796" i="1"/>
  <c r="I1796" i="1"/>
  <c r="A1797" i="1"/>
  <c r="F1797" i="1"/>
  <c r="G1797" i="1"/>
  <c r="I1797" i="1"/>
  <c r="A1798" i="1"/>
  <c r="F1798" i="1"/>
  <c r="G1798" i="1"/>
  <c r="I1798" i="1"/>
  <c r="A1799" i="1"/>
  <c r="F1799" i="1"/>
  <c r="G1799" i="1"/>
  <c r="I1799" i="1"/>
  <c r="A1800" i="1"/>
  <c r="F1800" i="1"/>
  <c r="G1800" i="1"/>
  <c r="I1800" i="1"/>
  <c r="A1801" i="1"/>
  <c r="F1801" i="1"/>
  <c r="G1801" i="1"/>
  <c r="I1801" i="1"/>
  <c r="A1802" i="1"/>
  <c r="F1802" i="1"/>
  <c r="G1802" i="1"/>
  <c r="I1802" i="1"/>
  <c r="A1803" i="1"/>
  <c r="F1803" i="1"/>
  <c r="G1803" i="1"/>
  <c r="I1803" i="1"/>
  <c r="A1804" i="1"/>
  <c r="F1804" i="1"/>
  <c r="G1804" i="1"/>
  <c r="I1804" i="1"/>
  <c r="A1805" i="1"/>
  <c r="H1805" i="1"/>
  <c r="I1805" i="1"/>
  <c r="A1806" i="1"/>
  <c r="F1806" i="1"/>
  <c r="G1806" i="1"/>
  <c r="I1806" i="1"/>
  <c r="A1807" i="1"/>
  <c r="F1807" i="1"/>
  <c r="G1807" i="1"/>
  <c r="I1807" i="1"/>
  <c r="A1808" i="1"/>
  <c r="F1808" i="1"/>
  <c r="G1808" i="1"/>
  <c r="I1808" i="1"/>
  <c r="A1809" i="1"/>
  <c r="F1809" i="1"/>
  <c r="G1809" i="1"/>
  <c r="I1809" i="1"/>
  <c r="A1810" i="1"/>
  <c r="F1810" i="1"/>
  <c r="G1810" i="1"/>
  <c r="I1810" i="1"/>
  <c r="A1811" i="1"/>
  <c r="F1811" i="1"/>
  <c r="G1811" i="1"/>
  <c r="I1811" i="1"/>
  <c r="A1812" i="1"/>
  <c r="F1812" i="1"/>
  <c r="G1812" i="1"/>
  <c r="I1812" i="1"/>
  <c r="A1813" i="1"/>
  <c r="F1813" i="1"/>
  <c r="G1813" i="1"/>
  <c r="I1813" i="1"/>
  <c r="A1814" i="1"/>
  <c r="F1814" i="1"/>
  <c r="G1814" i="1"/>
  <c r="I1814" i="1"/>
  <c r="A1815" i="1"/>
  <c r="F1815" i="1"/>
  <c r="G1815" i="1"/>
  <c r="I1815" i="1"/>
  <c r="A1816" i="1"/>
  <c r="F1816" i="1"/>
  <c r="G1816" i="1"/>
  <c r="I1816" i="1"/>
  <c r="A1817" i="1"/>
  <c r="H1817" i="1"/>
  <c r="I1817" i="1"/>
  <c r="A1818" i="1"/>
  <c r="F1818" i="1"/>
  <c r="G1818" i="1"/>
  <c r="I1818" i="1"/>
  <c r="A1819" i="1"/>
  <c r="F1819" i="1"/>
  <c r="G1819" i="1"/>
  <c r="I1819" i="1"/>
  <c r="A1820" i="1"/>
  <c r="H1820" i="1"/>
  <c r="I1820" i="1"/>
  <c r="A1821" i="1"/>
  <c r="F1821" i="1"/>
  <c r="G1821" i="1"/>
  <c r="I1821" i="1"/>
  <c r="A1822" i="1"/>
  <c r="F1822" i="1"/>
  <c r="G1822" i="1"/>
  <c r="I1822" i="1"/>
  <c r="A1823" i="1"/>
  <c r="F1823" i="1"/>
  <c r="G1823" i="1"/>
  <c r="I1823" i="1"/>
  <c r="A1824" i="1"/>
  <c r="F1824" i="1"/>
  <c r="G1824" i="1"/>
  <c r="I1824" i="1"/>
  <c r="A1825" i="1"/>
  <c r="F1825" i="1"/>
  <c r="G1825" i="1"/>
  <c r="I1825" i="1"/>
  <c r="A1826" i="1"/>
  <c r="F1826" i="1"/>
  <c r="G1826" i="1"/>
  <c r="I1826" i="1"/>
  <c r="A1827" i="1"/>
  <c r="F1827" i="1"/>
  <c r="G1827" i="1"/>
  <c r="I1827" i="1"/>
  <c r="A1828" i="1"/>
  <c r="F1828" i="1"/>
  <c r="G1828" i="1"/>
  <c r="I1828" i="1"/>
  <c r="A1829" i="1"/>
  <c r="F1829" i="1"/>
  <c r="G1829" i="1"/>
  <c r="I1829" i="1"/>
  <c r="A1830" i="1"/>
  <c r="F1830" i="1"/>
  <c r="G1830" i="1"/>
  <c r="I1830" i="1"/>
  <c r="A1831" i="1"/>
  <c r="F1831" i="1"/>
  <c r="G1831" i="1"/>
  <c r="I1831" i="1"/>
  <c r="A1832" i="1"/>
  <c r="F1832" i="1"/>
  <c r="G1832" i="1"/>
  <c r="I1832" i="1"/>
  <c r="A1833" i="1"/>
  <c r="F1833" i="1"/>
  <c r="G1833" i="1"/>
  <c r="I1833" i="1"/>
  <c r="A1834" i="1"/>
  <c r="F1834" i="1"/>
  <c r="G1834" i="1"/>
  <c r="I1834" i="1"/>
  <c r="A1835" i="1"/>
  <c r="F1835" i="1"/>
  <c r="G1835" i="1"/>
  <c r="I1835" i="1"/>
  <c r="A1836" i="1"/>
  <c r="F1836" i="1"/>
  <c r="G1836" i="1"/>
  <c r="I1836" i="1"/>
  <c r="A1837" i="1"/>
  <c r="F1837" i="1"/>
  <c r="G1837" i="1"/>
  <c r="I1837" i="1"/>
  <c r="A1838" i="1"/>
  <c r="F1838" i="1"/>
  <c r="G1838" i="1"/>
  <c r="I1838" i="1"/>
  <c r="A1839" i="1"/>
  <c r="F1839" i="1"/>
  <c r="G1839" i="1"/>
  <c r="I1839" i="1"/>
  <c r="A1840" i="1"/>
  <c r="F1840" i="1"/>
  <c r="G1840" i="1"/>
  <c r="I1840" i="1"/>
  <c r="A1841" i="1"/>
  <c r="F1841" i="1"/>
  <c r="G1841" i="1"/>
  <c r="I1841" i="1"/>
  <c r="A1842" i="1"/>
  <c r="F1842" i="1"/>
  <c r="G1842" i="1"/>
  <c r="I1842" i="1"/>
  <c r="A1843" i="1"/>
  <c r="F1843" i="1"/>
  <c r="G1843" i="1"/>
  <c r="I1843" i="1"/>
  <c r="A1844" i="1"/>
  <c r="F1844" i="1"/>
  <c r="G1844" i="1"/>
  <c r="I1844" i="1"/>
  <c r="A1845" i="1"/>
  <c r="F1845" i="1"/>
  <c r="G1845" i="1"/>
  <c r="I1845" i="1"/>
  <c r="A1846" i="1"/>
  <c r="F1846" i="1"/>
  <c r="G1846" i="1"/>
  <c r="I1846" i="1"/>
  <c r="A1847" i="1"/>
  <c r="F1847" i="1"/>
  <c r="G1847" i="1"/>
  <c r="I1847" i="1"/>
  <c r="A1848" i="1"/>
  <c r="F1848" i="1"/>
  <c r="G1848" i="1"/>
  <c r="I1848" i="1"/>
  <c r="A1849" i="1"/>
  <c r="F1849" i="1"/>
  <c r="G1849" i="1"/>
  <c r="I1849" i="1"/>
  <c r="A1850" i="1"/>
  <c r="F1850" i="1"/>
  <c r="G1850" i="1"/>
  <c r="I1850" i="1"/>
  <c r="A1851" i="1"/>
  <c r="F1851" i="1"/>
  <c r="G1851" i="1"/>
  <c r="I1851" i="1"/>
  <c r="A1852" i="1"/>
  <c r="F1852" i="1"/>
  <c r="G1852" i="1"/>
  <c r="I1852" i="1"/>
  <c r="A1853" i="1"/>
  <c r="F1853" i="1"/>
  <c r="G1853" i="1"/>
  <c r="I1853" i="1"/>
  <c r="A1854" i="1"/>
  <c r="F1854" i="1"/>
  <c r="G1854" i="1"/>
  <c r="I1854" i="1"/>
  <c r="A1855" i="1"/>
  <c r="F1855" i="1"/>
  <c r="G1855" i="1"/>
  <c r="I1855" i="1"/>
  <c r="A1856" i="1"/>
  <c r="F1856" i="1"/>
  <c r="G1856" i="1"/>
  <c r="I1856" i="1"/>
  <c r="A1857" i="1"/>
  <c r="F1857" i="1"/>
  <c r="G1857" i="1"/>
  <c r="I1857" i="1"/>
  <c r="A1858" i="1"/>
  <c r="F1858" i="1"/>
  <c r="G1858" i="1"/>
  <c r="I1858" i="1"/>
  <c r="A1859" i="1"/>
  <c r="F1859" i="1"/>
  <c r="G1859" i="1"/>
  <c r="I1859" i="1"/>
  <c r="A1860" i="1"/>
  <c r="F1860" i="1"/>
  <c r="G1860" i="1"/>
  <c r="I1860" i="1"/>
  <c r="A1861" i="1"/>
  <c r="F1861" i="1"/>
  <c r="G1861" i="1"/>
  <c r="I1861" i="1"/>
  <c r="A1862" i="1"/>
  <c r="F1862" i="1"/>
  <c r="G1862" i="1"/>
  <c r="I1862" i="1"/>
  <c r="A1863" i="1"/>
  <c r="F1863" i="1"/>
  <c r="G1863" i="1"/>
  <c r="I1863" i="1"/>
  <c r="A1864" i="1"/>
  <c r="F1864" i="1"/>
  <c r="G1864" i="1"/>
  <c r="I1864" i="1"/>
  <c r="A1865" i="1"/>
  <c r="F1865" i="1"/>
  <c r="G1865" i="1"/>
  <c r="I1865" i="1"/>
  <c r="A1866" i="1"/>
  <c r="F1866" i="1"/>
  <c r="G1866" i="1"/>
  <c r="I1866" i="1"/>
  <c r="A1867" i="1"/>
  <c r="F1867" i="1"/>
  <c r="G1867" i="1"/>
  <c r="I1867" i="1"/>
  <c r="A1868" i="1"/>
  <c r="F1868" i="1"/>
  <c r="G1868" i="1"/>
  <c r="I1868" i="1"/>
  <c r="A1869" i="1"/>
  <c r="F1869" i="1"/>
  <c r="G1869" i="1"/>
  <c r="I1869" i="1"/>
  <c r="A1870" i="1"/>
  <c r="F1870" i="1"/>
  <c r="G1870" i="1"/>
  <c r="I1870" i="1"/>
  <c r="A1871" i="1"/>
  <c r="F1871" i="1"/>
  <c r="G1871" i="1"/>
  <c r="I1871" i="1"/>
  <c r="A1872" i="1"/>
  <c r="F1872" i="1"/>
  <c r="G1872" i="1"/>
  <c r="I1872" i="1"/>
  <c r="A1873" i="1"/>
  <c r="F1873" i="1"/>
  <c r="G1873" i="1"/>
  <c r="I1873" i="1"/>
  <c r="A1874" i="1"/>
  <c r="F1874" i="1"/>
  <c r="G1874" i="1"/>
  <c r="I1874" i="1"/>
  <c r="A1875" i="1"/>
  <c r="F1875" i="1"/>
  <c r="G1875" i="1"/>
  <c r="I1875" i="1"/>
  <c r="A1876" i="1"/>
  <c r="F1876" i="1"/>
  <c r="G1876" i="1"/>
  <c r="I1876" i="1"/>
  <c r="A1877" i="1"/>
  <c r="F1877" i="1"/>
  <c r="G1877" i="1"/>
  <c r="I1877" i="1"/>
  <c r="A1878" i="1"/>
  <c r="F1878" i="1"/>
  <c r="G1878" i="1"/>
  <c r="I1878" i="1"/>
  <c r="A1879" i="1"/>
  <c r="F1879" i="1"/>
  <c r="G1879" i="1"/>
  <c r="I1879" i="1"/>
  <c r="A1880" i="1"/>
  <c r="F1880" i="1"/>
  <c r="G1880" i="1"/>
  <c r="I1880" i="1"/>
  <c r="A1881" i="1"/>
  <c r="F1881" i="1"/>
  <c r="G1881" i="1"/>
  <c r="I1881" i="1"/>
  <c r="A1882" i="1"/>
  <c r="F1882" i="1"/>
  <c r="G1882" i="1"/>
  <c r="I1882" i="1"/>
  <c r="A1883" i="1"/>
  <c r="F1883" i="1"/>
  <c r="G1883" i="1"/>
  <c r="I1883" i="1"/>
  <c r="A1884" i="1"/>
  <c r="F1884" i="1"/>
  <c r="G1884" i="1"/>
  <c r="I1884" i="1"/>
  <c r="A1885" i="1"/>
  <c r="F1885" i="1"/>
  <c r="G1885" i="1"/>
  <c r="I1885" i="1"/>
  <c r="A1886" i="1"/>
  <c r="F1886" i="1"/>
  <c r="G1886" i="1"/>
  <c r="I1886" i="1"/>
  <c r="A1887" i="1"/>
  <c r="F1887" i="1"/>
  <c r="G1887" i="1"/>
  <c r="I1887" i="1"/>
  <c r="A1888" i="1"/>
  <c r="F1888" i="1"/>
  <c r="G1888" i="1"/>
  <c r="I1888" i="1"/>
  <c r="A1889" i="1"/>
  <c r="F1889" i="1"/>
  <c r="G1889" i="1"/>
  <c r="I1889" i="1"/>
  <c r="A1890" i="1"/>
  <c r="F1890" i="1"/>
  <c r="G1890" i="1"/>
  <c r="I1890" i="1"/>
  <c r="A1891" i="1"/>
  <c r="F1891" i="1"/>
  <c r="G1891" i="1"/>
  <c r="I1891" i="1"/>
  <c r="A1892" i="1"/>
  <c r="F1892" i="1"/>
  <c r="G1892" i="1"/>
  <c r="I1892" i="1"/>
  <c r="A1893" i="1"/>
  <c r="F1893" i="1"/>
  <c r="G1893" i="1"/>
  <c r="I1893" i="1"/>
  <c r="A1894" i="1"/>
  <c r="F1894" i="1"/>
  <c r="G1894" i="1"/>
  <c r="I1894" i="1"/>
  <c r="A1895" i="1"/>
  <c r="F1895" i="1"/>
  <c r="G1895" i="1"/>
  <c r="I1895" i="1"/>
  <c r="A1896" i="1"/>
  <c r="F1896" i="1"/>
  <c r="G1896" i="1"/>
  <c r="I1896" i="1"/>
  <c r="A1897" i="1"/>
  <c r="F1897" i="1"/>
  <c r="G1897" i="1"/>
  <c r="I1897" i="1"/>
  <c r="A1898" i="1"/>
  <c r="F1898" i="1"/>
  <c r="G1898" i="1"/>
  <c r="I1898" i="1"/>
  <c r="A1899" i="1"/>
  <c r="F1899" i="1"/>
  <c r="G1899" i="1"/>
  <c r="I1899" i="1"/>
  <c r="A1900" i="1"/>
  <c r="F1900" i="1"/>
  <c r="G1900" i="1"/>
  <c r="I1900" i="1"/>
  <c r="A1901" i="1"/>
  <c r="F1901" i="1"/>
  <c r="G1901" i="1"/>
  <c r="I1901" i="1"/>
  <c r="A1902" i="1"/>
  <c r="F1902" i="1"/>
  <c r="G1902" i="1"/>
  <c r="I1902" i="1"/>
  <c r="A1903" i="1"/>
  <c r="F1903" i="1"/>
  <c r="G1903" i="1"/>
  <c r="I1903" i="1"/>
  <c r="A1904" i="1"/>
  <c r="F1904" i="1"/>
  <c r="G1904" i="1"/>
  <c r="I1904" i="1"/>
  <c r="A1905" i="1"/>
  <c r="F1905" i="1"/>
  <c r="G1905" i="1"/>
  <c r="I1905" i="1"/>
  <c r="A1906" i="1"/>
  <c r="F1906" i="1"/>
  <c r="G1906" i="1"/>
  <c r="I1906" i="1"/>
  <c r="A1907" i="1"/>
  <c r="F1907" i="1"/>
  <c r="G1907" i="1"/>
  <c r="I1907" i="1"/>
  <c r="A1908" i="1"/>
  <c r="F1908" i="1"/>
  <c r="G1908" i="1"/>
  <c r="I1908" i="1"/>
  <c r="A1909" i="1"/>
  <c r="F1909" i="1"/>
  <c r="G1909" i="1"/>
  <c r="I1909" i="1"/>
  <c r="A1910" i="1"/>
  <c r="F1910" i="1"/>
  <c r="G1910" i="1"/>
  <c r="I1910" i="1"/>
  <c r="A1911" i="1"/>
  <c r="F1911" i="1"/>
  <c r="G1911" i="1"/>
  <c r="I1911" i="1"/>
  <c r="A1912" i="1"/>
  <c r="F1912" i="1"/>
  <c r="G1912" i="1"/>
  <c r="I1912" i="1"/>
  <c r="A1913" i="1"/>
  <c r="F1913" i="1"/>
  <c r="G1913" i="1"/>
  <c r="I1913" i="1"/>
  <c r="A1914" i="1"/>
  <c r="F1914" i="1"/>
  <c r="G1914" i="1"/>
  <c r="I1914" i="1"/>
  <c r="A1915" i="1"/>
  <c r="F1915" i="1"/>
  <c r="G1915" i="1"/>
  <c r="I1915" i="1"/>
  <c r="A1916" i="1"/>
  <c r="F1916" i="1"/>
  <c r="G1916" i="1"/>
  <c r="I1916" i="1"/>
  <c r="A1917" i="1"/>
  <c r="F1917" i="1"/>
  <c r="G1917" i="1"/>
  <c r="I1917" i="1"/>
  <c r="A1918" i="1"/>
  <c r="F1918" i="1"/>
  <c r="G1918" i="1"/>
  <c r="I1918" i="1"/>
  <c r="A1919" i="1"/>
  <c r="F1919" i="1"/>
  <c r="G1919" i="1"/>
  <c r="I1919" i="1"/>
  <c r="A1920" i="1"/>
  <c r="F1920" i="1"/>
  <c r="G1920" i="1"/>
  <c r="I1920" i="1"/>
  <c r="A1921" i="1"/>
  <c r="F1921" i="1"/>
  <c r="G1921" i="1"/>
  <c r="I1921" i="1"/>
  <c r="A1922" i="1"/>
  <c r="F1922" i="1"/>
  <c r="G1922" i="1"/>
  <c r="I1922" i="1"/>
  <c r="A1923" i="1"/>
  <c r="F1923" i="1"/>
  <c r="G1923" i="1"/>
  <c r="I1923" i="1"/>
  <c r="A1924" i="1"/>
  <c r="F1924" i="1"/>
  <c r="G1924" i="1"/>
  <c r="I1924" i="1"/>
  <c r="A1925" i="1"/>
  <c r="F1925" i="1"/>
  <c r="G1925" i="1"/>
  <c r="I1925" i="1"/>
  <c r="A1926" i="1"/>
  <c r="F1926" i="1"/>
  <c r="G1926" i="1"/>
  <c r="I1926" i="1"/>
  <c r="A1927" i="1"/>
  <c r="F1927" i="1"/>
  <c r="G1927" i="1"/>
  <c r="I1927" i="1"/>
  <c r="A1928" i="1"/>
  <c r="F1928" i="1"/>
  <c r="G1928" i="1"/>
  <c r="I1928" i="1"/>
  <c r="A1929" i="1"/>
  <c r="F1929" i="1"/>
  <c r="G1929" i="1"/>
  <c r="I1929" i="1"/>
  <c r="A1930" i="1"/>
  <c r="F1930" i="1"/>
  <c r="G1930" i="1"/>
  <c r="I1930" i="1"/>
  <c r="A1931" i="1"/>
  <c r="F1931" i="1"/>
  <c r="G1931" i="1"/>
  <c r="I1931" i="1"/>
  <c r="A1932" i="1"/>
  <c r="F1932" i="1"/>
  <c r="G1932" i="1"/>
  <c r="I1932" i="1"/>
  <c r="A1933" i="1"/>
  <c r="F1933" i="1"/>
  <c r="G1933" i="1"/>
  <c r="I1933" i="1"/>
  <c r="A1934" i="1"/>
  <c r="F1934" i="1"/>
  <c r="G1934" i="1"/>
  <c r="I1934" i="1"/>
  <c r="A1935" i="1"/>
  <c r="F1935" i="1"/>
  <c r="G1935" i="1"/>
  <c r="I1935" i="1"/>
  <c r="A1936" i="1"/>
  <c r="F1936" i="1"/>
  <c r="G1936" i="1"/>
  <c r="I1936" i="1"/>
  <c r="A1937" i="1"/>
  <c r="F1937" i="1"/>
  <c r="G1937" i="1"/>
  <c r="I1937" i="1"/>
  <c r="A1938" i="1"/>
  <c r="F1938" i="1"/>
  <c r="G1938" i="1"/>
  <c r="I1938" i="1"/>
  <c r="A1939" i="1"/>
  <c r="F1939" i="1"/>
  <c r="G1939" i="1"/>
  <c r="I1939" i="1"/>
  <c r="A1940" i="1"/>
  <c r="F1940" i="1"/>
  <c r="G1940" i="1"/>
  <c r="I1940" i="1"/>
  <c r="A1941" i="1"/>
  <c r="F1941" i="1"/>
  <c r="G1941" i="1"/>
  <c r="I1941" i="1"/>
  <c r="A1942" i="1"/>
  <c r="F1942" i="1"/>
  <c r="G1942" i="1"/>
  <c r="I1942" i="1"/>
  <c r="A1943" i="1"/>
  <c r="F1943" i="1"/>
  <c r="G1943" i="1"/>
  <c r="I1943" i="1"/>
  <c r="A1944" i="1"/>
  <c r="F1944" i="1"/>
  <c r="G1944" i="1"/>
  <c r="I1944" i="1"/>
  <c r="A1945" i="1"/>
  <c r="F1945" i="1"/>
  <c r="G1945" i="1"/>
  <c r="I1945" i="1"/>
  <c r="A1946" i="1"/>
  <c r="F1946" i="1"/>
  <c r="G1946" i="1"/>
  <c r="I1946" i="1"/>
  <c r="A1947" i="1"/>
  <c r="F1947" i="1"/>
  <c r="G1947" i="1"/>
  <c r="I1947" i="1"/>
  <c r="A1948" i="1"/>
  <c r="F1948" i="1"/>
  <c r="G1948" i="1"/>
  <c r="I1948" i="1"/>
  <c r="A1949" i="1"/>
  <c r="F1949" i="1"/>
  <c r="G1949" i="1"/>
  <c r="I1949" i="1"/>
  <c r="A1950" i="1"/>
  <c r="F1950" i="1"/>
  <c r="G1950" i="1"/>
  <c r="I1950" i="1"/>
  <c r="A1951" i="1"/>
  <c r="F1951" i="1"/>
  <c r="G1951" i="1"/>
  <c r="I1951" i="1"/>
  <c r="A1952" i="1"/>
  <c r="F1952" i="1"/>
  <c r="G1952" i="1"/>
  <c r="I1952" i="1"/>
  <c r="A1953" i="1"/>
  <c r="F1953" i="1"/>
  <c r="G1953" i="1"/>
  <c r="I1953" i="1"/>
  <c r="A1954" i="1"/>
  <c r="F1954" i="1"/>
  <c r="G1954" i="1"/>
  <c r="I1954" i="1"/>
  <c r="A1955" i="1"/>
  <c r="F1955" i="1"/>
  <c r="G1955" i="1"/>
  <c r="I1955" i="1"/>
  <c r="A1956" i="1"/>
  <c r="F1956" i="1"/>
  <c r="G1956" i="1"/>
  <c r="I1956" i="1"/>
  <c r="A1957" i="1"/>
  <c r="F1957" i="1"/>
  <c r="G1957" i="1"/>
  <c r="I1957" i="1"/>
  <c r="A1958" i="1"/>
  <c r="F1958" i="1"/>
  <c r="G1958" i="1"/>
  <c r="I1958" i="1"/>
  <c r="A1959" i="1"/>
  <c r="F1959" i="1"/>
  <c r="G1959" i="1"/>
  <c r="I1959" i="1"/>
  <c r="A1960" i="1"/>
  <c r="F1960" i="1"/>
  <c r="G1960" i="1"/>
  <c r="I1960" i="1"/>
  <c r="A1961" i="1"/>
  <c r="F1961" i="1"/>
  <c r="G1961" i="1"/>
  <c r="I1961" i="1"/>
  <c r="A1962" i="1"/>
  <c r="F1962" i="1"/>
  <c r="G1962" i="1"/>
  <c r="I1962" i="1"/>
  <c r="A1963" i="1"/>
  <c r="F1963" i="1"/>
  <c r="G1963" i="1"/>
  <c r="I1963" i="1"/>
  <c r="A1964" i="1"/>
  <c r="F1964" i="1"/>
  <c r="G1964" i="1"/>
  <c r="I1964" i="1"/>
  <c r="A1965" i="1"/>
  <c r="F1965" i="1"/>
  <c r="G1965" i="1"/>
  <c r="I1965" i="1"/>
  <c r="A1966" i="1"/>
  <c r="F1966" i="1"/>
  <c r="G1966" i="1"/>
  <c r="I1966" i="1"/>
  <c r="A1967" i="1"/>
  <c r="F1967" i="1"/>
  <c r="G1967" i="1"/>
  <c r="I1967" i="1"/>
  <c r="A1968" i="1"/>
  <c r="F1968" i="1"/>
  <c r="G1968" i="1"/>
  <c r="I1968" i="1"/>
  <c r="A1969" i="1"/>
  <c r="F1969" i="1"/>
  <c r="G1969" i="1"/>
  <c r="I1969" i="1"/>
  <c r="A1970" i="1"/>
  <c r="F1970" i="1"/>
  <c r="G1970" i="1"/>
  <c r="I1970" i="1"/>
  <c r="A1971" i="1"/>
  <c r="F1971" i="1"/>
  <c r="G1971" i="1"/>
  <c r="I1971" i="1"/>
  <c r="A1972" i="1"/>
  <c r="F1972" i="1"/>
  <c r="G1972" i="1"/>
  <c r="I1972" i="1"/>
  <c r="A1973" i="1"/>
  <c r="F1973" i="1"/>
  <c r="G1973" i="1"/>
  <c r="I1973" i="1"/>
  <c r="A1974" i="1"/>
  <c r="F1974" i="1"/>
  <c r="G1974" i="1"/>
  <c r="I1974" i="1"/>
  <c r="A1975" i="1"/>
  <c r="F1975" i="1"/>
  <c r="G1975" i="1"/>
  <c r="I1975" i="1"/>
  <c r="A1976" i="1"/>
  <c r="F1976" i="1"/>
  <c r="G1976" i="1"/>
  <c r="I1976" i="1"/>
  <c r="A1977" i="1"/>
  <c r="F1977" i="1"/>
  <c r="G1977" i="1"/>
  <c r="I1977" i="1"/>
  <c r="A1978" i="1"/>
  <c r="F1978" i="1"/>
  <c r="G1978" i="1"/>
  <c r="I1978" i="1"/>
  <c r="A1979" i="1"/>
  <c r="F1979" i="1"/>
  <c r="G1979" i="1"/>
  <c r="I1979" i="1"/>
  <c r="A1980" i="1"/>
  <c r="F1980" i="1"/>
  <c r="G1980" i="1"/>
  <c r="I1980" i="1"/>
  <c r="A1981" i="1"/>
  <c r="F1981" i="1"/>
  <c r="G1981" i="1"/>
  <c r="I1981" i="1"/>
  <c r="A1982" i="1"/>
  <c r="F1982" i="1"/>
  <c r="G1982" i="1"/>
  <c r="I1982" i="1"/>
  <c r="A1983" i="1"/>
  <c r="F1983" i="1"/>
  <c r="G1983" i="1"/>
  <c r="I1983" i="1"/>
  <c r="A1984" i="1"/>
  <c r="F1984" i="1"/>
  <c r="G1984" i="1"/>
  <c r="I1984" i="1"/>
  <c r="A1985" i="1"/>
  <c r="F1985" i="1"/>
  <c r="G1985" i="1"/>
  <c r="I1985" i="1"/>
  <c r="A1986" i="1"/>
  <c r="F1986" i="1"/>
  <c r="G1986" i="1"/>
  <c r="I1986" i="1"/>
  <c r="A1987" i="1"/>
  <c r="F1987" i="1"/>
  <c r="G1987" i="1"/>
  <c r="I1987" i="1"/>
  <c r="A1988" i="1"/>
  <c r="F1988" i="1"/>
  <c r="G1988" i="1"/>
  <c r="I1988" i="1"/>
  <c r="A1989" i="1"/>
  <c r="F1989" i="1"/>
  <c r="G1989" i="1"/>
  <c r="I1989" i="1"/>
  <c r="A1990" i="1"/>
  <c r="F1990" i="1"/>
  <c r="G1990" i="1"/>
  <c r="I1990" i="1"/>
  <c r="A1991" i="1"/>
  <c r="F1991" i="1"/>
  <c r="G1991" i="1"/>
  <c r="I1991" i="1"/>
  <c r="A1992" i="1"/>
  <c r="F1992" i="1"/>
  <c r="G1992" i="1"/>
  <c r="I1992" i="1"/>
  <c r="A1993" i="1"/>
  <c r="F1993" i="1"/>
  <c r="G1993" i="1"/>
  <c r="I1993" i="1"/>
  <c r="A1994" i="1"/>
  <c r="F1994" i="1"/>
  <c r="G1994" i="1"/>
  <c r="I1994" i="1"/>
  <c r="A1995" i="1"/>
  <c r="F1995" i="1"/>
  <c r="G1995" i="1"/>
  <c r="I1995" i="1"/>
  <c r="A1996" i="1"/>
  <c r="F1996" i="1"/>
  <c r="G1996" i="1"/>
  <c r="I1996" i="1"/>
  <c r="A1997" i="1"/>
  <c r="F1997" i="1"/>
  <c r="G1997" i="1"/>
  <c r="I1997" i="1"/>
  <c r="A1998" i="1"/>
  <c r="F1998" i="1"/>
  <c r="G1998" i="1"/>
  <c r="I1998" i="1"/>
  <c r="A1999" i="1"/>
  <c r="F1999" i="1"/>
  <c r="G1999" i="1"/>
  <c r="I1999" i="1"/>
  <c r="A2000" i="1"/>
  <c r="F2000" i="1"/>
  <c r="G2000" i="1"/>
  <c r="I2000" i="1"/>
  <c r="A2001" i="1"/>
  <c r="F2001" i="1"/>
  <c r="G2001" i="1"/>
  <c r="I2001" i="1"/>
  <c r="A2002" i="1"/>
  <c r="F2002" i="1"/>
  <c r="G2002" i="1"/>
  <c r="I2002" i="1"/>
  <c r="A2003" i="1"/>
  <c r="F2003" i="1"/>
  <c r="G2003" i="1"/>
  <c r="I2003" i="1"/>
  <c r="A2004" i="1"/>
  <c r="F2004" i="1"/>
  <c r="G2004" i="1"/>
  <c r="I2004" i="1"/>
  <c r="A2005" i="1"/>
  <c r="F2005" i="1"/>
  <c r="G2005" i="1"/>
  <c r="I2005" i="1"/>
  <c r="A2006" i="1"/>
  <c r="F2006" i="1"/>
  <c r="G2006" i="1"/>
  <c r="I2006" i="1"/>
  <c r="A2007" i="1"/>
  <c r="F2007" i="1"/>
  <c r="G2007" i="1"/>
  <c r="I2007" i="1"/>
  <c r="A2008" i="1"/>
  <c r="F2008" i="1"/>
  <c r="G2008" i="1"/>
  <c r="I2008" i="1"/>
  <c r="A2009" i="1"/>
  <c r="F2009" i="1"/>
  <c r="G2009" i="1"/>
  <c r="I2009" i="1"/>
  <c r="A2010" i="1"/>
  <c r="F2010" i="1"/>
  <c r="G2010" i="1"/>
  <c r="I2010" i="1"/>
  <c r="A2011" i="1"/>
  <c r="F2011" i="1"/>
  <c r="G2011" i="1"/>
  <c r="I2011" i="1"/>
  <c r="A2012" i="1"/>
  <c r="F2012" i="1"/>
  <c r="G2012" i="1"/>
  <c r="I2012" i="1"/>
  <c r="A2013" i="1"/>
  <c r="F2013" i="1"/>
  <c r="G2013" i="1"/>
  <c r="I2013" i="1"/>
  <c r="A2014" i="1"/>
  <c r="F2014" i="1"/>
  <c r="G2014" i="1"/>
  <c r="I2014" i="1"/>
  <c r="A2015" i="1"/>
  <c r="F2015" i="1"/>
  <c r="G2015" i="1"/>
  <c r="I2015" i="1"/>
  <c r="A2016" i="1"/>
  <c r="F2016" i="1"/>
  <c r="G2016" i="1"/>
  <c r="I2016" i="1"/>
  <c r="A2017" i="1"/>
  <c r="F2017" i="1"/>
  <c r="G2017" i="1"/>
  <c r="I2017" i="1"/>
  <c r="A2018" i="1"/>
  <c r="F2018" i="1"/>
  <c r="G2018" i="1"/>
  <c r="I2018" i="1"/>
  <c r="A2019" i="1"/>
  <c r="F2019" i="1"/>
  <c r="G2019" i="1"/>
  <c r="I2019" i="1"/>
  <c r="A2020" i="1"/>
  <c r="F2020" i="1"/>
  <c r="G2020" i="1"/>
  <c r="I2020" i="1"/>
  <c r="A2021" i="1"/>
  <c r="F2021" i="1"/>
  <c r="G2021" i="1"/>
  <c r="I2021" i="1"/>
  <c r="A2022" i="1"/>
  <c r="F2022" i="1"/>
  <c r="G2022" i="1"/>
  <c r="I2022" i="1"/>
  <c r="A2023" i="1"/>
  <c r="F2023" i="1"/>
  <c r="G2023" i="1"/>
  <c r="I2023" i="1"/>
  <c r="A2024" i="1"/>
  <c r="F2024" i="1"/>
  <c r="G2024" i="1"/>
  <c r="I2024" i="1"/>
  <c r="A2025" i="1"/>
  <c r="F2025" i="1"/>
  <c r="G2025" i="1"/>
  <c r="I2025" i="1"/>
  <c r="A2026" i="1"/>
  <c r="F2026" i="1"/>
  <c r="G2026" i="1"/>
  <c r="I2026" i="1"/>
  <c r="A2027" i="1"/>
  <c r="F2027" i="1"/>
  <c r="G2027" i="1"/>
  <c r="I2027" i="1"/>
  <c r="A2028" i="1"/>
  <c r="F2028" i="1"/>
  <c r="G2028" i="1"/>
  <c r="I2028" i="1"/>
  <c r="A2029" i="1"/>
  <c r="F2029" i="1"/>
  <c r="G2029" i="1"/>
  <c r="I2029" i="1"/>
  <c r="A2030" i="1"/>
  <c r="F2030" i="1"/>
  <c r="G2030" i="1"/>
  <c r="I2030" i="1"/>
  <c r="A2031" i="1"/>
  <c r="F2031" i="1"/>
  <c r="G2031" i="1"/>
  <c r="I2031" i="1"/>
  <c r="A2032" i="1"/>
  <c r="F2032" i="1"/>
  <c r="G2032" i="1"/>
  <c r="I2032" i="1"/>
  <c r="A2033" i="1"/>
  <c r="F2033" i="1"/>
  <c r="G2033" i="1"/>
  <c r="I2033" i="1"/>
  <c r="A2034" i="1"/>
  <c r="F2034" i="1"/>
  <c r="G2034" i="1"/>
  <c r="I2034" i="1"/>
  <c r="A2035" i="1"/>
  <c r="F2035" i="1"/>
  <c r="G2035" i="1"/>
  <c r="I2035" i="1"/>
  <c r="A2036" i="1"/>
  <c r="F2036" i="1"/>
  <c r="G2036" i="1"/>
  <c r="I2036" i="1"/>
  <c r="A2037" i="1"/>
  <c r="F2037" i="1"/>
  <c r="G2037" i="1"/>
  <c r="I2037" i="1"/>
  <c r="A2038" i="1"/>
  <c r="F2038" i="1"/>
  <c r="G2038" i="1"/>
  <c r="I2038" i="1"/>
  <c r="A2039" i="1"/>
  <c r="F2039" i="1"/>
  <c r="G2039" i="1"/>
  <c r="I2039" i="1"/>
  <c r="A2040" i="1"/>
  <c r="F2040" i="1"/>
  <c r="G2040" i="1"/>
  <c r="I2040" i="1"/>
  <c r="A2041" i="1"/>
  <c r="F2041" i="1"/>
  <c r="G2041" i="1"/>
  <c r="I2041" i="1"/>
  <c r="A2042" i="1"/>
  <c r="F2042" i="1"/>
  <c r="G2042" i="1"/>
  <c r="I2042" i="1"/>
  <c r="A2043" i="1"/>
  <c r="F2043" i="1"/>
  <c r="G2043" i="1"/>
  <c r="I2043" i="1"/>
  <c r="A2044" i="1"/>
  <c r="F2044" i="1"/>
  <c r="G2044" i="1"/>
  <c r="I2044" i="1"/>
  <c r="A2045" i="1"/>
  <c r="F2045" i="1"/>
  <c r="G2045" i="1"/>
  <c r="I2045" i="1"/>
  <c r="A2046" i="1"/>
  <c r="F2046" i="1"/>
  <c r="G2046" i="1"/>
  <c r="I2046" i="1"/>
  <c r="A2047" i="1"/>
  <c r="F2047" i="1"/>
  <c r="G2047" i="1"/>
  <c r="I2047" i="1"/>
  <c r="A2048" i="1"/>
  <c r="F2048" i="1"/>
  <c r="G2048" i="1"/>
  <c r="I2048" i="1"/>
  <c r="A2049" i="1"/>
  <c r="F2049" i="1"/>
  <c r="G2049" i="1"/>
  <c r="I2049" i="1"/>
  <c r="A2050" i="1"/>
  <c r="F2050" i="1"/>
  <c r="G2050" i="1"/>
  <c r="I2050" i="1"/>
  <c r="A2051" i="1"/>
  <c r="F2051" i="1"/>
  <c r="G2051" i="1"/>
  <c r="I2051" i="1"/>
  <c r="A2052" i="1"/>
  <c r="F2052" i="1"/>
  <c r="G2052" i="1"/>
  <c r="I2052" i="1"/>
  <c r="A2053" i="1"/>
  <c r="F2053" i="1"/>
  <c r="G2053" i="1"/>
  <c r="I2053" i="1"/>
  <c r="A2054" i="1"/>
  <c r="F2054" i="1"/>
  <c r="G2054" i="1"/>
  <c r="I2054" i="1"/>
  <c r="A2055" i="1"/>
  <c r="F2055" i="1"/>
  <c r="G2055" i="1"/>
  <c r="I2055" i="1"/>
  <c r="A2056" i="1"/>
  <c r="F2056" i="1"/>
  <c r="G2056" i="1"/>
  <c r="I2056" i="1"/>
  <c r="A2057" i="1"/>
  <c r="F2057" i="1"/>
  <c r="G2057" i="1"/>
  <c r="I2057" i="1"/>
  <c r="A2058" i="1"/>
  <c r="F2058" i="1"/>
  <c r="G2058" i="1"/>
  <c r="I2058" i="1"/>
  <c r="A2059" i="1"/>
  <c r="F2059" i="1"/>
  <c r="G2059" i="1"/>
  <c r="I2059" i="1"/>
  <c r="A2060" i="1"/>
  <c r="F2060" i="1"/>
  <c r="G2060" i="1"/>
  <c r="I2060" i="1"/>
  <c r="A2061" i="1"/>
  <c r="F2061" i="1"/>
  <c r="G2061" i="1"/>
  <c r="I2061" i="1"/>
  <c r="A2062" i="1"/>
  <c r="F2062" i="1"/>
  <c r="G2062" i="1"/>
  <c r="I2062" i="1"/>
  <c r="A2063" i="1"/>
  <c r="F2063" i="1"/>
  <c r="G2063" i="1"/>
  <c r="I2063" i="1"/>
  <c r="A2064" i="1"/>
  <c r="F2064" i="1"/>
  <c r="G2064" i="1"/>
  <c r="I2064" i="1"/>
  <c r="A2065" i="1"/>
  <c r="F2065" i="1"/>
  <c r="G2065" i="1"/>
  <c r="I2065" i="1"/>
  <c r="A2066" i="1"/>
  <c r="F2066" i="1"/>
  <c r="G2066" i="1"/>
  <c r="I2066" i="1"/>
  <c r="A2067" i="1"/>
  <c r="F2067" i="1"/>
  <c r="G2067" i="1"/>
  <c r="I2067" i="1"/>
  <c r="A2068" i="1"/>
  <c r="F2068" i="1"/>
  <c r="G2068" i="1"/>
  <c r="I2068" i="1"/>
  <c r="A2069" i="1"/>
  <c r="F2069" i="1"/>
  <c r="G2069" i="1"/>
  <c r="I2069" i="1"/>
  <c r="A2070" i="1"/>
  <c r="F2070" i="1"/>
  <c r="G2070" i="1"/>
  <c r="I2070" i="1"/>
  <c r="A2071" i="1"/>
  <c r="F2071" i="1"/>
  <c r="G2071" i="1"/>
  <c r="I2071" i="1"/>
  <c r="A2072" i="1"/>
  <c r="F2072" i="1"/>
  <c r="G2072" i="1"/>
  <c r="I2072" i="1"/>
  <c r="A2073" i="1"/>
  <c r="F2073" i="1"/>
  <c r="G2073" i="1"/>
  <c r="I2073" i="1"/>
  <c r="A2074" i="1"/>
  <c r="F2074" i="1"/>
  <c r="G2074" i="1"/>
  <c r="I2074" i="1"/>
  <c r="A2075" i="1"/>
  <c r="F2075" i="1"/>
  <c r="G2075" i="1"/>
  <c r="I2075" i="1"/>
  <c r="A2076" i="1"/>
  <c r="F2076" i="1"/>
  <c r="G2076" i="1"/>
  <c r="I2076" i="1"/>
  <c r="A2077" i="1"/>
  <c r="F2077" i="1"/>
  <c r="G2077" i="1"/>
  <c r="I2077" i="1"/>
  <c r="A2078" i="1"/>
  <c r="F2078" i="1"/>
  <c r="G2078" i="1"/>
  <c r="I2078" i="1"/>
  <c r="A2079" i="1"/>
  <c r="F2079" i="1"/>
  <c r="G2079" i="1"/>
  <c r="I2079" i="1"/>
  <c r="A2080" i="1"/>
  <c r="F2080" i="1"/>
  <c r="G2080" i="1"/>
  <c r="I2080" i="1"/>
  <c r="A2081" i="1"/>
  <c r="F2081" i="1"/>
  <c r="G2081" i="1"/>
  <c r="I2081" i="1"/>
  <c r="A2082" i="1"/>
  <c r="F2082" i="1"/>
  <c r="G2082" i="1"/>
  <c r="I2082" i="1"/>
  <c r="A2083" i="1"/>
  <c r="F2083" i="1"/>
  <c r="G2083" i="1"/>
  <c r="I2083" i="1"/>
  <c r="A2084" i="1"/>
  <c r="F2084" i="1"/>
  <c r="G2084" i="1"/>
  <c r="I2084" i="1"/>
  <c r="A2085" i="1"/>
  <c r="F2085" i="1"/>
  <c r="G2085" i="1"/>
  <c r="I2085" i="1"/>
  <c r="A2086" i="1"/>
  <c r="F2086" i="1"/>
  <c r="G2086" i="1"/>
  <c r="I2086" i="1"/>
  <c r="A2087" i="1"/>
  <c r="F2087" i="1"/>
  <c r="G2087" i="1"/>
  <c r="I2087" i="1"/>
  <c r="A2088" i="1"/>
  <c r="F2088" i="1"/>
  <c r="G2088" i="1"/>
  <c r="I2088" i="1"/>
  <c r="A2089" i="1"/>
  <c r="F2089" i="1"/>
  <c r="G2089" i="1"/>
  <c r="I2089" i="1"/>
  <c r="A2090" i="1"/>
  <c r="F2090" i="1"/>
  <c r="G2090" i="1"/>
  <c r="I2090" i="1"/>
  <c r="A2091" i="1"/>
  <c r="F2091" i="1"/>
  <c r="G2091" i="1"/>
  <c r="I2091" i="1"/>
  <c r="A2092" i="1"/>
  <c r="F2092" i="1"/>
  <c r="G2092" i="1"/>
  <c r="I2092" i="1"/>
  <c r="A2093" i="1"/>
  <c r="F2093" i="1"/>
  <c r="G2093" i="1"/>
  <c r="I2093" i="1"/>
  <c r="A2094" i="1"/>
  <c r="F2094" i="1"/>
  <c r="G2094" i="1"/>
  <c r="I2094" i="1"/>
  <c r="A2095" i="1"/>
  <c r="F2095" i="1"/>
  <c r="G2095" i="1"/>
  <c r="I2095" i="1"/>
  <c r="A2096" i="1"/>
  <c r="F2096" i="1"/>
  <c r="G2096" i="1"/>
  <c r="I2096" i="1"/>
  <c r="A2097" i="1"/>
  <c r="F2097" i="1"/>
  <c r="G2097" i="1"/>
  <c r="I2097" i="1"/>
  <c r="A2098" i="1"/>
  <c r="F2098" i="1"/>
  <c r="G2098" i="1"/>
  <c r="I2098" i="1"/>
  <c r="A2099" i="1"/>
  <c r="F2099" i="1"/>
  <c r="G2099" i="1"/>
  <c r="I2099" i="1"/>
  <c r="A2100" i="1"/>
  <c r="F2100" i="1"/>
  <c r="G2100" i="1"/>
  <c r="I2100" i="1"/>
  <c r="A2101" i="1"/>
  <c r="F2101" i="1"/>
  <c r="G2101" i="1"/>
  <c r="I2101" i="1"/>
  <c r="A2102" i="1"/>
  <c r="F2102" i="1"/>
  <c r="G2102" i="1"/>
  <c r="I2102" i="1"/>
  <c r="A2103" i="1"/>
  <c r="F2103" i="1"/>
  <c r="G2103" i="1"/>
  <c r="I2103" i="1"/>
  <c r="A2104" i="1"/>
  <c r="F2104" i="1"/>
  <c r="G2104" i="1"/>
  <c r="I2104" i="1"/>
  <c r="A2105" i="1"/>
  <c r="F2105" i="1"/>
  <c r="G2105" i="1"/>
  <c r="I2105" i="1"/>
  <c r="A2106" i="1"/>
  <c r="F2106" i="1"/>
  <c r="G2106" i="1"/>
  <c r="I2106" i="1"/>
  <c r="A2107" i="1"/>
  <c r="F2107" i="1"/>
  <c r="G2107" i="1"/>
  <c r="I2107" i="1"/>
  <c r="A2108" i="1"/>
  <c r="F2108" i="1"/>
  <c r="G2108" i="1"/>
  <c r="I2108" i="1"/>
  <c r="A2109" i="1"/>
  <c r="F2109" i="1"/>
  <c r="G2109" i="1"/>
  <c r="I2109" i="1"/>
  <c r="A2110" i="1"/>
  <c r="F2110" i="1"/>
  <c r="G2110" i="1"/>
  <c r="I2110" i="1"/>
  <c r="A2111" i="1"/>
  <c r="F2111" i="1"/>
  <c r="G2111" i="1"/>
  <c r="I2111" i="1"/>
  <c r="A2112" i="1"/>
  <c r="F2112" i="1"/>
  <c r="G2112" i="1"/>
  <c r="I2112" i="1"/>
  <c r="A2113" i="1"/>
  <c r="F2113" i="1"/>
  <c r="G2113" i="1"/>
  <c r="I2113" i="1"/>
  <c r="A2114" i="1"/>
  <c r="F2114" i="1"/>
  <c r="G2114" i="1"/>
  <c r="I2114" i="1"/>
  <c r="A2115" i="1"/>
  <c r="F2115" i="1"/>
  <c r="G2115" i="1"/>
  <c r="I2115" i="1"/>
  <c r="A2116" i="1"/>
  <c r="F2116" i="1"/>
  <c r="G2116" i="1"/>
  <c r="I2116" i="1"/>
  <c r="A2117" i="1"/>
  <c r="F2117" i="1"/>
  <c r="G2117" i="1"/>
  <c r="I2117" i="1"/>
  <c r="A2118" i="1"/>
  <c r="F2118" i="1"/>
  <c r="G2118" i="1"/>
  <c r="I2118" i="1"/>
  <c r="A2119" i="1"/>
  <c r="F2119" i="1"/>
  <c r="G2119" i="1"/>
  <c r="I2119" i="1"/>
  <c r="A2120" i="1"/>
  <c r="F2120" i="1"/>
  <c r="G2120" i="1"/>
  <c r="I2120" i="1"/>
  <c r="A2121" i="1"/>
  <c r="F2121" i="1"/>
  <c r="G2121" i="1"/>
  <c r="I2121" i="1"/>
  <c r="A2122" i="1"/>
  <c r="F2122" i="1"/>
  <c r="G2122" i="1"/>
  <c r="I2122" i="1"/>
  <c r="A2123" i="1"/>
  <c r="F2123" i="1"/>
  <c r="G2123" i="1"/>
  <c r="I2123" i="1"/>
  <c r="A2124" i="1"/>
  <c r="F2124" i="1"/>
  <c r="G2124" i="1"/>
  <c r="I2124" i="1"/>
  <c r="A2125" i="1"/>
  <c r="F2125" i="1"/>
  <c r="G2125" i="1"/>
  <c r="I2125" i="1"/>
  <c r="A2126" i="1"/>
  <c r="F2126" i="1"/>
  <c r="G2126" i="1"/>
  <c r="I2126" i="1"/>
  <c r="A2127" i="1"/>
  <c r="F2127" i="1"/>
  <c r="G2127" i="1"/>
  <c r="I2127" i="1"/>
  <c r="A2128" i="1"/>
  <c r="F2128" i="1"/>
  <c r="G2128" i="1"/>
  <c r="I2128" i="1"/>
  <c r="A2129" i="1"/>
  <c r="F2129" i="1"/>
  <c r="G2129" i="1"/>
  <c r="I2129" i="1"/>
  <c r="A2130" i="1"/>
  <c r="F2130" i="1"/>
  <c r="G2130" i="1"/>
  <c r="I2130" i="1"/>
  <c r="A2131" i="1"/>
  <c r="F2131" i="1"/>
  <c r="G2131" i="1"/>
  <c r="I2131" i="1"/>
  <c r="A2132" i="1"/>
  <c r="F2132" i="1"/>
  <c r="G2132" i="1"/>
  <c r="I2132" i="1"/>
  <c r="A2133" i="1"/>
  <c r="F2133" i="1"/>
  <c r="G2133" i="1"/>
  <c r="I2133" i="1"/>
  <c r="A2134" i="1"/>
  <c r="F2134" i="1"/>
  <c r="G2134" i="1"/>
  <c r="I2134" i="1"/>
  <c r="A2135" i="1"/>
  <c r="F2135" i="1"/>
  <c r="G2135" i="1"/>
  <c r="I2135" i="1"/>
  <c r="A2136" i="1"/>
  <c r="F2136" i="1"/>
  <c r="G2136" i="1"/>
  <c r="I2136" i="1"/>
  <c r="A2137" i="1"/>
  <c r="F2137" i="1"/>
  <c r="G2137" i="1"/>
  <c r="I2137" i="1"/>
  <c r="A2138" i="1"/>
  <c r="F2138" i="1"/>
  <c r="G2138" i="1"/>
  <c r="I2138" i="1"/>
  <c r="A2139" i="1"/>
  <c r="F2139" i="1"/>
  <c r="G2139" i="1"/>
  <c r="I2139" i="1"/>
  <c r="A2140" i="1"/>
  <c r="F2140" i="1"/>
  <c r="G2140" i="1"/>
  <c r="I2140" i="1"/>
  <c r="A2141" i="1"/>
  <c r="F2141" i="1"/>
  <c r="G2141" i="1"/>
  <c r="I2141" i="1"/>
  <c r="A2142" i="1"/>
  <c r="F2142" i="1"/>
  <c r="G2142" i="1"/>
  <c r="I2142" i="1"/>
  <c r="A2143" i="1"/>
  <c r="F2143" i="1"/>
  <c r="G2143" i="1"/>
  <c r="I2143" i="1"/>
  <c r="A2144" i="1"/>
  <c r="F2144" i="1"/>
  <c r="G2144" i="1"/>
  <c r="I2144" i="1"/>
  <c r="A2145" i="1"/>
  <c r="F2145" i="1"/>
  <c r="G2145" i="1"/>
  <c r="I2145" i="1"/>
  <c r="A2146" i="1"/>
  <c r="F2146" i="1"/>
  <c r="G2146" i="1"/>
  <c r="I2146" i="1"/>
  <c r="A2147" i="1"/>
  <c r="F2147" i="1"/>
  <c r="G2147" i="1"/>
  <c r="I2147" i="1"/>
  <c r="A2148" i="1"/>
  <c r="F2148" i="1"/>
  <c r="G2148" i="1"/>
  <c r="I2148" i="1"/>
  <c r="A2149" i="1"/>
  <c r="F2149" i="1"/>
  <c r="G2149" i="1"/>
  <c r="I2149" i="1"/>
  <c r="A2150" i="1"/>
  <c r="F2150" i="1"/>
  <c r="G2150" i="1"/>
  <c r="I2150" i="1"/>
  <c r="A2151" i="1"/>
  <c r="F2151" i="1"/>
  <c r="G2151" i="1"/>
  <c r="I2151" i="1"/>
  <c r="A2152" i="1"/>
  <c r="F2152" i="1"/>
  <c r="G2152" i="1"/>
  <c r="I2152" i="1"/>
  <c r="A2153" i="1"/>
  <c r="F2153" i="1"/>
  <c r="G2153" i="1"/>
  <c r="I2153" i="1"/>
  <c r="A2154" i="1"/>
  <c r="F2154" i="1"/>
  <c r="G2154" i="1"/>
  <c r="I2154" i="1"/>
  <c r="A2155" i="1"/>
  <c r="F2155" i="1"/>
  <c r="G2155" i="1"/>
  <c r="I2155" i="1"/>
  <c r="A2156" i="1"/>
  <c r="F2156" i="1"/>
  <c r="G2156" i="1"/>
  <c r="I2156" i="1"/>
  <c r="A2157" i="1"/>
  <c r="F2157" i="1"/>
  <c r="G2157" i="1"/>
  <c r="I2157" i="1"/>
  <c r="A2158" i="1"/>
  <c r="F2158" i="1"/>
  <c r="G2158" i="1"/>
  <c r="I2158" i="1"/>
  <c r="A2159" i="1"/>
  <c r="F2159" i="1"/>
  <c r="G2159" i="1"/>
  <c r="I2159" i="1"/>
  <c r="A2160" i="1"/>
  <c r="F2160" i="1"/>
  <c r="G2160" i="1"/>
  <c r="I2160" i="1"/>
  <c r="A2161" i="1"/>
  <c r="F2161" i="1"/>
  <c r="G2161" i="1"/>
  <c r="I2161" i="1"/>
  <c r="A2162" i="1"/>
  <c r="F2162" i="1"/>
  <c r="G2162" i="1"/>
  <c r="I2162" i="1"/>
  <c r="A2163" i="1"/>
  <c r="F2163" i="1"/>
  <c r="G2163" i="1"/>
  <c r="I2163" i="1"/>
  <c r="A2164" i="1"/>
  <c r="F2164" i="1"/>
  <c r="G2164" i="1"/>
  <c r="I2164" i="1"/>
  <c r="A2165" i="1"/>
  <c r="F2165" i="1"/>
  <c r="G2165" i="1"/>
  <c r="I2165" i="1"/>
  <c r="A2166" i="1"/>
  <c r="F2166" i="1"/>
  <c r="G2166" i="1"/>
  <c r="I2166" i="1"/>
  <c r="A2167" i="1"/>
  <c r="F2167" i="1"/>
  <c r="G2167" i="1"/>
  <c r="I2167" i="1"/>
  <c r="A2168" i="1"/>
  <c r="F2168" i="1"/>
  <c r="G2168" i="1"/>
  <c r="I2168" i="1"/>
  <c r="A2169" i="1"/>
  <c r="F2169" i="1"/>
  <c r="G2169" i="1"/>
  <c r="I2169" i="1"/>
  <c r="A2170" i="1"/>
  <c r="F2170" i="1"/>
  <c r="G2170" i="1"/>
  <c r="I2170" i="1"/>
  <c r="A2171" i="1"/>
  <c r="F2171" i="1"/>
  <c r="G2171" i="1"/>
  <c r="I2171" i="1"/>
  <c r="A2172" i="1"/>
  <c r="F2172" i="1"/>
  <c r="G2172" i="1"/>
  <c r="I2172" i="1"/>
  <c r="A2173" i="1"/>
  <c r="F2173" i="1"/>
  <c r="G2173" i="1"/>
  <c r="I2173" i="1"/>
  <c r="A2174" i="1"/>
  <c r="F2174" i="1"/>
  <c r="G2174" i="1"/>
  <c r="I2174" i="1"/>
  <c r="A2175" i="1"/>
  <c r="F2175" i="1"/>
  <c r="G2175" i="1"/>
  <c r="I2175" i="1"/>
  <c r="A2176" i="1"/>
  <c r="F2176" i="1"/>
  <c r="G2176" i="1"/>
  <c r="I2176" i="1"/>
  <c r="A2177" i="1"/>
  <c r="F2177" i="1"/>
  <c r="G2177" i="1"/>
  <c r="I2177" i="1"/>
  <c r="A2178" i="1"/>
  <c r="F2178" i="1"/>
  <c r="G2178" i="1"/>
  <c r="I2178" i="1"/>
  <c r="A2179" i="1"/>
  <c r="F2179" i="1"/>
  <c r="G2179" i="1"/>
  <c r="I2179" i="1"/>
  <c r="A2180" i="1"/>
  <c r="F2180" i="1"/>
  <c r="G2180" i="1"/>
  <c r="I2180" i="1"/>
  <c r="A2181" i="1"/>
  <c r="F2181" i="1"/>
  <c r="G2181" i="1"/>
  <c r="I2181" i="1"/>
  <c r="A2182" i="1"/>
  <c r="F2182" i="1"/>
  <c r="G2182" i="1"/>
  <c r="I2182" i="1"/>
  <c r="A2183" i="1"/>
  <c r="F2183" i="1"/>
  <c r="G2183" i="1"/>
  <c r="I2183" i="1"/>
  <c r="A2184" i="1"/>
  <c r="F2184" i="1"/>
  <c r="G2184" i="1"/>
  <c r="I2184" i="1"/>
  <c r="A2185" i="1"/>
  <c r="F2185" i="1"/>
  <c r="G2185" i="1"/>
  <c r="I2185" i="1"/>
  <c r="A2186" i="1"/>
  <c r="F2186" i="1"/>
  <c r="G2186" i="1"/>
  <c r="I2186" i="1"/>
  <c r="A2187" i="1"/>
  <c r="F2187" i="1"/>
  <c r="G2187" i="1"/>
  <c r="I2187" i="1"/>
  <c r="A2188" i="1"/>
  <c r="F2188" i="1"/>
  <c r="G2188" i="1"/>
  <c r="I2188" i="1"/>
  <c r="A2189" i="1"/>
  <c r="F2189" i="1"/>
  <c r="G2189" i="1"/>
  <c r="I2189" i="1"/>
  <c r="A2190" i="1"/>
  <c r="F2190" i="1"/>
  <c r="G2190" i="1"/>
  <c r="I2190" i="1"/>
  <c r="A2191" i="1"/>
  <c r="F2191" i="1"/>
  <c r="G2191" i="1"/>
  <c r="I2191" i="1"/>
  <c r="A2192" i="1"/>
  <c r="F2192" i="1"/>
  <c r="G2192" i="1"/>
  <c r="I2192" i="1"/>
  <c r="A2193" i="1"/>
  <c r="F2193" i="1"/>
  <c r="G2193" i="1"/>
  <c r="I2193" i="1"/>
  <c r="A2194" i="1"/>
  <c r="F2194" i="1"/>
  <c r="G2194" i="1"/>
  <c r="I2194" i="1"/>
  <c r="A2195" i="1"/>
  <c r="F2195" i="1"/>
  <c r="G2195" i="1"/>
  <c r="I2195" i="1"/>
  <c r="A2196" i="1"/>
  <c r="F2196" i="1"/>
  <c r="G2196" i="1"/>
  <c r="I2196" i="1"/>
  <c r="A2197" i="1"/>
  <c r="F2197" i="1"/>
  <c r="G2197" i="1"/>
  <c r="I2197" i="1"/>
  <c r="A2198" i="1"/>
  <c r="F2198" i="1"/>
  <c r="G2198" i="1"/>
  <c r="I2198" i="1"/>
  <c r="A2199" i="1"/>
  <c r="F2199" i="1"/>
  <c r="G2199" i="1"/>
  <c r="I2199" i="1"/>
  <c r="A2200" i="1"/>
  <c r="F2200" i="1"/>
  <c r="G2200" i="1"/>
  <c r="I2200" i="1"/>
  <c r="A2201" i="1"/>
  <c r="F2201" i="1"/>
  <c r="G2201" i="1"/>
  <c r="I2201" i="1"/>
  <c r="A2202" i="1"/>
  <c r="F2202" i="1"/>
  <c r="G2202" i="1"/>
  <c r="I2202" i="1"/>
  <c r="A2203" i="1"/>
  <c r="F2203" i="1"/>
  <c r="G2203" i="1"/>
  <c r="I2203" i="1"/>
  <c r="A2204" i="1"/>
  <c r="F2204" i="1"/>
  <c r="G2204" i="1"/>
  <c r="I2204" i="1"/>
  <c r="A2205" i="1"/>
  <c r="F2205" i="1"/>
  <c r="G2205" i="1"/>
  <c r="I2205" i="1"/>
  <c r="A2206" i="1"/>
  <c r="F2206" i="1"/>
  <c r="G2206" i="1"/>
  <c r="I2206" i="1"/>
  <c r="A2207" i="1"/>
  <c r="F2207" i="1"/>
  <c r="G2207" i="1"/>
  <c r="I2207" i="1"/>
  <c r="A2208" i="1"/>
  <c r="F2208" i="1"/>
  <c r="G2208" i="1"/>
  <c r="I2208" i="1"/>
  <c r="A2209" i="1"/>
  <c r="F2209" i="1"/>
  <c r="G2209" i="1"/>
  <c r="I2209" i="1"/>
  <c r="A2210" i="1"/>
  <c r="F2210" i="1"/>
  <c r="G2210" i="1"/>
  <c r="I2210" i="1"/>
  <c r="A2211" i="1"/>
  <c r="F2211" i="1"/>
  <c r="G2211" i="1"/>
  <c r="I2211" i="1"/>
  <c r="A2212" i="1"/>
  <c r="F2212" i="1"/>
  <c r="G2212" i="1"/>
  <c r="I2212" i="1"/>
  <c r="A2213" i="1"/>
  <c r="F2213" i="1"/>
  <c r="G2213" i="1"/>
  <c r="I2213" i="1"/>
  <c r="A2214" i="1"/>
  <c r="F2214" i="1"/>
  <c r="G2214" i="1"/>
  <c r="I2214" i="1"/>
  <c r="A2215" i="1"/>
  <c r="F2215" i="1"/>
  <c r="G2215" i="1"/>
  <c r="I2215" i="1"/>
  <c r="A2216" i="1"/>
  <c r="F2216" i="1"/>
  <c r="G2216" i="1"/>
  <c r="I2216" i="1"/>
  <c r="A2217" i="1"/>
  <c r="F2217" i="1"/>
  <c r="G2217" i="1"/>
  <c r="I2217" i="1"/>
  <c r="A2218" i="1"/>
  <c r="F2218" i="1"/>
  <c r="G2218" i="1"/>
  <c r="I2218" i="1"/>
  <c r="A2219" i="1"/>
  <c r="F2219" i="1"/>
  <c r="G2219" i="1"/>
  <c r="I2219" i="1"/>
  <c r="A2220" i="1"/>
  <c r="F2220" i="1"/>
  <c r="G2220" i="1"/>
  <c r="I2220" i="1"/>
  <c r="A2221" i="1"/>
  <c r="F2221" i="1"/>
  <c r="G2221" i="1"/>
  <c r="I2221" i="1"/>
  <c r="A2222" i="1"/>
  <c r="F2222" i="1"/>
  <c r="G2222" i="1"/>
  <c r="I2222" i="1"/>
  <c r="A2223" i="1"/>
  <c r="F2223" i="1"/>
  <c r="G2223" i="1"/>
  <c r="I2223" i="1"/>
  <c r="A2224" i="1"/>
  <c r="F2224" i="1"/>
  <c r="G2224" i="1"/>
  <c r="I2224" i="1"/>
  <c r="A2225" i="1"/>
  <c r="F2225" i="1"/>
  <c r="G2225" i="1"/>
  <c r="I2225" i="1"/>
  <c r="A2226" i="1"/>
  <c r="F2226" i="1"/>
  <c r="G2226" i="1"/>
  <c r="I2226" i="1"/>
  <c r="A2227" i="1"/>
  <c r="F2227" i="1"/>
  <c r="G2227" i="1"/>
  <c r="I2227" i="1"/>
  <c r="A2228" i="1"/>
  <c r="F2228" i="1"/>
  <c r="G2228" i="1"/>
  <c r="I2228" i="1"/>
  <c r="A2229" i="1"/>
  <c r="F2229" i="1"/>
  <c r="G2229" i="1"/>
  <c r="I2229" i="1"/>
  <c r="A2230" i="1"/>
  <c r="F2230" i="1"/>
  <c r="G2230" i="1"/>
  <c r="I2230" i="1"/>
  <c r="A2231" i="1"/>
  <c r="F2231" i="1"/>
  <c r="G2231" i="1"/>
  <c r="I2231" i="1"/>
  <c r="A2232" i="1"/>
  <c r="F2232" i="1"/>
  <c r="G2232" i="1"/>
  <c r="I2232" i="1"/>
  <c r="A2233" i="1"/>
  <c r="F2233" i="1"/>
  <c r="G2233" i="1"/>
  <c r="I2233" i="1"/>
  <c r="A2234" i="1"/>
  <c r="F2234" i="1"/>
  <c r="G2234" i="1"/>
  <c r="I2234" i="1"/>
  <c r="A2235" i="1"/>
  <c r="F2235" i="1"/>
  <c r="G2235" i="1"/>
  <c r="I2235" i="1"/>
  <c r="A2236" i="1"/>
  <c r="F2236" i="1"/>
  <c r="G2236" i="1"/>
  <c r="I2236" i="1"/>
  <c r="A2237" i="1"/>
  <c r="F2237" i="1"/>
  <c r="G2237" i="1"/>
  <c r="I2237" i="1"/>
  <c r="A2238" i="1"/>
  <c r="F2238" i="1"/>
  <c r="G2238" i="1"/>
  <c r="I2238" i="1"/>
  <c r="A2239" i="1"/>
  <c r="F2239" i="1"/>
  <c r="G2239" i="1"/>
  <c r="I2239" i="1"/>
  <c r="A2240" i="1"/>
  <c r="F2240" i="1"/>
  <c r="G2240" i="1"/>
  <c r="I2240" i="1"/>
  <c r="A2241" i="1"/>
  <c r="F2241" i="1"/>
  <c r="G2241" i="1"/>
  <c r="I2241" i="1"/>
  <c r="A2242" i="1"/>
  <c r="F2242" i="1"/>
  <c r="G2242" i="1"/>
  <c r="I2242" i="1"/>
  <c r="A2243" i="1"/>
  <c r="F2243" i="1"/>
  <c r="G2243" i="1"/>
  <c r="I2243" i="1"/>
  <c r="A2244" i="1"/>
  <c r="F2244" i="1"/>
  <c r="G2244" i="1"/>
  <c r="I2244" i="1"/>
  <c r="A2245" i="1"/>
  <c r="F2245" i="1"/>
  <c r="G2245" i="1"/>
  <c r="I2245" i="1"/>
  <c r="A2246" i="1"/>
  <c r="F2246" i="1"/>
  <c r="G2246" i="1"/>
  <c r="I2246" i="1"/>
  <c r="A2247" i="1"/>
  <c r="F2247" i="1"/>
  <c r="G2247" i="1"/>
  <c r="I2247" i="1"/>
  <c r="A2248" i="1"/>
  <c r="F2248" i="1"/>
  <c r="G2248" i="1"/>
  <c r="I2248" i="1"/>
  <c r="A2249" i="1"/>
  <c r="F2249" i="1"/>
  <c r="G2249" i="1"/>
  <c r="I2249" i="1"/>
  <c r="A2250" i="1"/>
  <c r="F2250" i="1"/>
  <c r="G2250" i="1"/>
  <c r="I2250" i="1"/>
  <c r="A2251" i="1"/>
  <c r="F2251" i="1"/>
  <c r="G2251" i="1"/>
  <c r="I2251" i="1"/>
  <c r="A2252" i="1"/>
  <c r="F2252" i="1"/>
  <c r="G2252" i="1"/>
  <c r="I2252" i="1"/>
  <c r="A2253" i="1"/>
  <c r="F2253" i="1"/>
  <c r="G2253" i="1"/>
  <c r="I2253" i="1"/>
  <c r="A2254" i="1"/>
  <c r="F2254" i="1"/>
  <c r="G2254" i="1"/>
  <c r="I2254" i="1"/>
  <c r="A2255" i="1"/>
  <c r="F2255" i="1"/>
  <c r="G2255" i="1"/>
  <c r="I2255" i="1"/>
  <c r="A2256" i="1"/>
  <c r="F2256" i="1"/>
  <c r="G2256" i="1"/>
  <c r="I2256" i="1"/>
  <c r="A2257" i="1"/>
  <c r="F2257" i="1"/>
  <c r="G2257" i="1"/>
  <c r="I2257" i="1"/>
  <c r="A2258" i="1"/>
  <c r="F2258" i="1"/>
  <c r="G2258" i="1"/>
  <c r="I2258" i="1"/>
  <c r="A2259" i="1"/>
  <c r="F2259" i="1"/>
  <c r="G2259" i="1"/>
  <c r="I2259" i="1"/>
  <c r="A2260" i="1"/>
  <c r="F2260" i="1"/>
  <c r="G2260" i="1"/>
  <c r="I2260" i="1"/>
  <c r="A2261" i="1"/>
  <c r="F2261" i="1"/>
  <c r="G2261" i="1"/>
  <c r="I2261" i="1"/>
  <c r="A2262" i="1"/>
  <c r="F2262" i="1"/>
  <c r="G2262" i="1"/>
  <c r="I2262" i="1"/>
  <c r="A2263" i="1"/>
  <c r="F2263" i="1"/>
  <c r="G2263" i="1"/>
  <c r="I2263" i="1"/>
  <c r="A2264" i="1"/>
  <c r="F2264" i="1"/>
  <c r="G2264" i="1"/>
  <c r="I2264" i="1"/>
  <c r="A2265" i="1"/>
  <c r="F2265" i="1"/>
  <c r="G2265" i="1"/>
  <c r="I2265" i="1"/>
  <c r="A2266" i="1"/>
  <c r="F2266" i="1"/>
  <c r="G2266" i="1"/>
  <c r="I2266" i="1"/>
  <c r="A2267" i="1"/>
  <c r="F2267" i="1"/>
  <c r="G2267" i="1"/>
  <c r="I2267" i="1"/>
  <c r="A2268" i="1"/>
  <c r="F2268" i="1"/>
  <c r="G2268" i="1"/>
  <c r="I2268" i="1"/>
  <c r="A2269" i="1"/>
  <c r="F2269" i="1"/>
  <c r="G2269" i="1"/>
  <c r="I2269" i="1"/>
  <c r="A2270" i="1"/>
  <c r="F2270" i="1"/>
  <c r="G2270" i="1"/>
  <c r="I2270" i="1"/>
  <c r="A2271" i="1"/>
  <c r="F2271" i="1"/>
  <c r="G2271" i="1"/>
  <c r="I2271" i="1"/>
  <c r="A2272" i="1"/>
  <c r="F2272" i="1"/>
  <c r="G2272" i="1"/>
  <c r="I2272" i="1"/>
  <c r="A2273" i="1"/>
  <c r="F2273" i="1"/>
  <c r="G2273" i="1"/>
  <c r="I2273" i="1"/>
  <c r="A2274" i="1"/>
  <c r="F2274" i="1"/>
  <c r="G2274" i="1"/>
  <c r="I2274" i="1"/>
  <c r="A2275" i="1"/>
  <c r="F2275" i="1"/>
  <c r="G2275" i="1"/>
  <c r="I2275" i="1"/>
  <c r="A2276" i="1"/>
  <c r="F2276" i="1"/>
  <c r="G2276" i="1"/>
  <c r="I2276" i="1"/>
  <c r="A2277" i="1"/>
  <c r="F2277" i="1"/>
  <c r="G2277" i="1"/>
  <c r="I2277" i="1"/>
  <c r="A2278" i="1"/>
  <c r="F2278" i="1"/>
  <c r="G2278" i="1"/>
  <c r="I2278" i="1"/>
  <c r="A2279" i="1"/>
  <c r="F2279" i="1"/>
  <c r="G2279" i="1"/>
  <c r="I2279" i="1"/>
  <c r="A2280" i="1"/>
  <c r="F2280" i="1"/>
  <c r="G2280" i="1"/>
  <c r="I2280" i="1"/>
  <c r="A2281" i="1"/>
  <c r="F2281" i="1"/>
  <c r="G2281" i="1"/>
  <c r="I2281" i="1"/>
  <c r="A2282" i="1"/>
  <c r="F2282" i="1"/>
  <c r="G2282" i="1"/>
  <c r="I2282" i="1"/>
  <c r="A2283" i="1"/>
  <c r="F2283" i="1"/>
  <c r="G2283" i="1"/>
  <c r="I2283" i="1"/>
  <c r="A2284" i="1"/>
  <c r="F2284" i="1"/>
  <c r="G2284" i="1"/>
  <c r="I2284" i="1"/>
  <c r="A2285" i="1"/>
  <c r="F2285" i="1"/>
  <c r="G2285" i="1"/>
  <c r="I2285" i="1"/>
  <c r="A2286" i="1"/>
  <c r="F2286" i="1"/>
  <c r="G2286" i="1"/>
  <c r="I2286" i="1"/>
  <c r="A2287" i="1"/>
  <c r="F2287" i="1"/>
  <c r="G2287" i="1"/>
  <c r="I2287" i="1"/>
  <c r="A2288" i="1"/>
  <c r="F2288" i="1"/>
  <c r="G2288" i="1"/>
  <c r="I2288" i="1"/>
  <c r="A2289" i="1"/>
  <c r="F2289" i="1"/>
  <c r="G2289" i="1"/>
  <c r="I2289" i="1"/>
  <c r="A2290" i="1"/>
  <c r="F2290" i="1"/>
  <c r="G2290" i="1"/>
  <c r="I2290" i="1"/>
  <c r="A2291" i="1"/>
  <c r="F2291" i="1"/>
  <c r="G2291" i="1"/>
  <c r="I2291" i="1"/>
  <c r="A2292" i="1"/>
  <c r="F2292" i="1"/>
  <c r="G2292" i="1"/>
  <c r="I2292" i="1"/>
  <c r="A2293" i="1"/>
  <c r="F2293" i="1"/>
  <c r="G2293" i="1"/>
  <c r="I2293" i="1"/>
  <c r="A2294" i="1"/>
  <c r="F2294" i="1"/>
  <c r="G2294" i="1"/>
  <c r="I2294" i="1"/>
  <c r="A2295" i="1"/>
  <c r="F2295" i="1"/>
  <c r="G2295" i="1"/>
  <c r="I2295" i="1"/>
  <c r="A2296" i="1"/>
  <c r="F2296" i="1"/>
  <c r="G2296" i="1"/>
  <c r="I2296" i="1"/>
  <c r="A2297" i="1"/>
  <c r="F2297" i="1"/>
  <c r="G2297" i="1"/>
  <c r="I2297" i="1"/>
  <c r="A2298" i="1"/>
  <c r="F2298" i="1"/>
  <c r="G2298" i="1"/>
  <c r="I2298" i="1"/>
  <c r="A2299" i="1"/>
  <c r="F2299" i="1"/>
  <c r="G2299" i="1"/>
  <c r="I2299" i="1"/>
  <c r="A2300" i="1"/>
  <c r="F2300" i="1"/>
  <c r="G2300" i="1"/>
  <c r="I2300" i="1"/>
  <c r="A2301" i="1"/>
  <c r="F2301" i="1"/>
  <c r="G2301" i="1"/>
  <c r="I2301" i="1"/>
  <c r="A2302" i="1"/>
  <c r="F2302" i="1"/>
  <c r="G2302" i="1"/>
  <c r="I2302" i="1"/>
  <c r="A2303" i="1"/>
  <c r="F2303" i="1"/>
  <c r="G2303" i="1"/>
  <c r="I2303" i="1"/>
  <c r="A2304" i="1"/>
  <c r="F2304" i="1"/>
  <c r="G2304" i="1"/>
  <c r="I2304" i="1"/>
  <c r="A2305" i="1"/>
  <c r="F2305" i="1"/>
  <c r="G2305" i="1"/>
  <c r="I2305" i="1"/>
  <c r="A2306" i="1"/>
  <c r="F2306" i="1"/>
  <c r="G2306" i="1"/>
  <c r="I2306" i="1"/>
  <c r="A2307" i="1"/>
  <c r="F2307" i="1"/>
  <c r="G2307" i="1"/>
  <c r="I2307" i="1"/>
  <c r="A2308" i="1"/>
  <c r="F2308" i="1"/>
  <c r="G2308" i="1"/>
  <c r="I2308" i="1"/>
  <c r="A2309" i="1"/>
  <c r="F2309" i="1"/>
  <c r="G2309" i="1"/>
  <c r="I2309" i="1"/>
  <c r="A2310" i="1"/>
  <c r="F2310" i="1"/>
  <c r="G2310" i="1"/>
  <c r="I2310" i="1"/>
  <c r="A2311" i="1"/>
  <c r="F2311" i="1"/>
  <c r="G2311" i="1"/>
  <c r="I2311" i="1"/>
  <c r="A2312" i="1"/>
  <c r="F2312" i="1"/>
  <c r="G2312" i="1"/>
  <c r="I2312" i="1"/>
  <c r="A2313" i="1"/>
  <c r="F2313" i="1"/>
  <c r="G2313" i="1"/>
  <c r="I2313" i="1"/>
  <c r="A2314" i="1"/>
  <c r="F2314" i="1"/>
  <c r="G2314" i="1"/>
  <c r="I2314" i="1"/>
  <c r="A2315" i="1"/>
  <c r="F2315" i="1"/>
  <c r="G2315" i="1"/>
  <c r="I2315" i="1"/>
  <c r="A2316" i="1"/>
  <c r="F2316" i="1"/>
  <c r="G2316" i="1"/>
  <c r="I2316" i="1"/>
  <c r="A2317" i="1"/>
  <c r="F2317" i="1"/>
  <c r="G2317" i="1"/>
  <c r="I2317" i="1"/>
  <c r="A2318" i="1"/>
  <c r="F2318" i="1"/>
  <c r="G2318" i="1"/>
  <c r="I2318" i="1"/>
  <c r="A2319" i="1"/>
  <c r="F2319" i="1"/>
  <c r="G2319" i="1"/>
  <c r="I2319" i="1"/>
  <c r="A2320" i="1"/>
  <c r="F2320" i="1"/>
  <c r="G2320" i="1"/>
  <c r="I2320" i="1"/>
  <c r="A2321" i="1"/>
  <c r="F2321" i="1"/>
  <c r="G2321" i="1"/>
  <c r="I2321" i="1"/>
  <c r="A2322" i="1"/>
  <c r="F2322" i="1"/>
  <c r="G2322" i="1"/>
  <c r="I2322" i="1"/>
  <c r="A2323" i="1"/>
  <c r="F2323" i="1"/>
  <c r="G2323" i="1"/>
  <c r="I2323" i="1"/>
  <c r="A2324" i="1"/>
  <c r="F2324" i="1"/>
  <c r="G2324" i="1"/>
  <c r="I2324" i="1"/>
  <c r="A2325" i="1"/>
  <c r="F2325" i="1"/>
  <c r="G2325" i="1"/>
  <c r="I2325" i="1"/>
  <c r="A2326" i="1"/>
  <c r="F2326" i="1"/>
  <c r="G2326" i="1"/>
  <c r="I2326" i="1"/>
  <c r="A2327" i="1"/>
  <c r="F2327" i="1"/>
  <c r="G2327" i="1"/>
  <c r="I2327" i="1"/>
  <c r="A2328" i="1"/>
  <c r="F2328" i="1"/>
  <c r="G2328" i="1"/>
  <c r="I2328" i="1"/>
  <c r="A2329" i="1"/>
  <c r="F2329" i="1"/>
  <c r="G2329" i="1"/>
  <c r="I2329" i="1"/>
  <c r="A2330" i="1"/>
  <c r="F2330" i="1"/>
  <c r="G2330" i="1"/>
  <c r="I2330" i="1"/>
  <c r="A2331" i="1"/>
  <c r="F2331" i="1"/>
  <c r="G2331" i="1"/>
  <c r="I2331" i="1"/>
  <c r="A2332" i="1"/>
  <c r="F2332" i="1"/>
  <c r="G2332" i="1"/>
  <c r="I2332" i="1"/>
  <c r="A2333" i="1"/>
  <c r="F2333" i="1"/>
  <c r="G2333" i="1"/>
  <c r="I2333" i="1"/>
  <c r="A2334" i="1"/>
  <c r="F2334" i="1"/>
  <c r="G2334" i="1"/>
  <c r="I2334" i="1"/>
  <c r="A2335" i="1"/>
  <c r="F2335" i="1"/>
  <c r="G2335" i="1"/>
  <c r="I2335" i="1"/>
  <c r="A2336" i="1"/>
  <c r="F2336" i="1"/>
  <c r="G2336" i="1"/>
  <c r="I2336" i="1"/>
  <c r="A2337" i="1"/>
  <c r="F2337" i="1"/>
  <c r="G2337" i="1"/>
  <c r="I2337" i="1"/>
  <c r="A2338" i="1"/>
  <c r="F2338" i="1"/>
  <c r="G2338" i="1"/>
  <c r="I2338" i="1"/>
  <c r="A2339" i="1"/>
  <c r="F2339" i="1"/>
  <c r="G2339" i="1"/>
  <c r="I2339" i="1"/>
  <c r="A2340" i="1"/>
  <c r="F2340" i="1"/>
  <c r="G2340" i="1"/>
  <c r="I2340" i="1"/>
  <c r="A2341" i="1"/>
  <c r="F2341" i="1"/>
  <c r="G2341" i="1"/>
  <c r="I2341" i="1"/>
  <c r="A2342" i="1"/>
  <c r="F2342" i="1"/>
  <c r="G2342" i="1"/>
  <c r="I2342" i="1"/>
  <c r="A2343" i="1"/>
  <c r="F2343" i="1"/>
  <c r="G2343" i="1"/>
  <c r="I2343" i="1"/>
  <c r="A2344" i="1"/>
  <c r="F2344" i="1"/>
  <c r="G2344" i="1"/>
  <c r="I2344" i="1"/>
  <c r="A2345" i="1"/>
  <c r="F2345" i="1"/>
  <c r="G2345" i="1"/>
  <c r="I2345" i="1"/>
  <c r="A2346" i="1"/>
  <c r="F2346" i="1"/>
  <c r="G2346" i="1"/>
  <c r="I2346" i="1"/>
  <c r="A2347" i="1"/>
  <c r="F2347" i="1"/>
  <c r="G2347" i="1"/>
  <c r="I2347" i="1"/>
  <c r="A2348" i="1"/>
  <c r="F2348" i="1"/>
  <c r="G2348" i="1"/>
  <c r="I2348" i="1"/>
  <c r="A2349" i="1"/>
  <c r="F2349" i="1"/>
  <c r="G2349" i="1"/>
  <c r="I2349" i="1"/>
  <c r="A2350" i="1"/>
  <c r="F2350" i="1"/>
  <c r="G2350" i="1"/>
  <c r="I2350" i="1"/>
  <c r="A2351" i="1"/>
  <c r="F2351" i="1"/>
  <c r="G2351" i="1"/>
  <c r="I2351" i="1"/>
  <c r="A2352" i="1"/>
  <c r="F2352" i="1"/>
  <c r="G2352" i="1"/>
  <c r="I2352" i="1"/>
  <c r="A2353" i="1"/>
  <c r="F2353" i="1"/>
  <c r="G2353" i="1"/>
  <c r="I2353" i="1"/>
  <c r="A2354" i="1"/>
  <c r="F2354" i="1"/>
  <c r="G2354" i="1"/>
  <c r="I2354" i="1"/>
  <c r="A2355" i="1"/>
  <c r="F2355" i="1"/>
  <c r="G2355" i="1"/>
  <c r="I2355" i="1"/>
  <c r="A2356" i="1"/>
  <c r="F2356" i="1"/>
  <c r="G2356" i="1"/>
  <c r="I2356" i="1"/>
  <c r="A2357" i="1"/>
  <c r="F2357" i="1"/>
  <c r="G2357" i="1"/>
  <c r="I2357" i="1"/>
  <c r="A2358" i="1"/>
  <c r="F2358" i="1"/>
  <c r="G2358" i="1"/>
  <c r="I2358" i="1"/>
  <c r="A2359" i="1"/>
  <c r="F2359" i="1"/>
  <c r="G2359" i="1"/>
  <c r="I2359" i="1"/>
  <c r="A2360" i="1"/>
  <c r="F2360" i="1"/>
  <c r="G2360" i="1"/>
  <c r="I2360" i="1"/>
  <c r="A2361" i="1"/>
  <c r="F2361" i="1"/>
  <c r="G2361" i="1"/>
  <c r="I2361" i="1"/>
  <c r="A2362" i="1"/>
  <c r="F2362" i="1"/>
  <c r="G2362" i="1"/>
  <c r="I2362" i="1"/>
  <c r="A2363" i="1"/>
  <c r="F2363" i="1"/>
  <c r="G2363" i="1"/>
  <c r="I2363" i="1"/>
  <c r="A2364" i="1"/>
  <c r="F2364" i="1"/>
  <c r="G2364" i="1"/>
  <c r="I2364" i="1"/>
  <c r="A2365" i="1"/>
  <c r="F2365" i="1"/>
  <c r="G2365" i="1"/>
  <c r="I2365" i="1"/>
  <c r="A2366" i="1"/>
  <c r="F2366" i="1"/>
  <c r="G2366" i="1"/>
  <c r="I2366" i="1"/>
  <c r="A2367" i="1"/>
  <c r="F2367" i="1"/>
  <c r="G2367" i="1"/>
  <c r="I2367" i="1"/>
  <c r="A2368" i="1"/>
  <c r="F2368" i="1"/>
  <c r="G2368" i="1"/>
  <c r="I2368" i="1"/>
  <c r="A2369" i="1"/>
  <c r="F2369" i="1"/>
  <c r="G2369" i="1"/>
  <c r="I2369" i="1"/>
  <c r="A2370" i="1"/>
  <c r="F2370" i="1"/>
  <c r="G2370" i="1"/>
  <c r="I2370" i="1"/>
  <c r="A2371" i="1"/>
  <c r="F2371" i="1"/>
  <c r="G2371" i="1"/>
  <c r="I2371" i="1"/>
  <c r="A2372" i="1"/>
  <c r="F2372" i="1"/>
  <c r="G2372" i="1"/>
  <c r="I2372" i="1"/>
  <c r="A2373" i="1"/>
  <c r="F2373" i="1"/>
  <c r="G2373" i="1"/>
  <c r="I2373" i="1"/>
  <c r="A2374" i="1"/>
  <c r="F2374" i="1"/>
  <c r="G2374" i="1"/>
  <c r="I2374" i="1"/>
  <c r="A2375" i="1"/>
  <c r="F2375" i="1"/>
  <c r="G2375" i="1"/>
  <c r="I2375" i="1"/>
  <c r="A2376" i="1"/>
  <c r="F2376" i="1"/>
  <c r="G2376" i="1"/>
  <c r="I2376" i="1"/>
  <c r="A2377" i="1"/>
  <c r="F2377" i="1"/>
  <c r="G2377" i="1"/>
  <c r="I2377" i="1"/>
  <c r="A2378" i="1"/>
  <c r="F2378" i="1"/>
  <c r="G2378" i="1"/>
  <c r="I2378" i="1"/>
  <c r="A2379" i="1"/>
  <c r="F2379" i="1"/>
  <c r="G2379" i="1"/>
  <c r="I2379" i="1"/>
  <c r="A2380" i="1"/>
  <c r="F2380" i="1"/>
  <c r="G2380" i="1"/>
  <c r="I2380" i="1"/>
  <c r="A2381" i="1"/>
  <c r="F2381" i="1"/>
  <c r="G2381" i="1"/>
  <c r="I2381" i="1"/>
  <c r="A2382" i="1"/>
  <c r="F2382" i="1"/>
  <c r="G2382" i="1"/>
  <c r="I2382" i="1"/>
  <c r="A2383" i="1"/>
  <c r="F2383" i="1"/>
  <c r="G2383" i="1"/>
  <c r="I2383" i="1"/>
  <c r="A2384" i="1"/>
  <c r="F2384" i="1"/>
  <c r="G2384" i="1"/>
  <c r="I2384" i="1"/>
  <c r="A2385" i="1"/>
  <c r="F2385" i="1"/>
  <c r="G2385" i="1"/>
  <c r="I2385" i="1"/>
  <c r="A2386" i="1"/>
  <c r="F2386" i="1"/>
  <c r="G2386" i="1"/>
  <c r="I2386" i="1"/>
  <c r="A2387" i="1"/>
  <c r="F2387" i="1"/>
  <c r="G2387" i="1"/>
  <c r="I2387" i="1"/>
  <c r="A2388" i="1"/>
  <c r="F2388" i="1"/>
  <c r="G2388" i="1"/>
  <c r="I2388" i="1"/>
  <c r="A2389" i="1"/>
  <c r="F2389" i="1"/>
  <c r="G2389" i="1"/>
  <c r="I2389" i="1"/>
  <c r="A2390" i="1"/>
  <c r="F2390" i="1"/>
  <c r="G2390" i="1"/>
  <c r="I2390" i="1"/>
  <c r="A2391" i="1"/>
  <c r="F2391" i="1"/>
  <c r="G2391" i="1"/>
  <c r="I2391" i="1"/>
  <c r="A2392" i="1"/>
  <c r="F2392" i="1"/>
  <c r="G2392" i="1"/>
  <c r="I2392" i="1"/>
  <c r="A2393" i="1"/>
  <c r="F2393" i="1"/>
  <c r="G2393" i="1"/>
  <c r="I2393" i="1"/>
  <c r="A2394" i="1"/>
  <c r="F2394" i="1"/>
  <c r="G2394" i="1"/>
  <c r="I2394" i="1"/>
  <c r="A2395" i="1"/>
  <c r="F2395" i="1"/>
  <c r="G2395" i="1"/>
  <c r="I2395" i="1"/>
  <c r="A2396" i="1"/>
  <c r="F2396" i="1"/>
  <c r="G2396" i="1"/>
  <c r="I2396" i="1"/>
  <c r="A2397" i="1"/>
  <c r="F2397" i="1"/>
  <c r="G2397" i="1"/>
  <c r="I2397" i="1"/>
  <c r="A2398" i="1"/>
  <c r="F2398" i="1"/>
  <c r="G2398" i="1"/>
  <c r="I2398" i="1"/>
  <c r="A2399" i="1"/>
  <c r="F2399" i="1"/>
  <c r="G2399" i="1"/>
  <c r="I2399" i="1"/>
  <c r="A2400" i="1"/>
  <c r="F2400" i="1"/>
  <c r="G2400" i="1"/>
  <c r="I2400" i="1"/>
  <c r="A2401" i="1"/>
  <c r="F2401" i="1"/>
  <c r="G2401" i="1"/>
  <c r="I2401" i="1"/>
  <c r="A2402" i="1"/>
  <c r="F2402" i="1"/>
  <c r="G2402" i="1"/>
  <c r="I2402" i="1"/>
  <c r="A2403" i="1"/>
  <c r="F2403" i="1"/>
  <c r="G2403" i="1"/>
  <c r="I2403" i="1"/>
  <c r="A2404" i="1"/>
  <c r="F2404" i="1"/>
  <c r="G2404" i="1"/>
  <c r="I2404" i="1"/>
  <c r="A2405" i="1"/>
  <c r="F2405" i="1"/>
  <c r="G2405" i="1"/>
  <c r="I2405" i="1"/>
  <c r="A2406" i="1"/>
  <c r="F2406" i="1"/>
  <c r="G2406" i="1"/>
  <c r="I2406" i="1"/>
  <c r="A2407" i="1"/>
  <c r="F2407" i="1"/>
  <c r="G2407" i="1"/>
  <c r="I2407" i="1"/>
  <c r="A2408" i="1"/>
  <c r="F2408" i="1"/>
  <c r="G2408" i="1"/>
  <c r="I2408" i="1"/>
  <c r="A2409" i="1"/>
  <c r="F2409" i="1"/>
  <c r="G2409" i="1"/>
  <c r="I2409" i="1"/>
  <c r="A2410" i="1"/>
  <c r="F2410" i="1"/>
  <c r="G2410" i="1"/>
  <c r="I2410" i="1"/>
  <c r="A2411" i="1"/>
  <c r="F2411" i="1"/>
  <c r="G2411" i="1"/>
  <c r="I2411" i="1"/>
  <c r="A2412" i="1"/>
  <c r="F2412" i="1"/>
  <c r="G2412" i="1"/>
  <c r="I2412" i="1"/>
  <c r="A2413" i="1"/>
  <c r="F2413" i="1"/>
  <c r="G2413" i="1"/>
  <c r="I2413" i="1"/>
  <c r="A2414" i="1"/>
  <c r="F2414" i="1"/>
  <c r="G2414" i="1"/>
  <c r="I2414" i="1"/>
  <c r="A2415" i="1"/>
  <c r="F2415" i="1"/>
  <c r="G2415" i="1"/>
  <c r="I2415" i="1"/>
  <c r="A2416" i="1"/>
  <c r="F2416" i="1"/>
  <c r="G2416" i="1"/>
  <c r="I2416" i="1"/>
  <c r="A2417" i="1"/>
  <c r="F2417" i="1"/>
  <c r="G2417" i="1"/>
  <c r="I2417" i="1"/>
  <c r="A2418" i="1"/>
  <c r="F2418" i="1"/>
  <c r="G2418" i="1"/>
  <c r="I2418" i="1"/>
  <c r="A2419" i="1"/>
  <c r="F2419" i="1"/>
  <c r="G2419" i="1"/>
  <c r="I2419" i="1"/>
  <c r="A2420" i="1"/>
  <c r="F2420" i="1"/>
  <c r="G2420" i="1"/>
  <c r="I2420" i="1"/>
  <c r="A2421" i="1"/>
  <c r="F2421" i="1"/>
  <c r="G2421" i="1"/>
  <c r="I2421" i="1"/>
  <c r="A2422" i="1"/>
  <c r="F2422" i="1"/>
  <c r="G2422" i="1"/>
  <c r="I2422" i="1"/>
  <c r="A2423" i="1"/>
  <c r="F2423" i="1"/>
  <c r="G2423" i="1"/>
  <c r="I2423" i="1"/>
  <c r="A2424" i="1"/>
  <c r="F2424" i="1"/>
  <c r="G2424" i="1"/>
  <c r="I2424" i="1"/>
  <c r="A2425" i="1"/>
  <c r="F2425" i="1"/>
  <c r="G2425" i="1"/>
  <c r="I2425" i="1"/>
  <c r="A2426" i="1"/>
  <c r="F2426" i="1"/>
  <c r="G2426" i="1"/>
  <c r="I2426" i="1"/>
  <c r="A2427" i="1"/>
  <c r="F2427" i="1"/>
  <c r="G2427" i="1"/>
  <c r="I2427" i="1"/>
  <c r="A2428" i="1"/>
  <c r="F2428" i="1"/>
  <c r="G2428" i="1"/>
  <c r="I2428" i="1"/>
  <c r="A2429" i="1"/>
  <c r="F2429" i="1"/>
  <c r="G2429" i="1"/>
  <c r="I2429" i="1"/>
  <c r="A2430" i="1"/>
  <c r="F2430" i="1"/>
  <c r="G2430" i="1"/>
  <c r="I2430" i="1"/>
  <c r="A2431" i="1"/>
  <c r="F2431" i="1"/>
  <c r="G2431" i="1"/>
  <c r="I2431" i="1"/>
  <c r="A2432" i="1"/>
  <c r="F2432" i="1"/>
  <c r="G2432" i="1"/>
  <c r="I2432" i="1"/>
  <c r="A2433" i="1"/>
  <c r="F2433" i="1"/>
  <c r="G2433" i="1"/>
  <c r="I2433" i="1"/>
  <c r="A2434" i="1"/>
  <c r="F2434" i="1"/>
  <c r="G2434" i="1"/>
  <c r="I2434" i="1"/>
  <c r="A2435" i="1"/>
  <c r="F2435" i="1"/>
  <c r="G2435" i="1"/>
  <c r="I2435" i="1"/>
  <c r="A2436" i="1"/>
  <c r="F2436" i="1"/>
  <c r="G2436" i="1"/>
  <c r="I2436" i="1"/>
  <c r="A2437" i="1"/>
  <c r="F2437" i="1"/>
  <c r="G2437" i="1"/>
  <c r="I2437" i="1"/>
  <c r="A2438" i="1"/>
  <c r="F2438" i="1"/>
  <c r="G2438" i="1"/>
  <c r="I2438" i="1"/>
  <c r="A2439" i="1"/>
  <c r="F2439" i="1"/>
  <c r="G2439" i="1"/>
  <c r="I2439" i="1"/>
  <c r="A2440" i="1"/>
  <c r="F2440" i="1"/>
  <c r="G2440" i="1"/>
  <c r="I2440" i="1"/>
  <c r="A2441" i="1"/>
  <c r="F2441" i="1"/>
  <c r="G2441" i="1"/>
  <c r="I2441" i="1"/>
  <c r="A2442" i="1"/>
  <c r="F2442" i="1"/>
  <c r="G2442" i="1"/>
  <c r="I2442" i="1"/>
  <c r="A2443" i="1"/>
  <c r="F2443" i="1"/>
  <c r="G2443" i="1"/>
  <c r="I2443" i="1"/>
  <c r="A2444" i="1"/>
  <c r="F2444" i="1"/>
  <c r="G2444" i="1"/>
  <c r="I2444" i="1"/>
  <c r="A2445" i="1"/>
  <c r="F2445" i="1"/>
  <c r="G2445" i="1"/>
  <c r="I2445" i="1"/>
  <c r="A2446" i="1"/>
  <c r="F2446" i="1"/>
  <c r="G2446" i="1"/>
  <c r="I2446" i="1"/>
  <c r="A2447" i="1"/>
  <c r="F2447" i="1"/>
  <c r="G2447" i="1"/>
  <c r="I2447" i="1"/>
  <c r="A2448" i="1"/>
  <c r="F2448" i="1"/>
  <c r="G2448" i="1"/>
  <c r="I2448" i="1"/>
  <c r="A2449" i="1"/>
  <c r="F2449" i="1"/>
  <c r="G2449" i="1"/>
  <c r="I2449" i="1"/>
  <c r="A2450" i="1"/>
  <c r="F2450" i="1"/>
  <c r="G2450" i="1"/>
  <c r="I2450" i="1"/>
  <c r="A2451" i="1"/>
  <c r="F2451" i="1"/>
  <c r="G2451" i="1"/>
  <c r="I2451" i="1"/>
  <c r="A2452" i="1"/>
  <c r="F2452" i="1"/>
  <c r="G2452" i="1"/>
  <c r="I2452" i="1"/>
  <c r="A2453" i="1"/>
  <c r="F2453" i="1"/>
  <c r="G2453" i="1"/>
  <c r="I2453" i="1"/>
  <c r="A2454" i="1"/>
  <c r="F2454" i="1"/>
  <c r="G2454" i="1"/>
  <c r="I2454" i="1"/>
  <c r="A2455" i="1"/>
  <c r="F2455" i="1"/>
  <c r="G2455" i="1"/>
  <c r="I2455" i="1"/>
  <c r="A2456" i="1"/>
  <c r="F2456" i="1"/>
  <c r="G2456" i="1"/>
  <c r="I2456" i="1"/>
  <c r="A2457" i="1"/>
  <c r="F2457" i="1"/>
  <c r="G2457" i="1"/>
  <c r="I2457" i="1"/>
  <c r="A2458" i="1"/>
  <c r="F2458" i="1"/>
  <c r="G2458" i="1"/>
  <c r="I2458" i="1"/>
  <c r="A2459" i="1"/>
  <c r="F2459" i="1"/>
  <c r="G2459" i="1"/>
  <c r="I2459" i="1"/>
  <c r="A2460" i="1"/>
  <c r="F2460" i="1"/>
  <c r="G2460" i="1"/>
  <c r="I2460" i="1"/>
  <c r="A2461" i="1"/>
  <c r="F2461" i="1"/>
  <c r="G2461" i="1"/>
  <c r="I2461" i="1"/>
  <c r="A2462" i="1"/>
  <c r="F2462" i="1"/>
  <c r="G2462" i="1"/>
  <c r="I2462" i="1"/>
  <c r="A2463" i="1"/>
  <c r="F2463" i="1"/>
  <c r="G2463" i="1"/>
  <c r="I2463" i="1"/>
  <c r="A2464" i="1"/>
  <c r="F2464" i="1"/>
  <c r="G2464" i="1"/>
  <c r="I2464" i="1"/>
  <c r="A2465" i="1"/>
  <c r="F2465" i="1"/>
  <c r="G2465" i="1"/>
  <c r="I2465" i="1"/>
  <c r="A2466" i="1"/>
  <c r="F2466" i="1"/>
  <c r="G2466" i="1"/>
  <c r="I2466" i="1"/>
  <c r="A2467" i="1"/>
  <c r="F2467" i="1"/>
  <c r="G2467" i="1"/>
  <c r="I2467" i="1"/>
  <c r="A2468" i="1"/>
  <c r="F2468" i="1"/>
  <c r="G2468" i="1"/>
  <c r="I2468" i="1"/>
  <c r="A2469" i="1"/>
  <c r="F2469" i="1"/>
  <c r="G2469" i="1"/>
  <c r="I2469" i="1"/>
  <c r="A2470" i="1"/>
  <c r="F2470" i="1"/>
  <c r="G2470" i="1"/>
  <c r="I2470" i="1"/>
  <c r="A2471" i="1"/>
  <c r="F2471" i="1"/>
  <c r="G2471" i="1"/>
  <c r="I2471" i="1"/>
  <c r="A2472" i="1"/>
  <c r="F2472" i="1"/>
  <c r="G2472" i="1"/>
  <c r="I2472" i="1"/>
  <c r="A2473" i="1"/>
  <c r="F2473" i="1"/>
  <c r="G2473" i="1"/>
  <c r="I2473" i="1"/>
  <c r="A2474" i="1"/>
  <c r="F2474" i="1"/>
  <c r="G2474" i="1"/>
  <c r="I2474" i="1"/>
  <c r="A2475" i="1"/>
  <c r="F2475" i="1"/>
  <c r="G2475" i="1"/>
  <c r="I2475" i="1"/>
  <c r="A2476" i="1"/>
  <c r="F2476" i="1"/>
  <c r="G2476" i="1"/>
  <c r="I2476" i="1"/>
  <c r="A2477" i="1"/>
  <c r="F2477" i="1"/>
  <c r="G2477" i="1"/>
  <c r="I2477" i="1"/>
  <c r="A2478" i="1"/>
  <c r="F2478" i="1"/>
  <c r="G2478" i="1"/>
  <c r="I2478" i="1"/>
  <c r="A2479" i="1"/>
  <c r="F2479" i="1"/>
  <c r="G2479" i="1"/>
  <c r="I2479" i="1"/>
  <c r="A2480" i="1"/>
  <c r="F2480" i="1"/>
  <c r="G2480" i="1"/>
  <c r="I2480" i="1"/>
  <c r="A2481" i="1"/>
  <c r="F2481" i="1"/>
  <c r="G2481" i="1"/>
  <c r="I2481" i="1"/>
  <c r="A2482" i="1"/>
  <c r="F2482" i="1"/>
  <c r="G2482" i="1"/>
  <c r="I2482" i="1"/>
  <c r="A2483" i="1"/>
  <c r="F2483" i="1"/>
  <c r="G2483" i="1"/>
  <c r="I2483" i="1"/>
  <c r="A2484" i="1"/>
  <c r="F2484" i="1"/>
  <c r="G2484" i="1"/>
  <c r="I2484" i="1"/>
  <c r="A2485" i="1"/>
  <c r="F2485" i="1"/>
  <c r="G2485" i="1"/>
  <c r="I2485" i="1"/>
  <c r="A2486" i="1"/>
  <c r="F2486" i="1"/>
  <c r="G2486" i="1"/>
  <c r="I2486" i="1"/>
  <c r="A2487" i="1"/>
  <c r="F2487" i="1"/>
  <c r="G2487" i="1"/>
  <c r="I2487" i="1"/>
  <c r="A2488" i="1"/>
  <c r="F2488" i="1"/>
  <c r="G2488" i="1"/>
  <c r="I2488" i="1"/>
  <c r="A2489" i="1"/>
  <c r="F2489" i="1"/>
  <c r="G2489" i="1"/>
  <c r="I2489" i="1"/>
  <c r="A2490" i="1"/>
  <c r="F2490" i="1"/>
  <c r="G2490" i="1"/>
  <c r="I2490" i="1"/>
  <c r="A2491" i="1"/>
  <c r="F2491" i="1"/>
  <c r="G2491" i="1"/>
  <c r="I2491" i="1"/>
  <c r="A2492" i="1"/>
  <c r="F2492" i="1"/>
  <c r="G2492" i="1"/>
  <c r="I2492" i="1"/>
  <c r="A2493" i="1"/>
  <c r="F2493" i="1"/>
  <c r="G2493" i="1"/>
  <c r="I2493" i="1"/>
  <c r="A2494" i="1"/>
  <c r="F2494" i="1"/>
  <c r="G2494" i="1"/>
  <c r="I2494" i="1"/>
  <c r="A2495" i="1"/>
  <c r="F2495" i="1"/>
  <c r="G2495" i="1"/>
  <c r="I2495" i="1"/>
  <c r="A2496" i="1"/>
  <c r="F2496" i="1"/>
  <c r="G2496" i="1"/>
  <c r="I2496" i="1"/>
  <c r="A2497" i="1"/>
  <c r="F2497" i="1"/>
  <c r="G2497" i="1"/>
  <c r="I2497" i="1"/>
  <c r="A2498" i="1"/>
  <c r="F2498" i="1"/>
  <c r="G2498" i="1"/>
  <c r="I2498" i="1"/>
  <c r="A2499" i="1"/>
  <c r="F2499" i="1"/>
  <c r="G2499" i="1"/>
  <c r="I2499" i="1"/>
  <c r="A2500" i="1"/>
  <c r="F2500" i="1"/>
  <c r="G2500" i="1"/>
  <c r="I2500" i="1"/>
  <c r="A2501" i="1"/>
  <c r="F2501" i="1"/>
  <c r="G2501" i="1"/>
  <c r="I2501" i="1"/>
  <c r="A2502" i="1"/>
  <c r="F2502" i="1"/>
  <c r="G2502" i="1"/>
  <c r="I2502" i="1"/>
  <c r="A2503" i="1"/>
  <c r="F2503" i="1"/>
  <c r="G2503" i="1"/>
  <c r="I2503" i="1"/>
  <c r="A2504" i="1"/>
  <c r="F2504" i="1"/>
  <c r="G2504" i="1"/>
  <c r="I2504" i="1"/>
  <c r="A2505" i="1"/>
  <c r="F2505" i="1"/>
  <c r="G2505" i="1"/>
  <c r="I2505" i="1"/>
  <c r="A2506" i="1"/>
  <c r="F2506" i="1"/>
  <c r="G2506" i="1"/>
  <c r="I2506" i="1"/>
  <c r="A2507" i="1"/>
  <c r="F2507" i="1"/>
  <c r="G2507" i="1"/>
  <c r="I2507" i="1"/>
  <c r="A2508" i="1"/>
  <c r="F2508" i="1"/>
  <c r="G2508" i="1"/>
  <c r="I2508" i="1"/>
  <c r="A2509" i="1"/>
  <c r="F2509" i="1"/>
  <c r="G2509" i="1"/>
  <c r="I2509" i="1"/>
  <c r="A2510" i="1"/>
  <c r="F2510" i="1"/>
  <c r="G2510" i="1"/>
  <c r="I2510" i="1"/>
  <c r="A2511" i="1"/>
  <c r="F2511" i="1"/>
  <c r="G2511" i="1"/>
  <c r="I2511" i="1"/>
  <c r="A2512" i="1"/>
  <c r="F2512" i="1"/>
  <c r="G2512" i="1"/>
  <c r="I2512" i="1"/>
  <c r="A2513" i="1"/>
  <c r="F2513" i="1"/>
  <c r="G2513" i="1"/>
  <c r="I2513" i="1"/>
  <c r="A2514" i="1"/>
  <c r="F2514" i="1"/>
  <c r="G2514" i="1"/>
  <c r="I2514" i="1"/>
  <c r="A2515" i="1"/>
  <c r="F2515" i="1"/>
  <c r="G2515" i="1"/>
  <c r="I2515" i="1"/>
  <c r="A2516" i="1"/>
  <c r="F2516" i="1"/>
  <c r="G2516" i="1"/>
  <c r="I2516" i="1"/>
  <c r="A2517" i="1"/>
  <c r="F2517" i="1"/>
  <c r="G2517" i="1"/>
  <c r="I2517" i="1"/>
  <c r="A2518" i="1"/>
  <c r="F2518" i="1"/>
  <c r="G2518" i="1"/>
  <c r="I2518" i="1"/>
  <c r="A2519" i="1"/>
  <c r="F2519" i="1"/>
  <c r="G2519" i="1"/>
  <c r="I2519" i="1"/>
  <c r="A2520" i="1"/>
  <c r="F2520" i="1"/>
  <c r="G2520" i="1"/>
  <c r="I2520" i="1"/>
  <c r="A2521" i="1"/>
  <c r="F2521" i="1"/>
  <c r="G2521" i="1"/>
  <c r="I2521" i="1"/>
  <c r="A2522" i="1"/>
  <c r="F2522" i="1"/>
  <c r="G2522" i="1"/>
  <c r="I2522" i="1"/>
  <c r="A2523" i="1"/>
  <c r="F2523" i="1"/>
  <c r="G2523" i="1"/>
  <c r="I2523" i="1"/>
  <c r="A2524" i="1"/>
  <c r="F2524" i="1"/>
  <c r="G2524" i="1"/>
  <c r="I2524" i="1"/>
  <c r="A2525" i="1"/>
  <c r="F2525" i="1"/>
  <c r="G2525" i="1"/>
  <c r="I2525" i="1"/>
  <c r="A2526" i="1"/>
  <c r="F2526" i="1"/>
  <c r="G2526" i="1"/>
  <c r="I2526" i="1"/>
  <c r="A2527" i="1"/>
  <c r="F2527" i="1"/>
  <c r="G2527" i="1"/>
  <c r="I2527" i="1"/>
  <c r="A2528" i="1"/>
  <c r="F2528" i="1"/>
  <c r="G2528" i="1"/>
  <c r="I2528" i="1"/>
  <c r="A2529" i="1"/>
  <c r="F2529" i="1"/>
  <c r="G2529" i="1"/>
  <c r="I2529" i="1"/>
  <c r="A2530" i="1"/>
  <c r="F2530" i="1"/>
  <c r="G2530" i="1"/>
  <c r="I2530" i="1"/>
  <c r="A2531" i="1"/>
  <c r="F2531" i="1"/>
  <c r="G2531" i="1"/>
  <c r="I2531" i="1"/>
  <c r="A2532" i="1"/>
  <c r="F2532" i="1"/>
  <c r="G2532" i="1"/>
  <c r="I2532" i="1"/>
  <c r="A2533" i="1"/>
  <c r="F2533" i="1"/>
  <c r="G2533" i="1"/>
  <c r="I2533" i="1"/>
  <c r="A2534" i="1"/>
  <c r="F2534" i="1"/>
  <c r="G2534" i="1"/>
  <c r="I2534" i="1"/>
  <c r="A2535" i="1"/>
  <c r="F2535" i="1"/>
  <c r="G2535" i="1"/>
  <c r="I2535" i="1"/>
  <c r="A2536" i="1"/>
  <c r="F2536" i="1"/>
  <c r="G2536" i="1"/>
  <c r="I2536" i="1"/>
  <c r="A2537" i="1"/>
  <c r="F2537" i="1"/>
  <c r="G2537" i="1"/>
  <c r="I2537" i="1"/>
  <c r="A2538" i="1"/>
  <c r="F2538" i="1"/>
  <c r="G2538" i="1"/>
  <c r="I2538" i="1"/>
  <c r="A2539" i="1"/>
  <c r="F2539" i="1"/>
  <c r="G2539" i="1"/>
  <c r="I2539" i="1"/>
  <c r="A2540" i="1"/>
  <c r="F2540" i="1"/>
  <c r="G2540" i="1"/>
  <c r="I2540" i="1"/>
  <c r="A2541" i="1"/>
  <c r="F2541" i="1"/>
  <c r="G2541" i="1"/>
  <c r="I2541" i="1"/>
  <c r="A2542" i="1"/>
  <c r="F2542" i="1"/>
  <c r="G2542" i="1"/>
  <c r="I2542" i="1"/>
  <c r="A2543" i="1"/>
  <c r="F2543" i="1"/>
  <c r="G2543" i="1"/>
  <c r="I2543" i="1"/>
  <c r="A2544" i="1"/>
  <c r="F2544" i="1"/>
  <c r="G2544" i="1"/>
  <c r="I2544" i="1"/>
  <c r="A2545" i="1"/>
  <c r="F2545" i="1"/>
  <c r="G2545" i="1"/>
  <c r="I2545" i="1"/>
  <c r="A2546" i="1"/>
  <c r="F2546" i="1"/>
  <c r="G2546" i="1"/>
  <c r="I2546" i="1"/>
  <c r="A2547" i="1"/>
  <c r="F2547" i="1"/>
  <c r="G2547" i="1"/>
  <c r="I2547" i="1"/>
  <c r="A2548" i="1"/>
  <c r="F2548" i="1"/>
  <c r="G2548" i="1"/>
  <c r="I2548" i="1"/>
  <c r="A2549" i="1"/>
  <c r="F2549" i="1"/>
  <c r="G2549" i="1"/>
  <c r="I2549" i="1"/>
  <c r="A2550" i="1"/>
  <c r="F2550" i="1"/>
  <c r="G2550" i="1"/>
  <c r="I2550" i="1"/>
  <c r="A2551" i="1"/>
  <c r="F2551" i="1"/>
  <c r="G2551" i="1"/>
  <c r="I2551" i="1"/>
  <c r="A2552" i="1"/>
  <c r="F2552" i="1"/>
  <c r="G2552" i="1"/>
  <c r="I2552" i="1"/>
  <c r="A2553" i="1"/>
  <c r="F2553" i="1"/>
  <c r="G2553" i="1"/>
  <c r="I2553" i="1"/>
  <c r="A2554" i="1"/>
  <c r="F2554" i="1"/>
  <c r="G2554" i="1"/>
  <c r="I2554" i="1"/>
  <c r="A2555" i="1"/>
  <c r="F2555" i="1"/>
  <c r="G2555" i="1"/>
  <c r="I2555" i="1"/>
  <c r="A2556" i="1"/>
  <c r="F2556" i="1"/>
  <c r="G2556" i="1"/>
  <c r="I2556" i="1"/>
  <c r="A2557" i="1"/>
  <c r="F2557" i="1"/>
  <c r="G2557" i="1"/>
  <c r="I2557" i="1"/>
  <c r="A2558" i="1"/>
  <c r="F2558" i="1"/>
  <c r="G2558" i="1"/>
  <c r="I2558" i="1"/>
  <c r="A2559" i="1"/>
  <c r="F2559" i="1"/>
  <c r="G2559" i="1"/>
  <c r="I2559" i="1"/>
  <c r="A2560" i="1"/>
  <c r="F2560" i="1"/>
  <c r="G2560" i="1"/>
  <c r="I2560" i="1"/>
  <c r="A2561" i="1"/>
  <c r="F2561" i="1"/>
  <c r="G2561" i="1"/>
  <c r="I2561" i="1"/>
  <c r="A2562" i="1"/>
  <c r="F2562" i="1"/>
  <c r="G2562" i="1"/>
  <c r="I2562" i="1"/>
  <c r="A2563" i="1"/>
  <c r="F2563" i="1"/>
  <c r="G2563" i="1"/>
  <c r="I2563" i="1"/>
  <c r="A2564" i="1"/>
  <c r="F2564" i="1"/>
  <c r="G2564" i="1"/>
  <c r="I2564" i="1"/>
  <c r="A2565" i="1"/>
  <c r="F2565" i="1"/>
  <c r="G2565" i="1"/>
  <c r="I2565" i="1"/>
  <c r="A2566" i="1"/>
  <c r="F2566" i="1"/>
  <c r="G2566" i="1"/>
  <c r="I2566" i="1"/>
  <c r="A2567" i="1"/>
  <c r="F2567" i="1"/>
  <c r="G2567" i="1"/>
  <c r="I2567" i="1"/>
  <c r="A2568" i="1"/>
  <c r="F2568" i="1"/>
  <c r="G2568" i="1"/>
  <c r="I2568" i="1"/>
  <c r="A2569" i="1"/>
  <c r="F2569" i="1"/>
  <c r="G2569" i="1"/>
  <c r="I2569" i="1"/>
  <c r="A2570" i="1"/>
  <c r="F2570" i="1"/>
  <c r="G2570" i="1"/>
  <c r="I2570" i="1"/>
  <c r="A2571" i="1"/>
  <c r="F2571" i="1"/>
  <c r="G2571" i="1"/>
  <c r="I2571" i="1"/>
  <c r="A2572" i="1"/>
  <c r="F2572" i="1"/>
  <c r="G2572" i="1"/>
  <c r="I2572" i="1"/>
  <c r="A2573" i="1"/>
  <c r="F2573" i="1"/>
  <c r="G2573" i="1"/>
  <c r="I2573" i="1"/>
  <c r="A2574" i="1"/>
  <c r="F2574" i="1"/>
  <c r="G2574" i="1"/>
  <c r="I2574" i="1"/>
  <c r="A2575" i="1"/>
  <c r="F2575" i="1"/>
  <c r="G2575" i="1"/>
  <c r="I2575" i="1"/>
  <c r="A2576" i="1"/>
  <c r="F2576" i="1"/>
  <c r="G2576" i="1"/>
  <c r="I2576" i="1"/>
  <c r="A2577" i="1"/>
  <c r="F2577" i="1"/>
  <c r="G2577" i="1"/>
  <c r="I2577" i="1"/>
  <c r="A2578" i="1"/>
  <c r="F2578" i="1"/>
  <c r="G2578" i="1"/>
  <c r="I2578" i="1"/>
  <c r="A2579" i="1"/>
  <c r="F2579" i="1"/>
  <c r="G2579" i="1"/>
  <c r="I2579" i="1"/>
  <c r="A2580" i="1"/>
  <c r="F2580" i="1"/>
  <c r="G2580" i="1"/>
  <c r="I2580" i="1"/>
  <c r="A2581" i="1"/>
  <c r="F2581" i="1"/>
  <c r="G2581" i="1"/>
  <c r="I2581" i="1"/>
  <c r="A2582" i="1"/>
  <c r="F2582" i="1"/>
  <c r="G2582" i="1"/>
  <c r="I2582" i="1"/>
  <c r="A2583" i="1"/>
  <c r="F2583" i="1"/>
  <c r="G2583" i="1"/>
  <c r="I2583" i="1"/>
  <c r="A2584" i="1"/>
  <c r="F2584" i="1"/>
  <c r="G2584" i="1"/>
  <c r="I2584" i="1"/>
  <c r="A2585" i="1"/>
  <c r="F2585" i="1"/>
  <c r="G2585" i="1"/>
  <c r="I2585" i="1"/>
  <c r="A2586" i="1"/>
  <c r="F2586" i="1"/>
  <c r="G2586" i="1"/>
  <c r="I2586" i="1"/>
  <c r="A2587" i="1"/>
  <c r="F2587" i="1"/>
  <c r="G2587" i="1"/>
  <c r="I2587" i="1"/>
  <c r="A2588" i="1"/>
  <c r="F2588" i="1"/>
  <c r="G2588" i="1"/>
  <c r="I2588" i="1"/>
  <c r="A2589" i="1"/>
  <c r="F2589" i="1"/>
  <c r="G2589" i="1"/>
  <c r="I2589" i="1"/>
  <c r="A2590" i="1"/>
  <c r="F2590" i="1"/>
  <c r="G2590" i="1"/>
  <c r="I2590" i="1"/>
  <c r="A2591" i="1"/>
  <c r="F2591" i="1"/>
  <c r="G2591" i="1"/>
  <c r="I2591" i="1"/>
  <c r="A2592" i="1"/>
  <c r="F2592" i="1"/>
  <c r="G2592" i="1"/>
  <c r="I2592" i="1"/>
  <c r="A2593" i="1"/>
  <c r="F2593" i="1"/>
  <c r="G2593" i="1"/>
  <c r="I2593" i="1"/>
  <c r="A2594" i="1"/>
  <c r="F2594" i="1"/>
  <c r="G2594" i="1"/>
  <c r="I2594" i="1"/>
  <c r="A2595" i="1"/>
  <c r="F2595" i="1"/>
  <c r="G2595" i="1"/>
  <c r="I2595" i="1"/>
  <c r="A2596" i="1"/>
  <c r="F2596" i="1"/>
  <c r="G2596" i="1"/>
  <c r="I2596" i="1"/>
  <c r="A2597" i="1"/>
  <c r="F2597" i="1"/>
  <c r="G2597" i="1"/>
  <c r="I2597" i="1"/>
  <c r="A2598" i="1"/>
  <c r="F2598" i="1"/>
  <c r="G2598" i="1"/>
  <c r="I2598" i="1"/>
  <c r="A2599" i="1"/>
  <c r="F2599" i="1"/>
  <c r="G2599" i="1"/>
  <c r="I2599" i="1"/>
  <c r="A2600" i="1"/>
  <c r="F2600" i="1"/>
  <c r="G2600" i="1"/>
  <c r="I2600" i="1"/>
  <c r="A2601" i="1"/>
  <c r="F2601" i="1"/>
  <c r="G2601" i="1"/>
  <c r="I2601" i="1"/>
  <c r="A2602" i="1"/>
  <c r="F2602" i="1"/>
  <c r="G2602" i="1"/>
  <c r="I2602" i="1"/>
  <c r="A2603" i="1"/>
  <c r="F2603" i="1"/>
  <c r="G2603" i="1"/>
  <c r="I2603" i="1"/>
  <c r="A2604" i="1"/>
  <c r="F2604" i="1"/>
  <c r="G2604" i="1"/>
  <c r="I2604" i="1"/>
  <c r="A2605" i="1"/>
  <c r="F2605" i="1"/>
  <c r="G2605" i="1"/>
  <c r="I2605" i="1"/>
  <c r="A2606" i="1"/>
  <c r="F2606" i="1"/>
  <c r="G2606" i="1"/>
  <c r="I2606" i="1"/>
  <c r="A2607" i="1"/>
  <c r="F2607" i="1"/>
  <c r="G2607" i="1"/>
  <c r="I2607" i="1"/>
  <c r="A2608" i="1"/>
  <c r="F2608" i="1"/>
  <c r="G2608" i="1"/>
  <c r="I2608" i="1"/>
  <c r="A2609" i="1"/>
  <c r="F2609" i="1"/>
  <c r="G2609" i="1"/>
  <c r="I2609" i="1"/>
  <c r="A2610" i="1"/>
  <c r="F2610" i="1"/>
  <c r="G2610" i="1"/>
  <c r="I2610" i="1"/>
  <c r="A2611" i="1"/>
  <c r="F2611" i="1"/>
  <c r="G2611" i="1"/>
  <c r="I2611" i="1"/>
  <c r="A2612" i="1"/>
  <c r="F2612" i="1"/>
  <c r="G2612" i="1"/>
  <c r="I2612" i="1"/>
  <c r="A2613" i="1"/>
  <c r="F2613" i="1"/>
  <c r="G2613" i="1"/>
  <c r="I2613" i="1"/>
  <c r="A2614" i="1"/>
  <c r="F2614" i="1"/>
  <c r="G2614" i="1"/>
  <c r="I2614" i="1"/>
  <c r="A2615" i="1"/>
  <c r="F2615" i="1"/>
  <c r="G2615" i="1"/>
  <c r="I2615" i="1"/>
  <c r="A2616" i="1"/>
  <c r="F2616" i="1"/>
  <c r="G2616" i="1"/>
  <c r="I2616" i="1"/>
  <c r="A2617" i="1"/>
  <c r="F2617" i="1"/>
  <c r="G2617" i="1"/>
  <c r="I2617" i="1"/>
  <c r="A2618" i="1"/>
  <c r="F2618" i="1"/>
  <c r="G2618" i="1"/>
  <c r="I2618" i="1"/>
  <c r="A2619" i="1"/>
  <c r="F2619" i="1"/>
  <c r="G2619" i="1"/>
  <c r="I2619" i="1"/>
  <c r="A2620" i="1"/>
  <c r="F2620" i="1"/>
  <c r="G2620" i="1"/>
  <c r="I2620" i="1"/>
  <c r="A2621" i="1"/>
  <c r="F2621" i="1"/>
  <c r="G2621" i="1"/>
  <c r="I2621" i="1"/>
  <c r="A2622" i="1"/>
  <c r="F2622" i="1"/>
  <c r="G2622" i="1"/>
  <c r="I2622" i="1"/>
  <c r="A2623" i="1"/>
  <c r="F2623" i="1"/>
  <c r="G2623" i="1"/>
  <c r="I2623" i="1"/>
  <c r="A2624" i="1"/>
  <c r="F2624" i="1"/>
  <c r="G2624" i="1"/>
  <c r="I2624" i="1"/>
  <c r="A2625" i="1"/>
  <c r="F2625" i="1"/>
  <c r="G2625" i="1"/>
  <c r="I2625" i="1"/>
  <c r="A2626" i="1"/>
  <c r="F2626" i="1"/>
  <c r="G2626" i="1"/>
  <c r="I2626" i="1"/>
  <c r="A2627" i="1"/>
  <c r="F2627" i="1"/>
  <c r="G2627" i="1"/>
  <c r="I2627" i="1"/>
  <c r="A2628" i="1"/>
  <c r="F2628" i="1"/>
  <c r="G2628" i="1"/>
  <c r="I2628" i="1"/>
  <c r="A2629" i="1"/>
  <c r="F2629" i="1"/>
  <c r="G2629" i="1"/>
  <c r="I2629" i="1"/>
  <c r="A2630" i="1"/>
  <c r="F2630" i="1"/>
  <c r="G2630" i="1"/>
  <c r="I2630" i="1"/>
  <c r="A2631" i="1"/>
  <c r="F2631" i="1"/>
  <c r="G2631" i="1"/>
  <c r="I2631" i="1"/>
  <c r="A2632" i="1"/>
  <c r="F2632" i="1"/>
  <c r="G2632" i="1"/>
  <c r="I2632" i="1"/>
  <c r="A2633" i="1"/>
  <c r="F2633" i="1"/>
  <c r="G2633" i="1"/>
  <c r="I2633" i="1"/>
  <c r="A2634" i="1"/>
  <c r="F2634" i="1"/>
  <c r="G2634" i="1"/>
  <c r="I2634" i="1"/>
  <c r="A2635" i="1"/>
  <c r="F2635" i="1"/>
  <c r="G2635" i="1"/>
  <c r="I2635" i="1"/>
  <c r="A2636" i="1"/>
  <c r="F2636" i="1"/>
  <c r="G2636" i="1"/>
  <c r="I2636" i="1"/>
  <c r="A2637" i="1"/>
  <c r="F2637" i="1"/>
  <c r="G2637" i="1"/>
  <c r="I2637" i="1"/>
  <c r="A2638" i="1"/>
  <c r="F2638" i="1"/>
  <c r="G2638" i="1"/>
  <c r="I2638" i="1"/>
  <c r="A2639" i="1"/>
  <c r="F2639" i="1"/>
  <c r="G2639" i="1"/>
  <c r="I2639" i="1"/>
  <c r="A2640" i="1"/>
  <c r="F2640" i="1"/>
  <c r="G2640" i="1"/>
  <c r="I2640" i="1"/>
  <c r="A2641" i="1"/>
  <c r="F2641" i="1"/>
  <c r="G2641" i="1"/>
  <c r="I2641" i="1"/>
  <c r="A2642" i="1"/>
  <c r="F2642" i="1"/>
  <c r="G2642" i="1"/>
  <c r="I2642" i="1"/>
  <c r="A2643" i="1"/>
  <c r="F2643" i="1"/>
  <c r="G2643" i="1"/>
  <c r="I2643" i="1"/>
  <c r="A2644" i="1"/>
  <c r="F2644" i="1"/>
  <c r="G2644" i="1"/>
  <c r="I2644" i="1"/>
  <c r="A2645" i="1"/>
  <c r="F2645" i="1"/>
  <c r="G2645" i="1"/>
  <c r="I2645" i="1"/>
  <c r="A2646" i="1"/>
  <c r="F2646" i="1"/>
  <c r="G2646" i="1"/>
  <c r="I2646" i="1"/>
  <c r="A2647" i="1"/>
  <c r="F2647" i="1"/>
  <c r="G2647" i="1"/>
  <c r="I2647" i="1"/>
  <c r="A2648" i="1"/>
  <c r="F2648" i="1"/>
  <c r="G2648" i="1"/>
  <c r="I2648" i="1"/>
  <c r="A2649" i="1"/>
  <c r="F2649" i="1"/>
  <c r="G2649" i="1"/>
  <c r="I2649" i="1"/>
  <c r="A2650" i="1"/>
  <c r="F2650" i="1"/>
  <c r="G2650" i="1"/>
  <c r="I2650" i="1"/>
  <c r="A2651" i="1"/>
  <c r="F2651" i="1"/>
  <c r="G2651" i="1"/>
  <c r="I2651" i="1"/>
  <c r="A2652" i="1"/>
  <c r="F2652" i="1"/>
  <c r="G2652" i="1"/>
  <c r="I2652" i="1"/>
  <c r="A2653" i="1"/>
  <c r="F2653" i="1"/>
  <c r="G2653" i="1"/>
  <c r="I2653" i="1"/>
  <c r="A2654" i="1"/>
  <c r="F2654" i="1"/>
  <c r="G2654" i="1"/>
  <c r="I2654" i="1"/>
  <c r="A2655" i="1"/>
  <c r="F2655" i="1"/>
  <c r="G2655" i="1"/>
  <c r="I2655" i="1"/>
  <c r="A2656" i="1"/>
  <c r="F2656" i="1"/>
  <c r="G2656" i="1"/>
  <c r="I2656" i="1"/>
  <c r="A2657" i="1"/>
  <c r="F2657" i="1"/>
  <c r="G2657" i="1"/>
  <c r="I2657" i="1"/>
  <c r="A2658" i="1"/>
  <c r="F2658" i="1"/>
  <c r="G2658" i="1"/>
  <c r="I2658" i="1"/>
  <c r="A2659" i="1"/>
  <c r="F2659" i="1"/>
  <c r="G2659" i="1"/>
  <c r="I2659" i="1"/>
  <c r="A2660" i="1"/>
  <c r="F2660" i="1"/>
  <c r="G2660" i="1"/>
  <c r="I2660" i="1"/>
  <c r="A2661" i="1"/>
  <c r="F2661" i="1"/>
  <c r="G2661" i="1"/>
  <c r="I2661" i="1"/>
  <c r="A2662" i="1"/>
  <c r="F2662" i="1"/>
  <c r="G2662" i="1"/>
  <c r="I2662" i="1"/>
  <c r="A2663" i="1"/>
  <c r="F2663" i="1"/>
  <c r="G2663" i="1"/>
  <c r="I2663" i="1"/>
  <c r="A2664" i="1"/>
  <c r="F2664" i="1"/>
  <c r="G2664" i="1"/>
  <c r="I2664" i="1"/>
  <c r="A2665" i="1"/>
  <c r="F2665" i="1"/>
  <c r="G2665" i="1"/>
  <c r="I2665" i="1"/>
  <c r="A2666" i="1"/>
  <c r="F2666" i="1"/>
  <c r="G2666" i="1"/>
  <c r="I2666" i="1"/>
  <c r="A2667" i="1"/>
  <c r="F2667" i="1"/>
  <c r="G2667" i="1"/>
  <c r="I2667" i="1"/>
  <c r="A2668" i="1"/>
  <c r="F2668" i="1"/>
  <c r="G2668" i="1"/>
  <c r="I2668" i="1"/>
  <c r="A2669" i="1"/>
  <c r="F2669" i="1"/>
  <c r="G2669" i="1"/>
  <c r="I2669" i="1"/>
  <c r="A2670" i="1"/>
  <c r="F2670" i="1"/>
  <c r="G2670" i="1"/>
  <c r="I2670" i="1"/>
  <c r="A2671" i="1"/>
  <c r="F2671" i="1"/>
  <c r="G2671" i="1"/>
  <c r="I2671" i="1"/>
  <c r="A2672" i="1"/>
  <c r="F2672" i="1"/>
  <c r="G2672" i="1"/>
  <c r="I2672" i="1"/>
  <c r="A2673" i="1"/>
  <c r="F2673" i="1"/>
  <c r="G2673" i="1"/>
  <c r="I2673" i="1"/>
  <c r="A2674" i="1"/>
  <c r="F2674" i="1"/>
  <c r="G2674" i="1"/>
  <c r="I2674" i="1"/>
  <c r="A2675" i="1"/>
  <c r="F2675" i="1"/>
  <c r="G2675" i="1"/>
  <c r="I2675" i="1"/>
  <c r="A2676" i="1"/>
  <c r="F2676" i="1"/>
  <c r="G2676" i="1"/>
  <c r="I2676" i="1"/>
  <c r="A2677" i="1"/>
  <c r="F2677" i="1"/>
  <c r="G2677" i="1"/>
  <c r="I2677" i="1"/>
  <c r="A2678" i="1"/>
  <c r="F2678" i="1"/>
  <c r="G2678" i="1"/>
  <c r="I2678" i="1"/>
  <c r="A2679" i="1"/>
  <c r="F2679" i="1"/>
  <c r="G2679" i="1"/>
  <c r="I2679" i="1"/>
  <c r="A2680" i="1"/>
  <c r="F2680" i="1"/>
  <c r="G2680" i="1"/>
  <c r="I2680" i="1"/>
  <c r="A2681" i="1"/>
  <c r="F2681" i="1"/>
  <c r="G2681" i="1"/>
  <c r="I2681" i="1"/>
  <c r="A2682" i="1"/>
  <c r="F2682" i="1"/>
  <c r="G2682" i="1"/>
  <c r="I2682" i="1"/>
  <c r="A2683" i="1"/>
  <c r="F2683" i="1"/>
  <c r="G2683" i="1"/>
  <c r="I2683" i="1"/>
  <c r="A2684" i="1"/>
  <c r="F2684" i="1"/>
  <c r="G2684" i="1"/>
  <c r="I2684" i="1"/>
  <c r="A2685" i="1"/>
  <c r="F2685" i="1"/>
  <c r="G2685" i="1"/>
  <c r="I2685" i="1"/>
  <c r="A2686" i="1"/>
  <c r="F2686" i="1"/>
  <c r="G2686" i="1"/>
  <c r="I2686" i="1"/>
  <c r="A2687" i="1"/>
  <c r="F2687" i="1"/>
  <c r="G2687" i="1"/>
  <c r="I2687" i="1"/>
  <c r="A2688" i="1"/>
  <c r="F2688" i="1"/>
  <c r="G2688" i="1"/>
  <c r="I2688" i="1"/>
  <c r="A2689" i="1"/>
  <c r="F2689" i="1"/>
  <c r="G2689" i="1"/>
  <c r="I2689" i="1"/>
  <c r="A2690" i="1"/>
  <c r="F2690" i="1"/>
  <c r="G2690" i="1"/>
  <c r="I2690" i="1"/>
  <c r="A2691" i="1"/>
  <c r="F2691" i="1"/>
  <c r="G2691" i="1"/>
  <c r="I2691" i="1"/>
  <c r="A2692" i="1"/>
  <c r="F2692" i="1"/>
  <c r="G2692" i="1"/>
  <c r="I2692" i="1"/>
  <c r="A2693" i="1"/>
  <c r="F2693" i="1"/>
  <c r="G2693" i="1"/>
  <c r="I2693" i="1"/>
  <c r="A2694" i="1"/>
  <c r="F2694" i="1"/>
  <c r="G2694" i="1"/>
  <c r="I2694" i="1"/>
  <c r="A2695" i="1"/>
  <c r="F2695" i="1"/>
  <c r="G2695" i="1"/>
  <c r="I2695" i="1"/>
  <c r="A2696" i="1"/>
  <c r="F2696" i="1"/>
  <c r="G2696" i="1"/>
  <c r="I2696" i="1"/>
  <c r="A2697" i="1"/>
  <c r="F2697" i="1"/>
  <c r="G2697" i="1"/>
  <c r="I2697" i="1"/>
  <c r="A2698" i="1"/>
  <c r="F2698" i="1"/>
  <c r="G2698" i="1"/>
  <c r="I2698" i="1"/>
  <c r="A2699" i="1"/>
  <c r="F2699" i="1"/>
  <c r="G2699" i="1"/>
  <c r="I2699" i="1"/>
  <c r="A2700" i="1"/>
  <c r="F2700" i="1"/>
  <c r="G2700" i="1"/>
  <c r="I2700" i="1"/>
  <c r="A2701" i="1"/>
  <c r="F2701" i="1"/>
  <c r="G2701" i="1"/>
  <c r="I2701" i="1"/>
  <c r="A2702" i="1"/>
  <c r="F2702" i="1"/>
  <c r="G2702" i="1"/>
  <c r="I2702" i="1"/>
  <c r="A2703" i="1"/>
  <c r="F2703" i="1"/>
  <c r="G2703" i="1"/>
  <c r="I2703" i="1"/>
  <c r="A2704" i="1"/>
  <c r="F2704" i="1"/>
  <c r="G2704" i="1"/>
  <c r="I2704" i="1"/>
  <c r="A2705" i="1"/>
  <c r="F2705" i="1"/>
  <c r="G2705" i="1"/>
  <c r="I2705" i="1"/>
  <c r="A2706" i="1"/>
  <c r="F2706" i="1"/>
  <c r="G2706" i="1"/>
  <c r="I2706" i="1"/>
  <c r="A2707" i="1"/>
  <c r="F2707" i="1"/>
  <c r="G2707" i="1"/>
  <c r="I2707" i="1"/>
  <c r="A2708" i="1"/>
  <c r="F2708" i="1"/>
  <c r="G2708" i="1"/>
  <c r="I2708" i="1"/>
  <c r="A2709" i="1"/>
  <c r="F2709" i="1"/>
  <c r="G2709" i="1"/>
  <c r="I2709" i="1"/>
  <c r="A2710" i="1"/>
  <c r="F2710" i="1"/>
  <c r="G2710" i="1"/>
  <c r="I2710" i="1"/>
  <c r="A2711" i="1"/>
  <c r="F2711" i="1"/>
  <c r="G2711" i="1"/>
  <c r="I2711" i="1"/>
  <c r="A2712" i="1"/>
  <c r="F2712" i="1"/>
  <c r="G2712" i="1"/>
  <c r="I2712" i="1"/>
  <c r="A2713" i="1"/>
  <c r="F2713" i="1"/>
  <c r="G2713" i="1"/>
  <c r="I2713" i="1"/>
  <c r="A2714" i="1"/>
  <c r="F2714" i="1"/>
  <c r="G2714" i="1"/>
  <c r="I2714" i="1"/>
  <c r="A2715" i="1"/>
  <c r="F2715" i="1"/>
  <c r="G2715" i="1"/>
  <c r="I2715" i="1"/>
  <c r="A2716" i="1"/>
  <c r="F2716" i="1"/>
  <c r="G2716" i="1"/>
  <c r="I2716" i="1"/>
  <c r="A2717" i="1"/>
  <c r="F2717" i="1"/>
  <c r="G2717" i="1"/>
  <c r="I2717" i="1"/>
  <c r="A2718" i="1"/>
  <c r="F2718" i="1"/>
  <c r="G2718" i="1"/>
  <c r="I2718" i="1"/>
  <c r="A2719" i="1"/>
  <c r="F2719" i="1"/>
  <c r="G2719" i="1"/>
  <c r="I2719" i="1"/>
  <c r="A2720" i="1"/>
  <c r="F2720" i="1"/>
  <c r="G2720" i="1"/>
  <c r="I2720" i="1"/>
  <c r="A2721" i="1"/>
  <c r="F2721" i="1"/>
  <c r="G2721" i="1"/>
  <c r="I2721" i="1"/>
  <c r="A2722" i="1"/>
  <c r="F2722" i="1"/>
  <c r="G2722" i="1"/>
  <c r="I2722" i="1"/>
  <c r="A2723" i="1"/>
  <c r="F2723" i="1"/>
  <c r="G2723" i="1"/>
  <c r="I2723" i="1"/>
  <c r="A2724" i="1"/>
  <c r="F2724" i="1"/>
  <c r="G2724" i="1"/>
  <c r="I2724" i="1"/>
  <c r="A2725" i="1"/>
  <c r="F2725" i="1"/>
  <c r="G2725" i="1"/>
  <c r="I2725" i="1"/>
  <c r="A2726" i="1"/>
  <c r="F2726" i="1"/>
  <c r="G2726" i="1"/>
  <c r="I2726" i="1"/>
  <c r="A2727" i="1"/>
  <c r="F2727" i="1"/>
  <c r="G2727" i="1"/>
  <c r="I2727" i="1"/>
  <c r="A2728" i="1"/>
  <c r="F2728" i="1"/>
  <c r="G2728" i="1"/>
  <c r="I2728" i="1"/>
  <c r="A2729" i="1"/>
  <c r="F2729" i="1"/>
  <c r="G2729" i="1"/>
  <c r="I2729" i="1"/>
  <c r="A2730" i="1"/>
  <c r="F2730" i="1"/>
  <c r="G2730" i="1"/>
  <c r="I2730" i="1"/>
  <c r="A2731" i="1"/>
  <c r="F2731" i="1"/>
  <c r="G2731" i="1"/>
  <c r="I2731" i="1"/>
  <c r="A2732" i="1"/>
  <c r="F2732" i="1"/>
  <c r="G2732" i="1"/>
  <c r="I2732" i="1"/>
  <c r="A2733" i="1"/>
  <c r="F2733" i="1"/>
  <c r="G2733" i="1"/>
  <c r="I2733" i="1"/>
  <c r="A2734" i="1"/>
  <c r="F2734" i="1"/>
  <c r="G2734" i="1"/>
  <c r="I2734" i="1"/>
  <c r="A2735" i="1"/>
  <c r="F2735" i="1"/>
  <c r="G2735" i="1"/>
  <c r="I2735" i="1"/>
  <c r="A2736" i="1"/>
  <c r="F2736" i="1"/>
  <c r="G2736" i="1"/>
  <c r="I2736" i="1"/>
  <c r="A2737" i="1"/>
  <c r="F2737" i="1"/>
  <c r="G2737" i="1"/>
  <c r="I2737" i="1"/>
  <c r="A2738" i="1"/>
  <c r="F2738" i="1"/>
  <c r="G2738" i="1"/>
  <c r="I2738" i="1"/>
  <c r="A2739" i="1"/>
  <c r="F2739" i="1"/>
  <c r="G2739" i="1"/>
  <c r="I2739" i="1"/>
  <c r="A2740" i="1"/>
  <c r="F2740" i="1"/>
  <c r="G2740" i="1"/>
  <c r="I2740" i="1"/>
  <c r="A2741" i="1"/>
  <c r="F2741" i="1"/>
  <c r="G2741" i="1"/>
  <c r="I2741" i="1"/>
  <c r="A2742" i="1"/>
  <c r="F2742" i="1"/>
  <c r="G2742" i="1"/>
  <c r="I2742" i="1"/>
  <c r="A2743" i="1"/>
  <c r="F2743" i="1"/>
  <c r="G2743" i="1"/>
  <c r="I2743" i="1"/>
  <c r="A2744" i="1"/>
  <c r="F2744" i="1"/>
  <c r="G2744" i="1"/>
  <c r="I2744" i="1"/>
  <c r="A2745" i="1"/>
  <c r="F2745" i="1"/>
  <c r="G2745" i="1"/>
  <c r="I2745" i="1"/>
  <c r="A2746" i="1"/>
  <c r="F2746" i="1"/>
  <c r="G2746" i="1"/>
  <c r="I2746" i="1"/>
  <c r="A2747" i="1"/>
  <c r="F2747" i="1"/>
  <c r="G2747" i="1"/>
  <c r="I2747" i="1"/>
  <c r="A2748" i="1"/>
  <c r="F2748" i="1"/>
  <c r="G2748" i="1"/>
  <c r="I2748" i="1"/>
  <c r="A2749" i="1"/>
  <c r="F2749" i="1"/>
  <c r="G2749" i="1"/>
  <c r="I2749" i="1"/>
  <c r="A2750" i="1"/>
  <c r="F2750" i="1"/>
  <c r="G2750" i="1"/>
  <c r="I2750" i="1"/>
  <c r="A2751" i="1"/>
  <c r="F2751" i="1"/>
  <c r="G2751" i="1"/>
  <c r="I2751" i="1"/>
  <c r="A2752" i="1"/>
  <c r="F2752" i="1"/>
  <c r="G2752" i="1"/>
  <c r="I2752" i="1"/>
  <c r="A2753" i="1"/>
  <c r="F2753" i="1"/>
  <c r="G2753" i="1"/>
  <c r="I2753" i="1"/>
  <c r="A2754" i="1"/>
  <c r="F2754" i="1"/>
  <c r="G2754" i="1"/>
  <c r="I2754" i="1"/>
  <c r="A2755" i="1"/>
  <c r="F2755" i="1"/>
  <c r="G2755" i="1"/>
  <c r="I2755" i="1"/>
  <c r="A2756" i="1"/>
  <c r="F2756" i="1"/>
  <c r="G2756" i="1"/>
  <c r="I2756" i="1"/>
  <c r="A2757" i="1"/>
  <c r="F2757" i="1"/>
  <c r="G2757" i="1"/>
  <c r="I2757" i="1"/>
  <c r="A2758" i="1"/>
  <c r="F2758" i="1"/>
  <c r="G2758" i="1"/>
  <c r="I2758" i="1"/>
  <c r="A2759" i="1"/>
  <c r="F2759" i="1"/>
  <c r="G2759" i="1"/>
  <c r="I2759" i="1"/>
  <c r="A2760" i="1"/>
  <c r="F2760" i="1"/>
  <c r="G2760" i="1"/>
  <c r="I2760" i="1"/>
  <c r="A2761" i="1"/>
  <c r="F2761" i="1"/>
  <c r="G2761" i="1"/>
  <c r="I2761" i="1"/>
  <c r="A2762" i="1"/>
  <c r="F2762" i="1"/>
  <c r="G2762" i="1"/>
  <c r="I2762" i="1"/>
  <c r="A2763" i="1"/>
  <c r="F2763" i="1"/>
  <c r="G2763" i="1"/>
  <c r="I2763" i="1"/>
  <c r="A2764" i="1"/>
  <c r="F2764" i="1"/>
  <c r="G2764" i="1"/>
  <c r="I2764" i="1"/>
  <c r="A2765" i="1"/>
  <c r="F2765" i="1"/>
  <c r="G2765" i="1"/>
  <c r="I2765" i="1"/>
  <c r="A2766" i="1"/>
  <c r="F2766" i="1"/>
  <c r="G2766" i="1"/>
  <c r="I2766" i="1"/>
  <c r="A2767" i="1"/>
  <c r="F2767" i="1"/>
  <c r="G2767" i="1"/>
  <c r="I2767" i="1"/>
  <c r="A2768" i="1"/>
  <c r="F2768" i="1"/>
  <c r="G2768" i="1"/>
  <c r="I2768" i="1"/>
  <c r="A2769" i="1"/>
  <c r="F2769" i="1"/>
  <c r="G2769" i="1"/>
  <c r="I2769" i="1"/>
  <c r="A2770" i="1"/>
  <c r="F2770" i="1"/>
  <c r="G2770" i="1"/>
  <c r="I2770" i="1"/>
  <c r="A2771" i="1"/>
  <c r="F2771" i="1"/>
  <c r="G2771" i="1"/>
  <c r="I2771" i="1"/>
  <c r="A2772" i="1"/>
  <c r="F2772" i="1"/>
  <c r="G2772" i="1"/>
  <c r="I2772" i="1"/>
  <c r="A2773" i="1"/>
  <c r="F2773" i="1"/>
  <c r="G2773" i="1"/>
  <c r="I2773" i="1"/>
  <c r="A2774" i="1"/>
  <c r="F2774" i="1"/>
  <c r="G2774" i="1"/>
  <c r="I2774" i="1"/>
  <c r="A2775" i="1"/>
  <c r="F2775" i="1"/>
  <c r="G2775" i="1"/>
  <c r="I2775" i="1"/>
  <c r="A2776" i="1"/>
  <c r="F2776" i="1"/>
  <c r="G2776" i="1"/>
  <c r="I2776" i="1"/>
  <c r="A2777" i="1"/>
  <c r="F2777" i="1"/>
  <c r="G2777" i="1"/>
  <c r="I2777" i="1"/>
  <c r="A2778" i="1"/>
  <c r="F2778" i="1"/>
  <c r="G2778" i="1"/>
  <c r="I2778" i="1"/>
  <c r="A2779" i="1"/>
  <c r="F2779" i="1"/>
  <c r="G2779" i="1"/>
  <c r="I2779" i="1"/>
  <c r="A2780" i="1"/>
  <c r="F2780" i="1"/>
  <c r="G2780" i="1"/>
  <c r="I2780" i="1"/>
  <c r="A2781" i="1"/>
  <c r="F2781" i="1"/>
  <c r="G2781" i="1"/>
  <c r="I2781" i="1"/>
  <c r="A2782" i="1"/>
  <c r="F2782" i="1"/>
  <c r="G2782" i="1"/>
  <c r="I2782" i="1"/>
  <c r="A2783" i="1"/>
  <c r="F2783" i="1"/>
  <c r="G2783" i="1"/>
  <c r="I2783" i="1"/>
  <c r="A2784" i="1"/>
  <c r="F2784" i="1"/>
  <c r="G2784" i="1"/>
  <c r="I2784" i="1"/>
  <c r="A2785" i="1"/>
  <c r="F2785" i="1"/>
  <c r="G2785" i="1"/>
  <c r="I2785" i="1"/>
  <c r="A2786" i="1"/>
  <c r="F2786" i="1"/>
  <c r="G2786" i="1"/>
  <c r="I2786" i="1"/>
  <c r="A2787" i="1"/>
  <c r="F2787" i="1"/>
  <c r="G2787" i="1"/>
  <c r="I2787" i="1"/>
  <c r="A2788" i="1"/>
  <c r="F2788" i="1"/>
  <c r="G2788" i="1"/>
  <c r="I2788" i="1"/>
  <c r="A2789" i="1"/>
  <c r="F2789" i="1"/>
  <c r="G2789" i="1"/>
  <c r="I2789" i="1"/>
  <c r="A2790" i="1"/>
  <c r="F2790" i="1"/>
  <c r="G2790" i="1"/>
  <c r="I2790" i="1"/>
  <c r="A2791" i="1"/>
  <c r="F2791" i="1"/>
  <c r="G2791" i="1"/>
  <c r="I2791" i="1"/>
  <c r="A2792" i="1"/>
  <c r="F2792" i="1"/>
  <c r="G2792" i="1"/>
  <c r="I2792" i="1"/>
  <c r="A2793" i="1"/>
  <c r="F2793" i="1"/>
  <c r="G2793" i="1"/>
  <c r="I2793" i="1"/>
  <c r="A2794" i="1"/>
  <c r="F2794" i="1"/>
  <c r="G2794" i="1"/>
  <c r="I2794" i="1"/>
  <c r="A2795" i="1"/>
  <c r="F2795" i="1"/>
  <c r="G2795" i="1"/>
  <c r="I2795" i="1"/>
  <c r="A2796" i="1"/>
  <c r="F2796" i="1"/>
  <c r="G2796" i="1"/>
  <c r="I2796" i="1"/>
  <c r="A2797" i="1"/>
  <c r="F2797" i="1"/>
  <c r="G2797" i="1"/>
  <c r="I2797" i="1"/>
  <c r="A2798" i="1"/>
  <c r="F2798" i="1"/>
  <c r="G2798" i="1"/>
  <c r="I2798" i="1"/>
  <c r="A2799" i="1"/>
  <c r="F2799" i="1"/>
  <c r="G2799" i="1"/>
  <c r="I2799" i="1"/>
  <c r="A2800" i="1"/>
  <c r="F2800" i="1"/>
  <c r="G2800" i="1"/>
  <c r="I2800" i="1"/>
  <c r="A2801" i="1"/>
  <c r="F2801" i="1"/>
  <c r="G2801" i="1"/>
  <c r="I2801" i="1"/>
  <c r="A2802" i="1"/>
  <c r="F2802" i="1"/>
  <c r="G2802" i="1"/>
  <c r="I2802" i="1"/>
  <c r="A2803" i="1"/>
  <c r="F2803" i="1"/>
  <c r="G2803" i="1"/>
  <c r="I2803" i="1"/>
  <c r="A2804" i="1"/>
  <c r="F2804" i="1"/>
  <c r="G2804" i="1"/>
  <c r="I2804" i="1"/>
  <c r="A2805" i="1"/>
  <c r="F2805" i="1"/>
  <c r="G2805" i="1"/>
  <c r="I2805" i="1"/>
  <c r="A2806" i="1"/>
  <c r="F2806" i="1"/>
  <c r="G2806" i="1"/>
  <c r="I2806" i="1"/>
  <c r="A2807" i="1"/>
  <c r="F2807" i="1"/>
  <c r="G2807" i="1"/>
  <c r="I2807" i="1"/>
  <c r="A2808" i="1"/>
  <c r="F2808" i="1"/>
  <c r="G2808" i="1"/>
  <c r="I2808" i="1"/>
  <c r="A2809" i="1"/>
  <c r="F2809" i="1"/>
  <c r="G2809" i="1"/>
  <c r="I2809" i="1"/>
  <c r="A2810" i="1"/>
  <c r="F2810" i="1"/>
  <c r="G2810" i="1"/>
  <c r="I2810" i="1"/>
  <c r="A2811" i="1"/>
  <c r="F2811" i="1"/>
  <c r="G2811" i="1"/>
  <c r="I2811" i="1"/>
  <c r="A2812" i="1"/>
  <c r="F2812" i="1"/>
  <c r="G2812" i="1"/>
  <c r="I2812" i="1"/>
  <c r="A2813" i="1"/>
  <c r="F2813" i="1"/>
  <c r="G2813" i="1"/>
  <c r="I2813" i="1"/>
  <c r="A2814" i="1"/>
  <c r="F2814" i="1"/>
  <c r="G2814" i="1"/>
  <c r="I2814" i="1"/>
  <c r="A2815" i="1"/>
  <c r="F2815" i="1"/>
  <c r="G2815" i="1"/>
  <c r="I2815" i="1"/>
  <c r="A2816" i="1"/>
  <c r="F2816" i="1"/>
  <c r="G2816" i="1"/>
  <c r="I2816" i="1"/>
  <c r="A2817" i="1"/>
  <c r="F2817" i="1"/>
  <c r="G2817" i="1"/>
  <c r="I2817" i="1"/>
  <c r="A2818" i="1"/>
  <c r="F2818" i="1"/>
  <c r="G2818" i="1"/>
  <c r="I2818" i="1"/>
  <c r="A2819" i="1"/>
  <c r="F2819" i="1"/>
  <c r="G2819" i="1"/>
  <c r="I2819" i="1"/>
  <c r="A2820" i="1"/>
  <c r="F2820" i="1"/>
  <c r="G2820" i="1"/>
  <c r="I2820" i="1"/>
  <c r="A2821" i="1"/>
  <c r="F2821" i="1"/>
  <c r="G2821" i="1"/>
  <c r="I2821" i="1"/>
  <c r="A2822" i="1"/>
  <c r="F2822" i="1"/>
  <c r="G2822" i="1"/>
  <c r="I2822" i="1"/>
  <c r="A2823" i="1"/>
  <c r="F2823" i="1"/>
  <c r="G2823" i="1"/>
  <c r="I2823" i="1"/>
  <c r="A2824" i="1"/>
  <c r="F2824" i="1"/>
  <c r="G2824" i="1"/>
  <c r="I2824" i="1"/>
  <c r="A2825" i="1"/>
  <c r="F2825" i="1"/>
  <c r="G2825" i="1"/>
  <c r="I2825" i="1"/>
  <c r="A2826" i="1"/>
  <c r="F2826" i="1"/>
  <c r="G2826" i="1"/>
  <c r="I2826" i="1"/>
  <c r="A2827" i="1"/>
  <c r="F2827" i="1"/>
  <c r="G2827" i="1"/>
  <c r="I2827" i="1"/>
  <c r="A2828" i="1"/>
  <c r="F2828" i="1"/>
  <c r="G2828" i="1"/>
  <c r="I2828" i="1"/>
  <c r="A2829" i="1"/>
  <c r="F2829" i="1"/>
  <c r="G2829" i="1"/>
  <c r="I2829" i="1"/>
  <c r="A2830" i="1"/>
  <c r="F2830" i="1"/>
  <c r="G2830" i="1"/>
  <c r="I2830" i="1"/>
  <c r="A2831" i="1"/>
  <c r="F2831" i="1"/>
  <c r="G2831" i="1"/>
  <c r="I2831" i="1"/>
  <c r="A2832" i="1"/>
  <c r="F2832" i="1"/>
  <c r="G2832" i="1"/>
  <c r="I2832" i="1"/>
  <c r="A2833" i="1"/>
  <c r="F2833" i="1"/>
  <c r="G2833" i="1"/>
  <c r="I2833" i="1"/>
  <c r="A2834" i="1"/>
  <c r="F2834" i="1"/>
  <c r="G2834" i="1"/>
  <c r="I2834" i="1"/>
  <c r="A2835" i="1"/>
  <c r="F2835" i="1"/>
  <c r="G2835" i="1"/>
  <c r="I2835" i="1"/>
  <c r="A2836" i="1"/>
  <c r="F2836" i="1"/>
  <c r="G2836" i="1"/>
  <c r="I2836" i="1"/>
  <c r="A2837" i="1"/>
  <c r="F2837" i="1"/>
  <c r="G2837" i="1"/>
  <c r="I2837" i="1"/>
  <c r="A2838" i="1"/>
  <c r="F2838" i="1"/>
  <c r="G2838" i="1"/>
  <c r="I2838" i="1"/>
  <c r="A2839" i="1"/>
  <c r="F2839" i="1"/>
  <c r="G2839" i="1"/>
  <c r="I2839" i="1"/>
  <c r="A2840" i="1"/>
  <c r="F2840" i="1"/>
  <c r="G2840" i="1"/>
  <c r="I2840" i="1"/>
  <c r="A2841" i="1"/>
  <c r="F2841" i="1"/>
  <c r="G2841" i="1"/>
  <c r="I2841" i="1"/>
  <c r="A2842" i="1"/>
  <c r="F2842" i="1"/>
  <c r="G2842" i="1"/>
  <c r="I2842" i="1"/>
  <c r="A2843" i="1"/>
  <c r="F2843" i="1"/>
  <c r="G2843" i="1"/>
  <c r="I2843" i="1"/>
  <c r="A2844" i="1"/>
  <c r="F2844" i="1"/>
  <c r="G2844" i="1"/>
  <c r="I2844" i="1"/>
  <c r="A2845" i="1"/>
  <c r="F2845" i="1"/>
  <c r="G2845" i="1"/>
  <c r="I2845" i="1"/>
  <c r="A2846" i="1"/>
  <c r="F2846" i="1"/>
  <c r="G2846" i="1"/>
  <c r="I2846" i="1"/>
  <c r="A2847" i="1"/>
  <c r="F2847" i="1"/>
  <c r="G2847" i="1"/>
  <c r="I2847" i="1"/>
  <c r="A2848" i="1"/>
  <c r="F2848" i="1"/>
  <c r="G2848" i="1"/>
  <c r="I2848" i="1"/>
  <c r="A2849" i="1"/>
  <c r="F2849" i="1"/>
  <c r="G2849" i="1"/>
  <c r="I2849" i="1"/>
  <c r="A2850" i="1"/>
  <c r="F2850" i="1"/>
  <c r="G2850" i="1"/>
  <c r="I2850" i="1"/>
  <c r="A2851" i="1"/>
  <c r="F2851" i="1"/>
  <c r="G2851" i="1"/>
  <c r="I2851" i="1"/>
  <c r="A2852" i="1"/>
  <c r="F2852" i="1"/>
  <c r="G2852" i="1"/>
  <c r="I2852" i="1"/>
  <c r="A2853" i="1"/>
  <c r="F2853" i="1"/>
  <c r="G2853" i="1"/>
  <c r="I2853" i="1"/>
  <c r="A2854" i="1"/>
  <c r="F2854" i="1"/>
  <c r="G2854" i="1"/>
  <c r="I2854" i="1"/>
  <c r="A2855" i="1"/>
  <c r="F2855" i="1"/>
  <c r="G2855" i="1"/>
  <c r="I2855" i="1"/>
  <c r="A2856" i="1"/>
  <c r="F2856" i="1"/>
  <c r="G2856" i="1"/>
  <c r="I2856" i="1"/>
  <c r="A2857" i="1"/>
  <c r="F2857" i="1"/>
  <c r="G2857" i="1"/>
  <c r="I2857" i="1"/>
  <c r="A2858" i="1"/>
  <c r="F2858" i="1"/>
  <c r="G2858" i="1"/>
  <c r="I2858" i="1"/>
  <c r="A2859" i="1"/>
  <c r="F2859" i="1"/>
  <c r="G2859" i="1"/>
  <c r="I2859" i="1"/>
  <c r="A2860" i="1"/>
  <c r="F2860" i="1"/>
  <c r="G2860" i="1"/>
  <c r="I2860" i="1"/>
  <c r="A2861" i="1"/>
  <c r="F2861" i="1"/>
  <c r="G2861" i="1"/>
  <c r="I2861" i="1"/>
  <c r="A2862" i="1"/>
  <c r="F2862" i="1"/>
  <c r="G2862" i="1"/>
  <c r="I2862" i="1"/>
  <c r="A2863" i="1"/>
  <c r="F2863" i="1"/>
  <c r="G2863" i="1"/>
  <c r="I2863" i="1"/>
  <c r="A2864" i="1"/>
  <c r="F2864" i="1"/>
  <c r="G2864" i="1"/>
  <c r="I2864" i="1"/>
  <c r="A2865" i="1"/>
  <c r="F2865" i="1"/>
  <c r="G2865" i="1"/>
  <c r="I2865" i="1"/>
  <c r="A2866" i="1"/>
  <c r="F2866" i="1"/>
  <c r="G2866" i="1"/>
  <c r="I2866" i="1"/>
  <c r="A2867" i="1"/>
  <c r="F2867" i="1"/>
  <c r="G2867" i="1"/>
  <c r="I2867" i="1"/>
  <c r="A2868" i="1"/>
  <c r="F2868" i="1"/>
  <c r="G2868" i="1"/>
  <c r="I2868" i="1"/>
  <c r="A2869" i="1"/>
  <c r="F2869" i="1"/>
  <c r="G2869" i="1"/>
  <c r="I2869" i="1"/>
  <c r="A2870" i="1"/>
  <c r="F2870" i="1"/>
  <c r="G2870" i="1"/>
  <c r="I2870" i="1"/>
  <c r="A2871" i="1"/>
  <c r="F2871" i="1"/>
  <c r="G2871" i="1"/>
  <c r="I2871" i="1"/>
  <c r="A2872" i="1"/>
  <c r="F2872" i="1"/>
  <c r="G2872" i="1"/>
  <c r="I2872" i="1"/>
  <c r="A2873" i="1"/>
  <c r="F2873" i="1"/>
  <c r="G2873" i="1"/>
  <c r="I2873" i="1"/>
  <c r="A2874" i="1"/>
  <c r="F2874" i="1"/>
  <c r="G2874" i="1"/>
  <c r="I2874" i="1"/>
  <c r="A2875" i="1"/>
  <c r="F2875" i="1"/>
  <c r="G2875" i="1"/>
  <c r="I2875" i="1"/>
  <c r="A2876" i="1"/>
  <c r="F2876" i="1"/>
  <c r="G2876" i="1"/>
  <c r="I2876" i="1"/>
  <c r="A2877" i="1"/>
  <c r="F2877" i="1"/>
  <c r="G2877" i="1"/>
  <c r="I2877" i="1"/>
  <c r="A2878" i="1"/>
  <c r="F2878" i="1"/>
  <c r="G2878" i="1"/>
  <c r="I2878" i="1"/>
  <c r="A2879" i="1"/>
  <c r="F2879" i="1"/>
  <c r="G2879" i="1"/>
  <c r="I2879" i="1"/>
  <c r="A2880" i="1"/>
  <c r="F2880" i="1"/>
  <c r="G2880" i="1"/>
  <c r="I2880" i="1"/>
  <c r="A2881" i="1"/>
  <c r="F2881" i="1"/>
  <c r="G2881" i="1"/>
  <c r="I2881" i="1"/>
  <c r="A2882" i="1"/>
  <c r="F2882" i="1"/>
  <c r="G2882" i="1"/>
  <c r="I2882" i="1"/>
  <c r="A2883" i="1"/>
  <c r="F2883" i="1"/>
  <c r="G2883" i="1"/>
  <c r="I2883" i="1"/>
  <c r="A2884" i="1"/>
  <c r="F2884" i="1"/>
  <c r="G2884" i="1"/>
  <c r="I2884" i="1"/>
  <c r="A2885" i="1"/>
  <c r="F2885" i="1"/>
  <c r="G2885" i="1"/>
  <c r="I2885" i="1"/>
  <c r="A2886" i="1"/>
  <c r="F2886" i="1"/>
  <c r="G2886" i="1"/>
  <c r="I2886" i="1"/>
  <c r="A2887" i="1"/>
  <c r="F2887" i="1"/>
  <c r="G2887" i="1"/>
  <c r="I2887" i="1"/>
  <c r="A2888" i="1"/>
  <c r="F2888" i="1"/>
  <c r="G2888" i="1"/>
  <c r="I2888" i="1"/>
  <c r="A2889" i="1"/>
  <c r="F2889" i="1"/>
  <c r="G2889" i="1"/>
  <c r="I2889" i="1"/>
  <c r="A2890" i="1"/>
  <c r="F2890" i="1"/>
  <c r="G2890" i="1"/>
  <c r="I2890" i="1"/>
  <c r="A2891" i="1"/>
  <c r="F2891" i="1"/>
  <c r="G2891" i="1"/>
  <c r="I2891" i="1"/>
  <c r="A2892" i="1"/>
  <c r="F2892" i="1"/>
  <c r="G2892" i="1"/>
  <c r="I2892" i="1"/>
  <c r="A2893" i="1"/>
  <c r="F2893" i="1"/>
  <c r="G2893" i="1"/>
  <c r="I2893" i="1"/>
  <c r="A2894" i="1"/>
  <c r="F2894" i="1"/>
  <c r="G2894" i="1"/>
  <c r="I2894" i="1"/>
  <c r="A2895" i="1"/>
  <c r="F2895" i="1"/>
  <c r="G2895" i="1"/>
  <c r="I2895" i="1"/>
  <c r="A2896" i="1"/>
  <c r="F2896" i="1"/>
  <c r="G2896" i="1"/>
  <c r="I2896" i="1"/>
  <c r="A2897" i="1"/>
  <c r="F2897" i="1"/>
  <c r="G2897" i="1"/>
  <c r="I2897" i="1"/>
  <c r="A2898" i="1"/>
  <c r="F2898" i="1"/>
  <c r="G2898" i="1"/>
  <c r="I2898" i="1"/>
  <c r="A2899" i="1"/>
  <c r="F2899" i="1"/>
  <c r="G2899" i="1"/>
  <c r="I2899" i="1"/>
  <c r="A2900" i="1"/>
  <c r="F2900" i="1"/>
  <c r="G2900" i="1"/>
  <c r="I2900" i="1"/>
  <c r="A2901" i="1"/>
  <c r="F2901" i="1"/>
  <c r="G2901" i="1"/>
  <c r="I2901" i="1"/>
  <c r="A2902" i="1"/>
  <c r="F2902" i="1"/>
  <c r="G2902" i="1"/>
  <c r="I2902" i="1"/>
  <c r="A2903" i="1"/>
  <c r="F2903" i="1"/>
  <c r="G2903" i="1"/>
  <c r="I2903" i="1"/>
  <c r="A2904" i="1"/>
  <c r="F2904" i="1"/>
  <c r="G2904" i="1"/>
  <c r="I2904" i="1"/>
  <c r="A2905" i="1"/>
  <c r="F2905" i="1"/>
  <c r="G2905" i="1"/>
  <c r="I2905" i="1"/>
  <c r="A2906" i="1"/>
  <c r="F2906" i="1"/>
  <c r="G2906" i="1"/>
  <c r="I2906" i="1"/>
  <c r="A2907" i="1"/>
  <c r="F2907" i="1"/>
  <c r="G2907" i="1"/>
  <c r="I2907" i="1"/>
  <c r="A2908" i="1"/>
  <c r="F2908" i="1"/>
  <c r="G2908" i="1"/>
  <c r="I2908" i="1"/>
  <c r="A2909" i="1"/>
  <c r="F2909" i="1"/>
  <c r="G2909" i="1"/>
  <c r="I2909" i="1"/>
  <c r="A2910" i="1"/>
  <c r="F2910" i="1"/>
  <c r="G2910" i="1"/>
  <c r="I2910" i="1"/>
  <c r="A2911" i="1"/>
  <c r="F2911" i="1"/>
  <c r="G2911" i="1"/>
  <c r="I2911" i="1"/>
  <c r="A2912" i="1"/>
  <c r="F2912" i="1"/>
  <c r="G2912" i="1"/>
  <c r="I2912" i="1"/>
  <c r="A2913" i="1"/>
  <c r="F2913" i="1"/>
  <c r="G2913" i="1"/>
  <c r="I2913" i="1"/>
  <c r="A2914" i="1"/>
  <c r="F2914" i="1"/>
  <c r="G2914" i="1"/>
  <c r="I2914" i="1"/>
  <c r="A2915" i="1"/>
  <c r="F2915" i="1"/>
  <c r="G2915" i="1"/>
  <c r="I2915" i="1"/>
  <c r="A2916" i="1"/>
  <c r="F2916" i="1"/>
  <c r="G2916" i="1"/>
  <c r="I2916" i="1"/>
  <c r="A2917" i="1"/>
  <c r="F2917" i="1"/>
  <c r="G2917" i="1"/>
  <c r="I2917" i="1"/>
  <c r="A2918" i="1"/>
  <c r="F2918" i="1"/>
  <c r="G2918" i="1"/>
  <c r="I2918" i="1"/>
  <c r="A2919" i="1"/>
  <c r="F2919" i="1"/>
  <c r="G2919" i="1"/>
  <c r="I2919" i="1"/>
  <c r="A2920" i="1"/>
  <c r="F2920" i="1"/>
  <c r="G2920" i="1"/>
  <c r="I2920" i="1"/>
  <c r="A2921" i="1"/>
  <c r="F2921" i="1"/>
  <c r="G2921" i="1"/>
  <c r="I2921" i="1"/>
  <c r="A2922" i="1"/>
  <c r="F2922" i="1"/>
  <c r="G2922" i="1"/>
  <c r="I2922" i="1"/>
  <c r="A2923" i="1"/>
  <c r="F2923" i="1"/>
  <c r="G2923" i="1"/>
  <c r="I2923" i="1"/>
  <c r="A2924" i="1"/>
  <c r="F2924" i="1"/>
  <c r="G2924" i="1"/>
  <c r="I2924" i="1"/>
  <c r="A2925" i="1"/>
  <c r="F2925" i="1"/>
  <c r="G2925" i="1"/>
  <c r="I2925" i="1"/>
  <c r="A2926" i="1"/>
  <c r="F2926" i="1"/>
  <c r="G2926" i="1"/>
  <c r="I2926" i="1"/>
  <c r="A2927" i="1"/>
  <c r="F2927" i="1"/>
  <c r="G2927" i="1"/>
  <c r="I2927" i="1"/>
  <c r="A2928" i="1"/>
  <c r="F2928" i="1"/>
  <c r="G2928" i="1"/>
  <c r="I2928" i="1"/>
  <c r="A2929" i="1"/>
  <c r="F2929" i="1"/>
  <c r="G2929" i="1"/>
  <c r="I2929" i="1"/>
  <c r="A2930" i="1"/>
  <c r="F2930" i="1"/>
  <c r="G2930" i="1"/>
  <c r="I2930" i="1"/>
  <c r="A2931" i="1"/>
  <c r="F2931" i="1"/>
  <c r="G2931" i="1"/>
  <c r="I2931" i="1"/>
  <c r="A2932" i="1"/>
  <c r="F2932" i="1"/>
  <c r="G2932" i="1"/>
  <c r="I2932" i="1"/>
  <c r="A2933" i="1"/>
  <c r="F2933" i="1"/>
  <c r="G2933" i="1"/>
  <c r="I2933" i="1"/>
  <c r="A2934" i="1"/>
  <c r="F2934" i="1"/>
  <c r="G2934" i="1"/>
  <c r="I2934" i="1"/>
  <c r="A2935" i="1"/>
  <c r="F2935" i="1"/>
  <c r="G2935" i="1"/>
  <c r="I2935" i="1"/>
  <c r="A2936" i="1"/>
  <c r="F2936" i="1"/>
  <c r="G2936" i="1"/>
  <c r="I2936" i="1"/>
  <c r="A2937" i="1"/>
  <c r="F2937" i="1"/>
  <c r="G2937" i="1"/>
  <c r="I2937" i="1"/>
  <c r="A2938" i="1"/>
  <c r="F2938" i="1"/>
  <c r="G2938" i="1"/>
  <c r="I2938" i="1"/>
  <c r="A2939" i="1"/>
  <c r="F2939" i="1"/>
  <c r="G2939" i="1"/>
  <c r="I2939" i="1"/>
  <c r="A2940" i="1"/>
  <c r="F2940" i="1"/>
  <c r="G2940" i="1"/>
  <c r="I2940" i="1"/>
  <c r="A2941" i="1"/>
  <c r="F2941" i="1"/>
  <c r="G2941" i="1"/>
  <c r="I2941" i="1"/>
  <c r="A2942" i="1"/>
  <c r="F2942" i="1"/>
  <c r="G2942" i="1"/>
  <c r="I2942" i="1"/>
  <c r="A2943" i="1"/>
  <c r="F2943" i="1"/>
  <c r="G2943" i="1"/>
  <c r="I2943" i="1"/>
  <c r="A2944" i="1"/>
  <c r="F2944" i="1"/>
  <c r="G2944" i="1"/>
  <c r="I2944" i="1"/>
  <c r="A2945" i="1"/>
  <c r="F2945" i="1"/>
  <c r="G2945" i="1"/>
  <c r="I2945" i="1"/>
  <c r="A2946" i="1"/>
  <c r="F2946" i="1"/>
  <c r="G2946" i="1"/>
  <c r="I2946" i="1"/>
  <c r="A2947" i="1"/>
  <c r="F2947" i="1"/>
  <c r="G2947" i="1"/>
  <c r="I2947" i="1"/>
  <c r="A2948" i="1"/>
  <c r="F2948" i="1"/>
  <c r="G2948" i="1"/>
  <c r="I2948" i="1"/>
  <c r="A2949" i="1"/>
  <c r="F2949" i="1"/>
  <c r="G2949" i="1"/>
  <c r="I2949" i="1"/>
  <c r="A2950" i="1"/>
  <c r="F2950" i="1"/>
  <c r="G2950" i="1"/>
  <c r="I2950" i="1"/>
  <c r="A2951" i="1"/>
  <c r="F2951" i="1"/>
  <c r="G2951" i="1"/>
  <c r="I2951" i="1"/>
  <c r="A2952" i="1"/>
  <c r="F2952" i="1"/>
  <c r="G2952" i="1"/>
  <c r="I2952" i="1"/>
  <c r="A2953" i="1"/>
  <c r="F2953" i="1"/>
  <c r="G2953" i="1"/>
  <c r="I2953" i="1"/>
  <c r="A2954" i="1"/>
  <c r="F2954" i="1"/>
  <c r="G2954" i="1"/>
  <c r="I2954" i="1"/>
  <c r="A2955" i="1"/>
  <c r="F2955" i="1"/>
  <c r="G2955" i="1"/>
  <c r="I2955" i="1"/>
  <c r="A2956" i="1"/>
  <c r="F2956" i="1"/>
  <c r="G2956" i="1"/>
  <c r="I2956" i="1"/>
  <c r="A2957" i="1"/>
  <c r="F2957" i="1"/>
  <c r="G2957" i="1"/>
  <c r="I2957" i="1"/>
  <c r="A2958" i="1"/>
  <c r="F2958" i="1"/>
  <c r="G2958" i="1"/>
  <c r="I2958" i="1"/>
  <c r="A2959" i="1"/>
  <c r="F2959" i="1"/>
  <c r="G2959" i="1"/>
  <c r="I2959" i="1"/>
  <c r="A2960" i="1"/>
  <c r="F2960" i="1"/>
  <c r="G2960" i="1"/>
  <c r="I2960" i="1"/>
  <c r="A2961" i="1"/>
  <c r="F2961" i="1"/>
  <c r="G2961" i="1"/>
  <c r="I2961" i="1"/>
  <c r="A2962" i="1"/>
  <c r="F2962" i="1"/>
  <c r="G2962" i="1"/>
  <c r="I2962" i="1"/>
  <c r="A2963" i="1"/>
  <c r="F2963" i="1"/>
  <c r="G2963" i="1"/>
  <c r="I2963" i="1"/>
  <c r="A2964" i="1"/>
  <c r="F2964" i="1"/>
  <c r="G2964" i="1"/>
  <c r="I2964" i="1"/>
  <c r="A2965" i="1"/>
  <c r="F2965" i="1"/>
  <c r="G2965" i="1"/>
  <c r="I2965" i="1"/>
  <c r="A2966" i="1"/>
  <c r="F2966" i="1"/>
  <c r="G2966" i="1"/>
  <c r="I2966" i="1"/>
  <c r="A2967" i="1"/>
  <c r="F2967" i="1"/>
  <c r="G2967" i="1"/>
  <c r="I2967" i="1"/>
  <c r="A2968" i="1"/>
  <c r="F2968" i="1"/>
  <c r="G2968" i="1"/>
  <c r="I2968" i="1"/>
  <c r="A2969" i="1"/>
  <c r="F2969" i="1"/>
  <c r="G2969" i="1"/>
  <c r="I2969" i="1"/>
  <c r="A2970" i="1"/>
  <c r="F2970" i="1"/>
  <c r="G2970" i="1"/>
  <c r="I2970" i="1"/>
  <c r="A2971" i="1"/>
  <c r="F2971" i="1"/>
  <c r="G2971" i="1"/>
  <c r="I2971" i="1"/>
  <c r="A2972" i="1"/>
  <c r="F2972" i="1"/>
  <c r="G2972" i="1"/>
  <c r="I2972" i="1"/>
  <c r="A2973" i="1"/>
  <c r="F2973" i="1"/>
  <c r="G2973" i="1"/>
  <c r="I2973" i="1"/>
  <c r="A2974" i="1"/>
  <c r="F2974" i="1"/>
  <c r="G2974" i="1"/>
  <c r="I2974" i="1"/>
  <c r="A2975" i="1"/>
  <c r="F2975" i="1"/>
  <c r="G2975" i="1"/>
  <c r="I2975" i="1"/>
  <c r="A2976" i="1"/>
  <c r="F2976" i="1"/>
  <c r="G2976" i="1"/>
  <c r="I2976" i="1"/>
  <c r="A2977" i="1"/>
  <c r="F2977" i="1"/>
  <c r="G2977" i="1"/>
  <c r="I2977" i="1"/>
  <c r="A2978" i="1"/>
  <c r="F2978" i="1"/>
  <c r="G2978" i="1"/>
  <c r="I2978" i="1"/>
  <c r="A2979" i="1"/>
  <c r="F2979" i="1"/>
  <c r="G2979" i="1"/>
  <c r="I2979" i="1"/>
  <c r="A2980" i="1"/>
  <c r="F2980" i="1"/>
  <c r="G2980" i="1"/>
  <c r="I2980" i="1"/>
  <c r="A2981" i="1"/>
  <c r="F2981" i="1"/>
  <c r="G2981" i="1"/>
  <c r="I2981" i="1"/>
  <c r="A2982" i="1"/>
  <c r="F2982" i="1"/>
  <c r="G2982" i="1"/>
  <c r="I2982" i="1"/>
  <c r="A2983" i="1"/>
  <c r="F2983" i="1"/>
  <c r="G2983" i="1"/>
  <c r="I2983" i="1"/>
  <c r="A2984" i="1"/>
  <c r="F2984" i="1"/>
  <c r="G2984" i="1"/>
  <c r="I2984" i="1"/>
  <c r="A2985" i="1"/>
  <c r="F2985" i="1"/>
  <c r="G2985" i="1"/>
  <c r="I2985" i="1"/>
  <c r="A2986" i="1"/>
  <c r="F2986" i="1"/>
  <c r="G2986" i="1"/>
  <c r="I2986" i="1"/>
  <c r="A2987" i="1"/>
  <c r="F2987" i="1"/>
  <c r="G2987" i="1"/>
  <c r="I2987" i="1"/>
  <c r="A2988" i="1"/>
  <c r="F2988" i="1"/>
  <c r="G2988" i="1"/>
  <c r="I2988" i="1"/>
  <c r="A2989" i="1"/>
  <c r="F2989" i="1"/>
  <c r="G2989" i="1"/>
  <c r="I2989" i="1"/>
  <c r="A2990" i="1"/>
  <c r="F2990" i="1"/>
  <c r="G2990" i="1"/>
  <c r="I2990" i="1"/>
  <c r="A2991" i="1"/>
  <c r="F2991" i="1"/>
  <c r="G2991" i="1"/>
  <c r="I2991" i="1"/>
  <c r="A2992" i="1"/>
  <c r="F2992" i="1"/>
  <c r="G2992" i="1"/>
  <c r="I2992" i="1"/>
  <c r="A2993" i="1"/>
  <c r="F2993" i="1"/>
  <c r="G2993" i="1"/>
  <c r="I2993" i="1"/>
  <c r="A2994" i="1"/>
  <c r="F2994" i="1"/>
  <c r="G2994" i="1"/>
  <c r="I2994" i="1"/>
  <c r="A2995" i="1"/>
  <c r="F2995" i="1"/>
  <c r="G2995" i="1"/>
  <c r="I2995" i="1"/>
  <c r="A2996" i="1"/>
  <c r="F2996" i="1"/>
  <c r="G2996" i="1"/>
  <c r="I2996" i="1"/>
  <c r="A2997" i="1"/>
  <c r="F2997" i="1"/>
  <c r="G2997" i="1"/>
  <c r="I2997" i="1"/>
  <c r="A2998" i="1"/>
  <c r="F2998" i="1"/>
  <c r="G2998" i="1"/>
  <c r="I2998" i="1"/>
  <c r="A2999" i="1"/>
  <c r="F2999" i="1"/>
  <c r="G2999" i="1"/>
  <c r="I2999" i="1"/>
  <c r="A3000" i="1"/>
  <c r="F3000" i="1"/>
  <c r="G3000" i="1"/>
  <c r="I3000" i="1"/>
  <c r="A3001" i="1"/>
  <c r="F3001" i="1"/>
  <c r="G3001" i="1"/>
  <c r="I3001" i="1"/>
  <c r="A3002" i="1"/>
  <c r="F3002" i="1"/>
  <c r="G3002" i="1"/>
  <c r="I3002" i="1"/>
  <c r="A3003" i="1"/>
  <c r="F3003" i="1"/>
  <c r="G3003" i="1"/>
  <c r="I3003" i="1"/>
  <c r="A3004" i="1"/>
  <c r="F3004" i="1"/>
  <c r="G3004" i="1"/>
  <c r="I3004" i="1"/>
  <c r="A3005" i="1"/>
  <c r="F3005" i="1"/>
  <c r="G3005" i="1"/>
  <c r="I3005" i="1"/>
  <c r="A3006" i="1"/>
  <c r="F3006" i="1"/>
  <c r="G3006" i="1"/>
  <c r="I3006" i="1"/>
  <c r="A3007" i="1"/>
  <c r="F3007" i="1"/>
  <c r="G3007" i="1"/>
  <c r="I3007" i="1"/>
  <c r="A3008" i="1"/>
  <c r="F3008" i="1"/>
  <c r="G3008" i="1"/>
  <c r="I3008" i="1"/>
  <c r="A3009" i="1"/>
  <c r="F3009" i="1"/>
  <c r="G3009" i="1"/>
  <c r="I3009" i="1"/>
  <c r="A3010" i="1"/>
  <c r="F3010" i="1"/>
  <c r="G3010" i="1"/>
  <c r="I3010" i="1"/>
  <c r="A3011" i="1"/>
  <c r="F3011" i="1"/>
  <c r="G3011" i="1"/>
  <c r="I3011" i="1"/>
  <c r="A3012" i="1"/>
  <c r="F3012" i="1"/>
  <c r="G3012" i="1"/>
  <c r="I3012" i="1"/>
  <c r="A3013" i="1"/>
  <c r="F3013" i="1"/>
  <c r="G3013" i="1"/>
  <c r="I3013" i="1"/>
  <c r="A3014" i="1"/>
  <c r="F3014" i="1"/>
  <c r="G3014" i="1"/>
  <c r="I3014" i="1"/>
  <c r="A3015" i="1"/>
  <c r="F3015" i="1"/>
  <c r="G3015" i="1"/>
  <c r="I3015" i="1"/>
  <c r="A3016" i="1"/>
  <c r="F3016" i="1"/>
  <c r="G3016" i="1"/>
  <c r="I3016" i="1"/>
  <c r="A3017" i="1"/>
  <c r="F3017" i="1"/>
  <c r="G3017" i="1"/>
  <c r="I3017" i="1"/>
  <c r="A3018" i="1"/>
  <c r="F3018" i="1"/>
  <c r="G3018" i="1"/>
  <c r="I3018" i="1"/>
  <c r="A3019" i="1"/>
  <c r="F3019" i="1"/>
  <c r="G3019" i="1"/>
  <c r="I3019" i="1"/>
  <c r="A3020" i="1"/>
  <c r="F3020" i="1"/>
  <c r="G3020" i="1"/>
  <c r="I3020" i="1"/>
  <c r="A3021" i="1"/>
  <c r="F3021" i="1"/>
  <c r="G3021" i="1"/>
  <c r="I3021" i="1"/>
  <c r="A3022" i="1"/>
  <c r="F3022" i="1"/>
  <c r="G3022" i="1"/>
  <c r="I3022" i="1"/>
  <c r="A3023" i="1"/>
  <c r="F3023" i="1"/>
  <c r="G3023" i="1"/>
  <c r="I3023" i="1"/>
  <c r="A3024" i="1"/>
  <c r="F3024" i="1"/>
  <c r="G3024" i="1"/>
  <c r="I3024" i="1"/>
  <c r="A3025" i="1"/>
  <c r="F3025" i="1"/>
  <c r="G3025" i="1"/>
  <c r="I3025" i="1"/>
  <c r="A3026" i="1"/>
  <c r="F3026" i="1"/>
  <c r="G3026" i="1"/>
  <c r="I3026" i="1"/>
  <c r="A3027" i="1"/>
  <c r="F3027" i="1"/>
  <c r="G3027" i="1"/>
  <c r="I3027" i="1"/>
  <c r="A3028" i="1"/>
  <c r="F3028" i="1"/>
  <c r="G3028" i="1"/>
  <c r="I3028" i="1"/>
  <c r="A3029" i="1"/>
  <c r="F3029" i="1"/>
  <c r="G3029" i="1"/>
  <c r="I3029" i="1"/>
  <c r="A3030" i="1"/>
  <c r="F3030" i="1"/>
  <c r="G3030" i="1"/>
  <c r="I3030" i="1"/>
  <c r="A3031" i="1"/>
  <c r="F3031" i="1"/>
  <c r="G3031" i="1"/>
  <c r="I3031" i="1"/>
  <c r="A3032" i="1"/>
  <c r="F3032" i="1"/>
  <c r="G3032" i="1"/>
  <c r="I3032" i="1"/>
  <c r="A3033" i="1"/>
  <c r="F3033" i="1"/>
  <c r="G3033" i="1"/>
  <c r="I3033" i="1"/>
  <c r="A3034" i="1"/>
  <c r="F3034" i="1"/>
  <c r="G3034" i="1"/>
  <c r="I3034" i="1"/>
  <c r="A3035" i="1"/>
  <c r="F3035" i="1"/>
  <c r="G3035" i="1"/>
  <c r="I3035" i="1"/>
  <c r="A3036" i="1"/>
  <c r="F3036" i="1"/>
  <c r="G3036" i="1"/>
  <c r="I3036" i="1"/>
  <c r="A3037" i="1"/>
  <c r="F3037" i="1"/>
  <c r="G3037" i="1"/>
  <c r="I3037" i="1"/>
  <c r="A3038" i="1"/>
  <c r="F3038" i="1"/>
  <c r="G3038" i="1"/>
  <c r="I3038" i="1"/>
  <c r="A3039" i="1"/>
  <c r="F3039" i="1"/>
  <c r="G3039" i="1"/>
  <c r="I3039" i="1"/>
  <c r="A3040" i="1"/>
  <c r="F3040" i="1"/>
  <c r="G3040" i="1"/>
  <c r="I3040" i="1"/>
  <c r="A3041" i="1"/>
  <c r="F3041" i="1"/>
  <c r="G3041" i="1"/>
  <c r="I3041" i="1"/>
  <c r="A3042" i="1"/>
  <c r="F3042" i="1"/>
  <c r="G3042" i="1"/>
  <c r="I3042" i="1"/>
  <c r="A3043" i="1"/>
  <c r="F3043" i="1"/>
  <c r="G3043" i="1"/>
  <c r="I3043" i="1"/>
  <c r="A3044" i="1"/>
  <c r="F3044" i="1"/>
  <c r="G3044" i="1"/>
  <c r="I3044" i="1"/>
  <c r="A3045" i="1"/>
  <c r="F3045" i="1"/>
  <c r="G3045" i="1"/>
  <c r="I3045" i="1"/>
  <c r="A3046" i="1"/>
  <c r="F3046" i="1"/>
  <c r="G3046" i="1"/>
  <c r="I3046" i="1"/>
  <c r="A3047" i="1"/>
  <c r="F3047" i="1"/>
  <c r="G3047" i="1"/>
  <c r="I3047" i="1"/>
  <c r="A3048" i="1"/>
  <c r="F3048" i="1"/>
  <c r="G3048" i="1"/>
  <c r="I3048" i="1"/>
  <c r="A3049" i="1"/>
  <c r="F3049" i="1"/>
  <c r="G3049" i="1"/>
  <c r="I3049" i="1"/>
  <c r="A3050" i="1"/>
  <c r="F3050" i="1"/>
  <c r="G3050" i="1"/>
  <c r="I3050" i="1"/>
  <c r="A3051" i="1"/>
  <c r="F3051" i="1"/>
  <c r="G3051" i="1"/>
  <c r="I3051" i="1"/>
  <c r="A3052" i="1"/>
  <c r="F3052" i="1"/>
  <c r="G3052" i="1"/>
  <c r="I3052" i="1"/>
  <c r="A3053" i="1"/>
  <c r="F3053" i="1"/>
  <c r="G3053" i="1"/>
  <c r="I3053" i="1"/>
  <c r="A3054" i="1"/>
  <c r="F3054" i="1"/>
  <c r="G3054" i="1"/>
  <c r="I3054" i="1"/>
  <c r="A3055" i="1"/>
  <c r="F3055" i="1"/>
  <c r="G3055" i="1"/>
  <c r="I3055" i="1"/>
  <c r="A3056" i="1"/>
  <c r="F3056" i="1"/>
  <c r="G3056" i="1"/>
  <c r="I3056" i="1"/>
  <c r="A3057" i="1"/>
  <c r="F3057" i="1"/>
  <c r="G3057" i="1"/>
  <c r="I3057" i="1"/>
  <c r="A3058" i="1"/>
  <c r="F3058" i="1"/>
  <c r="G3058" i="1"/>
  <c r="I3058" i="1"/>
  <c r="A3059" i="1"/>
  <c r="F3059" i="1"/>
  <c r="G3059" i="1"/>
  <c r="I3059" i="1"/>
  <c r="A3060" i="1"/>
  <c r="F3060" i="1"/>
  <c r="G3060" i="1"/>
  <c r="I3060" i="1"/>
  <c r="A3061" i="1"/>
  <c r="F3061" i="1"/>
  <c r="G3061" i="1"/>
  <c r="I3061" i="1"/>
  <c r="A3062" i="1"/>
  <c r="F3062" i="1"/>
  <c r="G3062" i="1"/>
  <c r="I3062" i="1"/>
  <c r="A3063" i="1"/>
  <c r="F3063" i="1"/>
  <c r="G3063" i="1"/>
  <c r="I3063" i="1"/>
  <c r="A3064" i="1"/>
  <c r="F3064" i="1"/>
  <c r="G3064" i="1"/>
  <c r="I3064" i="1"/>
  <c r="A3065" i="1"/>
  <c r="F3065" i="1"/>
  <c r="G3065" i="1"/>
  <c r="I3065" i="1"/>
  <c r="A3066" i="1"/>
  <c r="F3066" i="1"/>
  <c r="G3066" i="1"/>
  <c r="I3066" i="1"/>
  <c r="A3067" i="1"/>
  <c r="F3067" i="1"/>
  <c r="G3067" i="1"/>
  <c r="I3067" i="1"/>
  <c r="A3068" i="1"/>
  <c r="F3068" i="1"/>
  <c r="G3068" i="1"/>
  <c r="I3068" i="1"/>
  <c r="A3069" i="1"/>
  <c r="F3069" i="1"/>
  <c r="G3069" i="1"/>
  <c r="I3069" i="1"/>
  <c r="A3070" i="1"/>
  <c r="F3070" i="1"/>
  <c r="G3070" i="1"/>
  <c r="I3070" i="1"/>
  <c r="A3071" i="1"/>
  <c r="F3071" i="1"/>
  <c r="G3071" i="1"/>
  <c r="I3071" i="1"/>
  <c r="A3072" i="1"/>
  <c r="F3072" i="1"/>
  <c r="G3072" i="1"/>
  <c r="I3072" i="1"/>
  <c r="A3073" i="1"/>
  <c r="F3073" i="1"/>
  <c r="G3073" i="1"/>
  <c r="I3073" i="1"/>
  <c r="A3074" i="1"/>
  <c r="F3074" i="1"/>
  <c r="G3074" i="1"/>
  <c r="I3074" i="1"/>
  <c r="A3075" i="1"/>
  <c r="F3075" i="1"/>
  <c r="G3075" i="1"/>
  <c r="I3075" i="1"/>
  <c r="A3076" i="1"/>
  <c r="F3076" i="1"/>
  <c r="G3076" i="1"/>
  <c r="I3076" i="1"/>
  <c r="A3077" i="1"/>
  <c r="F3077" i="1"/>
  <c r="G3077" i="1"/>
  <c r="I3077" i="1"/>
  <c r="A3078" i="1"/>
  <c r="F3078" i="1"/>
  <c r="G3078" i="1"/>
  <c r="I3078" i="1"/>
  <c r="A3079" i="1"/>
  <c r="F3079" i="1"/>
  <c r="G3079" i="1"/>
  <c r="I3079" i="1"/>
  <c r="A3080" i="1"/>
  <c r="F3080" i="1"/>
  <c r="G3080" i="1"/>
  <c r="I3080" i="1"/>
  <c r="A3081" i="1"/>
  <c r="F3081" i="1"/>
  <c r="G3081" i="1"/>
  <c r="I3081" i="1"/>
  <c r="A3082" i="1"/>
  <c r="F3082" i="1"/>
  <c r="G3082" i="1"/>
  <c r="I3082" i="1"/>
  <c r="A3083" i="1"/>
  <c r="F3083" i="1"/>
  <c r="G3083" i="1"/>
  <c r="I3083" i="1"/>
  <c r="A3084" i="1"/>
  <c r="F3084" i="1"/>
  <c r="G3084" i="1"/>
  <c r="I3084" i="1"/>
  <c r="A3085" i="1"/>
  <c r="F3085" i="1"/>
  <c r="G3085" i="1"/>
  <c r="I3085" i="1"/>
  <c r="A3086" i="1"/>
  <c r="F3086" i="1"/>
  <c r="G3086" i="1"/>
  <c r="I3086" i="1"/>
  <c r="A3087" i="1"/>
  <c r="F3087" i="1"/>
  <c r="G3087" i="1"/>
  <c r="I3087" i="1"/>
  <c r="A3088" i="1"/>
  <c r="F3088" i="1"/>
  <c r="G3088" i="1"/>
  <c r="I3088" i="1"/>
  <c r="A3089" i="1"/>
  <c r="F3089" i="1"/>
  <c r="G3089" i="1"/>
  <c r="I3089" i="1"/>
  <c r="A3090" i="1"/>
  <c r="F3090" i="1"/>
  <c r="G3090" i="1"/>
  <c r="I3090" i="1"/>
  <c r="A3091" i="1"/>
  <c r="F3091" i="1"/>
  <c r="G3091" i="1"/>
  <c r="I3091" i="1"/>
  <c r="A3092" i="1"/>
  <c r="F3092" i="1"/>
  <c r="G3092" i="1"/>
  <c r="I3092" i="1"/>
  <c r="A3093" i="1"/>
  <c r="F3093" i="1"/>
  <c r="G3093" i="1"/>
  <c r="I3093" i="1"/>
  <c r="A3094" i="1"/>
  <c r="F3094" i="1"/>
  <c r="G3094" i="1"/>
  <c r="I3094" i="1"/>
  <c r="A3095" i="1"/>
  <c r="F3095" i="1"/>
  <c r="G3095" i="1"/>
  <c r="I3095" i="1"/>
  <c r="A3096" i="1"/>
  <c r="F3096" i="1"/>
  <c r="G3096" i="1"/>
  <c r="I3096" i="1"/>
  <c r="A3097" i="1"/>
  <c r="F3097" i="1"/>
  <c r="G3097" i="1"/>
  <c r="I3097" i="1"/>
  <c r="A3098" i="1"/>
  <c r="F3098" i="1"/>
  <c r="G3098" i="1"/>
  <c r="I3098" i="1"/>
  <c r="A3099" i="1"/>
  <c r="F3099" i="1"/>
  <c r="G3099" i="1"/>
  <c r="I3099" i="1"/>
  <c r="A3100" i="1"/>
  <c r="F3100" i="1"/>
  <c r="G3100" i="1"/>
  <c r="I3100" i="1"/>
  <c r="A3101" i="1"/>
  <c r="F3101" i="1"/>
  <c r="G3101" i="1"/>
  <c r="I3101" i="1"/>
  <c r="A3102" i="1"/>
  <c r="F3102" i="1"/>
  <c r="G3102" i="1"/>
  <c r="I3102" i="1"/>
  <c r="A3103" i="1"/>
  <c r="F3103" i="1"/>
  <c r="G3103" i="1"/>
  <c r="I3103" i="1"/>
  <c r="A3104" i="1"/>
  <c r="F3104" i="1"/>
  <c r="G3104" i="1"/>
  <c r="I3104" i="1"/>
  <c r="A3105" i="1"/>
  <c r="F3105" i="1"/>
  <c r="G3105" i="1"/>
  <c r="I3105" i="1"/>
  <c r="A3106" i="1"/>
  <c r="F3106" i="1"/>
  <c r="G3106" i="1"/>
  <c r="I3106" i="1"/>
  <c r="A3107" i="1"/>
  <c r="F3107" i="1"/>
  <c r="G3107" i="1"/>
  <c r="I3107" i="1"/>
  <c r="A3108" i="1"/>
  <c r="F3108" i="1"/>
  <c r="G3108" i="1"/>
  <c r="I3108" i="1"/>
  <c r="A3109" i="1"/>
  <c r="F3109" i="1"/>
  <c r="G3109" i="1"/>
  <c r="I3109" i="1"/>
  <c r="A3110" i="1"/>
  <c r="F3110" i="1"/>
  <c r="G3110" i="1"/>
  <c r="I3110" i="1"/>
  <c r="A3111" i="1"/>
  <c r="F3111" i="1"/>
  <c r="G3111" i="1"/>
  <c r="I3111" i="1"/>
  <c r="A3112" i="1"/>
  <c r="F3112" i="1"/>
  <c r="G3112" i="1"/>
  <c r="I3112" i="1"/>
  <c r="A3113" i="1"/>
  <c r="F3113" i="1"/>
  <c r="G3113" i="1"/>
  <c r="I3113" i="1"/>
  <c r="A3114" i="1"/>
  <c r="F3114" i="1"/>
  <c r="G3114" i="1"/>
  <c r="I3114" i="1"/>
  <c r="A3115" i="1"/>
  <c r="F3115" i="1"/>
  <c r="G3115" i="1"/>
  <c r="I3115" i="1"/>
  <c r="A3116" i="1"/>
  <c r="F3116" i="1"/>
  <c r="G3116" i="1"/>
  <c r="I3116" i="1"/>
  <c r="A3117" i="1"/>
  <c r="F3117" i="1"/>
  <c r="G3117" i="1"/>
  <c r="I3117" i="1"/>
  <c r="A3118" i="1"/>
  <c r="F3118" i="1"/>
  <c r="G3118" i="1"/>
  <c r="I3118" i="1"/>
  <c r="A3119" i="1"/>
  <c r="F3119" i="1"/>
  <c r="G3119" i="1"/>
  <c r="I3119" i="1"/>
  <c r="A3120" i="1"/>
  <c r="F3120" i="1"/>
  <c r="G3120" i="1"/>
  <c r="I3120" i="1"/>
  <c r="A3121" i="1"/>
  <c r="F3121" i="1"/>
  <c r="G3121" i="1"/>
  <c r="I3121" i="1"/>
  <c r="A3122" i="1"/>
  <c r="F3122" i="1"/>
  <c r="G3122" i="1"/>
  <c r="I3122" i="1"/>
  <c r="A3123" i="1"/>
  <c r="F3123" i="1"/>
  <c r="G3123" i="1"/>
  <c r="I3123" i="1"/>
  <c r="A3124" i="1"/>
  <c r="F3124" i="1"/>
  <c r="G3124" i="1"/>
  <c r="I3124" i="1"/>
  <c r="A3125" i="1"/>
  <c r="F3125" i="1"/>
  <c r="G3125" i="1"/>
  <c r="I3125" i="1"/>
  <c r="A3126" i="1"/>
  <c r="F3126" i="1"/>
  <c r="G3126" i="1"/>
  <c r="I3126" i="1"/>
  <c r="A3127" i="1"/>
  <c r="F3127" i="1"/>
  <c r="G3127" i="1"/>
  <c r="I3127" i="1"/>
  <c r="A3128" i="1"/>
  <c r="F3128" i="1"/>
  <c r="G3128" i="1"/>
  <c r="I3128" i="1"/>
  <c r="A3129" i="1"/>
  <c r="F3129" i="1"/>
  <c r="G3129" i="1"/>
  <c r="I3129" i="1"/>
  <c r="A3130" i="1"/>
  <c r="F3130" i="1"/>
  <c r="G3130" i="1"/>
  <c r="I3130" i="1"/>
  <c r="A3131" i="1"/>
  <c r="F3131" i="1"/>
  <c r="G3131" i="1"/>
  <c r="I3131" i="1"/>
  <c r="A3132" i="1"/>
  <c r="F3132" i="1"/>
  <c r="G3132" i="1"/>
  <c r="I3132" i="1"/>
  <c r="A3133" i="1"/>
  <c r="F3133" i="1"/>
  <c r="G3133" i="1"/>
  <c r="I3133" i="1"/>
  <c r="A3134" i="1"/>
  <c r="F3134" i="1"/>
  <c r="G3134" i="1"/>
  <c r="I3134" i="1"/>
  <c r="A3135" i="1"/>
  <c r="F3135" i="1"/>
  <c r="G3135" i="1"/>
  <c r="I3135" i="1"/>
  <c r="A3136" i="1"/>
  <c r="F3136" i="1"/>
  <c r="G3136" i="1"/>
  <c r="I3136" i="1"/>
  <c r="A3137" i="1"/>
  <c r="F3137" i="1"/>
  <c r="G3137" i="1"/>
  <c r="I3137" i="1"/>
  <c r="A3138" i="1"/>
  <c r="F3138" i="1"/>
  <c r="G3138" i="1"/>
  <c r="I3138" i="1"/>
  <c r="A3139" i="1"/>
  <c r="F3139" i="1"/>
  <c r="G3139" i="1"/>
  <c r="I3139" i="1"/>
  <c r="A3140" i="1"/>
  <c r="F3140" i="1"/>
  <c r="G3140" i="1"/>
  <c r="I3140" i="1"/>
  <c r="A3141" i="1"/>
  <c r="F3141" i="1"/>
  <c r="G3141" i="1"/>
  <c r="I3141" i="1"/>
  <c r="A3142" i="1"/>
  <c r="F3142" i="1"/>
  <c r="G3142" i="1"/>
  <c r="I3142" i="1"/>
  <c r="A3143" i="1"/>
  <c r="F3143" i="1"/>
  <c r="G3143" i="1"/>
  <c r="I3143" i="1"/>
  <c r="A3144" i="1"/>
  <c r="F3144" i="1"/>
  <c r="G3144" i="1"/>
  <c r="I3144" i="1"/>
  <c r="A3145" i="1"/>
  <c r="F3145" i="1"/>
  <c r="G3145" i="1"/>
  <c r="I3145" i="1"/>
  <c r="A3146" i="1"/>
  <c r="F3146" i="1"/>
  <c r="G3146" i="1"/>
  <c r="I3146" i="1"/>
  <c r="A3147" i="1"/>
  <c r="F3147" i="1"/>
  <c r="G3147" i="1"/>
  <c r="I3147" i="1"/>
</calcChain>
</file>

<file path=xl/sharedStrings.xml><?xml version="1.0" encoding="utf-8"?>
<sst xmlns="http://schemas.openxmlformats.org/spreadsheetml/2006/main" count="713" uniqueCount="540">
  <si>
    <t xml:space="preserve">Vendor # </t>
  </si>
  <si>
    <t>Name</t>
  </si>
  <si>
    <t>Check #</t>
  </si>
  <si>
    <t>Check Amount</t>
  </si>
  <si>
    <t>Check Date</t>
  </si>
  <si>
    <t>Invoice ID</t>
  </si>
  <si>
    <t>Invoice Desc</t>
  </si>
  <si>
    <t>Invoice Payment</t>
  </si>
  <si>
    <t>GL Description</t>
  </si>
  <si>
    <t>1 AFFORDABLE BAIL BONDS</t>
  </si>
  <si>
    <t>973 MATERIALS  LLC</t>
  </si>
  <si>
    <t>ALLSHRED INC</t>
  </si>
  <si>
    <t>ARNOLD OIL COMPANY OF AUSTIN LP</t>
  </si>
  <si>
    <t>TIMOTHY HALL</t>
  </si>
  <si>
    <t>ACES A/C SUPPLY INC</t>
  </si>
  <si>
    <t>ADAM ROWINS</t>
  </si>
  <si>
    <t>ADENA LEWIS</t>
  </si>
  <si>
    <t>KENNY F WOODALL</t>
  </si>
  <si>
    <t>AHRMA</t>
  </si>
  <si>
    <t>ALAMO  GROUP (TX)  INC</t>
  </si>
  <si>
    <t>ALBERT NEAL PFEIFFER</t>
  </si>
  <si>
    <t>ALBERTO VERA</t>
  </si>
  <si>
    <t>ALEJANDRO RODRIGUEZ</t>
  </si>
  <si>
    <t>ALIGNMENT SUPPLIES  INC.</t>
  </si>
  <si>
    <t>ALLIED ELECTRONICS INC</t>
  </si>
  <si>
    <t>ALLIED SALES CO.</t>
  </si>
  <si>
    <t>A.G.C.  LLC</t>
  </si>
  <si>
    <t>S &amp; D PLUMBING-GIDDINGS LLC</t>
  </si>
  <si>
    <t>AMAZON CAPITAL SERVICES INC</t>
  </si>
  <si>
    <t>AMC SOLUTIONS</t>
  </si>
  <si>
    <t>AMERICAN HEALTH SERVICE SALES CORP</t>
  </si>
  <si>
    <t>AMERISOURCEBERGEN</t>
  </si>
  <si>
    <t>AMG PRINTING &amp; MAILING</t>
  </si>
  <si>
    <t>ANDERSON &amp; ANDERSON LAW FIRM PC</t>
  </si>
  <si>
    <t>APRIL KUCK</t>
  </si>
  <si>
    <t>AQUA BEVERAGE COMPANY/OZARKA</t>
  </si>
  <si>
    <t>AQUA WATER SUPPLY</t>
  </si>
  <si>
    <t>ARA IMAGING / ST.DAVIDS IMAGING LP</t>
  </si>
  <si>
    <t>METROPLEX CONTROL SYSTEMS INC</t>
  </si>
  <si>
    <t>ARSENAL ADVERTISING LLC</t>
  </si>
  <si>
    <t>AT &amp; T</t>
  </si>
  <si>
    <t>AT&amp;T</t>
  </si>
  <si>
    <t>AT&amp;T MOBILITY</t>
  </si>
  <si>
    <t>AT&amp;T MOBILITY-W&amp;M</t>
  </si>
  <si>
    <t>AUBAINE SUPPLY COMPANY  INC</t>
  </si>
  <si>
    <t>GRAND JUNCTION NEWSPAPERS INC</t>
  </si>
  <si>
    <t>AUSTIN GASTROENTERLOGY</t>
  </si>
  <si>
    <t>AUSTIN PULMONARY CONSULTANTS  PA</t>
  </si>
  <si>
    <t>AUSTIN RADIOLOGICAL ASSOC</t>
  </si>
  <si>
    <t>AUSTIN SOUTHWEST ORTHOPAEDIC GROUP</t>
  </si>
  <si>
    <t>AXON ENTERPRISE  INC.</t>
  </si>
  <si>
    <t>JIM ATTRA INC</t>
  </si>
  <si>
    <t>MICHAEL OLDHAM TIRE INC</t>
  </si>
  <si>
    <t>EDUARDO BARRIENTOS</t>
  </si>
  <si>
    <t>GRAND JUNCTION NEWSPAPERS  INC.</t>
  </si>
  <si>
    <t>DEBORAH D. SPARKMAN</t>
  </si>
  <si>
    <t>BASTROP CHAMBER OF COMMERCE</t>
  </si>
  <si>
    <t>BASTROP CNTY FIRST RESPONDERS</t>
  </si>
  <si>
    <t>BASTROP CNTY JUV BOOT CAMP FUND</t>
  </si>
  <si>
    <t>BASTROP CNTY SHERIFF'S DEPT</t>
  </si>
  <si>
    <t>="11</t>
  </si>
  <si>
    <t>113"</t>
  </si>
  <si>
    <t>="28</t>
  </si>
  <si>
    <t>998"</t>
  </si>
  <si>
    <t>BASTROP COMMUNITY CARES</t>
  </si>
  <si>
    <t>DANIEL L HEPKER</t>
  </si>
  <si>
    <t>BASTROP INDEPENDENT SCHOOL DISTRICT</t>
  </si>
  <si>
    <t>BASTROP MEDICAL CLINIC</t>
  </si>
  <si>
    <t>BASTROP OUTDOOR</t>
  </si>
  <si>
    <t>BASTROP PROVIDENCE FUNERAL HOME</t>
  </si>
  <si>
    <t>BASTROP PUBLIC LIBRARY</t>
  </si>
  <si>
    <t>CITY OF BASTROP</t>
  </si>
  <si>
    <t>BASTROP TIRE &amp; AUTOMOTIVE LLC</t>
  </si>
  <si>
    <t>BASTROP TREE SERVICE  INC</t>
  </si>
  <si>
    <t>BASTROP VET. HOSPITAL  INC.</t>
  </si>
  <si>
    <t>DAVID H OUTON</t>
  </si>
  <si>
    <t>BEARCOM OPERATING LLC</t>
  </si>
  <si>
    <t>BEN E KEITH CO.</t>
  </si>
  <si>
    <t>BENJAMIN FOODS  LLC</t>
  </si>
  <si>
    <t>BENJAMIN TILL</t>
  </si>
  <si>
    <t>MULTI SERVICE CORP</t>
  </si>
  <si>
    <t>BICKERSTAFF HEATH DELGADO ACOSTA LL</t>
  </si>
  <si>
    <t>BIG TEX TRAILER WORLD INC.</t>
  </si>
  <si>
    <t>BIG WRENCH ROAD SERVICE INC</t>
  </si>
  <si>
    <t>MAURINE MC LEAN</t>
  </si>
  <si>
    <t>BIMBO FOODS INC</t>
  </si>
  <si>
    <t>BLAS J COY JR</t>
  </si>
  <si>
    <t>BLUEBONNET AREA CRIME STOPPERS PROGRAM</t>
  </si>
  <si>
    <t>BLUEBONNET ELECTRIC COOP</t>
  </si>
  <si>
    <t>BLUEBONNET TRAILS MHMR</t>
  </si>
  <si>
    <t>BOB BARKER COMPANY  INC.</t>
  </si>
  <si>
    <t>BOBBY C LIMBOCKER</t>
  </si>
  <si>
    <t>BOBBY INGRAM JR</t>
  </si>
  <si>
    <t>BOBBY BROWN</t>
  </si>
  <si>
    <t>BRAUNTEX MATERIALS INC</t>
  </si>
  <si>
    <t>BRIAN GARVEL</t>
  </si>
  <si>
    <t>LAW OFFICE OF BRYAN W. MCDANIEL  P.C.</t>
  </si>
  <si>
    <t>BUCKEYE INTERNATIONAL INC</t>
  </si>
  <si>
    <t>BUG MASTER EXTERMINATING LTD</t>
  </si>
  <si>
    <t>CALEB SMITH</t>
  </si>
  <si>
    <t>CALLYO 2009 CORP</t>
  </si>
  <si>
    <t>CANDACE KIESCHNICK</t>
  </si>
  <si>
    <t>CANNON PLUMBING AND DRAIN  LLC</t>
  </si>
  <si>
    <t>CAP FLEET UPFITTERS  LLC</t>
  </si>
  <si>
    <t>CAPITAL AREA COUNCIL OF GOVERNMENTS</t>
  </si>
  <si>
    <t>TIB-THE INDEPENDENT BANKERS BANK</t>
  </si>
  <si>
    <t>CARDIOTHORACIC &amp; VASCULAR SURGEONS</t>
  </si>
  <si>
    <t>CECIL R REYNOLDS PHD</t>
  </si>
  <si>
    <t>CENTERPOINT ENERGY</t>
  </si>
  <si>
    <t>CENTEX MATERIALS LLC</t>
  </si>
  <si>
    <t>CENTEX MECHANICAL INC</t>
  </si>
  <si>
    <t>CENTRAL TEXAS BARRICADES INC</t>
  </si>
  <si>
    <t>CENTRAL TEXAS AUTOPSY</t>
  </si>
  <si>
    <t>CG COMMUNICATIONS  INC.</t>
  </si>
  <si>
    <t>CHARLES W CARVER</t>
  </si>
  <si>
    <t>CHARMANE EVANS</t>
  </si>
  <si>
    <t>CHRIS MATT DILLON</t>
  </si>
  <si>
    <t>CHRISTINA SANTASIERI</t>
  </si>
  <si>
    <t>CHRISTINE P FILES</t>
  </si>
  <si>
    <t>CINDYE WOLFORD</t>
  </si>
  <si>
    <t>CINTAS</t>
  </si>
  <si>
    <t>CINTAS CORPORATION</t>
  </si>
  <si>
    <t>CINTAS CORPORATION #86</t>
  </si>
  <si>
    <t>CITY OF ELGIN</t>
  </si>
  <si>
    <t>CITY OF SMITHVILLE</t>
  </si>
  <si>
    <t>CLAY WANECK</t>
  </si>
  <si>
    <t>OUTREACH LAB CO LLC</t>
  </si>
  <si>
    <t>CLIFFORD POWER SYSTEMS INC</t>
  </si>
  <si>
    <t>CLINICAL PATHOLOGY ASSOC. OF AUSTIN</t>
  </si>
  <si>
    <t>CLINICAL PATHOLOGY LABORATORIES INC</t>
  </si>
  <si>
    <t>C &amp; JMP INC</t>
  </si>
  <si>
    <t>CNA SURETY</t>
  </si>
  <si>
    <t>COMMUNITY COFFEE COMPANY LLC</t>
  </si>
  <si>
    <t>COMMUNITY HEALTH CENTERS</t>
  </si>
  <si>
    <t>CONTECH ENGINEERED SOLUTIONS INC</t>
  </si>
  <si>
    <t>CONVERGENCE CABLING INC</t>
  </si>
  <si>
    <t>CORBIN DUBE</t>
  </si>
  <si>
    <t>CORRECTIONAL MANAGEMENT INSTITUTE OF TX</t>
  </si>
  <si>
    <t>CORYELL COUNTY SHERIFF</t>
  </si>
  <si>
    <t>COUFAL-PRATER EQUIPMENT LTD</t>
  </si>
  <si>
    <t>COUNTY JUDGES &amp; COMMISSIONERS ASSOC OF TEXAS</t>
  </si>
  <si>
    <t>COUNTY OF DIMMIT</t>
  </si>
  <si>
    <t>ZACHRY PUBLICATIONS  LP</t>
  </si>
  <si>
    <t>DFW COMMUNICATIONS  INC.</t>
  </si>
  <si>
    <t>CRYSTAL DEAR</t>
  </si>
  <si>
    <t>MUNICIPAL SERVICES BUREAU</t>
  </si>
  <si>
    <t>CUMMINS-ALLISON CORP</t>
  </si>
  <si>
    <t>CUNA MUTUAL</t>
  </si>
  <si>
    <t>CURTIS OLTMANN</t>
  </si>
  <si>
    <t>CUSTOM PRODUCTS CORPORATION</t>
  </si>
  <si>
    <t>CYDNEY CRIDER</t>
  </si>
  <si>
    <t>D &amp; A WIRE ROPE  INC</t>
  </si>
  <si>
    <t>DAHILL</t>
  </si>
  <si>
    <t>DAHILL INDUSTRIES  INC</t>
  </si>
  <si>
    <t>DALLAS COUNTY CONSTABLE PCT 1</t>
  </si>
  <si>
    <t>DANETTE PEREZ</t>
  </si>
  <si>
    <t>DART FROG LLC</t>
  </si>
  <si>
    <t>DAVE ERNST MUNDINE</t>
  </si>
  <si>
    <t>DAVID B BROOKS</t>
  </si>
  <si>
    <t>DAVID M COLLINS</t>
  </si>
  <si>
    <t>DAVID MARTIN</t>
  </si>
  <si>
    <t>DELL</t>
  </si>
  <si>
    <t>DELL FINANCIAL SERVICES LLC</t>
  </si>
  <si>
    <t>DENICE ZUMBO</t>
  </si>
  <si>
    <t>DENTRUST DENTAL TX PC</t>
  </si>
  <si>
    <t>DEREK STIFFLEMIRE</t>
  </si>
  <si>
    <t>DICKENS LOCKSMITH INC</t>
  </si>
  <si>
    <t>DEPARTMENT OF INFORMATION RESOURCES</t>
  </si>
  <si>
    <t>DISCOUNT DOOR &amp; METAL  LLC</t>
  </si>
  <si>
    <t>THE REINALT-THOMAS CORP</t>
  </si>
  <si>
    <t>DONNIE STARK</t>
  </si>
  <si>
    <t>DORENA MARTINEZ</t>
  </si>
  <si>
    <t>DOUBLE TUFF TRUCK TARPS INC</t>
  </si>
  <si>
    <t>DUNNE &amp; JUAREZ L.L.C.</t>
  </si>
  <si>
    <t>DURAN GRAVEL CO. INC</t>
  </si>
  <si>
    <t>ECOLAB INC</t>
  </si>
  <si>
    <t>EDDIE TAUSCH</t>
  </si>
  <si>
    <t>EDUARDO GUERRERO</t>
  </si>
  <si>
    <t>ELECTION SYSTEMS &amp; SOFTWARE INC</t>
  </si>
  <si>
    <t>MILLER CONSULTATIONS &amp; ELECTIONS INC</t>
  </si>
  <si>
    <t>BLACKLANDS PUBLICATIONS INC</t>
  </si>
  <si>
    <t>CITY OF ELGIN UTILITIES</t>
  </si>
  <si>
    <t>ELLIOTT ELECTRIC SUPPLY INC</t>
  </si>
  <si>
    <t>EMBASSY SUITES</t>
  </si>
  <si>
    <t>EMERGENCY PHYSICIANS OF CENTRAL TX PA</t>
  </si>
  <si>
    <t>ENRIQUE PORTUGAL</t>
  </si>
  <si>
    <t>ERGON ASPHALT &amp; EMULSIONS INC</t>
  </si>
  <si>
    <t>ERS-TX SOCIAL SECURITY PROGRAM</t>
  </si>
  <si>
    <t>FARONICS TECHNOLOGIES USA INC</t>
  </si>
  <si>
    <t>FBI-LEEDA INC</t>
  </si>
  <si>
    <t>FEDERAL EXPRESS</t>
  </si>
  <si>
    <t>FIRST NATIONAL BANK BASTROP</t>
  </si>
  <si>
    <t>="13</t>
  </si>
  <si>
    <t>507  12/8/17"</t>
  </si>
  <si>
    <t>FLEET COR TECHNOLOGIES INC</t>
  </si>
  <si>
    <t>FLEETPRIDE</t>
  </si>
  <si>
    <t>FLO'S BAIL BONDS</t>
  </si>
  <si>
    <t>FORREST L. SANDERSON</t>
  </si>
  <si>
    <t>FPC FINANCIAL f.s.b.</t>
  </si>
  <si>
    <t>FRANK W. HILL</t>
  </si>
  <si>
    <t>AUSTIN TRUCK &amp; EQUIP LTD</t>
  </si>
  <si>
    <t>EUGENE W BRIGGS JR</t>
  </si>
  <si>
    <t>G &amp; K SERVICES</t>
  </si>
  <si>
    <t>GARLAND T MURLEY</t>
  </si>
  <si>
    <t>GARMENTS TO GO  INC</t>
  </si>
  <si>
    <t>GARY DUNCAN</t>
  </si>
  <si>
    <t>BRIDGESTONE AMERICAS INC</t>
  </si>
  <si>
    <t>GENTOX LAB SERVICES</t>
  </si>
  <si>
    <t>GIPSON PENDERGRASS PEOPLE'S MORTUARY LLC</t>
  </si>
  <si>
    <t>GRAINGER INC</t>
  </si>
  <si>
    <t>GRAND JUNCTION NEWSPAPERS</t>
  </si>
  <si>
    <t>GRAPEVINE DCJ  LLC</t>
  </si>
  <si>
    <t>GREG'S OVERHEAD DOOR SERVICE  INC.</t>
  </si>
  <si>
    <t>GT DISTRIBUTORS  INC.</t>
  </si>
  <si>
    <t>GTS TECHNOLOGY SOLUTIONS  INC.</t>
  </si>
  <si>
    <t>GULF COAST PAPER CO. INC.</t>
  </si>
  <si>
    <t>HALDEMAN HOMME INC</t>
  </si>
  <si>
    <t>HALFF ASSOCIATES</t>
  </si>
  <si>
    <t>HAMILTON ELECTRIC WORKS  INC.</t>
  </si>
  <si>
    <t>TXHP WACO 1 OPCO LLC</t>
  </si>
  <si>
    <t>HANNAH McMAHAN</t>
  </si>
  <si>
    <t>HAYS COUNTY CONSTABLE PCT 4</t>
  </si>
  <si>
    <t>HEARTLAND QUARRIES  LLC</t>
  </si>
  <si>
    <t>="12" RIP RAP / P3"</t>
  </si>
  <si>
    <t>HENGST PRINTING &amp; SUPPLIES</t>
  </si>
  <si>
    <t>HERBERT BARTSCH</t>
  </si>
  <si>
    <t>HERITAGE FOOD SERVICES GROUP</t>
  </si>
  <si>
    <t>HERSHCAP BACKHOE &amp; DITCHING INC</t>
  </si>
  <si>
    <t>="10</t>
  </si>
  <si>
    <t>658  12/14/17"</t>
  </si>
  <si>
    <t>HILLARY LONG</t>
  </si>
  <si>
    <t>BASCOM L HODGES JR</t>
  </si>
  <si>
    <t>HODGSON G ECKEL</t>
  </si>
  <si>
    <t>BAYFRONT MARINA INVESTMENTS LP</t>
  </si>
  <si>
    <t>BD HOLT CO</t>
  </si>
  <si>
    <t>CITIBANK (SOUTH DAKOTA)N.A./THE HOME DEPOT</t>
  </si>
  <si>
    <t>TAKKT AMERICA HOLDING INC</t>
  </si>
  <si>
    <t>HUDSON ENERGY CORP</t>
  </si>
  <si>
    <t>HULL SUPPLY COMPANY INC</t>
  </si>
  <si>
    <t>HYDRAULIC HOUSE INC</t>
  </si>
  <si>
    <t>INDIGENT HEALTHCARE SOLUTIONS</t>
  </si>
  <si>
    <t>INTERNATIONAL ASSOC OF AUTO THEFT INVESTIGATORS</t>
  </si>
  <si>
    <t>IRON MOUNTAIN RECORDS MGMT INC</t>
  </si>
  <si>
    <t>TRIPLE J JACKPOT</t>
  </si>
  <si>
    <t>JAMES  JOHNSON</t>
  </si>
  <si>
    <t>JAMES BATES</t>
  </si>
  <si>
    <t>JAMES D.SQUIER</t>
  </si>
  <si>
    <t>JAMES O. BURKE</t>
  </si>
  <si>
    <t>JENKINS &amp; JENKINS LLP</t>
  </si>
  <si>
    <t>JERRY HOFROCK</t>
  </si>
  <si>
    <t>="14</t>
  </si>
  <si>
    <t>505  12/18/17"</t>
  </si>
  <si>
    <t>JAMES MORGAN</t>
  </si>
  <si>
    <t>JIM DUTY</t>
  </si>
  <si>
    <t>JOHN DARSEY</t>
  </si>
  <si>
    <t>JONATHAN HOOVER</t>
  </si>
  <si>
    <t>JULIA DURAN</t>
  </si>
  <si>
    <t>JUSTIN MATTHEW FOHN</t>
  </si>
  <si>
    <t>KAREN STARKS</t>
  </si>
  <si>
    <t>="8</t>
  </si>
  <si>
    <t>898  12/21/17"</t>
  </si>
  <si>
    <t>KATHRYN A WRIGHT</t>
  </si>
  <si>
    <t>KATHY REEVES</t>
  </si>
  <si>
    <t>393  12/11/17"</t>
  </si>
  <si>
    <t>KATY NYC-LYYTINEN</t>
  </si>
  <si>
    <t>KC KYSER</t>
  </si>
  <si>
    <t>KENNETH EUGENE LIMUEL JR</t>
  </si>
  <si>
    <t>KENT BROUSSARD TOWER RENTAL INC</t>
  </si>
  <si>
    <t>KLEIBER FORD TRACTOR  INC.</t>
  </si>
  <si>
    <t>LABATT INSTITUTIONAL SUPPLY CO</t>
  </si>
  <si>
    <t>LAKE COUNTRY CHEVROLET  INC.</t>
  </si>
  <si>
    <t>LARRY W KALBAS</t>
  </si>
  <si>
    <t>J. MARQUE MOORE</t>
  </si>
  <si>
    <t>LEADSONLINE</t>
  </si>
  <si>
    <t>LUCIO LEAL</t>
  </si>
  <si>
    <t>LEE COUNTY WATER SUPPLY CORP</t>
  </si>
  <si>
    <t>LENNOX INDUSTRIES INC</t>
  </si>
  <si>
    <t>LEXISNEXIS RISK DATA MGMT INC</t>
  </si>
  <si>
    <t>LIBERTY FIRE PROTECTION INC</t>
  </si>
  <si>
    <t>LIBERTY TIRE RECYCLING</t>
  </si>
  <si>
    <t>LILIANA CEBALLOS</t>
  </si>
  <si>
    <t>LILIANA TORRES</t>
  </si>
  <si>
    <t>LINDA HARMON-TAX ASSESSOR</t>
  </si>
  <si>
    <t>LINDSAY SILVEIRA</t>
  </si>
  <si>
    <t>LISA M. MIMS</t>
  </si>
  <si>
    <t>LISA PARKER</t>
  </si>
  <si>
    <t>LONE STAR CIRCLE OF CARE</t>
  </si>
  <si>
    <t>SETH S HAMMOCK</t>
  </si>
  <si>
    <t>LONGHORN EMERGENCY MEDICAL ASSOC PA</t>
  </si>
  <si>
    <t>LONGHORN INTERNATIONAL TRUCKS LTD</t>
  </si>
  <si>
    <t>SCOTT BRYANT</t>
  </si>
  <si>
    <t>TRUBAR  LLC</t>
  </si>
  <si>
    <t>LOWE'S</t>
  </si>
  <si>
    <t>LUSTRE-CAL CORP</t>
  </si>
  <si>
    <t>LYNN PEAVEY CO.</t>
  </si>
  <si>
    <t>GABRIEL CARRASCO</t>
  </si>
  <si>
    <t>MAGIC TOUCH CLEANING SYSTEMS LLC</t>
  </si>
  <si>
    <t>MARIA CELESTE COSTLEY</t>
  </si>
  <si>
    <t>MARK MEUTH</t>
  </si>
  <si>
    <t>MARK T MALONE M.D. P.A</t>
  </si>
  <si>
    <t>JOHN W GASPARINI INC</t>
  </si>
  <si>
    <t>MARY BETH SCOTT</t>
  </si>
  <si>
    <t>MATHESON TRI-GAS INC</t>
  </si>
  <si>
    <t>McCOY'S BUILDING SUPPLY CENTER</t>
  </si>
  <si>
    <t>McCREARY  VESELKA  BRAGG &amp; ALLEN P</t>
  </si>
  <si>
    <t>071  11/28/17"</t>
  </si>
  <si>
    <t>769"</t>
  </si>
  <si>
    <t>MECHANICAL REPS INC</t>
  </si>
  <si>
    <t>MEDIMPACT HEALTHCARE SYSTEMS INC</t>
  </si>
  <si>
    <t>MEL HAMNER</t>
  </si>
  <si>
    <t>MELISSA A MEADOR</t>
  </si>
  <si>
    <t>MELVIN TUCKER</t>
  </si>
  <si>
    <t>MICHAEL CHARLES SHULMAN</t>
  </si>
  <si>
    <t>MICHELE FRITSCHE C.S.R.</t>
  </si>
  <si>
    <t>MICHELLE ROD</t>
  </si>
  <si>
    <t>MIDTEX MATERIALS</t>
  </si>
  <si>
    <t>MILLER UNIFORMS &amp; EMBLEMS</t>
  </si>
  <si>
    <t>JANA HOFFMAN MOORE</t>
  </si>
  <si>
    <t>SCOTT A SHIKE</t>
  </si>
  <si>
    <t>TIMOTHY EUGENE BROWN</t>
  </si>
  <si>
    <t>BRUCE ROBERT ALLYN</t>
  </si>
  <si>
    <t>DAVID KYLE BRUMMITT</t>
  </si>
  <si>
    <t>LAUREN N SCHECKTER</t>
  </si>
  <si>
    <t>JOSE ADRION FIGUEROA</t>
  </si>
  <si>
    <t>SARAH ELIZABETH-ANN EDSALL</t>
  </si>
  <si>
    <t>SYLVIA GONZALEZ WATSON</t>
  </si>
  <si>
    <t>LARRY GENE HANSEN</t>
  </si>
  <si>
    <t>ANTHONY MARK BONTEMPO</t>
  </si>
  <si>
    <t>BETHANY RENEE COOK</t>
  </si>
  <si>
    <t>MOISES OR CAROLINE GUERRERO</t>
  </si>
  <si>
    <t>="12</t>
  </si>
  <si>
    <t>851  12/19/17"</t>
  </si>
  <si>
    <t>MONARCH DISPOSAL  LLC</t>
  </si>
  <si>
    <t>MOORE MEDICAL LLC</t>
  </si>
  <si>
    <t>MOTOROLA INC</t>
  </si>
  <si>
    <t>NALCO COMPANY LLC</t>
  </si>
  <si>
    <t>NALLE CUSTOM HOMES</t>
  </si>
  <si>
    <t>NANCY A URBANOWICZ  CSR</t>
  </si>
  <si>
    <t>NATIONAL FOOD GROUP INC</t>
  </si>
  <si>
    <t>NEAFCS NATIONAL OFFICE</t>
  </si>
  <si>
    <t>NEMO-Q INC</t>
  </si>
  <si>
    <t>NETMOTION WIRELESS INC</t>
  </si>
  <si>
    <t>JOHN NIXON</t>
  </si>
  <si>
    <t>O'REILLY AUTOMOTIVE  INC.</t>
  </si>
  <si>
    <t>SOUTHERN FOODS GROUP LP</t>
  </si>
  <si>
    <t>OCTAVIO MARTINEZ</t>
  </si>
  <si>
    <t>OFFICE DEPOT</t>
  </si>
  <si>
    <t>OLDCASTLE MATERIALS TEXAS INC</t>
  </si>
  <si>
    <t>ON SITE SERVICES</t>
  </si>
  <si>
    <t>ROGER C OSBORN</t>
  </si>
  <si>
    <t>OSBURN ASSOCIATES INC.</t>
  </si>
  <si>
    <t>OTTO MAROSKO</t>
  </si>
  <si>
    <t>SOUTHERN ACQUISITIONS LLC</t>
  </si>
  <si>
    <t>PACESETTER K9 LLC</t>
  </si>
  <si>
    <t>SL PARKER PARTNERSHIP LLC</t>
  </si>
  <si>
    <t>PATHMARK TRAFFIC PRODUCTS</t>
  </si>
  <si>
    <t>PATRICIA TREVINO</t>
  </si>
  <si>
    <t>PATRICK ELECTRIC SERVICE</t>
  </si>
  <si>
    <t>PATTERSON  VETERINARY SUPPLY INC</t>
  </si>
  <si>
    <t>PATTILLO  BROWN &amp; HILL   LLP</t>
  </si>
  <si>
    <t>PAUL GRANADO</t>
  </si>
  <si>
    <t>PB ELECTRONICS  INC</t>
  </si>
  <si>
    <t>PCMG  INC.</t>
  </si>
  <si>
    <t>PERDUE  BRANDON  FIELDER  COLLINS &amp; MOTT LLP</t>
  </si>
  <si>
    <t>PETHEALTH SERVICES(USA) INC.</t>
  </si>
  <si>
    <t>PHILIP R DUCLOUX</t>
  </si>
  <si>
    <t>PINEY CREEK AUTO SERVICE</t>
  </si>
  <si>
    <t>PM WILSON &amp; ASSOCIATES PLLC</t>
  </si>
  <si>
    <t>POSTMASTER</t>
  </si>
  <si>
    <t>PROFESSIONAL BONDSMEN OF TX</t>
  </si>
  <si>
    <t>ELGIN PROVIDENCE LLC</t>
  </si>
  <si>
    <t>AEGEAN LLC</t>
  </si>
  <si>
    <t>QUEST DIAGNOSTICS</t>
  </si>
  <si>
    <t>QUILL CORPORATION</t>
  </si>
  <si>
    <t>RAJEEV GUPTA</t>
  </si>
  <si>
    <t>RAY ALLEN MFG.CO.INC.</t>
  </si>
  <si>
    <t>NESTLE WATERS N AMERICA INC</t>
  </si>
  <si>
    <t>JIM BOB DOOLEY</t>
  </si>
  <si>
    <t>RED WING BUSINESS ADVANTAGE ACCOUNT</t>
  </si>
  <si>
    <t>REPUBLIC SERVICES INC BFI WASTE SERVICE</t>
  </si>
  <si>
    <t>REPUBLIC TRUCK SALES   PARTS  &amp; REPAIRS</t>
  </si>
  <si>
    <t>RESERVE ACCOUNT</t>
  </si>
  <si>
    <t>REYNOLDS &amp; KEINARTH</t>
  </si>
  <si>
    <t>RICHARD ALLAN DICKMAN JR</t>
  </si>
  <si>
    <t>RICOH USA INC</t>
  </si>
  <si>
    <t>RICOH AMERICAS CORP</t>
  </si>
  <si>
    <t>RUNKLE ENTERPRISES</t>
  </si>
  <si>
    <t>="36"X60" PATTERN/CHARGE/PCT#3"</t>
  </si>
  <si>
    <t>ROADRUNNER RADIOLOGY EQUIP LLC</t>
  </si>
  <si>
    <t>ROBERT MADDEN INDUSTRIES LTD</t>
  </si>
  <si>
    <t>ROBIN RUYLE</t>
  </si>
  <si>
    <t>ROCKY ROAD PRINTING</t>
  </si>
  <si>
    <t>RON GARLICK</t>
  </si>
  <si>
    <t>ROSE PIETSCH COUNTY CLERK</t>
  </si>
  <si>
    <t>ROUND ROCK SURGERY CENTER LLC</t>
  </si>
  <si>
    <t>JON DENNEY</t>
  </si>
  <si>
    <t>SAMES BASTROP FORD INC</t>
  </si>
  <si>
    <t>SAMMY LERMA III MD</t>
  </si>
  <si>
    <t>SCOTT KLAUS</t>
  </si>
  <si>
    <t>SECURUS TECHNOLOGIES INC</t>
  </si>
  <si>
    <t>SENTINEL HOLDINGS  INC</t>
  </si>
  <si>
    <t>SETON HEALTHCARE SPONSORED PROJECTS</t>
  </si>
  <si>
    <t>SETON FAMILY OF HOSPITALS</t>
  </si>
  <si>
    <t>SHARON HANCOCK</t>
  </si>
  <si>
    <t>962  12/4/17"</t>
  </si>
  <si>
    <t>FERRELLGAS  LP</t>
  </si>
  <si>
    <t>SHERI AMANN</t>
  </si>
  <si>
    <t>SHERWIN WILLIAMS CO</t>
  </si>
  <si>
    <t>SHI GOVERNMENT SOLUTIONS INC.</t>
  </si>
  <si>
    <t>SHOPPA'S FARM SUPPLY</t>
  </si>
  <si>
    <t>SIGNATURE SMILES</t>
  </si>
  <si>
    <t>SILSBEE FORD</t>
  </si>
  <si>
    <t>SKYLINE EQUIPMENT INC.</t>
  </si>
  <si>
    <t>ROBERT M SMITH JR</t>
  </si>
  <si>
    <t>SMITHVILLE AUTO PARTS  INC</t>
  </si>
  <si>
    <t>SMITHVILLE NOON LIONS CLUB</t>
  </si>
  <si>
    <t>SOUTHERN TIRE MART LLC</t>
  </si>
  <si>
    <t>DS WATERS OF AMERICA INC</t>
  </si>
  <si>
    <t>SPECIALTY VETERINARY PHARMACY INC</t>
  </si>
  <si>
    <t>ST.DAVID'S HEALTHCARE PARTNERSHIP</t>
  </si>
  <si>
    <t>ST.DAVIDS HEART &amp; VASCULAR  PLLC</t>
  </si>
  <si>
    <t>STAPLES ADVANTAGE</t>
  </si>
  <si>
    <t>STATE OF TEXAS</t>
  </si>
  <si>
    <t>STEPHEN BECK</t>
  </si>
  <si>
    <t>STEVE GRANADO</t>
  </si>
  <si>
    <t>SUN TINT  INC.</t>
  </si>
  <si>
    <t>SUPAK'S INC</t>
  </si>
  <si>
    <t>SUSAN E. DOZIER  MD  PA</t>
  </si>
  <si>
    <t>BLACK &amp; DECKER (US) INC</t>
  </si>
  <si>
    <t>TX ASSN OF CONVENTION &amp; VISITORS BUREAU</t>
  </si>
  <si>
    <t>TAVCO SERVICES INC</t>
  </si>
  <si>
    <t>TAYLOR IRON MACHINE WORKS INC.</t>
  </si>
  <si>
    <t>TAYLOR SECURITY SYSTEMS  INC</t>
  </si>
  <si>
    <t>TX COMM ON LAW ENFORCEMENT</t>
  </si>
  <si>
    <t>TDCAA</t>
  </si>
  <si>
    <t>TED LYLE OSBORN</t>
  </si>
  <si>
    <t>TEJAS ELEVATOR COMPANY</t>
  </si>
  <si>
    <t>TERRA EXCAVATION &amp; CONSTRUCTION LLC</t>
  </si>
  <si>
    <t>TESSCO INCORPORATED</t>
  </si>
  <si>
    <t>="4" Boot"</t>
  </si>
  <si>
    <t>AIR RELIEF TECHNOLOGIES INC</t>
  </si>
  <si>
    <t>JOHN J FIETSAM INC</t>
  </si>
  <si>
    <t>TEX TRAIL INC</t>
  </si>
  <si>
    <t>TEX-CON OIL CO</t>
  </si>
  <si>
    <t>TEXAN EYE  P.A.</t>
  </si>
  <si>
    <t>TEXAS AGGREGATES  LLC</t>
  </si>
  <si>
    <t>MC ADAMS GROUP LLC</t>
  </si>
  <si>
    <t>TEXAS ASSOCIATES INSURORS AGENCY</t>
  </si>
  <si>
    <t>TEXAS ASSOCIATION OF COUNTIES</t>
  </si>
  <si>
    <t>TEXAS BLACKLAND HARDWARE</t>
  </si>
  <si>
    <t>CONSELMAN RETAIL ENTERPRISES LLC</t>
  </si>
  <si>
    <t>TEXAS COMPTROLLER OF PUBLIC ACCOUNTS</t>
  </si>
  <si>
    <t>TEXAS CRUSHED STONE CO.</t>
  </si>
  <si>
    <t>TEXAS DEPARTMENT OF AGRICULTURE</t>
  </si>
  <si>
    <t>TEXAS DEPT OF PUBLIC SAFETY</t>
  </si>
  <si>
    <t>="15</t>
  </si>
  <si>
    <t>132  12/4/17"</t>
  </si>
  <si>
    <t>826  12/21/17"</t>
  </si>
  <si>
    <t>982   12/18/17"</t>
  </si>
  <si>
    <t>="16</t>
  </si>
  <si>
    <t>231  12/18/17"</t>
  </si>
  <si>
    <t>TEXAS FIRST CAT RENTAL</t>
  </si>
  <si>
    <t>TEXAS INDEPENDENCE TRAIL</t>
  </si>
  <si>
    <t>TEXAS JUSTICE COURT TRAINING CENTER</t>
  </si>
  <si>
    <t>TEXAS ONCOLOGY</t>
  </si>
  <si>
    <t>TEXAS PARKS &amp; WILDLIFE FUNDS</t>
  </si>
  <si>
    <t>WILLIAM G GILCHRIST III</t>
  </si>
  <si>
    <t>TEXAS STATE DIRECTORY PRESS</t>
  </si>
  <si>
    <t>JANE BYRD DEL RE</t>
  </si>
  <si>
    <t>JAMES ANDREW CASEY</t>
  </si>
  <si>
    <t>RICHARD NELSON MOORE</t>
  </si>
  <si>
    <t>THE NITSCHE GROUP</t>
  </si>
  <si>
    <t>ATLAS HOTEL  LP</t>
  </si>
  <si>
    <t>THOMAS McDOUGALL</t>
  </si>
  <si>
    <t>THOMAS PRIHODA</t>
  </si>
  <si>
    <t>TRAVIS CO CONSTABLE  PCT 5</t>
  </si>
  <si>
    <t>TRAVIS COUNTY SHERIFF'S</t>
  </si>
  <si>
    <t>TRAVIS COUNTY TREASURER</t>
  </si>
  <si>
    <t>TREADMAXX TIRE DISTRIBUTORS  INC.</t>
  </si>
  <si>
    <t>TRENT LAKE</t>
  </si>
  <si>
    <t>TREY MOORE</t>
  </si>
  <si>
    <t>TRI-ED DISTRIBUTION INC</t>
  </si>
  <si>
    <t>TRIPLE S FUELS</t>
  </si>
  <si>
    <t>TRACTOR SUPPLY CREDIT PLAN</t>
  </si>
  <si>
    <t>TULL FARLEY</t>
  </si>
  <si>
    <t>TX COMMISSION ON ENVIRONMENTAL QUALITY</t>
  </si>
  <si>
    <t>TX JUSTICE COURT JUDGES ASSN</t>
  </si>
  <si>
    <t>TEXAS DEPARTMENT OF TRANSPORTATION</t>
  </si>
  <si>
    <t>TYLER TECHNOLOGIES LGD</t>
  </si>
  <si>
    <t>TYLER TECHNOLOGIES INC</t>
  </si>
  <si>
    <t>UNITED REFRIGERATION INC</t>
  </si>
  <si>
    <t>VARIPHY  INC</t>
  </si>
  <si>
    <t>VICTOR PONCE</t>
  </si>
  <si>
    <t>VINCENT KAISER</t>
  </si>
  <si>
    <t>DEPARTMENT OF STATE HEALTH SERVICES</t>
  </si>
  <si>
    <t>VULCAN CONSTRUCTION MATERIALS  LP</t>
  </si>
  <si>
    <t>W A BAHOT</t>
  </si>
  <si>
    <t>WAGEWORKS INC  FSA/HSA</t>
  </si>
  <si>
    <t>WAL-MART  BASTROP</t>
  </si>
  <si>
    <t>442  12/4/17"</t>
  </si>
  <si>
    <t>WALLER COUNTY ASPHALT INC</t>
  </si>
  <si>
    <t>WALMART COMMUNITY BRC</t>
  </si>
  <si>
    <t>WASTE MANAGEMENT OF TEXAS INC</t>
  </si>
  <si>
    <t>WATCH GUARD VIDEO</t>
  </si>
  <si>
    <t>WAYNE MEUTH</t>
  </si>
  <si>
    <t>911  12/27/17"</t>
  </si>
  <si>
    <t>PROGRESSIVE WASTE SOLUTIONS OF TX. INC.</t>
  </si>
  <si>
    <t>WEI-ANN LIN  MD PA</t>
  </si>
  <si>
    <t>WEST PUBLISHING CORPORATION</t>
  </si>
  <si>
    <t>MAO PHARMACY INC</t>
  </si>
  <si>
    <t>WILLIAMSON COUNTY CONSTABLE 1</t>
  </si>
  <si>
    <t>WILLIAMSON COUNTY CONSTABLE 3</t>
  </si>
  <si>
    <t>WJC CONSTRUCTION LLC</t>
  </si>
  <si>
    <t>WOODFOREST NATIONAL BANK</t>
  </si>
  <si>
    <t>162  12/21/17"</t>
  </si>
  <si>
    <t>XEROX CORPORATION</t>
  </si>
  <si>
    <t>ZORO TOOLS INC</t>
  </si>
  <si>
    <t>A &amp; E WELDING</t>
  </si>
  <si>
    <t>ELBERT ESQUIVEL</t>
  </si>
  <si>
    <t>KIRKSEY ARCHITECTS  INC.</t>
  </si>
  <si>
    <t>LANGFORD COMMUNITY MGMT INC</t>
  </si>
  <si>
    <t>LOUIS SHANKS OF TEXAS</t>
  </si>
  <si>
    <t>WIND KNOT INCORPORATED</t>
  </si>
  <si>
    <t>ALLSTATE-AMERICAN HERITAGE LIFE INS CO</t>
  </si>
  <si>
    <t>BASTROP CNTY ADULT PROBATION</t>
  </si>
  <si>
    <t>COLONIAL LIFE &amp; ACCIDENT INS. CO.</t>
  </si>
  <si>
    <t>DEBORAH B LANGEHENNIG</t>
  </si>
  <si>
    <t>GUARDIAN</t>
  </si>
  <si>
    <t>INTERNAL REVENUE SERVICE - ACS SUPPORT</t>
  </si>
  <si>
    <t>IRS-PAYROLL TAXES</t>
  </si>
  <si>
    <t>MICHIGAN STATE DISBURSEMENT UNIT(MiSDU)</t>
  </si>
  <si>
    <t>MONUMENTAL LIFE INS CO</t>
  </si>
  <si>
    <t>GERALD FLORES OLIVO</t>
  </si>
  <si>
    <t>TAC HEALTH BENEFITS POOL</t>
  </si>
  <si>
    <t>TEXAS ATTY.GENERAL'S OFFICE</t>
  </si>
  <si>
    <t>TEXAS CNTY &amp; DIST RETIREMENT SYS</t>
  </si>
  <si>
    <t>TEXAS LEGAL PROTECTION PLAN INC</t>
  </si>
  <si>
    <t>TG STUDENT LOAN</t>
  </si>
  <si>
    <t>U.S. DEPT OF EDUCATION - FINANCIAL  ASST</t>
  </si>
  <si>
    <t>Amount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</si>
</sst>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47"/>
  <sheetViews>
    <sheetView tabSelected="1" workbookViewId="0">
      <selection activeCell="D2" sqref="D2"/>
    </sheetView>
  </sheetViews>
  <sheetFormatPr defaultRowHeight="14.4" x14ac:dyDescent="0.3"/>
  <cols>
    <col min="1" max="1" width="8.77734375" bestFit="1" customWidth="1"/>
    <col min="2" max="2" width="48.44140625" bestFit="1" customWidth="1"/>
    <col min="3" max="3" width="7.33203125" bestFit="1" customWidth="1"/>
    <col min="4" max="4" width="12.77734375" style="2" bestFit="1" customWidth="1"/>
    <col min="5" max="5" width="10.5546875" bestFit="1" customWidth="1"/>
    <col min="6" max="6" width="20.88671875" bestFit="1" customWidth="1"/>
    <col min="7" max="7" width="33.77734375" bestFit="1" customWidth="1"/>
    <col min="8" max="8" width="25.109375" style="2" bestFit="1" customWidth="1"/>
    <col min="9" max="9" width="33.77734375" bestFit="1" customWidth="1"/>
    <col min="10" max="10" width="6" bestFit="1" customWidth="1"/>
  </cols>
  <sheetData>
    <row r="1" spans="1:9" x14ac:dyDescent="0.3">
      <c r="A1" t="s">
        <v>0</v>
      </c>
      <c r="B1" t="s">
        <v>1</v>
      </c>
      <c r="C1" t="s">
        <v>2</v>
      </c>
      <c r="D1" s="2" t="s">
        <v>3</v>
      </c>
      <c r="E1" t="s">
        <v>4</v>
      </c>
      <c r="F1" t="s">
        <v>5</v>
      </c>
      <c r="G1" t="s">
        <v>6</v>
      </c>
      <c r="H1" s="2" t="s">
        <v>7</v>
      </c>
      <c r="I1" t="s">
        <v>8</v>
      </c>
    </row>
    <row r="2" spans="1:9" x14ac:dyDescent="0.3">
      <c r="A2" t="str">
        <f>"003799"</f>
        <v>003799</v>
      </c>
      <c r="B2" t="s">
        <v>9</v>
      </c>
      <c r="C2">
        <v>75330</v>
      </c>
      <c r="D2" s="2">
        <v>30</v>
      </c>
      <c r="E2" s="1">
        <v>43157</v>
      </c>
      <c r="F2" t="str">
        <f>"201802158778"</f>
        <v>201802158778</v>
      </c>
      <c r="G2" t="str">
        <f>"REFUND COUPONS 22202 &amp; 22201"</f>
        <v>REFUND COUPONS 22202 &amp; 22201</v>
      </c>
      <c r="H2" s="2">
        <v>30</v>
      </c>
      <c r="I2" t="str">
        <f>"REFUND COUPONS 22202 &amp; 22201"</f>
        <v>REFUND COUPONS 22202 &amp; 22201</v>
      </c>
    </row>
    <row r="3" spans="1:9" x14ac:dyDescent="0.3">
      <c r="A3" t="str">
        <f>"000598"</f>
        <v>000598</v>
      </c>
      <c r="B3" t="s">
        <v>10</v>
      </c>
      <c r="C3">
        <v>74995</v>
      </c>
      <c r="D3" s="2">
        <v>36689.919999999998</v>
      </c>
      <c r="E3" s="1">
        <v>43143</v>
      </c>
      <c r="F3" t="str">
        <f>"9725-001-96445"</f>
        <v>9725-001-96445</v>
      </c>
      <c r="G3" t="str">
        <f>"ACCT#9725-001/REC BASE/PCT#2"</f>
        <v>ACCT#9725-001/REC BASE/PCT#2</v>
      </c>
      <c r="H3" s="2">
        <v>416.76</v>
      </c>
      <c r="I3" t="str">
        <f>"ACCT#9725-001/REC BASE/PCT#2"</f>
        <v>ACCT#9725-001/REC BASE/PCT#2</v>
      </c>
    </row>
    <row r="4" spans="1:9" x14ac:dyDescent="0.3">
      <c r="A4" t="str">
        <f>""</f>
        <v/>
      </c>
      <c r="F4" t="str">
        <f>"9725-001-97563"</f>
        <v>9725-001-97563</v>
      </c>
      <c r="G4" t="str">
        <f>"ACCT#9725-001/REC BASE/PCT#2"</f>
        <v>ACCT#9725-001/REC BASE/PCT#2</v>
      </c>
      <c r="H4" s="2">
        <v>1580.53</v>
      </c>
      <c r="I4" t="str">
        <f>"ACCT#9725-001/REC BASE/PCT#2"</f>
        <v>ACCT#9725-001/REC BASE/PCT#2</v>
      </c>
    </row>
    <row r="5" spans="1:9" x14ac:dyDescent="0.3">
      <c r="A5" t="str">
        <f>""</f>
        <v/>
      </c>
      <c r="F5" t="str">
        <f>"9725-001-97619"</f>
        <v>9725-001-97619</v>
      </c>
      <c r="G5" t="str">
        <f>"ACCT#9725-001/REC BASE/PCT#2"</f>
        <v>ACCT#9725-001/REC BASE/PCT#2</v>
      </c>
      <c r="H5" s="2">
        <v>209.65</v>
      </c>
      <c r="I5" t="str">
        <f>"ACCT#9725-001/REC BASE/PCT#2"</f>
        <v>ACCT#9725-001/REC BASE/PCT#2</v>
      </c>
    </row>
    <row r="6" spans="1:9" x14ac:dyDescent="0.3">
      <c r="A6" t="str">
        <f>""</f>
        <v/>
      </c>
      <c r="F6" t="str">
        <f>"9725-004-96460"</f>
        <v>9725-004-96460</v>
      </c>
      <c r="G6" t="str">
        <f>"ACCT#9725-004/REC BASE/PCT#1"</f>
        <v>ACCT#9725-004/REC BASE/PCT#1</v>
      </c>
      <c r="H6" s="2">
        <v>2018.76</v>
      </c>
      <c r="I6" t="str">
        <f>"ACCT#9725-004/REC BASE/PCT#1"</f>
        <v>ACCT#9725-004/REC BASE/PCT#1</v>
      </c>
    </row>
    <row r="7" spans="1:9" x14ac:dyDescent="0.3">
      <c r="A7" t="str">
        <f>""</f>
        <v/>
      </c>
      <c r="F7" t="str">
        <f>"9725-013-96472"</f>
        <v>9725-013-96472</v>
      </c>
      <c r="G7" t="str">
        <f>"ACCT#9725-013/REC BASE/PCT#2"</f>
        <v>ACCT#9725-013/REC BASE/PCT#2</v>
      </c>
      <c r="H7" s="2">
        <v>2037.79</v>
      </c>
      <c r="I7" t="str">
        <f>"ACCT#9725-013/REC BASE/PCT#2"</f>
        <v>ACCT#9725-013/REC BASE/PCT#2</v>
      </c>
    </row>
    <row r="8" spans="1:9" x14ac:dyDescent="0.3">
      <c r="A8" t="str">
        <f>""</f>
        <v/>
      </c>
      <c r="F8" t="str">
        <f>"9725-014-97483"</f>
        <v>9725-014-97483</v>
      </c>
      <c r="G8" t="str">
        <f t="shared" ref="G8:G22" si="0">"ACCT#9725-014/REC BASE/PCT#2"</f>
        <v>ACCT#9725-014/REC BASE/PCT#2</v>
      </c>
      <c r="H8" s="2">
        <v>3556.46</v>
      </c>
      <c r="I8" t="str">
        <f>"REC BASE/PCT#2"</f>
        <v>REC BASE/PCT#2</v>
      </c>
    </row>
    <row r="9" spans="1:9" x14ac:dyDescent="0.3">
      <c r="A9" t="str">
        <f>""</f>
        <v/>
      </c>
      <c r="F9" t="str">
        <f>"9725-014-97581"</f>
        <v>9725-014-97581</v>
      </c>
      <c r="G9" t="str">
        <f t="shared" si="0"/>
        <v>ACCT#9725-014/REC BASE/PCT#2</v>
      </c>
      <c r="H9" s="2">
        <v>2848.95</v>
      </c>
      <c r="I9" t="str">
        <f t="shared" ref="I9:I22" si="1">"ACCT#9725-014/REC BASE/PCT#2"</f>
        <v>ACCT#9725-014/REC BASE/PCT#2</v>
      </c>
    </row>
    <row r="10" spans="1:9" x14ac:dyDescent="0.3">
      <c r="A10" t="str">
        <f>""</f>
        <v/>
      </c>
      <c r="F10" t="str">
        <f>"9725-014-97613"</f>
        <v>9725-014-97613</v>
      </c>
      <c r="G10" t="str">
        <f t="shared" si="0"/>
        <v>ACCT#9725-014/REC BASE/PCT#2</v>
      </c>
      <c r="H10" s="2">
        <v>3874.97</v>
      </c>
      <c r="I10" t="str">
        <f t="shared" si="1"/>
        <v>ACCT#9725-014/REC BASE/PCT#2</v>
      </c>
    </row>
    <row r="11" spans="1:9" x14ac:dyDescent="0.3">
      <c r="A11" t="str">
        <f>""</f>
        <v/>
      </c>
      <c r="F11" t="str">
        <f>"9725-014-97656"</f>
        <v>9725-014-97656</v>
      </c>
      <c r="G11" t="str">
        <f t="shared" si="0"/>
        <v>ACCT#9725-014/REC BASE/PCT#2</v>
      </c>
      <c r="H11" s="2">
        <v>2481.61</v>
      </c>
      <c r="I11" t="str">
        <f t="shared" si="1"/>
        <v>ACCT#9725-014/REC BASE/PCT#2</v>
      </c>
    </row>
    <row r="12" spans="1:9" x14ac:dyDescent="0.3">
      <c r="A12" t="str">
        <f>""</f>
        <v/>
      </c>
      <c r="F12" t="str">
        <f>"9725-014-97673"</f>
        <v>9725-014-97673</v>
      </c>
      <c r="G12" t="str">
        <f t="shared" si="0"/>
        <v>ACCT#9725-014/REC BASE/PCT#2</v>
      </c>
      <c r="H12" s="2">
        <v>2406.69</v>
      </c>
      <c r="I12" t="str">
        <f t="shared" si="1"/>
        <v>ACCT#9725-014/REC BASE/PCT#2</v>
      </c>
    </row>
    <row r="13" spans="1:9" x14ac:dyDescent="0.3">
      <c r="A13" t="str">
        <f>""</f>
        <v/>
      </c>
      <c r="F13" t="str">
        <f>"9725-014-97694"</f>
        <v>9725-014-97694</v>
      </c>
      <c r="G13" t="str">
        <f t="shared" si="0"/>
        <v>ACCT#9725-014/REC BASE/PCT#2</v>
      </c>
      <c r="H13" s="2">
        <v>2558.0700000000002</v>
      </c>
      <c r="I13" t="str">
        <f t="shared" si="1"/>
        <v>ACCT#9725-014/REC BASE/PCT#2</v>
      </c>
    </row>
    <row r="14" spans="1:9" x14ac:dyDescent="0.3">
      <c r="A14" t="str">
        <f>""</f>
        <v/>
      </c>
      <c r="F14" t="str">
        <f>"9725-014-97714"</f>
        <v>9725-014-97714</v>
      </c>
      <c r="G14" t="str">
        <f t="shared" si="0"/>
        <v>ACCT#9725-014/REC BASE/PCT#2</v>
      </c>
      <c r="H14" s="2">
        <v>2440.75</v>
      </c>
      <c r="I14" t="str">
        <f t="shared" si="1"/>
        <v>ACCT#9725-014/REC BASE/PCT#2</v>
      </c>
    </row>
    <row r="15" spans="1:9" x14ac:dyDescent="0.3">
      <c r="A15" t="str">
        <f>""</f>
        <v/>
      </c>
      <c r="F15" t="str">
        <f>"9725-014-97733"</f>
        <v>9725-014-97733</v>
      </c>
      <c r="G15" t="str">
        <f t="shared" si="0"/>
        <v>ACCT#9725-014/REC BASE/PCT#2</v>
      </c>
      <c r="H15" s="2">
        <v>1204.28</v>
      </c>
      <c r="I15" t="str">
        <f t="shared" si="1"/>
        <v>ACCT#9725-014/REC BASE/PCT#2</v>
      </c>
    </row>
    <row r="16" spans="1:9" x14ac:dyDescent="0.3">
      <c r="A16" t="str">
        <f>""</f>
        <v/>
      </c>
      <c r="F16" t="str">
        <f>"9725-014-97769"</f>
        <v>9725-014-97769</v>
      </c>
      <c r="G16" t="str">
        <f t="shared" si="0"/>
        <v>ACCT#9725-014/REC BASE/PCT#2</v>
      </c>
      <c r="H16" s="2">
        <v>2005.09</v>
      </c>
      <c r="I16" t="str">
        <f t="shared" si="1"/>
        <v>ACCT#9725-014/REC BASE/PCT#2</v>
      </c>
    </row>
    <row r="17" spans="1:9" x14ac:dyDescent="0.3">
      <c r="A17" t="str">
        <f>""</f>
        <v/>
      </c>
      <c r="F17" t="str">
        <f>"9725-014-97803"</f>
        <v>9725-014-97803</v>
      </c>
      <c r="G17" t="str">
        <f t="shared" si="0"/>
        <v>ACCT#9725-014/REC BASE/PCT#2</v>
      </c>
      <c r="H17" s="2">
        <v>1282.67</v>
      </c>
      <c r="I17" t="str">
        <f t="shared" si="1"/>
        <v>ACCT#9725-014/REC BASE/PCT#2</v>
      </c>
    </row>
    <row r="18" spans="1:9" x14ac:dyDescent="0.3">
      <c r="A18" t="str">
        <f>""</f>
        <v/>
      </c>
      <c r="F18" t="str">
        <f>"9725-014-97838"</f>
        <v>9725-014-97838</v>
      </c>
      <c r="G18" t="str">
        <f t="shared" si="0"/>
        <v>ACCT#9725-014/REC BASE/PCT#2</v>
      </c>
      <c r="H18" s="2">
        <v>1467.56</v>
      </c>
      <c r="I18" t="str">
        <f t="shared" si="1"/>
        <v>ACCT#9725-014/REC BASE/PCT#2</v>
      </c>
    </row>
    <row r="19" spans="1:9" x14ac:dyDescent="0.3">
      <c r="A19" t="str">
        <f>""</f>
        <v/>
      </c>
      <c r="F19" t="str">
        <f>"9725-014-97868"</f>
        <v>9725-014-97868</v>
      </c>
      <c r="G19" t="str">
        <f t="shared" si="0"/>
        <v>ACCT#9725-014/REC BASE/PCT#2</v>
      </c>
      <c r="H19" s="2">
        <v>613.82000000000005</v>
      </c>
      <c r="I19" t="str">
        <f t="shared" si="1"/>
        <v>ACCT#9725-014/REC BASE/PCT#2</v>
      </c>
    </row>
    <row r="20" spans="1:9" x14ac:dyDescent="0.3">
      <c r="A20" t="str">
        <f>""</f>
        <v/>
      </c>
      <c r="F20" t="str">
        <f>"9725-014-97908"</f>
        <v>9725-014-97908</v>
      </c>
      <c r="G20" t="str">
        <f t="shared" si="0"/>
        <v>ACCT#9725-014/REC BASE/PCT#2</v>
      </c>
      <c r="H20" s="2">
        <v>1881.78</v>
      </c>
      <c r="I20" t="str">
        <f t="shared" si="1"/>
        <v>ACCT#9725-014/REC BASE/PCT#2</v>
      </c>
    </row>
    <row r="21" spans="1:9" x14ac:dyDescent="0.3">
      <c r="A21" t="str">
        <f>""</f>
        <v/>
      </c>
      <c r="F21" t="str">
        <f>"9725-014-97937"</f>
        <v>9725-014-97937</v>
      </c>
      <c r="G21" t="str">
        <f t="shared" si="0"/>
        <v>ACCT#9725-014/REC BASE/PCT#2</v>
      </c>
      <c r="H21" s="2">
        <v>836.15</v>
      </c>
      <c r="I21" t="str">
        <f t="shared" si="1"/>
        <v>ACCT#9725-014/REC BASE/PCT#2</v>
      </c>
    </row>
    <row r="22" spans="1:9" x14ac:dyDescent="0.3">
      <c r="A22" t="str">
        <f>""</f>
        <v/>
      </c>
      <c r="F22" t="str">
        <f>"9725-014-97960"</f>
        <v>9725-014-97960</v>
      </c>
      <c r="G22" t="str">
        <f t="shared" si="0"/>
        <v>ACCT#9725-014/REC BASE/PCT#2</v>
      </c>
      <c r="H22" s="2">
        <v>967.58</v>
      </c>
      <c r="I22" t="str">
        <f t="shared" si="1"/>
        <v>ACCT#9725-014/REC BASE/PCT#2</v>
      </c>
    </row>
    <row r="23" spans="1:9" x14ac:dyDescent="0.3">
      <c r="A23" t="str">
        <f>"000598"</f>
        <v>000598</v>
      </c>
      <c r="B23" t="s">
        <v>10</v>
      </c>
      <c r="C23">
        <v>75331</v>
      </c>
      <c r="D23" s="2">
        <v>49903.58</v>
      </c>
      <c r="E23" s="1">
        <v>43157</v>
      </c>
      <c r="F23" t="str">
        <f>"9725-001-98089"</f>
        <v>9725-001-98089</v>
      </c>
      <c r="G23" t="str">
        <f t="shared" ref="G23:G33" si="2">"ACCT#9725-015/REC BASE/PCT#2"</f>
        <v>ACCT#9725-015/REC BASE/PCT#2</v>
      </c>
      <c r="H23" s="2">
        <v>1636.7</v>
      </c>
      <c r="I23" t="str">
        <f t="shared" ref="I23:I33" si="3">"ACCT#9725-015/REC BASE/PCT#2"</f>
        <v>ACCT#9725-015/REC BASE/PCT#2</v>
      </c>
    </row>
    <row r="24" spans="1:9" x14ac:dyDescent="0.3">
      <c r="A24" t="str">
        <f>""</f>
        <v/>
      </c>
      <c r="F24" t="str">
        <f>"9725-015-97990"</f>
        <v>9725-015-97990</v>
      </c>
      <c r="G24" t="str">
        <f t="shared" si="2"/>
        <v>ACCT#9725-015/REC BASE/PCT#2</v>
      </c>
      <c r="H24" s="2">
        <v>5097.95</v>
      </c>
      <c r="I24" t="str">
        <f t="shared" si="3"/>
        <v>ACCT#9725-015/REC BASE/PCT#2</v>
      </c>
    </row>
    <row r="25" spans="1:9" x14ac:dyDescent="0.3">
      <c r="A25" t="str">
        <f>""</f>
        <v/>
      </c>
      <c r="F25" t="str">
        <f>"9725-015-98027"</f>
        <v>9725-015-98027</v>
      </c>
      <c r="G25" t="str">
        <f t="shared" si="2"/>
        <v>ACCT#9725-015/REC BASE/PCT#2</v>
      </c>
      <c r="H25" s="2">
        <v>4858.57</v>
      </c>
      <c r="I25" t="str">
        <f t="shared" si="3"/>
        <v>ACCT#9725-015/REC BASE/PCT#2</v>
      </c>
    </row>
    <row r="26" spans="1:9" x14ac:dyDescent="0.3">
      <c r="A26" t="str">
        <f>""</f>
        <v/>
      </c>
      <c r="F26" t="str">
        <f>"9725-015-98061"</f>
        <v>9725-015-98061</v>
      </c>
      <c r="G26" t="str">
        <f t="shared" si="2"/>
        <v>ACCT#9725-015/REC BASE/PCT#2</v>
      </c>
      <c r="H26" s="2">
        <v>5006.96</v>
      </c>
      <c r="I26" t="str">
        <f t="shared" si="3"/>
        <v>ACCT#9725-015/REC BASE/PCT#2</v>
      </c>
    </row>
    <row r="27" spans="1:9" x14ac:dyDescent="0.3">
      <c r="A27" t="str">
        <f>""</f>
        <v/>
      </c>
      <c r="F27" t="str">
        <f>"9725-015-98084"</f>
        <v>9725-015-98084</v>
      </c>
      <c r="G27" t="str">
        <f t="shared" si="2"/>
        <v>ACCT#9725-015/REC BASE/PCT#2</v>
      </c>
      <c r="H27" s="2">
        <v>3773.89</v>
      </c>
      <c r="I27" t="str">
        <f t="shared" si="3"/>
        <v>ACCT#9725-015/REC BASE/PCT#2</v>
      </c>
    </row>
    <row r="28" spans="1:9" x14ac:dyDescent="0.3">
      <c r="A28" t="str">
        <f>""</f>
        <v/>
      </c>
      <c r="F28" t="str">
        <f>"9725-015-98108"</f>
        <v>9725-015-98108</v>
      </c>
      <c r="G28" t="str">
        <f t="shared" si="2"/>
        <v>ACCT#9725-015/REC BASE/PCT#2</v>
      </c>
      <c r="H28" s="2">
        <v>5983.22</v>
      </c>
      <c r="I28" t="str">
        <f t="shared" si="3"/>
        <v>ACCT#9725-015/REC BASE/PCT#2</v>
      </c>
    </row>
    <row r="29" spans="1:9" x14ac:dyDescent="0.3">
      <c r="A29" t="str">
        <f>""</f>
        <v/>
      </c>
      <c r="F29" t="str">
        <f>"9725-015-98135"</f>
        <v>9725-015-98135</v>
      </c>
      <c r="G29" t="str">
        <f t="shared" si="2"/>
        <v>ACCT#9725-015/REC BASE/PCT#2</v>
      </c>
      <c r="H29" s="2">
        <v>6698.29</v>
      </c>
      <c r="I29" t="str">
        <f t="shared" si="3"/>
        <v>ACCT#9725-015/REC BASE/PCT#2</v>
      </c>
    </row>
    <row r="30" spans="1:9" x14ac:dyDescent="0.3">
      <c r="A30" t="str">
        <f>""</f>
        <v/>
      </c>
      <c r="F30" t="str">
        <f>"9725-015-98163"</f>
        <v>9725-015-98163</v>
      </c>
      <c r="G30" t="str">
        <f t="shared" si="2"/>
        <v>ACCT#9725-015/REC BASE/PCT#2</v>
      </c>
      <c r="H30" s="2">
        <v>6306.24</v>
      </c>
      <c r="I30" t="str">
        <f t="shared" si="3"/>
        <v>ACCT#9725-015/REC BASE/PCT#2</v>
      </c>
    </row>
    <row r="31" spans="1:9" x14ac:dyDescent="0.3">
      <c r="A31" t="str">
        <f>""</f>
        <v/>
      </c>
      <c r="F31" t="str">
        <f>"9725-015-98203"</f>
        <v>9725-015-98203</v>
      </c>
      <c r="G31" t="str">
        <f t="shared" si="2"/>
        <v>ACCT#9725-015/REC BASE/PCT#2</v>
      </c>
      <c r="H31" s="2">
        <v>6976.37</v>
      </c>
      <c r="I31" t="str">
        <f t="shared" si="3"/>
        <v>ACCT#9725-015/REC BASE/PCT#2</v>
      </c>
    </row>
    <row r="32" spans="1:9" x14ac:dyDescent="0.3">
      <c r="A32" t="str">
        <f>""</f>
        <v/>
      </c>
      <c r="F32" t="str">
        <f>"9725-015-98229"</f>
        <v>9725-015-98229</v>
      </c>
      <c r="G32" t="str">
        <f t="shared" si="2"/>
        <v>ACCT#9725-015/REC BASE/PCT#2</v>
      </c>
      <c r="H32" s="2">
        <v>1641.6</v>
      </c>
      <c r="I32" t="str">
        <f t="shared" si="3"/>
        <v>ACCT#9725-015/REC BASE/PCT#2</v>
      </c>
    </row>
    <row r="33" spans="1:9" x14ac:dyDescent="0.3">
      <c r="A33" t="str">
        <f>""</f>
        <v/>
      </c>
      <c r="F33" t="str">
        <f>"9725-015-98257"</f>
        <v>9725-015-98257</v>
      </c>
      <c r="G33" t="str">
        <f t="shared" si="2"/>
        <v>ACCT#9725-015/REC BASE/PCT#2</v>
      </c>
      <c r="H33" s="2">
        <v>1923.79</v>
      </c>
      <c r="I33" t="str">
        <f t="shared" si="3"/>
        <v>ACCT#9725-015/REC BASE/PCT#2</v>
      </c>
    </row>
    <row r="34" spans="1:9" x14ac:dyDescent="0.3">
      <c r="A34" t="str">
        <f>"004643"</f>
        <v>004643</v>
      </c>
      <c r="B34" t="s">
        <v>11</v>
      </c>
      <c r="C34">
        <v>999999</v>
      </c>
      <c r="D34" s="2">
        <v>477</v>
      </c>
      <c r="E34" s="1">
        <v>43144</v>
      </c>
      <c r="F34" t="str">
        <f>"744210"</f>
        <v>744210</v>
      </c>
      <c r="G34" t="str">
        <f>"PURGE/1ST BIN&amp;ADD BIN/SANITATI"</f>
        <v>PURGE/1ST BIN&amp;ADD BIN/SANITATI</v>
      </c>
      <c r="H34" s="2">
        <v>107</v>
      </c>
      <c r="I34" t="str">
        <f>"PURGE/1ST BIN&amp;ADD BIN/SANITATI"</f>
        <v>PURGE/1ST BIN&amp;ADD BIN/SANITATI</v>
      </c>
    </row>
    <row r="35" spans="1:9" x14ac:dyDescent="0.3">
      <c r="A35" t="str">
        <f>""</f>
        <v/>
      </c>
      <c r="F35" t="str">
        <f>"757786"</f>
        <v>757786</v>
      </c>
      <c r="G35" t="str">
        <f>"SHREDDING OF SECURE DOC/ELEC"</f>
        <v>SHREDDING OF SECURE DOC/ELEC</v>
      </c>
      <c r="H35" s="2">
        <v>145</v>
      </c>
      <c r="I35" t="str">
        <f>"SHREDDING OF SECURE DOC/ELEC"</f>
        <v>SHREDDING OF SECURE DOC/ELEC</v>
      </c>
    </row>
    <row r="36" spans="1:9" x14ac:dyDescent="0.3">
      <c r="A36" t="str">
        <f>""</f>
        <v/>
      </c>
      <c r="F36" t="str">
        <f>"758068"</f>
        <v>758068</v>
      </c>
      <c r="G36" t="str">
        <f>"SHREDDING SVCS/PURCHASING"</f>
        <v>SHREDDING SVCS/PURCHASING</v>
      </c>
      <c r="H36" s="2">
        <v>103</v>
      </c>
      <c r="I36" t="str">
        <f t="shared" ref="I36:I42" si="4">"SHREDDING SVCS/PURCHASING"</f>
        <v>SHREDDING SVCS/PURCHASING</v>
      </c>
    </row>
    <row r="37" spans="1:9" x14ac:dyDescent="0.3">
      <c r="A37" t="str">
        <f>""</f>
        <v/>
      </c>
      <c r="F37" t="str">
        <f>""</f>
        <v/>
      </c>
      <c r="G37" t="str">
        <f>""</f>
        <v/>
      </c>
      <c r="I37" t="str">
        <f t="shared" si="4"/>
        <v>SHREDDING SVCS/PURCHASING</v>
      </c>
    </row>
    <row r="38" spans="1:9" x14ac:dyDescent="0.3">
      <c r="A38" t="str">
        <f>""</f>
        <v/>
      </c>
      <c r="F38" t="str">
        <f>""</f>
        <v/>
      </c>
      <c r="G38" t="str">
        <f>""</f>
        <v/>
      </c>
      <c r="I38" t="str">
        <f t="shared" si="4"/>
        <v>SHREDDING SVCS/PURCHASING</v>
      </c>
    </row>
    <row r="39" spans="1:9" x14ac:dyDescent="0.3">
      <c r="A39" t="str">
        <f>""</f>
        <v/>
      </c>
      <c r="F39" t="str">
        <f>""</f>
        <v/>
      </c>
      <c r="G39" t="str">
        <f>""</f>
        <v/>
      </c>
      <c r="I39" t="str">
        <f t="shared" si="4"/>
        <v>SHREDDING SVCS/PURCHASING</v>
      </c>
    </row>
    <row r="40" spans="1:9" x14ac:dyDescent="0.3">
      <c r="A40" t="str">
        <f>""</f>
        <v/>
      </c>
      <c r="F40" t="str">
        <f>""</f>
        <v/>
      </c>
      <c r="G40" t="str">
        <f>""</f>
        <v/>
      </c>
      <c r="I40" t="str">
        <f t="shared" si="4"/>
        <v>SHREDDING SVCS/PURCHASING</v>
      </c>
    </row>
    <row r="41" spans="1:9" x14ac:dyDescent="0.3">
      <c r="A41" t="str">
        <f>""</f>
        <v/>
      </c>
      <c r="F41" t="str">
        <f>""</f>
        <v/>
      </c>
      <c r="G41" t="str">
        <f>""</f>
        <v/>
      </c>
      <c r="I41" t="str">
        <f t="shared" si="4"/>
        <v>SHREDDING SVCS/PURCHASING</v>
      </c>
    </row>
    <row r="42" spans="1:9" x14ac:dyDescent="0.3">
      <c r="A42" t="str">
        <f>""</f>
        <v/>
      </c>
      <c r="F42" t="str">
        <f>""</f>
        <v/>
      </c>
      <c r="G42" t="str">
        <f>""</f>
        <v/>
      </c>
      <c r="I42" t="str">
        <f t="shared" si="4"/>
        <v>SHREDDING SVCS/PURCHASING</v>
      </c>
    </row>
    <row r="43" spans="1:9" x14ac:dyDescent="0.3">
      <c r="A43" t="str">
        <f>""</f>
        <v/>
      </c>
      <c r="F43" t="str">
        <f>"INV758112"</f>
        <v>INV758112</v>
      </c>
      <c r="G43" t="str">
        <f>"INV 758112"</f>
        <v>INV 758112</v>
      </c>
      <c r="H43" s="2">
        <v>122</v>
      </c>
      <c r="I43" t="str">
        <f>"INV 758112 SHRED-LE"</f>
        <v>INV 758112 SHRED-LE</v>
      </c>
    </row>
    <row r="44" spans="1:9" x14ac:dyDescent="0.3">
      <c r="A44" t="str">
        <f>""</f>
        <v/>
      </c>
      <c r="F44" t="str">
        <f>""</f>
        <v/>
      </c>
      <c r="G44" t="str">
        <f>""</f>
        <v/>
      </c>
      <c r="I44" t="str">
        <f>"INV 758112 SHRED - J"</f>
        <v>INV 758112 SHRED - J</v>
      </c>
    </row>
    <row r="45" spans="1:9" x14ac:dyDescent="0.3">
      <c r="A45" t="str">
        <f>"004643"</f>
        <v>004643</v>
      </c>
      <c r="B45" t="s">
        <v>11</v>
      </c>
      <c r="C45">
        <v>999999</v>
      </c>
      <c r="D45" s="2">
        <v>309</v>
      </c>
      <c r="E45" s="1">
        <v>43158</v>
      </c>
      <c r="F45" t="str">
        <f>"723437"</f>
        <v>723437</v>
      </c>
      <c r="G45" t="str">
        <f>"SHREDDING SVCS/PURCHASING DEPT"</f>
        <v>SHREDDING SVCS/PURCHASING DEPT</v>
      </c>
      <c r="H45" s="2">
        <v>103</v>
      </c>
      <c r="I45" t="str">
        <f t="shared" ref="I45:I51" si="5">"SHREDDING SVCS/PURCHASING DEPT"</f>
        <v>SHREDDING SVCS/PURCHASING DEPT</v>
      </c>
    </row>
    <row r="46" spans="1:9" x14ac:dyDescent="0.3">
      <c r="A46" t="str">
        <f>""</f>
        <v/>
      </c>
      <c r="F46" t="str">
        <f>""</f>
        <v/>
      </c>
      <c r="G46" t="str">
        <f>""</f>
        <v/>
      </c>
      <c r="I46" t="str">
        <f t="shared" si="5"/>
        <v>SHREDDING SVCS/PURCHASING DEPT</v>
      </c>
    </row>
    <row r="47" spans="1:9" x14ac:dyDescent="0.3">
      <c r="A47" t="str">
        <f>""</f>
        <v/>
      </c>
      <c r="F47" t="str">
        <f>""</f>
        <v/>
      </c>
      <c r="G47" t="str">
        <f>""</f>
        <v/>
      </c>
      <c r="I47" t="str">
        <f t="shared" si="5"/>
        <v>SHREDDING SVCS/PURCHASING DEPT</v>
      </c>
    </row>
    <row r="48" spans="1:9" x14ac:dyDescent="0.3">
      <c r="A48" t="str">
        <f>""</f>
        <v/>
      </c>
      <c r="F48" t="str">
        <f>""</f>
        <v/>
      </c>
      <c r="G48" t="str">
        <f>""</f>
        <v/>
      </c>
      <c r="I48" t="str">
        <f t="shared" si="5"/>
        <v>SHREDDING SVCS/PURCHASING DEPT</v>
      </c>
    </row>
    <row r="49" spans="1:9" x14ac:dyDescent="0.3">
      <c r="A49" t="str">
        <f>""</f>
        <v/>
      </c>
      <c r="F49" t="str">
        <f>""</f>
        <v/>
      </c>
      <c r="G49" t="str">
        <f>""</f>
        <v/>
      </c>
      <c r="I49" t="str">
        <f t="shared" si="5"/>
        <v>SHREDDING SVCS/PURCHASING DEPT</v>
      </c>
    </row>
    <row r="50" spans="1:9" x14ac:dyDescent="0.3">
      <c r="A50" t="str">
        <f>""</f>
        <v/>
      </c>
      <c r="F50" t="str">
        <f>""</f>
        <v/>
      </c>
      <c r="G50" t="str">
        <f>""</f>
        <v/>
      </c>
      <c r="I50" t="str">
        <f t="shared" si="5"/>
        <v>SHREDDING SVCS/PURCHASING DEPT</v>
      </c>
    </row>
    <row r="51" spans="1:9" x14ac:dyDescent="0.3">
      <c r="A51" t="str">
        <f>""</f>
        <v/>
      </c>
      <c r="F51" t="str">
        <f>""</f>
        <v/>
      </c>
      <c r="G51" t="str">
        <f>""</f>
        <v/>
      </c>
      <c r="I51" t="str">
        <f t="shared" si="5"/>
        <v>SHREDDING SVCS/PURCHASING DEPT</v>
      </c>
    </row>
    <row r="52" spans="1:9" x14ac:dyDescent="0.3">
      <c r="A52" t="str">
        <f>""</f>
        <v/>
      </c>
      <c r="F52" t="str">
        <f>"731267"</f>
        <v>731267</v>
      </c>
      <c r="G52" t="str">
        <f>"SERVICING OF SHREDDING CONT"</f>
        <v>SERVICING OF SHREDDING CONT</v>
      </c>
      <c r="H52" s="2">
        <v>51.5</v>
      </c>
      <c r="I52" t="str">
        <f>"SERVICING OF SHREDDING CONT"</f>
        <v>SERVICING OF SHREDDING CONT</v>
      </c>
    </row>
    <row r="53" spans="1:9" x14ac:dyDescent="0.3">
      <c r="A53" t="str">
        <f>""</f>
        <v/>
      </c>
      <c r="F53" t="str">
        <f>"738279"</f>
        <v>738279</v>
      </c>
      <c r="G53" t="str">
        <f>"SERVICING OF SHREDDING CONT"</f>
        <v>SERVICING OF SHREDDING CONT</v>
      </c>
      <c r="H53" s="2">
        <v>51.5</v>
      </c>
      <c r="I53" t="str">
        <f>"SERVICING OF SHREDDING CONT"</f>
        <v>SERVICING OF SHREDDING CONT</v>
      </c>
    </row>
    <row r="54" spans="1:9" x14ac:dyDescent="0.3">
      <c r="A54" t="str">
        <f>""</f>
        <v/>
      </c>
      <c r="F54" t="str">
        <f>"758075"</f>
        <v>758075</v>
      </c>
      <c r="G54" t="str">
        <f>"SVC OF SHREDDING CONT/TAX OFF"</f>
        <v>SVC OF SHREDDING CONT/TAX OFF</v>
      </c>
      <c r="H54" s="2">
        <v>51.5</v>
      </c>
      <c r="I54" t="str">
        <f>"SVC OF SHREDDING CONT/TAX OFF"</f>
        <v>SVC OF SHREDDING CONT/TAX OFF</v>
      </c>
    </row>
    <row r="55" spans="1:9" x14ac:dyDescent="0.3">
      <c r="A55" t="str">
        <f>""</f>
        <v/>
      </c>
      <c r="F55" t="str">
        <f>"758263"</f>
        <v>758263</v>
      </c>
      <c r="G55" t="str">
        <f>"SERVICING OF SHREDDING CONT"</f>
        <v>SERVICING OF SHREDDING CONT</v>
      </c>
      <c r="H55" s="2">
        <v>51.5</v>
      </c>
      <c r="I55" t="str">
        <f>"SERVICING OF SHREDDING CONT"</f>
        <v>SERVICING OF SHREDDING CONT</v>
      </c>
    </row>
    <row r="56" spans="1:9" x14ac:dyDescent="0.3">
      <c r="A56" t="str">
        <f>"ALINE"</f>
        <v>ALINE</v>
      </c>
      <c r="B56" t="s">
        <v>12</v>
      </c>
      <c r="C56">
        <v>74996</v>
      </c>
      <c r="D56" s="2">
        <v>291.16000000000003</v>
      </c>
      <c r="E56" s="1">
        <v>43143</v>
      </c>
      <c r="F56" t="str">
        <f>"201802058480"</f>
        <v>201802058480</v>
      </c>
      <c r="G56" t="str">
        <f>"CUST#16500/STATEMENT#293030/P4"</f>
        <v>CUST#16500/STATEMENT#293030/P4</v>
      </c>
      <c r="H56" s="2">
        <v>291.16000000000003</v>
      </c>
      <c r="I56" t="str">
        <f>"CUST#16500/STATEMENT#293030/P4"</f>
        <v>CUST#16500/STATEMENT#293030/P4</v>
      </c>
    </row>
    <row r="57" spans="1:9" x14ac:dyDescent="0.3">
      <c r="A57" t="str">
        <f>"002048"</f>
        <v>002048</v>
      </c>
      <c r="B57" t="s">
        <v>13</v>
      </c>
      <c r="C57">
        <v>999999</v>
      </c>
      <c r="D57" s="2">
        <v>7567.78</v>
      </c>
      <c r="E57" s="1">
        <v>43144</v>
      </c>
      <c r="F57" t="str">
        <f>"201802068567"</f>
        <v>201802068567</v>
      </c>
      <c r="G57" t="str">
        <f>"HAULING EXPS 01/17-2/1/PCT#4"</f>
        <v>HAULING EXPS 01/17-2/1/PCT#4</v>
      </c>
      <c r="H57" s="2">
        <v>6802.54</v>
      </c>
      <c r="I57" t="str">
        <f>"HAULING EXPS 01/17-2/1/PCT#4"</f>
        <v>HAULING EXPS 01/17-2/1/PCT#4</v>
      </c>
    </row>
    <row r="58" spans="1:9" x14ac:dyDescent="0.3">
      <c r="A58" t="str">
        <f>""</f>
        <v/>
      </c>
      <c r="F58" t="str">
        <f>"201802068570"</f>
        <v>201802068570</v>
      </c>
      <c r="G58" t="str">
        <f>"HAULING EXPS 01-17-18/PCT#1"</f>
        <v>HAULING EXPS 01-17-18/PCT#1</v>
      </c>
      <c r="H58" s="2">
        <v>765.24</v>
      </c>
      <c r="I58" t="str">
        <f>"HAULING EXPS 01-17-18/PCT#1"</f>
        <v>HAULING EXPS 01-17-18/PCT#1</v>
      </c>
    </row>
    <row r="59" spans="1:9" x14ac:dyDescent="0.3">
      <c r="A59" t="str">
        <f>"002048"</f>
        <v>002048</v>
      </c>
      <c r="B59" t="s">
        <v>13</v>
      </c>
      <c r="C59">
        <v>999999</v>
      </c>
      <c r="D59" s="2">
        <v>1227.44</v>
      </c>
      <c r="E59" s="1">
        <v>43158</v>
      </c>
      <c r="F59" t="str">
        <f>"201802208806"</f>
        <v>201802208806</v>
      </c>
      <c r="G59" t="str">
        <f>"HAULING EXPS 02/07-02/09/PCT#4"</f>
        <v>HAULING EXPS 02/07-02/09/PCT#4</v>
      </c>
      <c r="H59" s="2">
        <v>1227.44</v>
      </c>
      <c r="I59" t="str">
        <f>"HAULING EXPS 02/07-02/09/PCT#4"</f>
        <v>HAULING EXPS 02/07-02/09/PCT#4</v>
      </c>
    </row>
    <row r="60" spans="1:9" x14ac:dyDescent="0.3">
      <c r="A60" t="str">
        <f>"001262"</f>
        <v>001262</v>
      </c>
      <c r="B60" t="s">
        <v>14</v>
      </c>
      <c r="C60">
        <v>74997</v>
      </c>
      <c r="D60" s="2">
        <v>3186</v>
      </c>
      <c r="E60" s="1">
        <v>43143</v>
      </c>
      <c r="F60" t="str">
        <f>"6068666"</f>
        <v>6068666</v>
      </c>
      <c r="G60" t="str">
        <f>"Heater-Civil Process Ofc."</f>
        <v>Heater-Civil Process Ofc.</v>
      </c>
      <c r="H60" s="2">
        <v>3186</v>
      </c>
      <c r="I60" t="str">
        <f>"#TCH048AHC30CLSS"</f>
        <v>#TCH048AHC30CLSS</v>
      </c>
    </row>
    <row r="61" spans="1:9" x14ac:dyDescent="0.3">
      <c r="A61" t="str">
        <f>""</f>
        <v/>
      </c>
      <c r="F61" t="str">
        <f>""</f>
        <v/>
      </c>
      <c r="G61" t="str">
        <f>""</f>
        <v/>
      </c>
      <c r="I61" t="str">
        <f>"Freight"</f>
        <v>Freight</v>
      </c>
    </row>
    <row r="62" spans="1:9" x14ac:dyDescent="0.3">
      <c r="A62" t="str">
        <f>"000954"</f>
        <v>000954</v>
      </c>
      <c r="B62" t="s">
        <v>15</v>
      </c>
      <c r="C62">
        <v>74998</v>
      </c>
      <c r="D62" s="2">
        <v>707.5</v>
      </c>
      <c r="E62" s="1">
        <v>43143</v>
      </c>
      <c r="F62" t="str">
        <f>"201801308232"</f>
        <v>201801308232</v>
      </c>
      <c r="G62" t="str">
        <f>"16-17760"</f>
        <v>16-17760</v>
      </c>
      <c r="H62" s="2">
        <v>115</v>
      </c>
      <c r="I62" t="str">
        <f>"16-17760"</f>
        <v>16-17760</v>
      </c>
    </row>
    <row r="63" spans="1:9" x14ac:dyDescent="0.3">
      <c r="A63" t="str">
        <f>""</f>
        <v/>
      </c>
      <c r="F63" t="str">
        <f>"201801308233"</f>
        <v>201801308233</v>
      </c>
      <c r="G63" t="str">
        <f>"16-17709"</f>
        <v>16-17709</v>
      </c>
      <c r="H63" s="2">
        <v>235</v>
      </c>
      <c r="I63" t="str">
        <f>"16-17709"</f>
        <v>16-17709</v>
      </c>
    </row>
    <row r="64" spans="1:9" x14ac:dyDescent="0.3">
      <c r="A64" t="str">
        <f>""</f>
        <v/>
      </c>
      <c r="F64" t="str">
        <f>"201801308234"</f>
        <v>201801308234</v>
      </c>
      <c r="G64" t="str">
        <f>"17-18738"</f>
        <v>17-18738</v>
      </c>
      <c r="H64" s="2">
        <v>115</v>
      </c>
      <c r="I64" t="str">
        <f>"17-18738"</f>
        <v>17-18738</v>
      </c>
    </row>
    <row r="65" spans="1:9" x14ac:dyDescent="0.3">
      <c r="A65" t="str">
        <f>""</f>
        <v/>
      </c>
      <c r="F65" t="str">
        <f>"201801308235"</f>
        <v>201801308235</v>
      </c>
      <c r="G65" t="str">
        <f>"17-18642"</f>
        <v>17-18642</v>
      </c>
      <c r="H65" s="2">
        <v>67.5</v>
      </c>
      <c r="I65" t="str">
        <f>"17-18642"</f>
        <v>17-18642</v>
      </c>
    </row>
    <row r="66" spans="1:9" x14ac:dyDescent="0.3">
      <c r="A66" t="str">
        <f>""</f>
        <v/>
      </c>
      <c r="F66" t="str">
        <f>"201801308236"</f>
        <v>201801308236</v>
      </c>
      <c r="G66" t="str">
        <f>"16-18062"</f>
        <v>16-18062</v>
      </c>
      <c r="H66" s="2">
        <v>100</v>
      </c>
      <c r="I66" t="str">
        <f>"16-18062"</f>
        <v>16-18062</v>
      </c>
    </row>
    <row r="67" spans="1:9" x14ac:dyDescent="0.3">
      <c r="A67" t="str">
        <f>""</f>
        <v/>
      </c>
      <c r="F67" t="str">
        <f>"201801308237"</f>
        <v>201801308237</v>
      </c>
      <c r="G67" t="str">
        <f>"16-17713"</f>
        <v>16-17713</v>
      </c>
      <c r="H67" s="2">
        <v>75</v>
      </c>
      <c r="I67" t="str">
        <f>"16-17713"</f>
        <v>16-17713</v>
      </c>
    </row>
    <row r="68" spans="1:9" x14ac:dyDescent="0.3">
      <c r="A68" t="str">
        <f>"000954"</f>
        <v>000954</v>
      </c>
      <c r="B68" t="s">
        <v>15</v>
      </c>
      <c r="C68">
        <v>75332</v>
      </c>
      <c r="D68" s="2">
        <v>720</v>
      </c>
      <c r="E68" s="1">
        <v>43157</v>
      </c>
      <c r="F68" t="str">
        <f>"201802148706"</f>
        <v>201802148706</v>
      </c>
      <c r="G68" t="str">
        <f>"17-18788"</f>
        <v>17-18788</v>
      </c>
      <c r="H68" s="2">
        <v>287.5</v>
      </c>
      <c r="I68" t="str">
        <f>"17-18788"</f>
        <v>17-18788</v>
      </c>
    </row>
    <row r="69" spans="1:9" x14ac:dyDescent="0.3">
      <c r="A69" t="str">
        <f>""</f>
        <v/>
      </c>
      <c r="F69" t="str">
        <f>"201802148707"</f>
        <v>201802148707</v>
      </c>
      <c r="G69" t="str">
        <f>"16-17713"</f>
        <v>16-17713</v>
      </c>
      <c r="H69" s="2">
        <v>295</v>
      </c>
      <c r="I69" t="str">
        <f>"16-17713"</f>
        <v>16-17713</v>
      </c>
    </row>
    <row r="70" spans="1:9" x14ac:dyDescent="0.3">
      <c r="A70" t="str">
        <f>""</f>
        <v/>
      </c>
      <c r="F70" t="str">
        <f>"201802148708"</f>
        <v>201802148708</v>
      </c>
      <c r="G70" t="str">
        <f>"17-18229"</f>
        <v>17-18229</v>
      </c>
      <c r="H70" s="2">
        <v>107.5</v>
      </c>
      <c r="I70" t="str">
        <f>"17-18229"</f>
        <v>17-18229</v>
      </c>
    </row>
    <row r="71" spans="1:9" x14ac:dyDescent="0.3">
      <c r="A71" t="str">
        <f>""</f>
        <v/>
      </c>
      <c r="F71" t="str">
        <f>"201802148709"</f>
        <v>201802148709</v>
      </c>
      <c r="G71" t="str">
        <f>"17-18738"</f>
        <v>17-18738</v>
      </c>
      <c r="H71" s="2">
        <v>30</v>
      </c>
      <c r="I71" t="str">
        <f>"17-18738"</f>
        <v>17-18738</v>
      </c>
    </row>
    <row r="72" spans="1:9" x14ac:dyDescent="0.3">
      <c r="A72" t="str">
        <f>"003117"</f>
        <v>003117</v>
      </c>
      <c r="B72" t="s">
        <v>16</v>
      </c>
      <c r="C72">
        <v>999999</v>
      </c>
      <c r="D72" s="2">
        <v>771.75</v>
      </c>
      <c r="E72" s="1">
        <v>43144</v>
      </c>
      <c r="F72" t="str">
        <f>"201801308348"</f>
        <v>201801308348</v>
      </c>
      <c r="G72" t="str">
        <f>"PER DIEM"</f>
        <v>PER DIEM</v>
      </c>
      <c r="H72" s="2">
        <v>35</v>
      </c>
      <c r="I72" t="str">
        <f>"PER DIEM"</f>
        <v>PER DIEM</v>
      </c>
    </row>
    <row r="73" spans="1:9" x14ac:dyDescent="0.3">
      <c r="A73" t="str">
        <f>""</f>
        <v/>
      </c>
      <c r="F73" t="str">
        <f>"201801308349"</f>
        <v>201801308349</v>
      </c>
      <c r="G73" t="str">
        <f>"REIMBURSEMENT"</f>
        <v>REIMBURSEMENT</v>
      </c>
      <c r="H73" s="2">
        <v>346.54</v>
      </c>
      <c r="I73" t="str">
        <f>"REIMBURSEMENT"</f>
        <v>REIMBURSEMENT</v>
      </c>
    </row>
    <row r="74" spans="1:9" x14ac:dyDescent="0.3">
      <c r="A74" t="str">
        <f>""</f>
        <v/>
      </c>
      <c r="F74" t="str">
        <f>"201801308350"</f>
        <v>201801308350</v>
      </c>
      <c r="G74" t="str">
        <f>"REIMBURSEMENT"</f>
        <v>REIMBURSEMENT</v>
      </c>
      <c r="H74" s="2">
        <v>7.47</v>
      </c>
      <c r="I74" t="str">
        <f>"REIMBURSEMENT"</f>
        <v>REIMBURSEMENT</v>
      </c>
    </row>
    <row r="75" spans="1:9" x14ac:dyDescent="0.3">
      <c r="A75" t="str">
        <f>""</f>
        <v/>
      </c>
      <c r="F75" t="str">
        <f>"201802058485"</f>
        <v>201802058485</v>
      </c>
      <c r="G75" t="str">
        <f>"REIMBURSE-PARKING/HOTEL"</f>
        <v>REIMBURSE-PARKING/HOTEL</v>
      </c>
      <c r="H75" s="2">
        <v>382.74</v>
      </c>
      <c r="I75" t="str">
        <f>"REIMBURSE-PARKING/HOTEL"</f>
        <v>REIMBURSE-PARKING/HOTEL</v>
      </c>
    </row>
    <row r="76" spans="1:9" x14ac:dyDescent="0.3">
      <c r="A76" t="str">
        <f>"003117"</f>
        <v>003117</v>
      </c>
      <c r="B76" t="s">
        <v>16</v>
      </c>
      <c r="C76">
        <v>999999</v>
      </c>
      <c r="D76" s="2">
        <v>165</v>
      </c>
      <c r="E76" s="1">
        <v>43158</v>
      </c>
      <c r="F76" t="str">
        <f>"201802158770"</f>
        <v>201802158770</v>
      </c>
      <c r="G76" t="str">
        <f>"PER DIEM"</f>
        <v>PER DIEM</v>
      </c>
      <c r="H76" s="2">
        <v>165</v>
      </c>
      <c r="I76" t="str">
        <f>"PER DIEM"</f>
        <v>PER DIEM</v>
      </c>
    </row>
    <row r="77" spans="1:9" x14ac:dyDescent="0.3">
      <c r="A77" t="str">
        <f>"005419"</f>
        <v>005419</v>
      </c>
      <c r="B77" t="s">
        <v>17</v>
      </c>
      <c r="C77">
        <v>75333</v>
      </c>
      <c r="D77" s="2">
        <v>427.9</v>
      </c>
      <c r="E77" s="1">
        <v>43157</v>
      </c>
      <c r="F77" t="str">
        <f>"19680"</f>
        <v>19680</v>
      </c>
      <c r="G77" t="str">
        <f>"Advantage Supply"</f>
        <v>Advantage Supply</v>
      </c>
      <c r="H77" s="2">
        <v>427.9</v>
      </c>
      <c r="I77" t="str">
        <f>"Push Rub - 14 3147A"</f>
        <v>Push Rub - 14 3147A</v>
      </c>
    </row>
    <row r="78" spans="1:9" x14ac:dyDescent="0.3">
      <c r="A78" t="str">
        <f>""</f>
        <v/>
      </c>
      <c r="F78" t="str">
        <f>""</f>
        <v/>
      </c>
      <c r="G78" t="str">
        <f>""</f>
        <v/>
      </c>
      <c r="I78" t="str">
        <f>"Roller - 15 0007"</f>
        <v>Roller - 15 0007</v>
      </c>
    </row>
    <row r="79" spans="1:9" x14ac:dyDescent="0.3">
      <c r="A79" t="str">
        <f>"T11962"</f>
        <v>T11962</v>
      </c>
      <c r="B79" t="s">
        <v>18</v>
      </c>
      <c r="C79">
        <v>75334</v>
      </c>
      <c r="D79" s="2">
        <v>100</v>
      </c>
      <c r="E79" s="1">
        <v>43157</v>
      </c>
      <c r="F79" t="str">
        <f>"01156"</f>
        <v>01156</v>
      </c>
      <c r="G79" t="str">
        <f>"MEMBER APPLICATION"</f>
        <v>MEMBER APPLICATION</v>
      </c>
      <c r="H79" s="2">
        <v>100</v>
      </c>
      <c r="I79" t="str">
        <f>"MEMBER APPLICATION"</f>
        <v>MEMBER APPLICATION</v>
      </c>
    </row>
    <row r="80" spans="1:9" x14ac:dyDescent="0.3">
      <c r="A80" t="str">
        <f>"AG"</f>
        <v>AG</v>
      </c>
      <c r="B80" t="s">
        <v>19</v>
      </c>
      <c r="C80">
        <v>74999</v>
      </c>
      <c r="D80" s="2">
        <v>27.9</v>
      </c>
      <c r="E80" s="1">
        <v>43143</v>
      </c>
      <c r="F80" t="str">
        <f>"6071601"</f>
        <v>6071601</v>
      </c>
      <c r="G80" t="str">
        <f>"CUST#17295/PCT#2"</f>
        <v>CUST#17295/PCT#2</v>
      </c>
      <c r="H80" s="2">
        <v>27.9</v>
      </c>
      <c r="I80" t="str">
        <f>"CUST#17295/PCT#2"</f>
        <v>CUST#17295/PCT#2</v>
      </c>
    </row>
    <row r="81" spans="1:9" x14ac:dyDescent="0.3">
      <c r="A81" t="str">
        <f>"NPP"</f>
        <v>NPP</v>
      </c>
      <c r="B81" t="s">
        <v>20</v>
      </c>
      <c r="C81">
        <v>999999</v>
      </c>
      <c r="D81" s="2">
        <v>200</v>
      </c>
      <c r="E81" s="1">
        <v>43144</v>
      </c>
      <c r="F81" t="str">
        <f>"201801248216"</f>
        <v>201801248216</v>
      </c>
      <c r="G81" t="str">
        <f>"02-0920-1"</f>
        <v>02-0920-1</v>
      </c>
      <c r="H81" s="2">
        <v>100</v>
      </c>
      <c r="I81" t="str">
        <f>"02-0920-1"</f>
        <v>02-0920-1</v>
      </c>
    </row>
    <row r="82" spans="1:9" x14ac:dyDescent="0.3">
      <c r="A82" t="str">
        <f>""</f>
        <v/>
      </c>
      <c r="F82" t="str">
        <f>"201801248217"</f>
        <v>201801248217</v>
      </c>
      <c r="G82" t="str">
        <f>"16 322"</f>
        <v>16 322</v>
      </c>
      <c r="H82" s="2">
        <v>100</v>
      </c>
      <c r="I82" t="str">
        <f>"16 322"</f>
        <v>16 322</v>
      </c>
    </row>
    <row r="83" spans="1:9" x14ac:dyDescent="0.3">
      <c r="A83" t="str">
        <f>"NPP"</f>
        <v>NPP</v>
      </c>
      <c r="B83" t="s">
        <v>20</v>
      </c>
      <c r="C83">
        <v>999999</v>
      </c>
      <c r="D83" s="2">
        <v>400</v>
      </c>
      <c r="E83" s="1">
        <v>43158</v>
      </c>
      <c r="F83" t="str">
        <f>"201802148696"</f>
        <v>201802148696</v>
      </c>
      <c r="G83" t="str">
        <f>"16123"</f>
        <v>16123</v>
      </c>
      <c r="H83" s="2">
        <v>400</v>
      </c>
      <c r="I83" t="str">
        <f>"16123"</f>
        <v>16123</v>
      </c>
    </row>
    <row r="84" spans="1:9" x14ac:dyDescent="0.3">
      <c r="A84" t="str">
        <f>"005407"</f>
        <v>005407</v>
      </c>
      <c r="B84" t="s">
        <v>21</v>
      </c>
      <c r="C84">
        <v>75000</v>
      </c>
      <c r="D84" s="2">
        <v>961.64</v>
      </c>
      <c r="E84" s="1">
        <v>43143</v>
      </c>
      <c r="F84" t="str">
        <f>"201802018426"</f>
        <v>201802018426</v>
      </c>
      <c r="G84" t="str">
        <f>"REFUND-CATTLE"</f>
        <v>REFUND-CATTLE</v>
      </c>
      <c r="H84" s="2">
        <v>961.64</v>
      </c>
      <c r="I84" t="str">
        <f>"REFUND-CATTLE"</f>
        <v>REFUND-CATTLE</v>
      </c>
    </row>
    <row r="85" spans="1:9" x14ac:dyDescent="0.3">
      <c r="A85" t="str">
        <f>"003796"</f>
        <v>003796</v>
      </c>
      <c r="B85" t="s">
        <v>22</v>
      </c>
      <c r="C85">
        <v>75335</v>
      </c>
      <c r="D85" s="2">
        <v>227.7</v>
      </c>
      <c r="E85" s="1">
        <v>43157</v>
      </c>
      <c r="F85" t="str">
        <f>"201802168784"</f>
        <v>201802168784</v>
      </c>
      <c r="G85" t="str">
        <f>"CRIMINAL CCL 02/08/18"</f>
        <v>CRIMINAL CCL 02/08/18</v>
      </c>
      <c r="H85" s="2">
        <v>227.7</v>
      </c>
      <c r="I85" t="str">
        <f>"CRIMINAL CCL 02/08/18"</f>
        <v>CRIMINAL CCL 02/08/18</v>
      </c>
    </row>
    <row r="86" spans="1:9" x14ac:dyDescent="0.3">
      <c r="A86" t="str">
        <f>"005342"</f>
        <v>005342</v>
      </c>
      <c r="B86" t="s">
        <v>23</v>
      </c>
      <c r="C86">
        <v>75001</v>
      </c>
      <c r="D86" s="2">
        <v>1995</v>
      </c>
      <c r="E86" s="1">
        <v>43143</v>
      </c>
      <c r="F86" t="str">
        <f>"8141"</f>
        <v>8141</v>
      </c>
      <c r="G86" t="str">
        <f>"B.A.T.GlowLine Laser Belt"</f>
        <v>B.A.T.GlowLine Laser Belt</v>
      </c>
      <c r="H86" s="2">
        <v>1995</v>
      </c>
      <c r="I86" t="str">
        <f>"GlowLine Laser Belt"</f>
        <v>GlowLine Laser Belt</v>
      </c>
    </row>
    <row r="87" spans="1:9" x14ac:dyDescent="0.3">
      <c r="A87" t="str">
        <f>"000204"</f>
        <v>000204</v>
      </c>
      <c r="B87" t="s">
        <v>24</v>
      </c>
      <c r="C87">
        <v>75002</v>
      </c>
      <c r="D87" s="2">
        <v>69.16</v>
      </c>
      <c r="E87" s="1">
        <v>43143</v>
      </c>
      <c r="F87" t="str">
        <f>"INV9008830358"</f>
        <v>INV9008830358</v>
      </c>
      <c r="G87" t="str">
        <f>"INV 9008830358"</f>
        <v>INV 9008830358</v>
      </c>
      <c r="H87" s="2">
        <v>69.16</v>
      </c>
      <c r="I87" t="str">
        <f>"INV 9008830358"</f>
        <v>INV 9008830358</v>
      </c>
    </row>
    <row r="88" spans="1:9" x14ac:dyDescent="0.3">
      <c r="A88" t="str">
        <f>"ALLIED"</f>
        <v>ALLIED</v>
      </c>
      <c r="B88" t="s">
        <v>25</v>
      </c>
      <c r="C88">
        <v>999999</v>
      </c>
      <c r="D88" s="2">
        <v>39.94</v>
      </c>
      <c r="E88" s="1">
        <v>43144</v>
      </c>
      <c r="F88" t="str">
        <f>"201802018433"</f>
        <v>201802018433</v>
      </c>
      <c r="G88" t="str">
        <f>"CUST#27615/PCT#1"</f>
        <v>CUST#27615/PCT#1</v>
      </c>
      <c r="H88" s="2">
        <v>39.94</v>
      </c>
      <c r="I88" t="str">
        <f>"CUST#27615/PCT#1"</f>
        <v>CUST#27615/PCT#1</v>
      </c>
    </row>
    <row r="89" spans="1:9" x14ac:dyDescent="0.3">
      <c r="A89" t="str">
        <f>"005349"</f>
        <v>005349</v>
      </c>
      <c r="B89" t="s">
        <v>26</v>
      </c>
      <c r="C89">
        <v>75336</v>
      </c>
      <c r="D89" s="2">
        <v>6906.27</v>
      </c>
      <c r="E89" s="1">
        <v>43157</v>
      </c>
      <c r="F89" t="str">
        <f>"001"</f>
        <v>001</v>
      </c>
      <c r="G89" t="str">
        <f>"Glass &amp; Glazing - AGC"</f>
        <v>Glass &amp; Glazing - AGC</v>
      </c>
      <c r="H89" s="2">
        <v>6906.27</v>
      </c>
      <c r="I89" t="str">
        <f>"Material Cost"</f>
        <v>Material Cost</v>
      </c>
    </row>
    <row r="90" spans="1:9" x14ac:dyDescent="0.3">
      <c r="A90" t="str">
        <f>""</f>
        <v/>
      </c>
      <c r="F90" t="str">
        <f>""</f>
        <v/>
      </c>
      <c r="G90" t="str">
        <f>""</f>
        <v/>
      </c>
      <c r="I90" t="str">
        <f>"Labor"</f>
        <v>Labor</v>
      </c>
    </row>
    <row r="91" spans="1:9" x14ac:dyDescent="0.3">
      <c r="A91" t="str">
        <f>"004642"</f>
        <v>004642</v>
      </c>
      <c r="B91" t="s">
        <v>27</v>
      </c>
      <c r="C91">
        <v>75337</v>
      </c>
      <c r="D91" s="2">
        <v>661</v>
      </c>
      <c r="E91" s="1">
        <v>43157</v>
      </c>
      <c r="F91" t="str">
        <f>"28745"</f>
        <v>28745</v>
      </c>
      <c r="G91" t="str">
        <f>"RENTAL-601 COOL WATER DR"</f>
        <v>RENTAL-601 COOL WATER DR</v>
      </c>
      <c r="H91" s="2">
        <v>305</v>
      </c>
      <c r="I91" t="str">
        <f>"RENTAL-601 COOL WATER DR"</f>
        <v>RENTAL-601 COOL WATER DR</v>
      </c>
    </row>
    <row r="92" spans="1:9" x14ac:dyDescent="0.3">
      <c r="A92" t="str">
        <f>""</f>
        <v/>
      </c>
      <c r="F92" t="str">
        <f>"28746"</f>
        <v>28746</v>
      </c>
      <c r="G92" t="str">
        <f>"RENTAL-375 RIVERSIDE"</f>
        <v>RENTAL-375 RIVERSIDE</v>
      </c>
      <c r="H92" s="2">
        <v>259</v>
      </c>
      <c r="I92" t="str">
        <f>"RENTAL-375 RIVERSIDE"</f>
        <v>RENTAL-375 RIVERSIDE</v>
      </c>
    </row>
    <row r="93" spans="1:9" x14ac:dyDescent="0.3">
      <c r="A93" t="str">
        <f>""</f>
        <v/>
      </c>
      <c r="F93" t="str">
        <f>"28747"</f>
        <v>28747</v>
      </c>
      <c r="G93" t="str">
        <f>"CUST#000894-000005/GEN SVC"</f>
        <v>CUST#000894-000005/GEN SVC</v>
      </c>
      <c r="H93" s="2">
        <v>97</v>
      </c>
      <c r="I93" t="str">
        <f>"CUST#000894-000005/GEN SVC"</f>
        <v>CUST#000894-000005/GEN SVC</v>
      </c>
    </row>
    <row r="94" spans="1:9" x14ac:dyDescent="0.3">
      <c r="A94" t="str">
        <f>"005237"</f>
        <v>005237</v>
      </c>
      <c r="B94" t="s">
        <v>28</v>
      </c>
      <c r="C94">
        <v>999999</v>
      </c>
      <c r="D94" s="2">
        <v>537.47</v>
      </c>
      <c r="E94" s="1">
        <v>43144</v>
      </c>
      <c r="F94" t="str">
        <f>"11CT-KCDT-T191"</f>
        <v>11CT-KCDT-T191</v>
      </c>
      <c r="G94" t="str">
        <f>"HCO Outdoors Security Box"</f>
        <v>HCO Outdoors Security Box</v>
      </c>
      <c r="H94" s="2">
        <v>38.5</v>
      </c>
      <c r="I94" t="str">
        <f>"HCO Outdoors Security Box"</f>
        <v>HCO Outdoors Security Box</v>
      </c>
    </row>
    <row r="95" spans="1:9" x14ac:dyDescent="0.3">
      <c r="A95" t="str">
        <f>""</f>
        <v/>
      </c>
      <c r="F95" t="str">
        <f>"1GC3-WXQK-RFJN"</f>
        <v>1GC3-WXQK-RFJN</v>
      </c>
      <c r="G95" t="str">
        <f>"2 Rechargeable Work Light"</f>
        <v>2 Rechargeable Work Light</v>
      </c>
      <c r="H95" s="2">
        <v>322</v>
      </c>
      <c r="I95" t="str">
        <f>"Rechargeable Light"</f>
        <v>Rechargeable Light</v>
      </c>
    </row>
    <row r="96" spans="1:9" x14ac:dyDescent="0.3">
      <c r="A96" t="str">
        <f>""</f>
        <v/>
      </c>
      <c r="F96" t="str">
        <f>"1KV4-LK4K-RLFP"</f>
        <v>1KV4-LK4K-RLFP</v>
      </c>
      <c r="G96" t="str">
        <f>"Radio Banks"</f>
        <v>Radio Banks</v>
      </c>
      <c r="H96" s="2">
        <v>176.97</v>
      </c>
      <c r="I96" t="str">
        <f>"Radio Banks"</f>
        <v>Radio Banks</v>
      </c>
    </row>
    <row r="97" spans="1:9" x14ac:dyDescent="0.3">
      <c r="A97" t="str">
        <f>"005237"</f>
        <v>005237</v>
      </c>
      <c r="B97" t="s">
        <v>28</v>
      </c>
      <c r="C97">
        <v>999999</v>
      </c>
      <c r="D97" s="2">
        <v>502.58</v>
      </c>
      <c r="E97" s="1">
        <v>43158</v>
      </c>
      <c r="F97" t="str">
        <f>"1TV4-6GXV-TRKP"</f>
        <v>1TV4-6GXV-TRKP</v>
      </c>
      <c r="G97" t="str">
        <f>"Ticket# 7571"</f>
        <v>Ticket# 7571</v>
      </c>
      <c r="H97" s="2">
        <v>502.58</v>
      </c>
      <c r="I97" t="str">
        <f>"(K55798WW)"</f>
        <v>(K55798WW)</v>
      </c>
    </row>
    <row r="98" spans="1:9" x14ac:dyDescent="0.3">
      <c r="A98" t="str">
        <f>""</f>
        <v/>
      </c>
      <c r="F98" t="str">
        <f>""</f>
        <v/>
      </c>
      <c r="G98" t="str">
        <f>""</f>
        <v/>
      </c>
      <c r="I98" t="str">
        <f>"(CM15843)"</f>
        <v>(CM15843)</v>
      </c>
    </row>
    <row r="99" spans="1:9" x14ac:dyDescent="0.3">
      <c r="A99" t="str">
        <f>"002599"</f>
        <v>002599</v>
      </c>
      <c r="B99" t="s">
        <v>29</v>
      </c>
      <c r="C99">
        <v>75003</v>
      </c>
      <c r="D99" s="2">
        <v>26.07</v>
      </c>
      <c r="E99" s="1">
        <v>43143</v>
      </c>
      <c r="F99" t="str">
        <f>"24434-3"</f>
        <v>24434-3</v>
      </c>
      <c r="G99" t="str">
        <f>"CUST#100031/PCT#3"</f>
        <v>CUST#100031/PCT#3</v>
      </c>
      <c r="H99" s="2">
        <v>26.07</v>
      </c>
      <c r="I99" t="str">
        <f>"CUST#100031/PCT#3"</f>
        <v>CUST#100031/PCT#3</v>
      </c>
    </row>
    <row r="100" spans="1:9" x14ac:dyDescent="0.3">
      <c r="A100" t="str">
        <f>"002599"</f>
        <v>002599</v>
      </c>
      <c r="B100" t="s">
        <v>29</v>
      </c>
      <c r="C100">
        <v>75338</v>
      </c>
      <c r="D100" s="2">
        <v>166.26</v>
      </c>
      <c r="E100" s="1">
        <v>43157</v>
      </c>
      <c r="F100" t="str">
        <f>"25212-1"</f>
        <v>25212-1</v>
      </c>
      <c r="G100" t="str">
        <f>"CUST#100031/PCT#3"</f>
        <v>CUST#100031/PCT#3</v>
      </c>
      <c r="H100" s="2">
        <v>166.26</v>
      </c>
      <c r="I100" t="str">
        <f>"CUST#100031/PCT#3"</f>
        <v>CUST#100031/PCT#3</v>
      </c>
    </row>
    <row r="101" spans="1:9" x14ac:dyDescent="0.3">
      <c r="A101" t="str">
        <f>"003253"</f>
        <v>003253</v>
      </c>
      <c r="B101" t="s">
        <v>30</v>
      </c>
      <c r="C101">
        <v>75004</v>
      </c>
      <c r="D101" s="2">
        <v>36</v>
      </c>
      <c r="E101" s="1">
        <v>43143</v>
      </c>
      <c r="F101" t="str">
        <f>"934828-2-1"</f>
        <v>934828-2-1</v>
      </c>
      <c r="G101" t="str">
        <f>"CUST#235716/ANIMAL SHELTER"</f>
        <v>CUST#235716/ANIMAL SHELTER</v>
      </c>
      <c r="H101" s="2">
        <v>36</v>
      </c>
      <c r="I101" t="str">
        <f>"CUST#235716/ANIMAL SHELTER"</f>
        <v>CUST#235716/ANIMAL SHELTER</v>
      </c>
    </row>
    <row r="102" spans="1:9" x14ac:dyDescent="0.3">
      <c r="A102" t="str">
        <f>"002148"</f>
        <v>002148</v>
      </c>
      <c r="B102" t="s">
        <v>31</v>
      </c>
      <c r="C102">
        <v>75005</v>
      </c>
      <c r="D102" s="2">
        <v>4346.8500000000004</v>
      </c>
      <c r="E102" s="1">
        <v>43143</v>
      </c>
      <c r="F102" t="str">
        <f>"931801911"</f>
        <v>931801911</v>
      </c>
      <c r="G102" t="str">
        <f>"INV 931801911"</f>
        <v>INV 931801911</v>
      </c>
      <c r="H102" s="2">
        <v>4346.8500000000004</v>
      </c>
      <c r="I102" t="str">
        <f>"INV 931801911"</f>
        <v>INV 931801911</v>
      </c>
    </row>
    <row r="103" spans="1:9" x14ac:dyDescent="0.3">
      <c r="A103" t="str">
        <f>"T14545"</f>
        <v>T14545</v>
      </c>
      <c r="B103" t="s">
        <v>32</v>
      </c>
      <c r="C103">
        <v>75006</v>
      </c>
      <c r="D103" s="2">
        <v>4616.1000000000004</v>
      </c>
      <c r="E103" s="1">
        <v>43143</v>
      </c>
      <c r="F103" t="str">
        <f>"108003"</f>
        <v>108003</v>
      </c>
      <c r="G103" t="str">
        <f>"2018 EARLY VOTING SCHEDULE"</f>
        <v>2018 EARLY VOTING SCHEDULE</v>
      </c>
      <c r="H103" s="2">
        <v>4616.1000000000004</v>
      </c>
      <c r="I103" t="str">
        <f>"2018 EARLY VOTING SCHEDULE"</f>
        <v>2018 EARLY VOTING SCHEDULE</v>
      </c>
    </row>
    <row r="104" spans="1:9" x14ac:dyDescent="0.3">
      <c r="A104" t="str">
        <f>"T7520"</f>
        <v>T7520</v>
      </c>
      <c r="B104" t="s">
        <v>33</v>
      </c>
      <c r="C104">
        <v>999999</v>
      </c>
      <c r="D104" s="2">
        <v>4675</v>
      </c>
      <c r="E104" s="1">
        <v>43144</v>
      </c>
      <c r="F104" t="str">
        <f>"201801308238"</f>
        <v>201801308238</v>
      </c>
      <c r="G104" t="str">
        <f>"JUVENILE-DETENTION HEARING"</f>
        <v>JUVENILE-DETENTION HEARING</v>
      </c>
      <c r="H104" s="2">
        <v>100</v>
      </c>
      <c r="I104" t="str">
        <f>"JUVENILE-DETENTION HEARING"</f>
        <v>JUVENILE-DETENTION HEARING</v>
      </c>
    </row>
    <row r="105" spans="1:9" x14ac:dyDescent="0.3">
      <c r="A105" t="str">
        <f>""</f>
        <v/>
      </c>
      <c r="F105" t="str">
        <f>"201801308239"</f>
        <v>201801308239</v>
      </c>
      <c r="G105" t="str">
        <f>"JV DETENTION HEARING"</f>
        <v>JV DETENTION HEARING</v>
      </c>
      <c r="H105" s="2">
        <v>100</v>
      </c>
      <c r="I105" t="str">
        <f>"JV DETENTION HEARING"</f>
        <v>JV DETENTION HEARING</v>
      </c>
    </row>
    <row r="106" spans="1:9" x14ac:dyDescent="0.3">
      <c r="A106" t="str">
        <f>""</f>
        <v/>
      </c>
      <c r="F106" t="str">
        <f>"201801308277"</f>
        <v>201801308277</v>
      </c>
      <c r="G106" t="str">
        <f>"55 460"</f>
        <v>55 460</v>
      </c>
      <c r="H106" s="2">
        <v>250</v>
      </c>
      <c r="I106" t="str">
        <f>"55 460"</f>
        <v>55 460</v>
      </c>
    </row>
    <row r="107" spans="1:9" x14ac:dyDescent="0.3">
      <c r="A107" t="str">
        <f>""</f>
        <v/>
      </c>
      <c r="F107" t="str">
        <f>"201801308278"</f>
        <v>201801308278</v>
      </c>
      <c r="G107" t="str">
        <f>"18-18802"</f>
        <v>18-18802</v>
      </c>
      <c r="H107" s="2">
        <v>100</v>
      </c>
      <c r="I107" t="str">
        <f>"18-18802"</f>
        <v>18-18802</v>
      </c>
    </row>
    <row r="108" spans="1:9" x14ac:dyDescent="0.3">
      <c r="A108" t="str">
        <f>""</f>
        <v/>
      </c>
      <c r="F108" t="str">
        <f>"201801308279"</f>
        <v>201801308279</v>
      </c>
      <c r="G108" t="str">
        <f>"17-18790/17-18791"</f>
        <v>17-18790/17-18791</v>
      </c>
      <c r="H108" s="2">
        <v>200</v>
      </c>
      <c r="I108" t="str">
        <f>"17-18790/17-18791"</f>
        <v>17-18790/17-18791</v>
      </c>
    </row>
    <row r="109" spans="1:9" x14ac:dyDescent="0.3">
      <c r="A109" t="str">
        <f>""</f>
        <v/>
      </c>
      <c r="F109" t="str">
        <f>"201801308280"</f>
        <v>201801308280</v>
      </c>
      <c r="G109" t="str">
        <f>"55 512"</f>
        <v>55 512</v>
      </c>
      <c r="H109" s="2">
        <v>250</v>
      </c>
      <c r="I109" t="str">
        <f>"55 512"</f>
        <v>55 512</v>
      </c>
    </row>
    <row r="110" spans="1:9" x14ac:dyDescent="0.3">
      <c r="A110" t="str">
        <f>""</f>
        <v/>
      </c>
      <c r="F110" t="str">
        <f>"201801308281"</f>
        <v>201801308281</v>
      </c>
      <c r="G110" t="str">
        <f>"55 685"</f>
        <v>55 685</v>
      </c>
      <c r="H110" s="2">
        <v>250</v>
      </c>
      <c r="I110" t="str">
        <f>"55 685"</f>
        <v>55 685</v>
      </c>
    </row>
    <row r="111" spans="1:9" x14ac:dyDescent="0.3">
      <c r="A111" t="str">
        <f>""</f>
        <v/>
      </c>
      <c r="F111" t="str">
        <f>"201801308282"</f>
        <v>201801308282</v>
      </c>
      <c r="G111" t="str">
        <f>"55 401"</f>
        <v>55 401</v>
      </c>
      <c r="H111" s="2">
        <v>250</v>
      </c>
      <c r="I111" t="str">
        <f>"55 401"</f>
        <v>55 401</v>
      </c>
    </row>
    <row r="112" spans="1:9" x14ac:dyDescent="0.3">
      <c r="A112" t="str">
        <f>""</f>
        <v/>
      </c>
      <c r="F112" t="str">
        <f>"201801308283"</f>
        <v>201801308283</v>
      </c>
      <c r="G112" t="str">
        <f>"16 397"</f>
        <v>16 397</v>
      </c>
      <c r="H112" s="2">
        <v>400</v>
      </c>
      <c r="I112" t="str">
        <f>"16 397"</f>
        <v>16 397</v>
      </c>
    </row>
    <row r="113" spans="1:9" x14ac:dyDescent="0.3">
      <c r="A113" t="str">
        <f>""</f>
        <v/>
      </c>
      <c r="F113" t="str">
        <f>"201801308284"</f>
        <v>201801308284</v>
      </c>
      <c r="G113" t="str">
        <f>"423-5444"</f>
        <v>423-5444</v>
      </c>
      <c r="H113" s="2">
        <v>100</v>
      </c>
      <c r="I113" t="str">
        <f>"423-5444"</f>
        <v>423-5444</v>
      </c>
    </row>
    <row r="114" spans="1:9" x14ac:dyDescent="0.3">
      <c r="A114" t="str">
        <f>""</f>
        <v/>
      </c>
      <c r="F114" t="str">
        <f>"201801308285"</f>
        <v>201801308285</v>
      </c>
      <c r="G114" t="str">
        <f>"02 0630-1"</f>
        <v>02 0630-1</v>
      </c>
      <c r="H114" s="2">
        <v>400</v>
      </c>
      <c r="I114" t="str">
        <f>"02 0630-1"</f>
        <v>02 0630-1</v>
      </c>
    </row>
    <row r="115" spans="1:9" x14ac:dyDescent="0.3">
      <c r="A115" t="str">
        <f>""</f>
        <v/>
      </c>
      <c r="F115" t="str">
        <f>"201801308286"</f>
        <v>201801308286</v>
      </c>
      <c r="G115" t="str">
        <f>"17-S-00709"</f>
        <v>17-S-00709</v>
      </c>
      <c r="H115" s="2">
        <v>400</v>
      </c>
      <c r="I115" t="str">
        <f>"17-S-00709"</f>
        <v>17-S-00709</v>
      </c>
    </row>
    <row r="116" spans="1:9" x14ac:dyDescent="0.3">
      <c r="A116" t="str">
        <f>""</f>
        <v/>
      </c>
      <c r="F116" t="str">
        <f>"201801308287"</f>
        <v>201801308287</v>
      </c>
      <c r="G116" t="str">
        <f>"423-5326/633-21/632-335"</f>
        <v>423-5326/633-21/632-335</v>
      </c>
      <c r="H116" s="2">
        <v>375</v>
      </c>
      <c r="I116" t="str">
        <f>"423-5326/633-21/632-335"</f>
        <v>423-5326/633-21/632-335</v>
      </c>
    </row>
    <row r="117" spans="1:9" x14ac:dyDescent="0.3">
      <c r="A117" t="str">
        <f>""</f>
        <v/>
      </c>
      <c r="F117" t="str">
        <f>"201802078640"</f>
        <v>201802078640</v>
      </c>
      <c r="G117" t="str">
        <f>"54 752"</f>
        <v>54 752</v>
      </c>
      <c r="H117" s="2">
        <v>1500</v>
      </c>
      <c r="I117" t="str">
        <f>"54 752"</f>
        <v>54 752</v>
      </c>
    </row>
    <row r="118" spans="1:9" x14ac:dyDescent="0.3">
      <c r="A118" t="str">
        <f>"004902"</f>
        <v>004902</v>
      </c>
      <c r="B118" t="s">
        <v>34</v>
      </c>
      <c r="C118">
        <v>999999</v>
      </c>
      <c r="D118" s="2">
        <v>601.29</v>
      </c>
      <c r="E118" s="1">
        <v>43144</v>
      </c>
      <c r="F118" t="str">
        <f>"201802068569"</f>
        <v>201802068569</v>
      </c>
      <c r="G118" t="str">
        <f>"REIMBURSE PER DIEM/PARKING"</f>
        <v>REIMBURSE PER DIEM/PARKING</v>
      </c>
      <c r="H118" s="2">
        <v>209.67</v>
      </c>
      <c r="I118" t="str">
        <f>"REIMBURSE PER DIEM/PARKING"</f>
        <v>REIMBURSE PER DIEM/PARKING</v>
      </c>
    </row>
    <row r="119" spans="1:9" x14ac:dyDescent="0.3">
      <c r="A119" t="str">
        <f>""</f>
        <v/>
      </c>
      <c r="F119" t="str">
        <f>"201802068579"</f>
        <v>201802068579</v>
      </c>
      <c r="G119" t="str">
        <f>"REIMBURSE MILEAGE"</f>
        <v>REIMBURSE MILEAGE</v>
      </c>
      <c r="H119" s="2">
        <v>391.62</v>
      </c>
      <c r="I119" t="str">
        <f>"REIMBURSE MILEAGE"</f>
        <v>REIMBURSE MILEAGE</v>
      </c>
    </row>
    <row r="120" spans="1:9" x14ac:dyDescent="0.3">
      <c r="A120" t="str">
        <f>"AQUAB"</f>
        <v>AQUAB</v>
      </c>
      <c r="B120" t="s">
        <v>35</v>
      </c>
      <c r="C120">
        <v>75007</v>
      </c>
      <c r="D120" s="2">
        <v>339.54</v>
      </c>
      <c r="E120" s="1">
        <v>43143</v>
      </c>
      <c r="F120" t="str">
        <f>"201802018427"</f>
        <v>201802018427</v>
      </c>
      <c r="G120" t="str">
        <f>"ACCT#010057/BAST CO AUDITOR"</f>
        <v>ACCT#010057/BAST CO AUDITOR</v>
      </c>
      <c r="H120" s="2">
        <v>22.5</v>
      </c>
      <c r="I120" t="str">
        <f>"ACCT#010057/BAST CO AUDITOR"</f>
        <v>ACCT#010057/BAST CO AUDITOR</v>
      </c>
    </row>
    <row r="121" spans="1:9" x14ac:dyDescent="0.3">
      <c r="A121" t="str">
        <f>""</f>
        <v/>
      </c>
      <c r="F121" t="str">
        <f>"201802018428"</f>
        <v>201802018428</v>
      </c>
      <c r="G121" t="str">
        <f>"ACCT#015476/PURCHASING DEPT"</f>
        <v>ACCT#015476/PURCHASING DEPT</v>
      </c>
      <c r="H121" s="2">
        <v>0.86</v>
      </c>
      <c r="I121" t="str">
        <f>"ACCT#015476/PURCHASING DEPT"</f>
        <v>ACCT#015476/PURCHASING DEPT</v>
      </c>
    </row>
    <row r="122" spans="1:9" x14ac:dyDescent="0.3">
      <c r="A122" t="str">
        <f>""</f>
        <v/>
      </c>
      <c r="F122" t="str">
        <f>"201802018429"</f>
        <v>201802018429</v>
      </c>
      <c r="G122" t="str">
        <f>"ACCT#011033/IT DEPT"</f>
        <v>ACCT#011033/IT DEPT</v>
      </c>
      <c r="H122" s="2">
        <v>24</v>
      </c>
      <c r="I122" t="str">
        <f>"ACCT#011033/IT DEPT"</f>
        <v>ACCT#011033/IT DEPT</v>
      </c>
    </row>
    <row r="123" spans="1:9" x14ac:dyDescent="0.3">
      <c r="A123" t="str">
        <f>""</f>
        <v/>
      </c>
      <c r="F123" t="str">
        <f>"201802018430"</f>
        <v>201802018430</v>
      </c>
      <c r="G123" t="str">
        <f>"ACCT#010111/CCAL-BASTROP"</f>
        <v>ACCT#010111/CCAL-BASTROP</v>
      </c>
      <c r="H123" s="2">
        <v>13</v>
      </c>
      <c r="I123" t="str">
        <f>"ACCT#010111/CCAL-BASTROP"</f>
        <v>ACCT#010111/CCAL-BASTROP</v>
      </c>
    </row>
    <row r="124" spans="1:9" x14ac:dyDescent="0.3">
      <c r="A124" t="str">
        <f>""</f>
        <v/>
      </c>
      <c r="F124" t="str">
        <f>"201802028449"</f>
        <v>201802028449</v>
      </c>
      <c r="G124" t="str">
        <f>"ACCT#015538/EMER MGMT"</f>
        <v>ACCT#015538/EMER MGMT</v>
      </c>
      <c r="H124" s="2">
        <v>8.5</v>
      </c>
      <c r="I124" t="str">
        <f>"ACCT#015538/EMER MGMT"</f>
        <v>ACCT#015538/EMER MGMT</v>
      </c>
    </row>
    <row r="125" spans="1:9" x14ac:dyDescent="0.3">
      <c r="A125" t="str">
        <f>""</f>
        <v/>
      </c>
      <c r="F125" t="str">
        <f>"201802028465"</f>
        <v>201802028465</v>
      </c>
      <c r="G125" t="str">
        <f>"ACCT#014877/OEM"</f>
        <v>ACCT#014877/OEM</v>
      </c>
      <c r="H125" s="2">
        <v>193.68</v>
      </c>
      <c r="I125" t="str">
        <f>"ACCT#014877/OEM"</f>
        <v>ACCT#014877/OEM</v>
      </c>
    </row>
    <row r="126" spans="1:9" x14ac:dyDescent="0.3">
      <c r="A126" t="str">
        <f>""</f>
        <v/>
      </c>
      <c r="F126" t="str">
        <f>"201802068580"</f>
        <v>201802068580</v>
      </c>
      <c r="G126" t="str">
        <f>"ACCT#013789/BASTROP COUNTY"</f>
        <v>ACCT#013789/BASTROP COUNTY</v>
      </c>
      <c r="H126" s="2">
        <v>22.5</v>
      </c>
      <c r="I126" t="str">
        <f>"ACCT#013789/BASTROP COUNTY"</f>
        <v>ACCT#013789/BASTROP COUNTY</v>
      </c>
    </row>
    <row r="127" spans="1:9" x14ac:dyDescent="0.3">
      <c r="A127" t="str">
        <f>""</f>
        <v/>
      </c>
      <c r="F127" t="str">
        <f>"201802078613"</f>
        <v>201802078613</v>
      </c>
      <c r="G127" t="str">
        <f>"ACCT#014737/ANIMAL SVCS"</f>
        <v>ACCT#014737/ANIMAL SVCS</v>
      </c>
      <c r="H127" s="2">
        <v>54.5</v>
      </c>
      <c r="I127" t="str">
        <f>"ACCT#014737/ANIMAL SVCS"</f>
        <v>ACCT#014737/ANIMAL SVCS</v>
      </c>
    </row>
    <row r="128" spans="1:9" x14ac:dyDescent="0.3">
      <c r="A128" t="str">
        <f>"AWS"</f>
        <v>AWS</v>
      </c>
      <c r="B128" t="s">
        <v>36</v>
      </c>
      <c r="C128">
        <v>74988</v>
      </c>
      <c r="D128" s="2">
        <v>1220.8499999999999</v>
      </c>
      <c r="E128" s="1">
        <v>43132</v>
      </c>
      <c r="F128" t="str">
        <f>"201802018391"</f>
        <v>201802018391</v>
      </c>
      <c r="G128" t="str">
        <f>"ACCT#0102120801 / 02012018"</f>
        <v>ACCT#0102120801 / 02012018</v>
      </c>
      <c r="H128" s="2">
        <v>279.72000000000003</v>
      </c>
      <c r="I128" t="str">
        <f>"ACCT#0102120801 / 02012018"</f>
        <v>ACCT#0102120801 / 02012018</v>
      </c>
    </row>
    <row r="129" spans="1:9" x14ac:dyDescent="0.3">
      <c r="A129" t="str">
        <f>""</f>
        <v/>
      </c>
      <c r="F129" t="str">
        <f>"201802018392"</f>
        <v>201802018392</v>
      </c>
      <c r="G129" t="str">
        <f>"ACCT#0201855301 / 02012018"</f>
        <v>ACCT#0201855301 / 02012018</v>
      </c>
      <c r="H129" s="2">
        <v>36.11</v>
      </c>
      <c r="I129" t="str">
        <f>"ACCT#0201855301 / 02012018"</f>
        <v>ACCT#0201855301 / 02012018</v>
      </c>
    </row>
    <row r="130" spans="1:9" x14ac:dyDescent="0.3">
      <c r="A130" t="str">
        <f>""</f>
        <v/>
      </c>
      <c r="F130" t="str">
        <f>"201802018393"</f>
        <v>201802018393</v>
      </c>
      <c r="G130" t="str">
        <f>"ACCT#0201891401 / 02012018"</f>
        <v>ACCT#0201891401 / 02012018</v>
      </c>
      <c r="H130" s="2">
        <v>25.28</v>
      </c>
      <c r="I130" t="str">
        <f>"ACCT#0201891401 / 02012018"</f>
        <v>ACCT#0201891401 / 02012018</v>
      </c>
    </row>
    <row r="131" spans="1:9" x14ac:dyDescent="0.3">
      <c r="A131" t="str">
        <f>""</f>
        <v/>
      </c>
      <c r="F131" t="str">
        <f>"201802018394"</f>
        <v>201802018394</v>
      </c>
      <c r="G131" t="str">
        <f>"ACCT#0400785803 / 02012018"</f>
        <v>ACCT#0400785803 / 02012018</v>
      </c>
      <c r="H131" s="2">
        <v>344.32</v>
      </c>
      <c r="I131" t="str">
        <f>"ACCT#0400785803 / 02012018"</f>
        <v>ACCT#0400785803 / 02012018</v>
      </c>
    </row>
    <row r="132" spans="1:9" x14ac:dyDescent="0.3">
      <c r="A132" t="str">
        <f>""</f>
        <v/>
      </c>
      <c r="F132" t="str">
        <f>"201802018396"</f>
        <v>201802018396</v>
      </c>
      <c r="G132" t="str">
        <f>"ACCT#0401408501 / 02012018"</f>
        <v>ACCT#0401408501 / 02012018</v>
      </c>
      <c r="H132" s="2">
        <v>501.63</v>
      </c>
      <c r="I132" t="str">
        <f>"ACCT#0401408501 / 02012018"</f>
        <v>ACCT#0401408501 / 02012018</v>
      </c>
    </row>
    <row r="133" spans="1:9" x14ac:dyDescent="0.3">
      <c r="A133" t="str">
        <f>""</f>
        <v/>
      </c>
      <c r="F133" t="str">
        <f>"201802018398"</f>
        <v>201802018398</v>
      </c>
      <c r="G133" t="str">
        <f>"ACCT#0800042801 / 02012018"</f>
        <v>ACCT#0800042801 / 02012018</v>
      </c>
      <c r="H133" s="2">
        <v>33.79</v>
      </c>
      <c r="I133" t="str">
        <f>"ACCT#0800042801 / 02012018"</f>
        <v>ACCT#0800042801 / 02012018</v>
      </c>
    </row>
    <row r="134" spans="1:9" x14ac:dyDescent="0.3">
      <c r="A134" t="str">
        <f>"000987"</f>
        <v>000987</v>
      </c>
      <c r="B134" t="s">
        <v>37</v>
      </c>
      <c r="C134">
        <v>75008</v>
      </c>
      <c r="D134" s="2">
        <v>221.97</v>
      </c>
      <c r="E134" s="1">
        <v>43143</v>
      </c>
      <c r="F134" t="str">
        <f>"201802078648"</f>
        <v>201802078648</v>
      </c>
      <c r="G134" t="str">
        <f>"INDIGENT HEALTH"</f>
        <v>INDIGENT HEALTH</v>
      </c>
      <c r="H134" s="2">
        <v>221.97</v>
      </c>
      <c r="I134" t="str">
        <f>"INDIGENT HEALTH"</f>
        <v>INDIGENT HEALTH</v>
      </c>
    </row>
    <row r="135" spans="1:9" x14ac:dyDescent="0.3">
      <c r="A135" t="str">
        <f>""</f>
        <v/>
      </c>
      <c r="F135" t="str">
        <f>""</f>
        <v/>
      </c>
      <c r="G135" t="str">
        <f>""</f>
        <v/>
      </c>
      <c r="I135" t="str">
        <f>"INDIGENT HEALTH"</f>
        <v>INDIGENT HEALTH</v>
      </c>
    </row>
    <row r="136" spans="1:9" x14ac:dyDescent="0.3">
      <c r="A136" t="str">
        <f>"001114"</f>
        <v>001114</v>
      </c>
      <c r="B136" t="s">
        <v>38</v>
      </c>
      <c r="C136">
        <v>999999</v>
      </c>
      <c r="D136" s="2">
        <v>1000</v>
      </c>
      <c r="E136" s="1">
        <v>43144</v>
      </c>
      <c r="F136" t="str">
        <f>"INV198481"</f>
        <v>INV198481</v>
      </c>
      <c r="G136" t="str">
        <f>"INV 198481"</f>
        <v>INV 198481</v>
      </c>
      <c r="H136" s="2">
        <v>1000</v>
      </c>
      <c r="I136" t="str">
        <f>"INV 198481"</f>
        <v>INV 198481</v>
      </c>
    </row>
    <row r="137" spans="1:9" x14ac:dyDescent="0.3">
      <c r="A137" t="str">
        <f>"003672"</f>
        <v>003672</v>
      </c>
      <c r="B137" t="s">
        <v>39</v>
      </c>
      <c r="C137">
        <v>75009</v>
      </c>
      <c r="D137" s="2">
        <v>22629.93</v>
      </c>
      <c r="E137" s="1">
        <v>43143</v>
      </c>
      <c r="F137" t="str">
        <f>"14627"</f>
        <v>14627</v>
      </c>
      <c r="G137" t="str">
        <f>"BC NOV/DEC ADV"</f>
        <v>BC NOV/DEC ADV</v>
      </c>
      <c r="H137" s="2">
        <v>21329.93</v>
      </c>
      <c r="I137" t="str">
        <f>"BC NOV/DEC ADV"</f>
        <v>BC NOV/DEC ADV</v>
      </c>
    </row>
    <row r="138" spans="1:9" x14ac:dyDescent="0.3">
      <c r="A138" t="str">
        <f>""</f>
        <v/>
      </c>
      <c r="F138" t="str">
        <f>"14628"</f>
        <v>14628</v>
      </c>
      <c r="G138" t="str">
        <f>"BC PRO SERV NOV/DEC ADV"</f>
        <v>BC PRO SERV NOV/DEC ADV</v>
      </c>
      <c r="H138" s="2">
        <v>1300</v>
      </c>
      <c r="I138" t="str">
        <f>"BC PRO SERV NOV/DEC ADV"</f>
        <v>BC PRO SERV NOV/DEC ADV</v>
      </c>
    </row>
    <row r="139" spans="1:9" x14ac:dyDescent="0.3">
      <c r="A139" t="str">
        <f>"003673"</f>
        <v>003673</v>
      </c>
      <c r="B139" t="s">
        <v>40</v>
      </c>
      <c r="C139">
        <v>75010</v>
      </c>
      <c r="D139" s="2">
        <v>5016.1099999999997</v>
      </c>
      <c r="E139" s="1">
        <v>43143</v>
      </c>
      <c r="F139" t="str">
        <f>"201801308347"</f>
        <v>201801308347</v>
      </c>
      <c r="G139" t="str">
        <f>"ACCT#512A49-0048 193 3"</f>
        <v>ACCT#512A49-0048 193 3</v>
      </c>
      <c r="H139" s="2">
        <v>4453.21</v>
      </c>
      <c r="I139" t="str">
        <f>"ACCT#512A49-0048 193 3"</f>
        <v>ACCT#512A49-0048 193 3</v>
      </c>
    </row>
    <row r="140" spans="1:9" x14ac:dyDescent="0.3">
      <c r="A140" t="str">
        <f>""</f>
        <v/>
      </c>
      <c r="F140" t="str">
        <f>""</f>
        <v/>
      </c>
      <c r="G140" t="str">
        <f>""</f>
        <v/>
      </c>
      <c r="I140" t="str">
        <f>"ACCT#512A49-0048 193 3"</f>
        <v>ACCT#512A49-0048 193 3</v>
      </c>
    </row>
    <row r="141" spans="1:9" x14ac:dyDescent="0.3">
      <c r="A141" t="str">
        <f>""</f>
        <v/>
      </c>
      <c r="F141" t="str">
        <f>"201801318354"</f>
        <v>201801318354</v>
      </c>
      <c r="G141" t="str">
        <f>"ACCT#512A49-0048 193 3/PCT#2"</f>
        <v>ACCT#512A49-0048 193 3/PCT#2</v>
      </c>
      <c r="H141" s="2">
        <v>245.31</v>
      </c>
      <c r="I141" t="str">
        <f>"ACCT#512A49-0048 193 3/PCT#2"</f>
        <v>ACCT#512A49-0048 193 3/PCT#2</v>
      </c>
    </row>
    <row r="142" spans="1:9" x14ac:dyDescent="0.3">
      <c r="A142" t="str">
        <f>""</f>
        <v/>
      </c>
      <c r="F142" t="str">
        <f>"201801318356"</f>
        <v>201801318356</v>
      </c>
      <c r="G142" t="str">
        <f>"ACCT#512A49-0048 193 3/PCT#3"</f>
        <v>ACCT#512A49-0048 193 3/PCT#3</v>
      </c>
      <c r="H142" s="2">
        <v>181.5</v>
      </c>
      <c r="I142" t="str">
        <f>"ACCT#512A49-0048 193 3/PCT#3"</f>
        <v>ACCT#512A49-0048 193 3/PCT#3</v>
      </c>
    </row>
    <row r="143" spans="1:9" x14ac:dyDescent="0.3">
      <c r="A143" t="str">
        <f>""</f>
        <v/>
      </c>
      <c r="F143" t="str">
        <f>"201801318357"</f>
        <v>201801318357</v>
      </c>
      <c r="G143" t="str">
        <f>"ACCT#512A49-0048 193 3/PCT#4"</f>
        <v>ACCT#512A49-0048 193 3/PCT#4</v>
      </c>
      <c r="H143" s="2">
        <v>136.09</v>
      </c>
      <c r="I143" t="str">
        <f>"ACCT#512A49-0048 193 3/PCT#4"</f>
        <v>ACCT#512A49-0048 193 3/PCT#4</v>
      </c>
    </row>
    <row r="144" spans="1:9" x14ac:dyDescent="0.3">
      <c r="A144" t="str">
        <f>"AT&amp;TLO"</f>
        <v>AT&amp;TLO</v>
      </c>
      <c r="B144" t="s">
        <v>41</v>
      </c>
      <c r="C144">
        <v>75011</v>
      </c>
      <c r="D144" s="2">
        <v>3902.57</v>
      </c>
      <c r="E144" s="1">
        <v>43143</v>
      </c>
      <c r="F144" t="str">
        <f>"4218020404"</f>
        <v>4218020404</v>
      </c>
      <c r="G144" t="str">
        <f>"ACCT#831-000-6084 095"</f>
        <v>ACCT#831-000-6084 095</v>
      </c>
      <c r="H144" s="2">
        <v>1905.79</v>
      </c>
      <c r="I144" t="str">
        <f>"ACCT#831-000-6084 095"</f>
        <v>ACCT#831-000-6084 095</v>
      </c>
    </row>
    <row r="145" spans="1:9" x14ac:dyDescent="0.3">
      <c r="A145" t="str">
        <f>""</f>
        <v/>
      </c>
      <c r="F145" t="str">
        <f>"4651450408"</f>
        <v>4651450408</v>
      </c>
      <c r="G145" t="str">
        <f>"ACCT#831-000-6982 602"</f>
        <v>ACCT#831-000-6982 602</v>
      </c>
      <c r="H145" s="2">
        <v>1006.13</v>
      </c>
      <c r="I145" t="str">
        <f>"ACCT#831-000-6982 602"</f>
        <v>ACCT#831-000-6982 602</v>
      </c>
    </row>
    <row r="146" spans="1:9" x14ac:dyDescent="0.3">
      <c r="A146" t="str">
        <f>""</f>
        <v/>
      </c>
      <c r="F146" t="str">
        <f>"9121849305"</f>
        <v>9121849305</v>
      </c>
      <c r="G146" t="str">
        <f>"ACCT#831-000-7218 923"</f>
        <v>ACCT#831-000-7218 923</v>
      </c>
      <c r="H146" s="2">
        <v>990.65</v>
      </c>
      <c r="I146" t="str">
        <f>"ACCT#831-000-7218 923"</f>
        <v>ACCT#831-000-7218 923</v>
      </c>
    </row>
    <row r="147" spans="1:9" x14ac:dyDescent="0.3">
      <c r="A147" t="str">
        <f>"T7386"</f>
        <v>T7386</v>
      </c>
      <c r="B147" t="s">
        <v>41</v>
      </c>
      <c r="C147">
        <v>75339</v>
      </c>
      <c r="D147" s="2">
        <v>1796.75</v>
      </c>
      <c r="E147" s="1">
        <v>43157</v>
      </c>
      <c r="F147" t="str">
        <f>"201802218821"</f>
        <v>201802218821</v>
      </c>
      <c r="G147" t="str">
        <f>"ACCT512 303-1080 238 5/SHERIFF"</f>
        <v>ACCT512 303-1080 238 5/SHERIFF</v>
      </c>
      <c r="H147" s="2">
        <v>1796.75</v>
      </c>
      <c r="I147" t="str">
        <f>"ACCT512 303-1080 238 5/SHERIFF"</f>
        <v>ACCT512 303-1080 238 5/SHERIFF</v>
      </c>
    </row>
    <row r="148" spans="1:9" x14ac:dyDescent="0.3">
      <c r="A148" t="str">
        <f>"AT&amp;TMO"</f>
        <v>AT&amp;TMO</v>
      </c>
      <c r="B148" t="s">
        <v>42</v>
      </c>
      <c r="C148">
        <v>75012</v>
      </c>
      <c r="D148" s="2">
        <v>1928.23</v>
      </c>
      <c r="E148" s="1">
        <v>43143</v>
      </c>
      <c r="F148" t="str">
        <f>"287263291729X01202"</f>
        <v>287263291729X01202</v>
      </c>
      <c r="G148" t="str">
        <f>"ACCT#287263291729/FAN06062279"</f>
        <v>ACCT#287263291729/FAN06062279</v>
      </c>
      <c r="H148" s="2">
        <v>1928.23</v>
      </c>
      <c r="I148" t="str">
        <f>"ACCT#287263291729/FAN06062279"</f>
        <v>ACCT#287263291729/FAN06062279</v>
      </c>
    </row>
    <row r="149" spans="1:9" x14ac:dyDescent="0.3">
      <c r="A149" t="str">
        <f>"AT&amp;T13"</f>
        <v>AT&amp;T13</v>
      </c>
      <c r="B149" t="s">
        <v>43</v>
      </c>
      <c r="C149">
        <v>75340</v>
      </c>
      <c r="D149" s="2">
        <v>15.93</v>
      </c>
      <c r="E149" s="1">
        <v>43157</v>
      </c>
      <c r="F149" t="str">
        <f>"201802148746"</f>
        <v>201802148746</v>
      </c>
      <c r="G149" t="str">
        <f>"ACCT#826392401/DPS"</f>
        <v>ACCT#826392401/DPS</v>
      </c>
      <c r="H149" s="2">
        <v>15.93</v>
      </c>
      <c r="I149" t="str">
        <f>"ACCT#826392401/DPS"</f>
        <v>ACCT#826392401/DPS</v>
      </c>
    </row>
    <row r="150" spans="1:9" x14ac:dyDescent="0.3">
      <c r="A150" t="str">
        <f>"ASC"</f>
        <v>ASC</v>
      </c>
      <c r="B150" t="s">
        <v>44</v>
      </c>
      <c r="C150">
        <v>75013</v>
      </c>
      <c r="D150" s="2">
        <v>780.1</v>
      </c>
      <c r="E150" s="1">
        <v>43143</v>
      </c>
      <c r="F150" t="str">
        <f>"90635"</f>
        <v>90635</v>
      </c>
      <c r="G150" t="str">
        <f>"WK ORD#14145/HOSE ASSY/PCT#3"</f>
        <v>WK ORD#14145/HOSE ASSY/PCT#3</v>
      </c>
      <c r="H150" s="2">
        <v>447.98</v>
      </c>
      <c r="I150" t="str">
        <f>"WK ORD#14145/HOSE ASSY/PCT#3"</f>
        <v>WK ORD#14145/HOSE ASSY/PCT#3</v>
      </c>
    </row>
    <row r="151" spans="1:9" x14ac:dyDescent="0.3">
      <c r="A151" t="str">
        <f>""</f>
        <v/>
      </c>
      <c r="F151" t="str">
        <f>"90653"</f>
        <v>90653</v>
      </c>
      <c r="G151" t="str">
        <f>"WORK ORD#14154/HOSE ASSY/PCT#4"</f>
        <v>WORK ORD#14154/HOSE ASSY/PCT#4</v>
      </c>
      <c r="H151" s="2">
        <v>332.12</v>
      </c>
      <c r="I151" t="str">
        <f>"WORK ORD#14154/HOSE ASSY/PCT#4"</f>
        <v>WORK ORD#14154/HOSE ASSY/PCT#4</v>
      </c>
    </row>
    <row r="152" spans="1:9" x14ac:dyDescent="0.3">
      <c r="A152" t="str">
        <f>"003291"</f>
        <v>003291</v>
      </c>
      <c r="B152" t="s">
        <v>45</v>
      </c>
      <c r="C152">
        <v>999999</v>
      </c>
      <c r="D152" s="2">
        <v>56.03</v>
      </c>
      <c r="E152" s="1">
        <v>43144</v>
      </c>
      <c r="F152" t="str">
        <f>"I00263283-12022017"</f>
        <v>I00263283-12022017</v>
      </c>
      <c r="G152" t="str">
        <f>"Ad# 0000263283"</f>
        <v>Ad# 0000263283</v>
      </c>
      <c r="H152" s="2">
        <v>56.03</v>
      </c>
      <c r="I152" t="str">
        <f>"Ad# 0000263283"</f>
        <v>Ad# 0000263283</v>
      </c>
    </row>
    <row r="153" spans="1:9" x14ac:dyDescent="0.3">
      <c r="A153" t="str">
        <f>"003291"</f>
        <v>003291</v>
      </c>
      <c r="B153" t="s">
        <v>45</v>
      </c>
      <c r="C153">
        <v>999999</v>
      </c>
      <c r="D153" s="2">
        <v>293.5</v>
      </c>
      <c r="E153" s="1">
        <v>43158</v>
      </c>
      <c r="F153" t="str">
        <f>"0000305062"</f>
        <v>0000305062</v>
      </c>
      <c r="G153" t="str">
        <f>"Ad# I00305062-02102018"</f>
        <v>Ad# I00305062-02102018</v>
      </c>
      <c r="H153" s="2">
        <v>112.06</v>
      </c>
      <c r="I153" t="str">
        <f>"Ad# I00305062-02102018"</f>
        <v>Ad# I00305062-02102018</v>
      </c>
    </row>
    <row r="154" spans="1:9" x14ac:dyDescent="0.3">
      <c r="A154" t="str">
        <f>""</f>
        <v/>
      </c>
      <c r="F154" t="str">
        <f>"MARCH 2018 AUDITIO"</f>
        <v>MARCH 2018 AUDITIO</v>
      </c>
      <c r="G154" t="str">
        <f>"March 2018 Auction"</f>
        <v>March 2018 Auction</v>
      </c>
      <c r="H154" s="2">
        <v>181.44</v>
      </c>
      <c r="I154" t="str">
        <f>"March 2018 Auction"</f>
        <v>March 2018 Auction</v>
      </c>
    </row>
    <row r="155" spans="1:9" x14ac:dyDescent="0.3">
      <c r="A155" t="str">
        <f>"T6757"</f>
        <v>T6757</v>
      </c>
      <c r="B155" t="s">
        <v>46</v>
      </c>
      <c r="C155">
        <v>999999</v>
      </c>
      <c r="D155" s="2">
        <v>225.78</v>
      </c>
      <c r="E155" s="1">
        <v>43144</v>
      </c>
      <c r="F155" t="str">
        <f>"201802078649"</f>
        <v>201802078649</v>
      </c>
      <c r="G155" t="str">
        <f>"INDIGENT HEALTH"</f>
        <v>INDIGENT HEALTH</v>
      </c>
      <c r="H155" s="2">
        <v>225.78</v>
      </c>
      <c r="I155" t="str">
        <f>"INDIGENT HEALTH"</f>
        <v>INDIGENT HEALTH</v>
      </c>
    </row>
    <row r="156" spans="1:9" x14ac:dyDescent="0.3">
      <c r="A156" t="str">
        <f>"000540"</f>
        <v>000540</v>
      </c>
      <c r="B156" t="s">
        <v>47</v>
      </c>
      <c r="C156">
        <v>75014</v>
      </c>
      <c r="D156" s="2">
        <v>197.67</v>
      </c>
      <c r="E156" s="1">
        <v>43143</v>
      </c>
      <c r="F156" t="str">
        <f>"201802078650"</f>
        <v>201802078650</v>
      </c>
      <c r="G156" t="str">
        <f>"INDIGENT HEALTH"</f>
        <v>INDIGENT HEALTH</v>
      </c>
      <c r="H156" s="2">
        <v>197.67</v>
      </c>
      <c r="I156" t="str">
        <f>"INDIGENT HEALTH"</f>
        <v>INDIGENT HEALTH</v>
      </c>
    </row>
    <row r="157" spans="1:9" x14ac:dyDescent="0.3">
      <c r="A157" t="str">
        <f>"T1251"</f>
        <v>T1251</v>
      </c>
      <c r="B157" t="s">
        <v>48</v>
      </c>
      <c r="C157">
        <v>75015</v>
      </c>
      <c r="D157" s="2">
        <v>500.93</v>
      </c>
      <c r="E157" s="1">
        <v>43143</v>
      </c>
      <c r="F157" t="str">
        <f>"201802078652"</f>
        <v>201802078652</v>
      </c>
      <c r="G157" t="str">
        <f>"INDIGENT HEALTH"</f>
        <v>INDIGENT HEALTH</v>
      </c>
      <c r="H157" s="2">
        <v>500.93</v>
      </c>
      <c r="I157" t="str">
        <f>"INDIGENT HEALTH"</f>
        <v>INDIGENT HEALTH</v>
      </c>
    </row>
    <row r="158" spans="1:9" x14ac:dyDescent="0.3">
      <c r="A158" t="str">
        <f>"T3200"</f>
        <v>T3200</v>
      </c>
      <c r="B158" t="s">
        <v>49</v>
      </c>
      <c r="C158">
        <v>75016</v>
      </c>
      <c r="D158" s="2">
        <v>66.540000000000006</v>
      </c>
      <c r="E158" s="1">
        <v>43143</v>
      </c>
      <c r="F158" t="str">
        <f>"201802078653"</f>
        <v>201802078653</v>
      </c>
      <c r="G158" t="str">
        <f>"INDIGENT HEALTH"</f>
        <v>INDIGENT HEALTH</v>
      </c>
      <c r="H158" s="2">
        <v>66.540000000000006</v>
      </c>
      <c r="I158" t="str">
        <f>"INDIGENT HEALTH"</f>
        <v>INDIGENT HEALTH</v>
      </c>
    </row>
    <row r="159" spans="1:9" x14ac:dyDescent="0.3">
      <c r="A159" t="str">
        <f>"T11383"</f>
        <v>T11383</v>
      </c>
      <c r="B159" t="s">
        <v>50</v>
      </c>
      <c r="C159">
        <v>75017</v>
      </c>
      <c r="D159" s="2">
        <v>5801.3</v>
      </c>
      <c r="E159" s="1">
        <v>43143</v>
      </c>
      <c r="F159" t="str">
        <f>"S1518070"</f>
        <v>S1518070</v>
      </c>
      <c r="G159" t="str">
        <f>"INV SI518070"</f>
        <v>INV SI518070</v>
      </c>
      <c r="H159" s="2">
        <v>5801.3</v>
      </c>
      <c r="I159" t="str">
        <f>"INV SI518070"</f>
        <v>INV SI518070</v>
      </c>
    </row>
    <row r="160" spans="1:9" x14ac:dyDescent="0.3">
      <c r="A160" t="str">
        <f>""</f>
        <v/>
      </c>
      <c r="F160" t="str">
        <f>""</f>
        <v/>
      </c>
      <c r="G160" t="str">
        <f>""</f>
        <v/>
      </c>
      <c r="I160" t="str">
        <f>"SHIPPING"</f>
        <v>SHIPPING</v>
      </c>
    </row>
    <row r="161" spans="1:9" x14ac:dyDescent="0.3">
      <c r="A161" t="str">
        <f>"B&amp;B"</f>
        <v>B&amp;B</v>
      </c>
      <c r="B161" t="s">
        <v>51</v>
      </c>
      <c r="C161">
        <v>75018</v>
      </c>
      <c r="D161" s="2">
        <v>2412.0500000000002</v>
      </c>
      <c r="E161" s="1">
        <v>43143</v>
      </c>
      <c r="F161" t="str">
        <f>"201802018434"</f>
        <v>201802018434</v>
      </c>
      <c r="G161" t="str">
        <f>"CUST#1800/PCT#4"</f>
        <v>CUST#1800/PCT#4</v>
      </c>
      <c r="H161" s="2">
        <v>446.85</v>
      </c>
      <c r="I161" t="str">
        <f>"CUST#1800/PCT#4"</f>
        <v>CUST#1800/PCT#4</v>
      </c>
    </row>
    <row r="162" spans="1:9" x14ac:dyDescent="0.3">
      <c r="A162" t="str">
        <f>""</f>
        <v/>
      </c>
      <c r="F162" t="str">
        <f>"201802018436"</f>
        <v>201802018436</v>
      </c>
      <c r="G162" t="str">
        <f>"CUST#1750/PCT#3"</f>
        <v>CUST#1750/PCT#3</v>
      </c>
      <c r="H162" s="2">
        <v>1230.03</v>
      </c>
      <c r="I162" t="str">
        <f>"CUST#1750/PCT#3"</f>
        <v>CUST#1750/PCT#3</v>
      </c>
    </row>
    <row r="163" spans="1:9" x14ac:dyDescent="0.3">
      <c r="A163" t="str">
        <f>""</f>
        <v/>
      </c>
      <c r="F163" t="str">
        <f>"201802078592"</f>
        <v>201802078592</v>
      </c>
      <c r="G163" t="str">
        <f>"CUST#1650/PARTS"</f>
        <v>CUST#1650/PARTS</v>
      </c>
      <c r="H163" s="2">
        <v>87.13</v>
      </c>
      <c r="I163" t="str">
        <f>"CUST#1650/PARTS"</f>
        <v>CUST#1650/PARTS</v>
      </c>
    </row>
    <row r="164" spans="1:9" x14ac:dyDescent="0.3">
      <c r="A164" t="str">
        <f>""</f>
        <v/>
      </c>
      <c r="F164" t="str">
        <f>""</f>
        <v/>
      </c>
      <c r="G164" t="str">
        <f>""</f>
        <v/>
      </c>
      <c r="I164" t="str">
        <f>"CUST#1650/PARTS"</f>
        <v>CUST#1650/PARTS</v>
      </c>
    </row>
    <row r="165" spans="1:9" x14ac:dyDescent="0.3">
      <c r="A165" t="str">
        <f>""</f>
        <v/>
      </c>
      <c r="F165" t="str">
        <f>""</f>
        <v/>
      </c>
      <c r="G165" t="str">
        <f>""</f>
        <v/>
      </c>
      <c r="I165" t="str">
        <f>"CUST#1650/PARTS"</f>
        <v>CUST#1650/PARTS</v>
      </c>
    </row>
    <row r="166" spans="1:9" x14ac:dyDescent="0.3">
      <c r="A166" t="str">
        <f>""</f>
        <v/>
      </c>
      <c r="F166" t="str">
        <f>"201802078593"</f>
        <v>201802078593</v>
      </c>
      <c r="G166" t="str">
        <f>"CUST#1650/PARTS/PCT#1"</f>
        <v>CUST#1650/PARTS/PCT#1</v>
      </c>
      <c r="H166" s="2">
        <v>648.04</v>
      </c>
      <c r="I166" t="str">
        <f>"CUST#1650/PARTS/PCT#1"</f>
        <v>CUST#1650/PARTS/PCT#1</v>
      </c>
    </row>
    <row r="167" spans="1:9" x14ac:dyDescent="0.3">
      <c r="A167" t="str">
        <f>""</f>
        <v/>
      </c>
      <c r="F167" t="str">
        <f>""</f>
        <v/>
      </c>
      <c r="G167" t="str">
        <f>""</f>
        <v/>
      </c>
      <c r="I167" t="str">
        <f>"CUST#1650/PARTS/PCT#1"</f>
        <v>CUST#1650/PARTS/PCT#1</v>
      </c>
    </row>
    <row r="168" spans="1:9" x14ac:dyDescent="0.3">
      <c r="A168" t="str">
        <f>"B&amp;B"</f>
        <v>B&amp;B</v>
      </c>
      <c r="B168" t="s">
        <v>51</v>
      </c>
      <c r="C168">
        <v>75341</v>
      </c>
      <c r="D168" s="2">
        <v>29.91</v>
      </c>
      <c r="E168" s="1">
        <v>43157</v>
      </c>
      <c r="F168" t="str">
        <f>"201802158775"</f>
        <v>201802158775</v>
      </c>
      <c r="G168" t="str">
        <f>"CUST#1590/ANIMAL CONTROL"</f>
        <v>CUST#1590/ANIMAL CONTROL</v>
      </c>
      <c r="H168" s="2">
        <v>25.86</v>
      </c>
      <c r="I168" t="str">
        <f>"CUST#1590/ANIMAL CONTROL"</f>
        <v>CUST#1590/ANIMAL CONTROL</v>
      </c>
    </row>
    <row r="169" spans="1:9" x14ac:dyDescent="0.3">
      <c r="A169" t="str">
        <f>""</f>
        <v/>
      </c>
      <c r="F169" t="str">
        <f>"9205-564604"</f>
        <v>9205-564604</v>
      </c>
      <c r="G169" t="str">
        <f>"INV 9205-564604"</f>
        <v>INV 9205-564604</v>
      </c>
      <c r="H169" s="2">
        <v>4.05</v>
      </c>
      <c r="I169" t="str">
        <f>"INV 9205-564604"</f>
        <v>INV 9205-564604</v>
      </c>
    </row>
    <row r="170" spans="1:9" x14ac:dyDescent="0.3">
      <c r="A170" t="str">
        <f>"BTW"</f>
        <v>BTW</v>
      </c>
      <c r="B170" t="s">
        <v>52</v>
      </c>
      <c r="C170">
        <v>75019</v>
      </c>
      <c r="D170" s="2">
        <v>696.85</v>
      </c>
      <c r="E170" s="1">
        <v>43143</v>
      </c>
      <c r="F170" t="str">
        <f>"201802058489"</f>
        <v>201802058489</v>
      </c>
      <c r="G170" t="str">
        <f>"CUST#0010/PCT#2"</f>
        <v>CUST#0010/PCT#2</v>
      </c>
      <c r="H170" s="2">
        <v>529</v>
      </c>
      <c r="I170" t="str">
        <f>"CUST#0010/PCT#2"</f>
        <v>CUST#0010/PCT#2</v>
      </c>
    </row>
    <row r="171" spans="1:9" x14ac:dyDescent="0.3">
      <c r="A171" t="str">
        <f>""</f>
        <v/>
      </c>
      <c r="F171" t="str">
        <f>"347359/362/385"</f>
        <v>347359/362/385</v>
      </c>
      <c r="G171" t="str">
        <f>"CUST#0008/VEHICLE MAINT"</f>
        <v>CUST#0008/VEHICLE MAINT</v>
      </c>
      <c r="H171" s="2">
        <v>139.85</v>
      </c>
      <c r="I171" t="str">
        <f>"CUST#0008/VEHICLE MAINT"</f>
        <v>CUST#0008/VEHICLE MAINT</v>
      </c>
    </row>
    <row r="172" spans="1:9" x14ac:dyDescent="0.3">
      <c r="A172" t="str">
        <f>""</f>
        <v/>
      </c>
      <c r="F172" t="str">
        <f>"347367"</f>
        <v>347367</v>
      </c>
      <c r="G172" t="str">
        <f>"CUST#0011/LOOSE TIRE/PCT#3"</f>
        <v>CUST#0011/LOOSE TIRE/PCT#3</v>
      </c>
      <c r="H172" s="2">
        <v>10</v>
      </c>
      <c r="I172" t="str">
        <f>"CUST#0011/LOOSE TIRE/PCT#3"</f>
        <v>CUST#0011/LOOSE TIRE/PCT#3</v>
      </c>
    </row>
    <row r="173" spans="1:9" x14ac:dyDescent="0.3">
      <c r="A173" t="str">
        <f>""</f>
        <v/>
      </c>
      <c r="F173" t="str">
        <f>"347593"</f>
        <v>347593</v>
      </c>
      <c r="G173" t="str">
        <f>"CUST#0024/2002 FORD F-350"</f>
        <v>CUST#0024/2002 FORD F-350</v>
      </c>
      <c r="H173" s="2">
        <v>18</v>
      </c>
      <c r="I173" t="str">
        <f>"CUST#0024/2002 FORD F-350"</f>
        <v>CUST#0024/2002 FORD F-350</v>
      </c>
    </row>
    <row r="174" spans="1:9" x14ac:dyDescent="0.3">
      <c r="A174" t="str">
        <f>"001769"</f>
        <v>001769</v>
      </c>
      <c r="B174" t="s">
        <v>53</v>
      </c>
      <c r="C174">
        <v>999999</v>
      </c>
      <c r="D174" s="2">
        <v>3040</v>
      </c>
      <c r="E174" s="1">
        <v>43158</v>
      </c>
      <c r="F174" t="str">
        <f>"1529"</f>
        <v>1529</v>
      </c>
      <c r="G174" t="str">
        <f>"TRUCK &amp; DRIVER/PCT#1"</f>
        <v>TRUCK &amp; DRIVER/PCT#1</v>
      </c>
      <c r="H174" s="2">
        <v>3040</v>
      </c>
      <c r="I174" t="str">
        <f>"TRUCK &amp; DRIVER/PCT#1"</f>
        <v>TRUCK &amp; DRIVER/PCT#1</v>
      </c>
    </row>
    <row r="175" spans="1:9" x14ac:dyDescent="0.3">
      <c r="A175" t="str">
        <f>"005167"</f>
        <v>005167</v>
      </c>
      <c r="B175" t="s">
        <v>54</v>
      </c>
      <c r="C175">
        <v>75342</v>
      </c>
      <c r="D175" s="2">
        <v>56.16</v>
      </c>
      <c r="E175" s="1">
        <v>43157</v>
      </c>
      <c r="F175" t="str">
        <f>"0000302484"</f>
        <v>0000302484</v>
      </c>
      <c r="G175" t="str">
        <f>"Public Hearing 2-26-2018"</f>
        <v>Public Hearing 2-26-2018</v>
      </c>
      <c r="H175" s="2">
        <v>56.16</v>
      </c>
      <c r="I175" t="str">
        <f>"Bastrop Advertiser"</f>
        <v>Bastrop Advertiser</v>
      </c>
    </row>
    <row r="176" spans="1:9" x14ac:dyDescent="0.3">
      <c r="A176" t="str">
        <f>""</f>
        <v/>
      </c>
      <c r="F176" t="str">
        <f>""</f>
        <v/>
      </c>
      <c r="G176" t="str">
        <f>""</f>
        <v/>
      </c>
      <c r="I176" t="str">
        <f>"Smithville Times"</f>
        <v>Smithville Times</v>
      </c>
    </row>
    <row r="177" spans="1:10" x14ac:dyDescent="0.3">
      <c r="A177" t="str">
        <f>"T8883"</f>
        <v>T8883</v>
      </c>
      <c r="B177" t="s">
        <v>55</v>
      </c>
      <c r="C177">
        <v>75020</v>
      </c>
      <c r="D177" s="2">
        <v>925</v>
      </c>
      <c r="E177" s="1">
        <v>43143</v>
      </c>
      <c r="F177" t="str">
        <f>"INV 103/UNIT 8217"</f>
        <v>INV 103/UNIT 8217</v>
      </c>
      <c r="G177" t="str">
        <f>"INV 1036/UNIT 8217"</f>
        <v>INV 1036/UNIT 8217</v>
      </c>
      <c r="H177" s="2">
        <v>250</v>
      </c>
      <c r="I177" t="str">
        <f>"INV 1036/UNIT 8217"</f>
        <v>INV 1036/UNIT 8217</v>
      </c>
    </row>
    <row r="178" spans="1:10" x14ac:dyDescent="0.3">
      <c r="A178" t="str">
        <f>""</f>
        <v/>
      </c>
      <c r="F178" t="str">
        <f>"INV1034/UNIT0118"</f>
        <v>INV1034/UNIT0118</v>
      </c>
      <c r="G178" t="str">
        <f>"INV 1034/UNIT 0118"</f>
        <v>INV 1034/UNIT 0118</v>
      </c>
      <c r="H178" s="2">
        <v>400</v>
      </c>
      <c r="I178" t="str">
        <f>"INV 1034/UNIT 0118"</f>
        <v>INV 1034/UNIT 0118</v>
      </c>
    </row>
    <row r="179" spans="1:10" x14ac:dyDescent="0.3">
      <c r="A179" t="str">
        <f>""</f>
        <v/>
      </c>
      <c r="F179" t="str">
        <f>"INV1044/UNIT8153"</f>
        <v>INV1044/UNIT8153</v>
      </c>
      <c r="G179" t="str">
        <f>"INV 1044/UNIT 8153"</f>
        <v>INV 1044/UNIT 8153</v>
      </c>
      <c r="H179" s="2">
        <v>275</v>
      </c>
      <c r="I179" t="str">
        <f>"INV 1044/UNIT 8153"</f>
        <v>INV 1044/UNIT 8153</v>
      </c>
    </row>
    <row r="180" spans="1:10" x14ac:dyDescent="0.3">
      <c r="A180" t="str">
        <f>"000871"</f>
        <v>000871</v>
      </c>
      <c r="B180" t="s">
        <v>56</v>
      </c>
      <c r="C180">
        <v>75343</v>
      </c>
      <c r="D180" s="2">
        <v>18</v>
      </c>
      <c r="E180" s="1">
        <v>43157</v>
      </c>
      <c r="F180" t="str">
        <f>"14903"</f>
        <v>14903</v>
      </c>
      <c r="G180" t="str">
        <f>"EVENT-EDUC PROG-C.WOLFORD"</f>
        <v>EVENT-EDUC PROG-C.WOLFORD</v>
      </c>
      <c r="H180" s="2">
        <v>18</v>
      </c>
      <c r="I180" t="str">
        <f>"EVENT-EDUC PROG-C.WOLFORD"</f>
        <v>EVENT-EDUC PROG-C.WOLFORD</v>
      </c>
    </row>
    <row r="181" spans="1:10" x14ac:dyDescent="0.3">
      <c r="A181" t="str">
        <f>"BCFRI"</f>
        <v>BCFRI</v>
      </c>
      <c r="B181" t="s">
        <v>57</v>
      </c>
      <c r="C181">
        <v>75021</v>
      </c>
      <c r="D181" s="2">
        <v>10000</v>
      </c>
      <c r="E181" s="1">
        <v>43143</v>
      </c>
      <c r="F181" t="str">
        <f>"201801248225"</f>
        <v>201801248225</v>
      </c>
      <c r="G181" t="str">
        <f>"ANNUAL CONTRACT"</f>
        <v>ANNUAL CONTRACT</v>
      </c>
      <c r="H181" s="2">
        <v>10000</v>
      </c>
      <c r="I181" t="str">
        <f>"ANNUAL CONTRACT"</f>
        <v>ANNUAL CONTRACT</v>
      </c>
    </row>
    <row r="182" spans="1:10" x14ac:dyDescent="0.3">
      <c r="A182" t="str">
        <f>"T10989"</f>
        <v>T10989</v>
      </c>
      <c r="B182" t="s">
        <v>58</v>
      </c>
      <c r="C182">
        <v>75344</v>
      </c>
      <c r="D182" s="2">
        <v>84863</v>
      </c>
      <c r="E182" s="1">
        <v>43157</v>
      </c>
      <c r="F182" t="str">
        <f>"BS12552"</f>
        <v>BS12552</v>
      </c>
      <c r="G182" t="str">
        <f>"FIXED RATE FEE FY 2017-2018"</f>
        <v>FIXED RATE FEE FY 2017-2018</v>
      </c>
      <c r="H182" s="2">
        <v>84863</v>
      </c>
      <c r="I182" t="str">
        <f>"FIXED RATE FEE FY 2017-2018"</f>
        <v>FIXED RATE FEE FY 2017-2018</v>
      </c>
    </row>
    <row r="183" spans="1:10" x14ac:dyDescent="0.3">
      <c r="A183" t="str">
        <f>"T1636"</f>
        <v>T1636</v>
      </c>
      <c r="B183" t="s">
        <v>59</v>
      </c>
      <c r="C183">
        <v>75022</v>
      </c>
      <c r="D183" s="2">
        <v>1497</v>
      </c>
      <c r="E183" s="1">
        <v>43143</v>
      </c>
      <c r="F183" t="s">
        <v>60</v>
      </c>
      <c r="G183" t="s">
        <v>61</v>
      </c>
      <c r="H183" s="2" t="str">
        <f>"SERVICE  11/29/17"</f>
        <v>SERVICE  11/29/17</v>
      </c>
      <c r="I183" t="str">
        <f>"995-4110"</f>
        <v>995-4110</v>
      </c>
      <c r="J183">
        <v>97</v>
      </c>
    </row>
    <row r="184" spans="1:10" x14ac:dyDescent="0.3">
      <c r="A184" t="str">
        <f>""</f>
        <v/>
      </c>
      <c r="F184" t="str">
        <f>"11652"</f>
        <v>11652</v>
      </c>
      <c r="G184" t="str">
        <f>"SERVICE  11/27/17"</f>
        <v>SERVICE  11/27/17</v>
      </c>
      <c r="H184" s="2">
        <v>200</v>
      </c>
      <c r="I184" t="str">
        <f>"SERVICE  11/27/17"</f>
        <v>SERVICE  11/27/17</v>
      </c>
    </row>
    <row r="185" spans="1:10" x14ac:dyDescent="0.3">
      <c r="A185" t="str">
        <f>""</f>
        <v/>
      </c>
      <c r="F185" t="str">
        <f>"12311  11/30/17"</f>
        <v>12311  11/30/17</v>
      </c>
      <c r="G185" t="str">
        <f>"SERVICE 11/30/17"</f>
        <v>SERVICE 11/30/17</v>
      </c>
      <c r="H185" s="2">
        <v>100</v>
      </c>
      <c r="I185" t="str">
        <f>"SERVICE 11/30/17"</f>
        <v>SERVICE 11/30/17</v>
      </c>
    </row>
    <row r="186" spans="1:10" x14ac:dyDescent="0.3">
      <c r="A186" t="str">
        <f>""</f>
        <v/>
      </c>
      <c r="F186" t="str">
        <f>"12452"</f>
        <v>12452</v>
      </c>
      <c r="G186" t="str">
        <f>"SERVICE  12/01/2017"</f>
        <v>SERVICE  12/01/2017</v>
      </c>
      <c r="H186" s="2">
        <v>400</v>
      </c>
      <c r="I186" t="str">
        <f>"SERVICE  12/01/2017"</f>
        <v>SERVICE  12/01/2017</v>
      </c>
    </row>
    <row r="187" spans="1:10" x14ac:dyDescent="0.3">
      <c r="A187" t="str">
        <f>""</f>
        <v/>
      </c>
      <c r="F187" t="str">
        <f>"12593 11/22/17"</f>
        <v>12593 11/22/17</v>
      </c>
      <c r="G187" t="str">
        <f>"SERVICE  11/22/17"</f>
        <v>SERVICE  11/22/17</v>
      </c>
      <c r="H187" s="2">
        <v>250</v>
      </c>
      <c r="I187" t="str">
        <f>"SERVICE  11/22/17"</f>
        <v>SERVICE  11/22/17</v>
      </c>
    </row>
    <row r="188" spans="1:10" x14ac:dyDescent="0.3">
      <c r="A188" t="str">
        <f>""</f>
        <v/>
      </c>
      <c r="F188" t="str">
        <f>"12621"</f>
        <v>12621</v>
      </c>
      <c r="G188" t="str">
        <f>"SERVICE  11/30/17"</f>
        <v>SERVICE  11/30/17</v>
      </c>
      <c r="H188" s="2">
        <v>225</v>
      </c>
      <c r="I188" t="str">
        <f>"SERVICE  11/30/17"</f>
        <v>SERVICE  11/30/17</v>
      </c>
    </row>
    <row r="189" spans="1:10" x14ac:dyDescent="0.3">
      <c r="A189" t="str">
        <f>""</f>
        <v/>
      </c>
      <c r="F189" t="str">
        <f>"12669"</f>
        <v>12669</v>
      </c>
      <c r="G189" t="str">
        <f>"SERVICE  11/22/17"</f>
        <v>SERVICE  11/22/17</v>
      </c>
      <c r="H189" s="2">
        <v>150</v>
      </c>
      <c r="I189" t="str">
        <f>"SERVICE  11/22/17"</f>
        <v>SERVICE  11/22/17</v>
      </c>
    </row>
    <row r="190" spans="1:10" x14ac:dyDescent="0.3">
      <c r="A190" t="str">
        <f>""</f>
        <v/>
      </c>
      <c r="F190" t="str">
        <f>"12731"</f>
        <v>12731</v>
      </c>
      <c r="G190" t="str">
        <f>"SERVICE  11/29/17"</f>
        <v>SERVICE  11/29/17</v>
      </c>
      <c r="H190" s="2">
        <v>75</v>
      </c>
      <c r="I190" t="str">
        <f>"SERVICE  11/29/17"</f>
        <v>SERVICE  11/29/17</v>
      </c>
    </row>
    <row r="191" spans="1:10" x14ac:dyDescent="0.3">
      <c r="A191" t="str">
        <f>"T1636"</f>
        <v>T1636</v>
      </c>
      <c r="B191" t="s">
        <v>59</v>
      </c>
      <c r="C191">
        <v>75345</v>
      </c>
      <c r="D191" s="2">
        <v>1592</v>
      </c>
      <c r="E191" s="1">
        <v>43157</v>
      </c>
      <c r="F191" t="str">
        <f>"12485"</f>
        <v>12485</v>
      </c>
      <c r="G191" t="str">
        <f>"SERVICE  12/04/17"</f>
        <v>SERVICE  12/04/17</v>
      </c>
      <c r="H191" s="2">
        <v>400</v>
      </c>
      <c r="I191" t="str">
        <f>"SERVICE  12/04/17"</f>
        <v>SERVICE  12/04/17</v>
      </c>
    </row>
    <row r="192" spans="1:10" x14ac:dyDescent="0.3">
      <c r="A192" t="str">
        <f>""</f>
        <v/>
      </c>
      <c r="F192" t="str">
        <f>"12597"</f>
        <v>12597</v>
      </c>
      <c r="G192" t="str">
        <f>"SERVICE  12/04/17"</f>
        <v>SERVICE  12/04/17</v>
      </c>
      <c r="H192" s="2">
        <v>475</v>
      </c>
      <c r="I192" t="str">
        <f>"SERVICE  12/04/17"</f>
        <v>SERVICE  12/04/17</v>
      </c>
    </row>
    <row r="193" spans="1:10" x14ac:dyDescent="0.3">
      <c r="A193" t="str">
        <f>""</f>
        <v/>
      </c>
      <c r="F193" t="str">
        <f>"12619  12/04/17"</f>
        <v>12619  12/04/17</v>
      </c>
      <c r="G193" t="str">
        <f>"SERVICE  12/04/17"</f>
        <v>SERVICE  12/04/17</v>
      </c>
      <c r="H193" s="2">
        <v>42</v>
      </c>
      <c r="I193" t="str">
        <f>"SERVICE  12/04/17"</f>
        <v>SERVICE  12/04/17</v>
      </c>
    </row>
    <row r="194" spans="1:10" x14ac:dyDescent="0.3">
      <c r="A194" t="str">
        <f>""</f>
        <v/>
      </c>
      <c r="F194" t="str">
        <f>"12702"</f>
        <v>12702</v>
      </c>
      <c r="G194" t="str">
        <f>"SERVICE  12/04/17"</f>
        <v>SERVICE  12/04/17</v>
      </c>
      <c r="H194" s="2">
        <v>225</v>
      </c>
      <c r="I194" t="str">
        <f>"SERVICE  12/04/17"</f>
        <v>SERVICE  12/04/17</v>
      </c>
    </row>
    <row r="195" spans="1:10" x14ac:dyDescent="0.3">
      <c r="A195" t="str">
        <f>""</f>
        <v/>
      </c>
      <c r="F195" t="s">
        <v>62</v>
      </c>
      <c r="G195" t="s">
        <v>63</v>
      </c>
      <c r="H195" s="2" t="str">
        <f>"SERVICE  12/04/17"</f>
        <v>SERVICE  12/04/17</v>
      </c>
      <c r="I195" t="str">
        <f>"995-4110"</f>
        <v>995-4110</v>
      </c>
      <c r="J195">
        <v>450</v>
      </c>
    </row>
    <row r="196" spans="1:10" x14ac:dyDescent="0.3">
      <c r="A196" t="str">
        <f>"005396"</f>
        <v>005396</v>
      </c>
      <c r="B196" t="s">
        <v>64</v>
      </c>
      <c r="C196">
        <v>999999</v>
      </c>
      <c r="D196" s="2">
        <v>30569.16</v>
      </c>
      <c r="E196" s="1">
        <v>43144</v>
      </c>
      <c r="F196" t="str">
        <f>"201802078610"</f>
        <v>201802078610</v>
      </c>
      <c r="G196" t="str">
        <f>"CONTRACT#24556873"</f>
        <v>CONTRACT#24556873</v>
      </c>
      <c r="H196" s="2">
        <v>20000</v>
      </c>
      <c r="I196" t="str">
        <f>"CONTRACT#24556873"</f>
        <v>CONTRACT#24556873</v>
      </c>
    </row>
    <row r="197" spans="1:10" x14ac:dyDescent="0.3">
      <c r="A197" t="str">
        <f>""</f>
        <v/>
      </c>
      <c r="F197" t="str">
        <f>"201802078611"</f>
        <v>201802078611</v>
      </c>
      <c r="G197" t="str">
        <f>"CONTRACT#24556873"</f>
        <v>CONTRACT#24556873</v>
      </c>
      <c r="H197" s="2">
        <v>10569.16</v>
      </c>
      <c r="I197" t="str">
        <f>"CONTRACT#24556873"</f>
        <v>CONTRACT#24556873</v>
      </c>
    </row>
    <row r="198" spans="1:10" x14ac:dyDescent="0.3">
      <c r="A198" t="str">
        <f>"BASCO"</f>
        <v>BASCO</v>
      </c>
      <c r="B198" t="s">
        <v>65</v>
      </c>
      <c r="C198">
        <v>75023</v>
      </c>
      <c r="D198" s="2">
        <v>218.23</v>
      </c>
      <c r="E198" s="1">
        <v>43143</v>
      </c>
      <c r="F198" t="str">
        <f>"201802078668"</f>
        <v>201802078668</v>
      </c>
      <c r="G198" t="str">
        <f>"ACCT#BC01"</f>
        <v>ACCT#BC01</v>
      </c>
      <c r="H198" s="2">
        <v>218.23</v>
      </c>
      <c r="I198" t="str">
        <f>"ACCT#BC01"</f>
        <v>ACCT#BC01</v>
      </c>
    </row>
    <row r="199" spans="1:10" x14ac:dyDescent="0.3">
      <c r="A199" t="str">
        <f>""</f>
        <v/>
      </c>
      <c r="F199" t="str">
        <f>""</f>
        <v/>
      </c>
      <c r="G199" t="str">
        <f>""</f>
        <v/>
      </c>
      <c r="I199" t="str">
        <f>"ACCT#BC01"</f>
        <v>ACCT#BC01</v>
      </c>
    </row>
    <row r="200" spans="1:10" x14ac:dyDescent="0.3">
      <c r="A200" t="str">
        <f>""</f>
        <v/>
      </c>
      <c r="F200" t="str">
        <f>""</f>
        <v/>
      </c>
      <c r="G200" t="str">
        <f>""</f>
        <v/>
      </c>
      <c r="I200" t="str">
        <f>"ACCT#BC01"</f>
        <v>ACCT#BC01</v>
      </c>
    </row>
    <row r="201" spans="1:10" x14ac:dyDescent="0.3">
      <c r="A201" t="str">
        <f>""</f>
        <v/>
      </c>
      <c r="F201" t="str">
        <f>""</f>
        <v/>
      </c>
      <c r="G201" t="str">
        <f>""</f>
        <v/>
      </c>
      <c r="I201" t="str">
        <f>"ACCT#BC01"</f>
        <v>ACCT#BC01</v>
      </c>
    </row>
    <row r="202" spans="1:10" x14ac:dyDescent="0.3">
      <c r="A202" t="str">
        <f>"T3799"</f>
        <v>T3799</v>
      </c>
      <c r="B202" t="s">
        <v>66</v>
      </c>
      <c r="C202">
        <v>75024</v>
      </c>
      <c r="D202" s="2">
        <v>1823.79</v>
      </c>
      <c r="E202" s="1">
        <v>43143</v>
      </c>
      <c r="F202" t="str">
        <f>"174"</f>
        <v>174</v>
      </c>
      <c r="G202" t="str">
        <f>"FUEL-8 VEHICLES/911 ADDRESSING"</f>
        <v>FUEL-8 VEHICLES/911 ADDRESSING</v>
      </c>
      <c r="H202" s="2">
        <v>940.27</v>
      </c>
      <c r="I202" t="str">
        <f>"FUEL-8 VEHICLES/911 ADDRESSING"</f>
        <v>FUEL-8 VEHICLES/911 ADDRESSING</v>
      </c>
    </row>
    <row r="203" spans="1:10" x14ac:dyDescent="0.3">
      <c r="A203" t="str">
        <f>""</f>
        <v/>
      </c>
      <c r="F203" t="str">
        <f>"177"</f>
        <v>177</v>
      </c>
      <c r="G203" t="str">
        <f>"JANUARY 2018 FUEL USE"</f>
        <v>JANUARY 2018 FUEL USE</v>
      </c>
      <c r="H203" s="2">
        <v>883.52</v>
      </c>
      <c r="I203" t="str">
        <f>"JANUARY 2018 FUEL USE"</f>
        <v>JANUARY 2018 FUEL USE</v>
      </c>
    </row>
    <row r="204" spans="1:10" x14ac:dyDescent="0.3">
      <c r="A204" t="str">
        <f>"T13544"</f>
        <v>T13544</v>
      </c>
      <c r="B204" t="s">
        <v>67</v>
      </c>
      <c r="C204">
        <v>999999</v>
      </c>
      <c r="D204" s="2">
        <v>699.09</v>
      </c>
      <c r="E204" s="1">
        <v>43144</v>
      </c>
      <c r="F204" t="str">
        <f>"201802078654"</f>
        <v>201802078654</v>
      </c>
      <c r="G204" t="str">
        <f>"INDIGENT HEALTH"</f>
        <v>INDIGENT HEALTH</v>
      </c>
      <c r="H204" s="2">
        <v>699.09</v>
      </c>
      <c r="I204" t="str">
        <f>"INDIGENT HEALTH"</f>
        <v>INDIGENT HEALTH</v>
      </c>
    </row>
    <row r="205" spans="1:10" x14ac:dyDescent="0.3">
      <c r="A205" t="str">
        <f>""</f>
        <v/>
      </c>
      <c r="F205" t="str">
        <f>""</f>
        <v/>
      </c>
      <c r="G205" t="str">
        <f>""</f>
        <v/>
      </c>
      <c r="I205" t="str">
        <f>"INDIGENT HEALTH"</f>
        <v>INDIGENT HEALTH</v>
      </c>
    </row>
    <row r="206" spans="1:10" x14ac:dyDescent="0.3">
      <c r="A206" t="str">
        <f>"000719"</f>
        <v>000719</v>
      </c>
      <c r="B206" t="s">
        <v>68</v>
      </c>
      <c r="C206">
        <v>75025</v>
      </c>
      <c r="D206" s="2">
        <v>703.9</v>
      </c>
      <c r="E206" s="1">
        <v>43143</v>
      </c>
      <c r="F206" t="str">
        <f>"6964"</f>
        <v>6964</v>
      </c>
      <c r="G206" t="str">
        <f>"DEWALTS/GEN SVCS"</f>
        <v>DEWALTS/GEN SVCS</v>
      </c>
      <c r="H206" s="2">
        <v>610</v>
      </c>
      <c r="I206" t="str">
        <f>"DEWALTS/GEN SVCS"</f>
        <v>DEWALTS/GEN SVCS</v>
      </c>
    </row>
    <row r="207" spans="1:10" x14ac:dyDescent="0.3">
      <c r="A207" t="str">
        <f>""</f>
        <v/>
      </c>
      <c r="F207" t="str">
        <f>"6980"</f>
        <v>6980</v>
      </c>
      <c r="G207" t="str">
        <f>"FUEL/OIL/PCT#3"</f>
        <v>FUEL/OIL/PCT#3</v>
      </c>
      <c r="H207" s="2">
        <v>93.9</v>
      </c>
      <c r="I207" t="str">
        <f>"FUEL/OIL/PCT#3"</f>
        <v>FUEL/OIL/PCT#3</v>
      </c>
    </row>
    <row r="208" spans="1:10" x14ac:dyDescent="0.3">
      <c r="A208" t="str">
        <f>"001542"</f>
        <v>001542</v>
      </c>
      <c r="B208" t="s">
        <v>69</v>
      </c>
      <c r="C208">
        <v>999999</v>
      </c>
      <c r="D208" s="2">
        <v>5150</v>
      </c>
      <c r="E208" s="1">
        <v>43144</v>
      </c>
      <c r="F208" t="str">
        <f>"2017173"</f>
        <v>2017173</v>
      </c>
      <c r="G208" t="str">
        <f>"TRANSPORT-B.TURNBOW"</f>
        <v>TRANSPORT-B.TURNBOW</v>
      </c>
      <c r="H208" s="2">
        <v>295</v>
      </c>
      <c r="I208" t="str">
        <f>"TRANSPORT-B.TURNBOW"</f>
        <v>TRANSPORT-B.TURNBOW</v>
      </c>
    </row>
    <row r="209" spans="1:9" x14ac:dyDescent="0.3">
      <c r="A209" t="str">
        <f>""</f>
        <v/>
      </c>
      <c r="F209" t="str">
        <f>"2017175"</f>
        <v>2017175</v>
      </c>
      <c r="G209" t="str">
        <f>"TRANSPORT-K.H. YOUNG"</f>
        <v>TRANSPORT-K.H. YOUNG</v>
      </c>
      <c r="H209" s="2">
        <v>495</v>
      </c>
      <c r="I209" t="str">
        <f>"TRANSPORT-K.H. YOUNG"</f>
        <v>TRANSPORT-K.H. YOUNG</v>
      </c>
    </row>
    <row r="210" spans="1:9" x14ac:dyDescent="0.3">
      <c r="A210" t="str">
        <f>""</f>
        <v/>
      </c>
      <c r="F210" t="str">
        <f>"2017176"</f>
        <v>2017176</v>
      </c>
      <c r="G210" t="str">
        <f>"TRANSPORT-K.HAZARD"</f>
        <v>TRANSPORT-K.HAZARD</v>
      </c>
      <c r="H210" s="2">
        <v>495</v>
      </c>
      <c r="I210" t="str">
        <f>"TRANSPORT-K.HAZARD"</f>
        <v>TRANSPORT-K.HAZARD</v>
      </c>
    </row>
    <row r="211" spans="1:9" x14ac:dyDescent="0.3">
      <c r="A211" t="str">
        <f>""</f>
        <v/>
      </c>
      <c r="F211" t="str">
        <f>"2018001"</f>
        <v>2018001</v>
      </c>
      <c r="G211" t="str">
        <f>"TRANSPORT M.L. JONES"</f>
        <v>TRANSPORT M.L. JONES</v>
      </c>
      <c r="H211" s="2">
        <v>390</v>
      </c>
      <c r="I211" t="str">
        <f>"TRANSPORT M.L. JONES"</f>
        <v>TRANSPORT M.L. JONES</v>
      </c>
    </row>
    <row r="212" spans="1:9" x14ac:dyDescent="0.3">
      <c r="A212" t="str">
        <f>""</f>
        <v/>
      </c>
      <c r="F212" t="str">
        <f>"2018002"</f>
        <v>2018002</v>
      </c>
      <c r="G212" t="str">
        <f>"TRANSPORT-D. WILLIAMS"</f>
        <v>TRANSPORT-D. WILLIAMS</v>
      </c>
      <c r="H212" s="2">
        <v>495</v>
      </c>
      <c r="I212" t="str">
        <f>"TRANSPORT-D. WILLIAMS"</f>
        <v>TRANSPORT-D. WILLIAMS</v>
      </c>
    </row>
    <row r="213" spans="1:9" x14ac:dyDescent="0.3">
      <c r="A213" t="str">
        <f>""</f>
        <v/>
      </c>
      <c r="F213" t="str">
        <f>"2018003"</f>
        <v>2018003</v>
      </c>
      <c r="G213" t="str">
        <f>"TRANSPORT-L.A. SOLIS"</f>
        <v>TRANSPORT-L.A. SOLIS</v>
      </c>
      <c r="H213" s="2">
        <v>495</v>
      </c>
      <c r="I213" t="str">
        <f>"TRANSPORT-L.A. SOLIS"</f>
        <v>TRANSPORT-L.A. SOLIS</v>
      </c>
    </row>
    <row r="214" spans="1:9" x14ac:dyDescent="0.3">
      <c r="A214" t="str">
        <f>""</f>
        <v/>
      </c>
      <c r="F214" t="str">
        <f>"2018005"</f>
        <v>2018005</v>
      </c>
      <c r="G214" t="str">
        <f>"TRANSPORT-J. SHOUMAKER"</f>
        <v>TRANSPORT-J. SHOUMAKER</v>
      </c>
      <c r="H214" s="2">
        <v>390</v>
      </c>
      <c r="I214" t="str">
        <f>"TRANSPORT-J. SHOUMAKER"</f>
        <v>TRANSPORT-J. SHOUMAKER</v>
      </c>
    </row>
    <row r="215" spans="1:9" x14ac:dyDescent="0.3">
      <c r="A215" t="str">
        <f>""</f>
        <v/>
      </c>
      <c r="F215" t="str">
        <f>"2018006"</f>
        <v>2018006</v>
      </c>
      <c r="G215" t="str">
        <f>"TRANSPORT-J. HUTCHISON"</f>
        <v>TRANSPORT-J. HUTCHISON</v>
      </c>
      <c r="H215" s="2">
        <v>400</v>
      </c>
      <c r="I215" t="str">
        <f>"TRANSPORT-J. HUTCHISON"</f>
        <v>TRANSPORT-J. HUTCHISON</v>
      </c>
    </row>
    <row r="216" spans="1:9" x14ac:dyDescent="0.3">
      <c r="A216" t="str">
        <f>""</f>
        <v/>
      </c>
      <c r="F216" t="str">
        <f>"2018008"</f>
        <v>2018008</v>
      </c>
      <c r="G216" t="str">
        <f>"TRANSPORT-M.G.HERSHAP"</f>
        <v>TRANSPORT-M.G.HERSHAP</v>
      </c>
      <c r="H216" s="2">
        <v>400</v>
      </c>
      <c r="I216" t="str">
        <f>"TRANSPORT-M.G.HERSHAP"</f>
        <v>TRANSPORT-M.G.HERSHAP</v>
      </c>
    </row>
    <row r="217" spans="1:9" x14ac:dyDescent="0.3">
      <c r="A217" t="str">
        <f>""</f>
        <v/>
      </c>
      <c r="F217" t="str">
        <f>"2018011"</f>
        <v>2018011</v>
      </c>
      <c r="G217" t="str">
        <f>"TRANSPORT-UNIDENTIFIED"</f>
        <v>TRANSPORT-UNIDENTIFIED</v>
      </c>
      <c r="H217" s="2">
        <v>400</v>
      </c>
      <c r="I217" t="str">
        <f>"TRANSPORT-UNIDENTIFIED"</f>
        <v>TRANSPORT-UNIDENTIFIED</v>
      </c>
    </row>
    <row r="218" spans="1:9" x14ac:dyDescent="0.3">
      <c r="A218" t="str">
        <f>""</f>
        <v/>
      </c>
      <c r="F218" t="str">
        <f>"2018012"</f>
        <v>2018012</v>
      </c>
      <c r="G218" t="str">
        <f>"TRANSPORT-D.R. DAVIS"</f>
        <v>TRANSPORT-D.R. DAVIS</v>
      </c>
      <c r="H218" s="2">
        <v>495</v>
      </c>
      <c r="I218" t="str">
        <f>"TRANSPORT-D.R. DAVIS"</f>
        <v>TRANSPORT-D.R. DAVIS</v>
      </c>
    </row>
    <row r="219" spans="1:9" x14ac:dyDescent="0.3">
      <c r="A219" t="str">
        <f>""</f>
        <v/>
      </c>
      <c r="F219" t="str">
        <f>"2018015"</f>
        <v>2018015</v>
      </c>
      <c r="G219" t="str">
        <f>"TRANSPORT-A. MARTINEZ"</f>
        <v>TRANSPORT-A. MARTINEZ</v>
      </c>
      <c r="H219" s="2">
        <v>400</v>
      </c>
      <c r="I219" t="str">
        <f>"TRANSPORT-A. MARTINEZ"</f>
        <v>TRANSPORT-A. MARTINEZ</v>
      </c>
    </row>
    <row r="220" spans="1:9" x14ac:dyDescent="0.3">
      <c r="A220" t="str">
        <f>"001542"</f>
        <v>001542</v>
      </c>
      <c r="B220" t="s">
        <v>69</v>
      </c>
      <c r="C220">
        <v>999999</v>
      </c>
      <c r="D220" s="2">
        <v>400</v>
      </c>
      <c r="E220" s="1">
        <v>43158</v>
      </c>
      <c r="F220" t="str">
        <f>"2018017"</f>
        <v>2018017</v>
      </c>
      <c r="G220" t="str">
        <f>"TRANSPORT-J. FONTENOT"</f>
        <v>TRANSPORT-J. FONTENOT</v>
      </c>
      <c r="H220" s="2">
        <v>400</v>
      </c>
      <c r="I220" t="str">
        <f>"TRANSPORT-J. FONTENOT"</f>
        <v>TRANSPORT-J. FONTENOT</v>
      </c>
    </row>
    <row r="221" spans="1:9" x14ac:dyDescent="0.3">
      <c r="A221" t="str">
        <f>"T6829"</f>
        <v>T6829</v>
      </c>
      <c r="B221" t="s">
        <v>70</v>
      </c>
      <c r="C221">
        <v>75026</v>
      </c>
      <c r="D221" s="2">
        <v>8500</v>
      </c>
      <c r="E221" s="1">
        <v>43143</v>
      </c>
      <c r="F221" t="str">
        <f>"201801318362"</f>
        <v>201801318362</v>
      </c>
      <c r="G221" t="str">
        <f>"LIBRARY FUNDS"</f>
        <v>LIBRARY FUNDS</v>
      </c>
      <c r="H221" s="2">
        <v>8500</v>
      </c>
      <c r="I221" t="str">
        <f>"LIBRARY FUNDS"</f>
        <v>LIBRARY FUNDS</v>
      </c>
    </row>
    <row r="222" spans="1:9" x14ac:dyDescent="0.3">
      <c r="A222" t="str">
        <f>"T5228"</f>
        <v>T5228</v>
      </c>
      <c r="B222" t="s">
        <v>72</v>
      </c>
      <c r="C222">
        <v>75346</v>
      </c>
      <c r="D222" s="2">
        <v>427.37</v>
      </c>
      <c r="E222" s="1">
        <v>43157</v>
      </c>
      <c r="F222" t="str">
        <f>"1-27823"</f>
        <v>1-27823</v>
      </c>
      <c r="G222" t="str">
        <f>"2015 FORD BRAKE SVCS/BCAS"</f>
        <v>2015 FORD BRAKE SVCS/BCAS</v>
      </c>
      <c r="H222" s="2">
        <v>420.37</v>
      </c>
      <c r="I222" t="str">
        <f>"2015 FORD BRAKE SVCS/BCAS"</f>
        <v>2015 FORD BRAKE SVCS/BCAS</v>
      </c>
    </row>
    <row r="223" spans="1:9" x14ac:dyDescent="0.3">
      <c r="A223" t="str">
        <f>""</f>
        <v/>
      </c>
      <c r="F223" t="str">
        <f>"1-27966"</f>
        <v>1-27966</v>
      </c>
      <c r="G223" t="str">
        <f>"2015 FORD INSPECTION/BCAS"</f>
        <v>2015 FORD INSPECTION/BCAS</v>
      </c>
      <c r="H223" s="2">
        <v>7</v>
      </c>
      <c r="I223" t="str">
        <f>"2015 FORD INSPECTION/BCAS"</f>
        <v>2015 FORD INSPECTION/BCAS</v>
      </c>
    </row>
    <row r="224" spans="1:9" x14ac:dyDescent="0.3">
      <c r="A224" t="str">
        <f>"000485"</f>
        <v>000485</v>
      </c>
      <c r="B224" t="s">
        <v>73</v>
      </c>
      <c r="C224">
        <v>75347</v>
      </c>
      <c r="D224" s="2">
        <v>4800</v>
      </c>
      <c r="E224" s="1">
        <v>43157</v>
      </c>
      <c r="F224" t="str">
        <f>"5516"</f>
        <v>5516</v>
      </c>
      <c r="G224" t="str">
        <f>"Mulching"</f>
        <v>Mulching</v>
      </c>
      <c r="H224" s="2">
        <v>4800</v>
      </c>
      <c r="I224" t="str">
        <f>"Mulching"</f>
        <v>Mulching</v>
      </c>
    </row>
    <row r="225" spans="1:9" x14ac:dyDescent="0.3">
      <c r="A225" t="str">
        <f>"BVH"</f>
        <v>BVH</v>
      </c>
      <c r="B225" t="s">
        <v>74</v>
      </c>
      <c r="C225">
        <v>75027</v>
      </c>
      <c r="D225" s="2">
        <v>169.49</v>
      </c>
      <c r="E225" s="1">
        <v>43143</v>
      </c>
      <c r="F225" t="str">
        <f>"1100621"</f>
        <v>1100621</v>
      </c>
      <c r="G225" t="str">
        <f>"INV 1100621"</f>
        <v>INV 1100621</v>
      </c>
      <c r="H225" s="2">
        <v>84.74</v>
      </c>
      <c r="I225" t="str">
        <f>"INV 1100621"</f>
        <v>INV 1100621</v>
      </c>
    </row>
    <row r="226" spans="1:9" x14ac:dyDescent="0.3">
      <c r="A226" t="str">
        <f>""</f>
        <v/>
      </c>
      <c r="F226" t="str">
        <f>"1101277"</f>
        <v>1101277</v>
      </c>
      <c r="G226" t="str">
        <f>"INV 1101277"</f>
        <v>INV 1101277</v>
      </c>
      <c r="H226" s="2">
        <v>84.75</v>
      </c>
      <c r="I226" t="str">
        <f>"INV 1101277"</f>
        <v>INV 1101277</v>
      </c>
    </row>
    <row r="227" spans="1:9" x14ac:dyDescent="0.3">
      <c r="A227" t="str">
        <f>"000110"</f>
        <v>000110</v>
      </c>
      <c r="B227" t="s">
        <v>75</v>
      </c>
      <c r="C227">
        <v>999999</v>
      </c>
      <c r="D227" s="2">
        <v>1914.95</v>
      </c>
      <c r="E227" s="1">
        <v>43144</v>
      </c>
      <c r="F227" t="str">
        <f>"201802058477"</f>
        <v>201802058477</v>
      </c>
      <c r="G227" t="str">
        <f>"BACKGROUND SVCS/JAN 2018/911"</f>
        <v>BACKGROUND SVCS/JAN 2018/911</v>
      </c>
      <c r="H227" s="2">
        <v>700</v>
      </c>
      <c r="I227" t="str">
        <f>"BACKGROUND SVCS/JAN 2018/911"</f>
        <v>BACKGROUND SVCS/JAN 2018/911</v>
      </c>
    </row>
    <row r="228" spans="1:9" x14ac:dyDescent="0.3">
      <c r="A228" t="str">
        <f>""</f>
        <v/>
      </c>
      <c r="F228" t="str">
        <f>"BACKGROUNDS-LE"</f>
        <v>BACKGROUNDS-LE</v>
      </c>
      <c r="G228" t="str">
        <f>"JANUARY SERVICES"</f>
        <v>JANUARY SERVICES</v>
      </c>
      <c r="H228" s="2">
        <v>1214.95</v>
      </c>
      <c r="I228" t="str">
        <f>"BACKSGROUNDS - LE"</f>
        <v>BACKSGROUNDS - LE</v>
      </c>
    </row>
    <row r="229" spans="1:9" x14ac:dyDescent="0.3">
      <c r="A229" t="str">
        <f>"005384"</f>
        <v>005384</v>
      </c>
      <c r="B229" t="s">
        <v>76</v>
      </c>
      <c r="C229">
        <v>75028</v>
      </c>
      <c r="D229" s="2">
        <v>712.64</v>
      </c>
      <c r="E229" s="1">
        <v>43143</v>
      </c>
      <c r="F229" t="str">
        <f>"4661074"</f>
        <v>4661074</v>
      </c>
      <c r="G229" t="str">
        <f>"Ground Kits"</f>
        <v>Ground Kits</v>
      </c>
      <c r="H229" s="2">
        <v>712.64</v>
      </c>
      <c r="I229" t="str">
        <f>"Ground Kits"</f>
        <v>Ground Kits</v>
      </c>
    </row>
    <row r="230" spans="1:9" x14ac:dyDescent="0.3">
      <c r="A230" t="str">
        <f>"KEITH"</f>
        <v>KEITH</v>
      </c>
      <c r="B230" t="s">
        <v>77</v>
      </c>
      <c r="C230">
        <v>75029</v>
      </c>
      <c r="D230" s="2">
        <v>2565.7199999999998</v>
      </c>
      <c r="E230" s="1">
        <v>43143</v>
      </c>
      <c r="F230" t="str">
        <f>"74562532/74570477"</f>
        <v>74562532/74570477</v>
      </c>
      <c r="G230" t="str">
        <f>"INV 74562532"</f>
        <v>INV 74562532</v>
      </c>
      <c r="H230" s="2">
        <v>1730.21</v>
      </c>
      <c r="I230" t="str">
        <f>"INV 74562532"</f>
        <v>INV 74562532</v>
      </c>
    </row>
    <row r="231" spans="1:9" x14ac:dyDescent="0.3">
      <c r="A231" t="str">
        <f>""</f>
        <v/>
      </c>
      <c r="F231" t="str">
        <f>""</f>
        <v/>
      </c>
      <c r="G231" t="str">
        <f>""</f>
        <v/>
      </c>
      <c r="I231" t="str">
        <f>"INV 74570477"</f>
        <v>INV 74570477</v>
      </c>
    </row>
    <row r="232" spans="1:9" x14ac:dyDescent="0.3">
      <c r="A232" t="str">
        <f>""</f>
        <v/>
      </c>
      <c r="F232" t="str">
        <f>"74577439"</f>
        <v>74577439</v>
      </c>
      <c r="G232" t="str">
        <f>"INV 74577439"</f>
        <v>INV 74577439</v>
      </c>
      <c r="H232" s="2">
        <v>835.51</v>
      </c>
      <c r="I232" t="str">
        <f>"INV 74577439"</f>
        <v>INV 74577439</v>
      </c>
    </row>
    <row r="233" spans="1:9" x14ac:dyDescent="0.3">
      <c r="A233" t="str">
        <f>"KEITH"</f>
        <v>KEITH</v>
      </c>
      <c r="B233" t="s">
        <v>77</v>
      </c>
      <c r="C233">
        <v>75348</v>
      </c>
      <c r="D233" s="2">
        <v>1914.94</v>
      </c>
      <c r="E233" s="1">
        <v>43157</v>
      </c>
      <c r="F233" t="str">
        <f>"74584681/74591919"</f>
        <v>74584681/74591919</v>
      </c>
      <c r="G233" t="str">
        <f>"INV 74584681"</f>
        <v>INV 74584681</v>
      </c>
      <c r="H233" s="2">
        <v>1914.94</v>
      </c>
      <c r="I233" t="str">
        <f>"INV 74584681"</f>
        <v>INV 74584681</v>
      </c>
    </row>
    <row r="234" spans="1:9" x14ac:dyDescent="0.3">
      <c r="A234" t="str">
        <f>""</f>
        <v/>
      </c>
      <c r="F234" t="str">
        <f>""</f>
        <v/>
      </c>
      <c r="G234" t="str">
        <f>""</f>
        <v/>
      </c>
      <c r="I234" t="str">
        <f>"INV 74591919"</f>
        <v>INV 74591919</v>
      </c>
    </row>
    <row r="235" spans="1:9" x14ac:dyDescent="0.3">
      <c r="A235" t="str">
        <f>"004075"</f>
        <v>004075</v>
      </c>
      <c r="B235" t="s">
        <v>78</v>
      </c>
      <c r="C235">
        <v>999999</v>
      </c>
      <c r="D235" s="2">
        <v>2483.27</v>
      </c>
      <c r="E235" s="1">
        <v>43144</v>
      </c>
      <c r="F235" t="str">
        <f>"207598-00"</f>
        <v>207598-00</v>
      </c>
      <c r="G235" t="str">
        <f>"INV 207598-00"</f>
        <v>INV 207598-00</v>
      </c>
      <c r="H235" s="2">
        <v>2483.27</v>
      </c>
      <c r="I235" t="str">
        <f>"INV 207598-00"</f>
        <v>INV 207598-00</v>
      </c>
    </row>
    <row r="236" spans="1:9" x14ac:dyDescent="0.3">
      <c r="A236" t="str">
        <f>"005411"</f>
        <v>005411</v>
      </c>
      <c r="B236" t="s">
        <v>79</v>
      </c>
      <c r="C236">
        <v>75030</v>
      </c>
      <c r="D236" s="2">
        <v>110</v>
      </c>
      <c r="E236" s="1">
        <v>43143</v>
      </c>
      <c r="F236" t="str">
        <f>"201802018413"</f>
        <v>201802018413</v>
      </c>
      <c r="G236" t="str">
        <f>"FERAL HOGS"</f>
        <v>FERAL HOGS</v>
      </c>
      <c r="H236" s="2">
        <v>110</v>
      </c>
      <c r="I236" t="str">
        <f>"FERAL HOGS"</f>
        <v>FERAL HOGS</v>
      </c>
    </row>
    <row r="237" spans="1:9" x14ac:dyDescent="0.3">
      <c r="A237" t="str">
        <f>"001112"</f>
        <v>001112</v>
      </c>
      <c r="B237" t="s">
        <v>80</v>
      </c>
      <c r="C237">
        <v>75349</v>
      </c>
      <c r="D237" s="2">
        <v>2784.37</v>
      </c>
      <c r="E237" s="1">
        <v>43157</v>
      </c>
      <c r="F237" t="str">
        <f>"3132752/53/54/2863"</f>
        <v>3132752/53/54/2863</v>
      </c>
      <c r="G237" t="str">
        <f>"Stmt# 01465920180207"</f>
        <v>Stmt# 01465920180207</v>
      </c>
      <c r="H237" s="2">
        <v>2784.37</v>
      </c>
      <c r="I237" t="str">
        <f>"Inv# 3132754"</f>
        <v>Inv# 3132754</v>
      </c>
    </row>
    <row r="238" spans="1:9" x14ac:dyDescent="0.3">
      <c r="A238" t="str">
        <f>""</f>
        <v/>
      </c>
      <c r="F238" t="str">
        <f>""</f>
        <v/>
      </c>
      <c r="G238" t="str">
        <f>""</f>
        <v/>
      </c>
      <c r="I238" t="str">
        <f>"Inv# 3132863"</f>
        <v>Inv# 3132863</v>
      </c>
    </row>
    <row r="239" spans="1:9" x14ac:dyDescent="0.3">
      <c r="A239" t="str">
        <f>""</f>
        <v/>
      </c>
      <c r="F239" t="str">
        <f>""</f>
        <v/>
      </c>
      <c r="G239" t="str">
        <f>""</f>
        <v/>
      </c>
      <c r="I239" t="str">
        <f>"Inv# 3132752"</f>
        <v>Inv# 3132752</v>
      </c>
    </row>
    <row r="240" spans="1:9" x14ac:dyDescent="0.3">
      <c r="A240" t="str">
        <f>""</f>
        <v/>
      </c>
      <c r="F240" t="str">
        <f>""</f>
        <v/>
      </c>
      <c r="G240" t="str">
        <f>""</f>
        <v/>
      </c>
      <c r="I240" t="str">
        <f>"Inv# 3132753"</f>
        <v>Inv# 3132753</v>
      </c>
    </row>
    <row r="241" spans="1:9" x14ac:dyDescent="0.3">
      <c r="A241" t="str">
        <f>"T2043"</f>
        <v>T2043</v>
      </c>
      <c r="B241" t="s">
        <v>81</v>
      </c>
      <c r="C241">
        <v>999999</v>
      </c>
      <c r="D241" s="2">
        <v>6140</v>
      </c>
      <c r="E241" s="1">
        <v>43144</v>
      </c>
      <c r="F241" t="str">
        <f>"105736"</f>
        <v>105736</v>
      </c>
      <c r="G241" t="str">
        <f>"PROF SVCS THRU JAN 15 2018"</f>
        <v>PROF SVCS THRU JAN 15 2018</v>
      </c>
      <c r="H241" s="2">
        <v>200</v>
      </c>
      <c r="I241" t="str">
        <f>"PROF SVCS THRU JAN 15 2018"</f>
        <v>PROF SVCS THRU JAN 15 2018</v>
      </c>
    </row>
    <row r="242" spans="1:9" x14ac:dyDescent="0.3">
      <c r="A242" t="str">
        <f>""</f>
        <v/>
      </c>
      <c r="F242" t="str">
        <f>"105737"</f>
        <v>105737</v>
      </c>
      <c r="G242" t="str">
        <f>"CLIEN#001309/SVCS JAN 15 2018"</f>
        <v>CLIEN#001309/SVCS JAN 15 2018</v>
      </c>
      <c r="H242" s="2">
        <v>5940</v>
      </c>
      <c r="I242" t="str">
        <f>"CLIEN#001309/SVCS JAN 15 2018"</f>
        <v>CLIEN#001309/SVCS JAN 15 2018</v>
      </c>
    </row>
    <row r="243" spans="1:9" x14ac:dyDescent="0.3">
      <c r="A243" t="str">
        <f>"005362"</f>
        <v>005362</v>
      </c>
      <c r="B243" t="s">
        <v>82</v>
      </c>
      <c r="C243">
        <v>75031</v>
      </c>
      <c r="D243" s="2">
        <v>1502.5</v>
      </c>
      <c r="E243" s="1">
        <v>43143</v>
      </c>
      <c r="F243" t="str">
        <f>"42313500"</f>
        <v>42313500</v>
      </c>
      <c r="G243" t="str">
        <f>"Trailer for General Servi"</f>
        <v>Trailer for General Servi</v>
      </c>
      <c r="H243" s="2">
        <v>1502.5</v>
      </c>
      <c r="I243" t="str">
        <f>"Model: 35sa-10bk4rg"</f>
        <v>Model: 35sa-10bk4rg</v>
      </c>
    </row>
    <row r="244" spans="1:9" x14ac:dyDescent="0.3">
      <c r="A244" t="str">
        <f>""</f>
        <v/>
      </c>
      <c r="F244" t="str">
        <f>""</f>
        <v/>
      </c>
      <c r="G244" t="str">
        <f>""</f>
        <v/>
      </c>
      <c r="I244" t="str">
        <f>"Inspection"</f>
        <v>Inspection</v>
      </c>
    </row>
    <row r="245" spans="1:9" x14ac:dyDescent="0.3">
      <c r="A245" t="str">
        <f>""</f>
        <v/>
      </c>
      <c r="F245" t="str">
        <f>""</f>
        <v/>
      </c>
      <c r="G245" t="str">
        <f>""</f>
        <v/>
      </c>
      <c r="I245" t="str">
        <f>"E-Tag"</f>
        <v>E-Tag</v>
      </c>
    </row>
    <row r="246" spans="1:9" x14ac:dyDescent="0.3">
      <c r="A246" t="str">
        <f>""</f>
        <v/>
      </c>
      <c r="F246" t="str">
        <f>""</f>
        <v/>
      </c>
      <c r="G246" t="str">
        <f>""</f>
        <v/>
      </c>
      <c r="I246" t="str">
        <f>"Document Preparation"</f>
        <v>Document Preparation</v>
      </c>
    </row>
    <row r="247" spans="1:9" x14ac:dyDescent="0.3">
      <c r="A247" t="str">
        <f>""</f>
        <v/>
      </c>
      <c r="F247" t="str">
        <f>""</f>
        <v/>
      </c>
      <c r="G247" t="str">
        <f>""</f>
        <v/>
      </c>
      <c r="I247" t="str">
        <f>"Trailer Preparation"</f>
        <v>Trailer Preparation</v>
      </c>
    </row>
    <row r="248" spans="1:9" x14ac:dyDescent="0.3">
      <c r="A248" t="str">
        <f>"004147"</f>
        <v>004147</v>
      </c>
      <c r="B248" t="s">
        <v>83</v>
      </c>
      <c r="C248">
        <v>999999</v>
      </c>
      <c r="D248" s="2">
        <v>570</v>
      </c>
      <c r="E248" s="1">
        <v>43158</v>
      </c>
      <c r="F248" t="str">
        <f>"4471"</f>
        <v>4471</v>
      </c>
      <c r="G248" t="str">
        <f>"REPAIRS ARM BRUSH MOWER/PCT#4"</f>
        <v>REPAIRS ARM BRUSH MOWER/PCT#4</v>
      </c>
      <c r="H248" s="2">
        <v>570</v>
      </c>
      <c r="I248" t="str">
        <f>"REPAIRS ARM BRUSH MOWER/PCT#4"</f>
        <v>REPAIRS ARM BRUSH MOWER/PCT#4</v>
      </c>
    </row>
    <row r="249" spans="1:9" x14ac:dyDescent="0.3">
      <c r="A249" t="str">
        <f>"000309"</f>
        <v>000309</v>
      </c>
      <c r="B249" t="s">
        <v>84</v>
      </c>
      <c r="C249">
        <v>999999</v>
      </c>
      <c r="D249" s="2">
        <v>180.5</v>
      </c>
      <c r="E249" s="1">
        <v>43144</v>
      </c>
      <c r="F249" t="str">
        <f>"201801308308"</f>
        <v>201801308308</v>
      </c>
      <c r="G249" t="str">
        <f>"INTERPRETER SVCS/MILEAGE"</f>
        <v>INTERPRETER SVCS/MILEAGE</v>
      </c>
      <c r="H249" s="2">
        <v>180.5</v>
      </c>
      <c r="I249" t="str">
        <f>"INTERPRETER SVCS/MILEAGE"</f>
        <v>INTERPRETER SVCS/MILEAGE</v>
      </c>
    </row>
    <row r="250" spans="1:9" x14ac:dyDescent="0.3">
      <c r="A250" t="str">
        <f>"000309"</f>
        <v>000309</v>
      </c>
      <c r="B250" t="s">
        <v>84</v>
      </c>
      <c r="C250">
        <v>999999</v>
      </c>
      <c r="D250" s="2">
        <v>450</v>
      </c>
      <c r="E250" s="1">
        <v>43158</v>
      </c>
      <c r="F250" t="str">
        <f>"18014"</f>
        <v>18014</v>
      </c>
      <c r="G250" t="str">
        <f>"3 DAYS INTERPRETATION-FEB12-16"</f>
        <v>3 DAYS INTERPRETATION-FEB12-16</v>
      </c>
      <c r="H250" s="2">
        <v>450</v>
      </c>
      <c r="I250" t="str">
        <f>"3 DAYS INTERPRETATION-FEB12-16"</f>
        <v>3 DAYS INTERPRETATION-FEB12-16</v>
      </c>
    </row>
    <row r="251" spans="1:9" x14ac:dyDescent="0.3">
      <c r="A251" t="str">
        <f>"000593"</f>
        <v>000593</v>
      </c>
      <c r="B251" t="s">
        <v>85</v>
      </c>
      <c r="C251">
        <v>75032</v>
      </c>
      <c r="D251" s="2">
        <v>876.76</v>
      </c>
      <c r="E251" s="1">
        <v>43143</v>
      </c>
      <c r="F251" t="str">
        <f>"84078931542/626"</f>
        <v>84078931542/626</v>
      </c>
      <c r="G251" t="str">
        <f>"INV 84078931542"</f>
        <v>INV 84078931542</v>
      </c>
      <c r="H251" s="2">
        <v>583.38</v>
      </c>
      <c r="I251" t="str">
        <f>"INV 84078931542"</f>
        <v>INV 84078931542</v>
      </c>
    </row>
    <row r="252" spans="1:9" x14ac:dyDescent="0.3">
      <c r="A252" t="str">
        <f>""</f>
        <v/>
      </c>
      <c r="F252" t="str">
        <f>""</f>
        <v/>
      </c>
      <c r="G252" t="str">
        <f>""</f>
        <v/>
      </c>
      <c r="I252" t="str">
        <f>"INV 84078931626"</f>
        <v>INV 84078931626</v>
      </c>
    </row>
    <row r="253" spans="1:9" x14ac:dyDescent="0.3">
      <c r="A253" t="str">
        <f>""</f>
        <v/>
      </c>
      <c r="F253" t="str">
        <f>"84078931718"</f>
        <v>84078931718</v>
      </c>
      <c r="G253" t="str">
        <f>"INV 84078931718"</f>
        <v>INV 84078931718</v>
      </c>
      <c r="H253" s="2">
        <v>293.38</v>
      </c>
      <c r="I253" t="str">
        <f>"INV 84078931718"</f>
        <v>INV 84078931718</v>
      </c>
    </row>
    <row r="254" spans="1:9" x14ac:dyDescent="0.3">
      <c r="A254" t="str">
        <f>"000593"</f>
        <v>000593</v>
      </c>
      <c r="B254" t="s">
        <v>85</v>
      </c>
      <c r="C254">
        <v>75350</v>
      </c>
      <c r="D254" s="2">
        <v>578</v>
      </c>
      <c r="E254" s="1">
        <v>43157</v>
      </c>
      <c r="F254" t="str">
        <f>"84078931847/1900"</f>
        <v>84078931847/1900</v>
      </c>
      <c r="G254" t="str">
        <f>"INV 84078931847"</f>
        <v>INV 84078931847</v>
      </c>
      <c r="H254" s="2">
        <v>578</v>
      </c>
      <c r="I254" t="str">
        <f>"INV 84078931847"</f>
        <v>INV 84078931847</v>
      </c>
    </row>
    <row r="255" spans="1:9" x14ac:dyDescent="0.3">
      <c r="A255" t="str">
        <f>""</f>
        <v/>
      </c>
      <c r="F255" t="str">
        <f>""</f>
        <v/>
      </c>
      <c r="G255" t="str">
        <f>""</f>
        <v/>
      </c>
      <c r="I255" t="str">
        <f>"INV 84078931900"</f>
        <v>INV 84078931900</v>
      </c>
    </row>
    <row r="256" spans="1:9" x14ac:dyDescent="0.3">
      <c r="A256" t="str">
        <f>"003732"</f>
        <v>003732</v>
      </c>
      <c r="B256" t="s">
        <v>86</v>
      </c>
      <c r="C256">
        <v>999999</v>
      </c>
      <c r="D256" s="2">
        <v>2283.56</v>
      </c>
      <c r="E256" s="1">
        <v>43144</v>
      </c>
      <c r="F256" t="str">
        <f>"201801308246"</f>
        <v>201801308246</v>
      </c>
      <c r="G256" t="str">
        <f>"17-18757"</f>
        <v>17-18757</v>
      </c>
      <c r="H256" s="2">
        <v>283.56</v>
      </c>
      <c r="I256" t="str">
        <f>"17-18757"</f>
        <v>17-18757</v>
      </c>
    </row>
    <row r="257" spans="1:9" x14ac:dyDescent="0.3">
      <c r="A257" t="str">
        <f>""</f>
        <v/>
      </c>
      <c r="F257" t="str">
        <f>"201801308247"</f>
        <v>201801308247</v>
      </c>
      <c r="G257" t="str">
        <f>"1JP81717A"</f>
        <v>1JP81717A</v>
      </c>
      <c r="H257" s="2">
        <v>250</v>
      </c>
      <c r="I257" t="str">
        <f>"1JP81717A"</f>
        <v>1JP81717A</v>
      </c>
    </row>
    <row r="258" spans="1:9" x14ac:dyDescent="0.3">
      <c r="A258" t="str">
        <f>""</f>
        <v/>
      </c>
      <c r="F258" t="str">
        <f>"201801308248"</f>
        <v>201801308248</v>
      </c>
      <c r="G258" t="str">
        <f>"53 387"</f>
        <v>53 387</v>
      </c>
      <c r="H258" s="2">
        <v>250</v>
      </c>
      <c r="I258" t="str">
        <f>"53 387"</f>
        <v>53 387</v>
      </c>
    </row>
    <row r="259" spans="1:9" x14ac:dyDescent="0.3">
      <c r="A259" t="str">
        <f>""</f>
        <v/>
      </c>
      <c r="F259" t="str">
        <f>"201802058466"</f>
        <v>201802058466</v>
      </c>
      <c r="G259" t="str">
        <f>"J-3091"</f>
        <v>J-3091</v>
      </c>
      <c r="H259" s="2">
        <v>350</v>
      </c>
      <c r="I259" t="str">
        <f>"J-3091"</f>
        <v>J-3091</v>
      </c>
    </row>
    <row r="260" spans="1:9" x14ac:dyDescent="0.3">
      <c r="A260" t="str">
        <f>""</f>
        <v/>
      </c>
      <c r="F260" t="str">
        <f>"201802058467"</f>
        <v>201802058467</v>
      </c>
      <c r="G260" t="str">
        <f>"16-17591"</f>
        <v>16-17591</v>
      </c>
      <c r="H260" s="2">
        <v>100</v>
      </c>
      <c r="I260" t="str">
        <f>"16-17591"</f>
        <v>16-17591</v>
      </c>
    </row>
    <row r="261" spans="1:9" x14ac:dyDescent="0.3">
      <c r="A261" t="str">
        <f>""</f>
        <v/>
      </c>
      <c r="F261" t="str">
        <f>"201802058468"</f>
        <v>201802058468</v>
      </c>
      <c r="G261" t="str">
        <f>"16 17713"</f>
        <v>16 17713</v>
      </c>
      <c r="H261" s="2">
        <v>100</v>
      </c>
      <c r="I261" t="str">
        <f>"16 17713"</f>
        <v>16 17713</v>
      </c>
    </row>
    <row r="262" spans="1:9" x14ac:dyDescent="0.3">
      <c r="A262" t="str">
        <f>""</f>
        <v/>
      </c>
      <c r="F262" t="str">
        <f>"201802058469"</f>
        <v>201802058469</v>
      </c>
      <c r="G262" t="str">
        <f>"16-17977"</f>
        <v>16-17977</v>
      </c>
      <c r="H262" s="2">
        <v>100</v>
      </c>
      <c r="I262" t="str">
        <f>"16-17977"</f>
        <v>16-17977</v>
      </c>
    </row>
    <row r="263" spans="1:9" x14ac:dyDescent="0.3">
      <c r="A263" t="str">
        <f>""</f>
        <v/>
      </c>
      <c r="F263" t="str">
        <f>"201802078628"</f>
        <v>201802078628</v>
      </c>
      <c r="G263" t="str">
        <f>"55 048"</f>
        <v>55 048</v>
      </c>
      <c r="H263" s="2">
        <v>250</v>
      </c>
      <c r="I263" t="str">
        <f>"55 048"</f>
        <v>55 048</v>
      </c>
    </row>
    <row r="264" spans="1:9" x14ac:dyDescent="0.3">
      <c r="A264" t="str">
        <f>""</f>
        <v/>
      </c>
      <c r="F264" t="str">
        <f>"201802078629"</f>
        <v>201802078629</v>
      </c>
      <c r="G264" t="str">
        <f>"55 175"</f>
        <v>55 175</v>
      </c>
      <c r="H264" s="2">
        <v>250</v>
      </c>
      <c r="I264" t="str">
        <f>"55 175"</f>
        <v>55 175</v>
      </c>
    </row>
    <row r="265" spans="1:9" x14ac:dyDescent="0.3">
      <c r="A265" t="str">
        <f>""</f>
        <v/>
      </c>
      <c r="F265" t="str">
        <f>"201802078630"</f>
        <v>201802078630</v>
      </c>
      <c r="G265" t="str">
        <f>"53 806"</f>
        <v>53 806</v>
      </c>
      <c r="H265" s="2">
        <v>250</v>
      </c>
      <c r="I265" t="str">
        <f>"53 806"</f>
        <v>53 806</v>
      </c>
    </row>
    <row r="266" spans="1:9" x14ac:dyDescent="0.3">
      <c r="A266" t="str">
        <f>""</f>
        <v/>
      </c>
      <c r="F266" t="str">
        <f>"201802078631"</f>
        <v>201802078631</v>
      </c>
      <c r="G266" t="str">
        <f>"JUVENILE"</f>
        <v>JUVENILE</v>
      </c>
      <c r="H266" s="2">
        <v>100</v>
      </c>
      <c r="I266" t="str">
        <f>"JUVENILE"</f>
        <v>JUVENILE</v>
      </c>
    </row>
    <row r="267" spans="1:9" x14ac:dyDescent="0.3">
      <c r="A267" t="str">
        <f>"003732"</f>
        <v>003732</v>
      </c>
      <c r="B267" t="s">
        <v>86</v>
      </c>
      <c r="C267">
        <v>999999</v>
      </c>
      <c r="D267" s="2">
        <v>1125</v>
      </c>
      <c r="E267" s="1">
        <v>43158</v>
      </c>
      <c r="F267" t="str">
        <f>"201802148715"</f>
        <v>201802148715</v>
      </c>
      <c r="G267" t="str">
        <f>"17-18564"</f>
        <v>17-18564</v>
      </c>
      <c r="H267" s="2">
        <v>175</v>
      </c>
      <c r="I267" t="str">
        <f>"17-18564"</f>
        <v>17-18564</v>
      </c>
    </row>
    <row r="268" spans="1:9" x14ac:dyDescent="0.3">
      <c r="A268" t="str">
        <f>""</f>
        <v/>
      </c>
      <c r="F268" t="str">
        <f>"201802148716"</f>
        <v>201802148716</v>
      </c>
      <c r="G268" t="str">
        <f>"18-18825"</f>
        <v>18-18825</v>
      </c>
      <c r="H268" s="2">
        <v>100</v>
      </c>
      <c r="I268" t="str">
        <f>"18-18825"</f>
        <v>18-18825</v>
      </c>
    </row>
    <row r="269" spans="1:9" x14ac:dyDescent="0.3">
      <c r="A269" t="str">
        <f>""</f>
        <v/>
      </c>
      <c r="F269" t="str">
        <f>"201802148717"</f>
        <v>201802148717</v>
      </c>
      <c r="G269" t="str">
        <f>"JUVENILE-DETENTION HEARING"</f>
        <v>JUVENILE-DETENTION HEARING</v>
      </c>
      <c r="H269" s="2">
        <v>100</v>
      </c>
      <c r="I269" t="str">
        <f>"JUVENILE-DETENTION HEARING"</f>
        <v>JUVENILE-DETENTION HEARING</v>
      </c>
    </row>
    <row r="270" spans="1:9" x14ac:dyDescent="0.3">
      <c r="A270" t="str">
        <f>""</f>
        <v/>
      </c>
      <c r="F270" t="str">
        <f>"201802148718"</f>
        <v>201802148718</v>
      </c>
      <c r="G270" t="str">
        <f>"55 429"</f>
        <v>55 429</v>
      </c>
      <c r="H270" s="2">
        <v>250</v>
      </c>
      <c r="I270" t="str">
        <f>"55 429"</f>
        <v>55 429</v>
      </c>
    </row>
    <row r="271" spans="1:9" x14ac:dyDescent="0.3">
      <c r="A271" t="str">
        <f>""</f>
        <v/>
      </c>
      <c r="F271" t="str">
        <f>"201802148719"</f>
        <v>201802148719</v>
      </c>
      <c r="G271" t="str">
        <f>"55 629"</f>
        <v>55 629</v>
      </c>
      <c r="H271" s="2">
        <v>250</v>
      </c>
      <c r="I271" t="str">
        <f>"55 629"</f>
        <v>55 629</v>
      </c>
    </row>
    <row r="272" spans="1:9" x14ac:dyDescent="0.3">
      <c r="A272" t="str">
        <f>""</f>
        <v/>
      </c>
      <c r="F272" t="str">
        <f>"201802218841"</f>
        <v>201802218841</v>
      </c>
      <c r="G272" t="str">
        <f>"J-3122"</f>
        <v>J-3122</v>
      </c>
      <c r="H272" s="2">
        <v>250</v>
      </c>
      <c r="I272" t="str">
        <f>"J-3122"</f>
        <v>J-3122</v>
      </c>
    </row>
    <row r="273" spans="1:9" x14ac:dyDescent="0.3">
      <c r="A273" t="str">
        <f>"001135"</f>
        <v>001135</v>
      </c>
      <c r="B273" t="s">
        <v>87</v>
      </c>
      <c r="C273">
        <v>75351</v>
      </c>
      <c r="D273" s="2">
        <v>412.69</v>
      </c>
      <c r="E273" s="1">
        <v>43157</v>
      </c>
      <c r="F273" t="str">
        <f>"201802218814"</f>
        <v>201802218814</v>
      </c>
      <c r="G273" t="str">
        <f>"CRIMESTOPPER FEES-JAN 2018"</f>
        <v>CRIMESTOPPER FEES-JAN 2018</v>
      </c>
      <c r="H273" s="2">
        <v>412.69</v>
      </c>
      <c r="I273" t="str">
        <f>"CRIMESTOPPER FEES-JAN 2018"</f>
        <v>CRIMESTOPPER FEES-JAN 2018</v>
      </c>
    </row>
    <row r="274" spans="1:9" x14ac:dyDescent="0.3">
      <c r="A274" t="str">
        <f>"BEC"</f>
        <v>BEC</v>
      </c>
      <c r="B274" t="s">
        <v>88</v>
      </c>
      <c r="C274">
        <v>75310</v>
      </c>
      <c r="D274" s="2">
        <v>4879.41</v>
      </c>
      <c r="E274" s="1">
        <v>43146</v>
      </c>
      <c r="F274" t="str">
        <f>"201802158755"</f>
        <v>201802158755</v>
      </c>
      <c r="G274" t="str">
        <f>"ACCT#5000057374 / 02/05/2018"</f>
        <v>ACCT#5000057374 / 02/05/2018</v>
      </c>
      <c r="H274" s="2">
        <v>4879.41</v>
      </c>
      <c r="I274" t="str">
        <f>"ACCT#5000057374 / 02/05/2018"</f>
        <v>ACCT#5000057374 / 02/05/2018</v>
      </c>
    </row>
    <row r="275" spans="1:9" x14ac:dyDescent="0.3">
      <c r="A275" t="str">
        <f>""</f>
        <v/>
      </c>
      <c r="F275" t="str">
        <f>""</f>
        <v/>
      </c>
      <c r="G275" t="str">
        <f>""</f>
        <v/>
      </c>
      <c r="I275" t="str">
        <f>"ACCT#5000057374 / 02/05/2018"</f>
        <v>ACCT#5000057374 / 02/05/2018</v>
      </c>
    </row>
    <row r="276" spans="1:9" x14ac:dyDescent="0.3">
      <c r="A276" t="str">
        <f>""</f>
        <v/>
      </c>
      <c r="F276" t="str">
        <f>""</f>
        <v/>
      </c>
      <c r="G276" t="str">
        <f>""</f>
        <v/>
      </c>
      <c r="I276" t="str">
        <f>"ACCT#5000057374 / 02/05/2018"</f>
        <v>ACCT#5000057374 / 02/05/2018</v>
      </c>
    </row>
    <row r="277" spans="1:9" x14ac:dyDescent="0.3">
      <c r="A277" t="str">
        <f>""</f>
        <v/>
      </c>
      <c r="F277" t="str">
        <f>""</f>
        <v/>
      </c>
      <c r="G277" t="str">
        <f>""</f>
        <v/>
      </c>
      <c r="I277" t="str">
        <f>"ACCT#5000057374 / 02/05/2018"</f>
        <v>ACCT#5000057374 / 02/05/2018</v>
      </c>
    </row>
    <row r="278" spans="1:9" x14ac:dyDescent="0.3">
      <c r="A278" t="str">
        <f>"BEC"</f>
        <v>BEC</v>
      </c>
      <c r="B278" t="s">
        <v>88</v>
      </c>
      <c r="C278">
        <v>75492</v>
      </c>
      <c r="D278" s="2">
        <v>30.1</v>
      </c>
      <c r="E278" s="1">
        <v>43159</v>
      </c>
      <c r="F278" t="str">
        <f>"201802288899"</f>
        <v>201802288899</v>
      </c>
      <c r="G278" t="str">
        <f>"ACCT#5500033554 / 02/05/2018"</f>
        <v>ACCT#5500033554 / 02/05/2018</v>
      </c>
      <c r="H278" s="2">
        <v>30.1</v>
      </c>
      <c r="I278" t="str">
        <f>"ACCT#5500033554 / 02/05/2018"</f>
        <v>ACCT#5500033554 / 02/05/2018</v>
      </c>
    </row>
    <row r="279" spans="1:9" x14ac:dyDescent="0.3">
      <c r="A279" t="str">
        <f>"T5975"</f>
        <v>T5975</v>
      </c>
      <c r="B279" t="s">
        <v>89</v>
      </c>
      <c r="C279">
        <v>75033</v>
      </c>
      <c r="D279" s="2">
        <v>1000</v>
      </c>
      <c r="E279" s="1">
        <v>43143</v>
      </c>
      <c r="F279" t="str">
        <f>"25012018"</f>
        <v>25012018</v>
      </c>
      <c r="G279" t="str">
        <f>"INV 25012018"</f>
        <v>INV 25012018</v>
      </c>
      <c r="H279" s="2">
        <v>1000</v>
      </c>
      <c r="I279" t="str">
        <f>"INV 25012018"</f>
        <v>INV 25012018</v>
      </c>
    </row>
    <row r="280" spans="1:9" x14ac:dyDescent="0.3">
      <c r="A280" t="str">
        <f>"BBCI"</f>
        <v>BBCI</v>
      </c>
      <c r="B280" t="s">
        <v>90</v>
      </c>
      <c r="C280">
        <v>75034</v>
      </c>
      <c r="D280" s="2">
        <v>233.87</v>
      </c>
      <c r="E280" s="1">
        <v>43143</v>
      </c>
      <c r="F280" t="str">
        <f>"UT1000444495"</f>
        <v>UT1000444495</v>
      </c>
      <c r="G280" t="str">
        <f>"INV UT1000444495"</f>
        <v>INV UT1000444495</v>
      </c>
      <c r="H280" s="2">
        <v>233.87</v>
      </c>
      <c r="I280" t="str">
        <f>"INV UT1000444495"</f>
        <v>INV UT1000444495</v>
      </c>
    </row>
    <row r="281" spans="1:9" x14ac:dyDescent="0.3">
      <c r="A281" t="str">
        <f>"004020"</f>
        <v>004020</v>
      </c>
      <c r="B281" t="s">
        <v>91</v>
      </c>
      <c r="C281">
        <v>75035</v>
      </c>
      <c r="D281" s="2">
        <v>60</v>
      </c>
      <c r="E281" s="1">
        <v>43143</v>
      </c>
      <c r="F281" t="str">
        <f>"201802018404"</f>
        <v>201802018404</v>
      </c>
      <c r="G281" t="str">
        <f>"FERAL HOGS"</f>
        <v>FERAL HOGS</v>
      </c>
      <c r="H281" s="2">
        <v>60</v>
      </c>
      <c r="I281" t="str">
        <f>"FERAL HOGS"</f>
        <v>FERAL HOGS</v>
      </c>
    </row>
    <row r="282" spans="1:9" x14ac:dyDescent="0.3">
      <c r="A282" t="str">
        <f>"001287"</f>
        <v>001287</v>
      </c>
      <c r="B282" t="s">
        <v>92</v>
      </c>
      <c r="C282">
        <v>75036</v>
      </c>
      <c r="D282" s="2">
        <v>35</v>
      </c>
      <c r="E282" s="1">
        <v>43143</v>
      </c>
      <c r="F282" t="str">
        <f>"201802018389"</f>
        <v>201802018389</v>
      </c>
      <c r="G282" t="str">
        <f>"FERAL HOGS"</f>
        <v>FERAL HOGS</v>
      </c>
      <c r="H282" s="2">
        <v>35</v>
      </c>
      <c r="I282" t="str">
        <f>"FERAL HOGS"</f>
        <v>FERAL HOGS</v>
      </c>
    </row>
    <row r="283" spans="1:9" x14ac:dyDescent="0.3">
      <c r="A283" t="str">
        <f>"001367"</f>
        <v>001367</v>
      </c>
      <c r="B283" t="s">
        <v>93</v>
      </c>
      <c r="C283">
        <v>75037</v>
      </c>
      <c r="D283" s="2">
        <v>15300.55</v>
      </c>
      <c r="E283" s="1">
        <v>43143</v>
      </c>
      <c r="F283" t="str">
        <f>"6969/0117"</f>
        <v>6969/0117</v>
      </c>
      <c r="G283" t="str">
        <f>"INV 6969/UNIT 0117"</f>
        <v>INV 6969/UNIT 0117</v>
      </c>
      <c r="H283" s="2">
        <v>870.91</v>
      </c>
      <c r="I283" t="str">
        <f>"INV 6969/UNIT 0117"</f>
        <v>INV 6969/UNIT 0117</v>
      </c>
    </row>
    <row r="284" spans="1:9" x14ac:dyDescent="0.3">
      <c r="A284" t="str">
        <f>""</f>
        <v/>
      </c>
      <c r="F284" t="str">
        <f>"7036"</f>
        <v>7036</v>
      </c>
      <c r="G284" t="str">
        <f>"2014 FORD F-150/GEN SVCS"</f>
        <v>2014 FORD F-150/GEN SVCS</v>
      </c>
      <c r="H284" s="2">
        <v>266.05</v>
      </c>
      <c r="I284" t="str">
        <f>"2014 FORD F-150/GEN SVCS"</f>
        <v>2014 FORD F-150/GEN SVCS</v>
      </c>
    </row>
    <row r="285" spans="1:9" x14ac:dyDescent="0.3">
      <c r="A285" t="str">
        <f>""</f>
        <v/>
      </c>
      <c r="F285" t="str">
        <f>"7088"</f>
        <v>7088</v>
      </c>
      <c r="G285" t="str">
        <f>"2009 DODGE RAM MAINT/GEN SVCS"</f>
        <v>2009 DODGE RAM MAINT/GEN SVCS</v>
      </c>
      <c r="H285" s="2">
        <v>274.79000000000002</v>
      </c>
      <c r="I285" t="str">
        <f>"2009 DODGE RAM MAINT/GEN SVCS"</f>
        <v>2009 DODGE RAM MAINT/GEN SVCS</v>
      </c>
    </row>
    <row r="286" spans="1:9" x14ac:dyDescent="0.3">
      <c r="A286" t="str">
        <f>""</f>
        <v/>
      </c>
      <c r="F286" t="str">
        <f>"7105"</f>
        <v>7105</v>
      </c>
      <c r="G286" t="str">
        <f>"2017 INTL INSPECTION/PCT#1"</f>
        <v>2017 INTL INSPECTION/PCT#1</v>
      </c>
      <c r="H286" s="2">
        <v>7</v>
      </c>
      <c r="I286" t="str">
        <f>"2017 INTL INSPECTION/PCT#1"</f>
        <v>2017 INTL INSPECTION/PCT#1</v>
      </c>
    </row>
    <row r="287" spans="1:9" x14ac:dyDescent="0.3">
      <c r="A287" t="str">
        <f>""</f>
        <v/>
      </c>
      <c r="F287" t="str">
        <f>"7124"</f>
        <v>7124</v>
      </c>
      <c r="G287" t="str">
        <f>"2013 CHEV DETAIL/GEN SVCS"</f>
        <v>2013 CHEV DETAIL/GEN SVCS</v>
      </c>
      <c r="H287" s="2">
        <v>89.4</v>
      </c>
      <c r="I287" t="str">
        <f>"2013 CHEV DETAIL/GEN SVCS"</f>
        <v>2013 CHEV DETAIL/GEN SVCS</v>
      </c>
    </row>
    <row r="288" spans="1:9" x14ac:dyDescent="0.3">
      <c r="A288" t="str">
        <f>""</f>
        <v/>
      </c>
      <c r="F288" t="str">
        <f>"INV 7050/UNIT 4716"</f>
        <v>INV 7050/UNIT 4716</v>
      </c>
      <c r="G288" t="str">
        <f>"INV 7050/UNIT 4716"</f>
        <v>INV 7050/UNIT 4716</v>
      </c>
      <c r="H288" s="2">
        <v>128.69999999999999</v>
      </c>
      <c r="I288" t="str">
        <f>"INV 7050/UNIT 4716"</f>
        <v>INV 7050/UNIT 4716</v>
      </c>
    </row>
    <row r="289" spans="1:9" x14ac:dyDescent="0.3">
      <c r="A289" t="str">
        <f>""</f>
        <v/>
      </c>
      <c r="F289" t="str">
        <f>"INV6909/UNIT74"</f>
        <v>INV6909/UNIT74</v>
      </c>
      <c r="G289" t="str">
        <f>"INV 6909/UNIT 74"</f>
        <v>INV 6909/UNIT 74</v>
      </c>
      <c r="H289" s="2">
        <v>1685.17</v>
      </c>
      <c r="I289" t="str">
        <f>"INV 6909/UNIT 74"</f>
        <v>INV 6909/UNIT 74</v>
      </c>
    </row>
    <row r="290" spans="1:9" x14ac:dyDescent="0.3">
      <c r="A290" t="str">
        <f>""</f>
        <v/>
      </c>
      <c r="F290" t="str">
        <f>"INV6964/UNIT6499"</f>
        <v>INV6964/UNIT6499</v>
      </c>
      <c r="G290" t="str">
        <f>"INV 6964/UNIT 6499"</f>
        <v>INV 6964/UNIT 6499</v>
      </c>
      <c r="H290" s="2">
        <v>376.65</v>
      </c>
      <c r="I290" t="str">
        <f>"INV 6964/UNIT 6499"</f>
        <v>INV 6964/UNIT 6499</v>
      </c>
    </row>
    <row r="291" spans="1:9" x14ac:dyDescent="0.3">
      <c r="A291" t="str">
        <f>""</f>
        <v/>
      </c>
      <c r="F291" t="str">
        <f>"INV6983/UNIT121"</f>
        <v>INV6983/UNIT121</v>
      </c>
      <c r="G291" t="str">
        <f>"INV 6983/UNIT 121"</f>
        <v>INV 6983/UNIT 121</v>
      </c>
      <c r="H291" s="2">
        <v>327.56</v>
      </c>
      <c r="I291" t="str">
        <f>"INV 6983/UNIT 121"</f>
        <v>INV 6983/UNIT 121</v>
      </c>
    </row>
    <row r="292" spans="1:9" x14ac:dyDescent="0.3">
      <c r="A292" t="str">
        <f>""</f>
        <v/>
      </c>
      <c r="F292" t="str">
        <f>"INV7079/UNIT3804"</f>
        <v>INV7079/UNIT3804</v>
      </c>
      <c r="G292" t="str">
        <f>"INV 7079/UNIT 3804"</f>
        <v>INV 7079/UNIT 3804</v>
      </c>
      <c r="H292" s="2">
        <v>376.65</v>
      </c>
      <c r="I292" t="str">
        <f>"INV 7079/UNIT 3804"</f>
        <v>INV 7079/UNIT 3804</v>
      </c>
    </row>
    <row r="293" spans="1:9" x14ac:dyDescent="0.3">
      <c r="A293" t="str">
        <f>""</f>
        <v/>
      </c>
      <c r="F293" t="str">
        <f>"INV7082/UNIT3102"</f>
        <v>INV7082/UNIT3102</v>
      </c>
      <c r="G293" t="str">
        <f>"INV 7082/UNIT 3102"</f>
        <v>INV 7082/UNIT 3102</v>
      </c>
      <c r="H293" s="2">
        <v>6722.99</v>
      </c>
      <c r="I293" t="str">
        <f>"INV 7082/UNIT 3102"</f>
        <v>INV 7082/UNIT 3102</v>
      </c>
    </row>
    <row r="294" spans="1:9" x14ac:dyDescent="0.3">
      <c r="A294" t="str">
        <f>""</f>
        <v/>
      </c>
      <c r="F294" t="str">
        <f>"INV7095/UNIT8953"</f>
        <v>INV7095/UNIT8953</v>
      </c>
      <c r="G294" t="str">
        <f>"INV 7095/UNIT 8953"</f>
        <v>INV 7095/UNIT 8953</v>
      </c>
      <c r="H294" s="2">
        <v>61.8</v>
      </c>
      <c r="I294" t="str">
        <f>"INV 7095/UNIT 8953"</f>
        <v>INV 7095/UNIT 8953</v>
      </c>
    </row>
    <row r="295" spans="1:9" x14ac:dyDescent="0.3">
      <c r="A295" t="str">
        <f>""</f>
        <v/>
      </c>
      <c r="F295" t="str">
        <f>"INV7104/UNIT120"</f>
        <v>INV7104/UNIT120</v>
      </c>
      <c r="G295" t="str">
        <f>"INV 7104/UNIT 120"</f>
        <v>INV 7104/UNIT 120</v>
      </c>
      <c r="H295" s="2">
        <v>329</v>
      </c>
      <c r="I295" t="str">
        <f>"INV 7104/UNIT 120"</f>
        <v>INV 7104/UNIT 120</v>
      </c>
    </row>
    <row r="296" spans="1:9" x14ac:dyDescent="0.3">
      <c r="A296" t="str">
        <f>""</f>
        <v/>
      </c>
      <c r="F296" t="str">
        <f>"INV7115/UNIT6502"</f>
        <v>INV7115/UNIT6502</v>
      </c>
      <c r="G296" t="str">
        <f>"INV 7115/UNIT 6502"</f>
        <v>INV 7115/UNIT 6502</v>
      </c>
      <c r="H296" s="2">
        <v>404.46</v>
      </c>
      <c r="I296" t="str">
        <f>"INV 7115/UNIT 6502"</f>
        <v>INV 7115/UNIT 6502</v>
      </c>
    </row>
    <row r="297" spans="1:9" x14ac:dyDescent="0.3">
      <c r="A297" t="str">
        <f>""</f>
        <v/>
      </c>
      <c r="F297" t="str">
        <f>"INV7128/UNIT0119"</f>
        <v>INV7128/UNIT0119</v>
      </c>
      <c r="G297" t="str">
        <f>"INV 7128/UNIT 0119"</f>
        <v>INV 7128/UNIT 0119</v>
      </c>
      <c r="H297" s="2">
        <v>484.48</v>
      </c>
      <c r="I297" t="str">
        <f>"INV 7128/UNIT 0119"</f>
        <v>INV 7128/UNIT 0119</v>
      </c>
    </row>
    <row r="298" spans="1:9" x14ac:dyDescent="0.3">
      <c r="A298" t="str">
        <f>""</f>
        <v/>
      </c>
      <c r="F298" t="str">
        <f>"INV7133/UNIT6523"</f>
        <v>INV7133/UNIT6523</v>
      </c>
      <c r="G298" t="str">
        <f>"INV 7133/UNIT 6523"</f>
        <v>INV 7133/UNIT 6523</v>
      </c>
      <c r="H298" s="2">
        <v>287.68</v>
      </c>
      <c r="I298" t="str">
        <f>"INV 7133/UNIT 6523"</f>
        <v>INV 7133/UNIT 6523</v>
      </c>
    </row>
    <row r="299" spans="1:9" x14ac:dyDescent="0.3">
      <c r="A299" t="str">
        <f>""</f>
        <v/>
      </c>
      <c r="F299" t="str">
        <f>"INV7144/UNIT4431"</f>
        <v>INV7144/UNIT4431</v>
      </c>
      <c r="G299" t="str">
        <f>"INV 7144/UNIT 4431"</f>
        <v>INV 7144/UNIT 4431</v>
      </c>
      <c r="H299" s="2">
        <v>128.69999999999999</v>
      </c>
      <c r="I299" t="str">
        <f>"INV 7144/UNIT 4431"</f>
        <v>INV 7144/UNIT 4431</v>
      </c>
    </row>
    <row r="300" spans="1:9" x14ac:dyDescent="0.3">
      <c r="A300" t="str">
        <f>""</f>
        <v/>
      </c>
      <c r="F300" t="str">
        <f>"INV7155/UNIT4720"</f>
        <v>INV7155/UNIT4720</v>
      </c>
      <c r="G300" t="str">
        <f>"INV 7155/UNIT 4720"</f>
        <v>INV 7155/UNIT 4720</v>
      </c>
      <c r="H300" s="2">
        <v>383.56</v>
      </c>
      <c r="I300" t="str">
        <f>"INV 7155/UNIT 4720"</f>
        <v>INV 7155/UNIT 4720</v>
      </c>
    </row>
    <row r="301" spans="1:9" x14ac:dyDescent="0.3">
      <c r="A301" t="str">
        <f>""</f>
        <v/>
      </c>
      <c r="F301" t="str">
        <f>"REF#6937"</f>
        <v>REF#6937</v>
      </c>
      <c r="G301" t="str">
        <f>"2008 DODGE RAM 2500/PCT#1"</f>
        <v>2008 DODGE RAM 2500/PCT#1</v>
      </c>
      <c r="H301" s="2">
        <v>7</v>
      </c>
      <c r="I301" t="str">
        <f>"2008 DODGE RAM 2500"</f>
        <v>2008 DODGE RAM 2500</v>
      </c>
    </row>
    <row r="302" spans="1:9" x14ac:dyDescent="0.3">
      <c r="A302" t="str">
        <f>""</f>
        <v/>
      </c>
      <c r="F302" t="str">
        <f>"REF#6938"</f>
        <v>REF#6938</v>
      </c>
      <c r="G302" t="str">
        <f>"2006 FORD F-350/PCT#1"</f>
        <v>2006 FORD F-350/PCT#1</v>
      </c>
      <c r="H302" s="2">
        <v>7</v>
      </c>
      <c r="I302" t="str">
        <f>"2006 FORD F-350/PCT#1"</f>
        <v>2006 FORD F-350/PCT#1</v>
      </c>
    </row>
    <row r="303" spans="1:9" x14ac:dyDescent="0.3">
      <c r="A303" t="str">
        <f>""</f>
        <v/>
      </c>
      <c r="F303" t="str">
        <f>"REF#6943"</f>
        <v>REF#6943</v>
      </c>
      <c r="G303" t="str">
        <f>"2008 DODGE RAM/PCT#1"</f>
        <v>2008 DODGE RAM/PCT#1</v>
      </c>
      <c r="H303" s="2">
        <v>7</v>
      </c>
      <c r="I303" t="str">
        <f>"2008 DODGE RAM/PCT#1"</f>
        <v>2008 DODGE RAM/PCT#1</v>
      </c>
    </row>
    <row r="304" spans="1:9" x14ac:dyDescent="0.3">
      <c r="A304" t="str">
        <f>""</f>
        <v/>
      </c>
      <c r="F304" t="str">
        <f>"REF#6944"</f>
        <v>REF#6944</v>
      </c>
      <c r="G304" t="str">
        <f>"2014 INTL/PCT#1"</f>
        <v>2014 INTL/PCT#1</v>
      </c>
      <c r="H304" s="2">
        <v>7</v>
      </c>
      <c r="I304" t="str">
        <f>"2014 INTL/PCT#1"</f>
        <v>2014 INTL/PCT#1</v>
      </c>
    </row>
    <row r="305" spans="1:9" x14ac:dyDescent="0.3">
      <c r="A305" t="str">
        <f>""</f>
        <v/>
      </c>
      <c r="F305" t="str">
        <f>"REF#6945"</f>
        <v>REF#6945</v>
      </c>
      <c r="G305" t="str">
        <f>"PLATE#1191087 INSPECTION/PCT#1"</f>
        <v>PLATE#1191087 INSPECTION/PCT#1</v>
      </c>
      <c r="H305" s="2">
        <v>7</v>
      </c>
      <c r="I305" t="str">
        <f>"PLATE#1191087 INSPECTION/PCT#1"</f>
        <v>PLATE#1191087 INSPECTION/PCT#1</v>
      </c>
    </row>
    <row r="306" spans="1:9" x14ac:dyDescent="0.3">
      <c r="A306" t="str">
        <f>""</f>
        <v/>
      </c>
      <c r="F306" t="str">
        <f>"REF#6954"</f>
        <v>REF#6954</v>
      </c>
      <c r="G306" t="str">
        <f>"2006 FORD F350 INSPECTION/PCT1"</f>
        <v>2006 FORD F350 INSPECTION/PCT1</v>
      </c>
      <c r="H306" s="2">
        <v>298.06</v>
      </c>
      <c r="I306" t="str">
        <f>"2006 FORD F350 INSPECTION/PCT1"</f>
        <v>2006 FORD F350 INSPECTION/PCT1</v>
      </c>
    </row>
    <row r="307" spans="1:9" x14ac:dyDescent="0.3">
      <c r="A307" t="str">
        <f>""</f>
        <v/>
      </c>
      <c r="F307" t="str">
        <f>"SHERIFF OFF VEH MA"</f>
        <v>SHERIFF OFF VEH MA</v>
      </c>
      <c r="G307" t="str">
        <f>"INV 7096/UNIT 5350"</f>
        <v>INV 7096/UNIT 5350</v>
      </c>
      <c r="H307" s="2">
        <v>567.67999999999995</v>
      </c>
      <c r="I307" t="str">
        <f>"INV 7096/UNIT 5350"</f>
        <v>INV 7096/UNIT 5350</v>
      </c>
    </row>
    <row r="308" spans="1:9" x14ac:dyDescent="0.3">
      <c r="A308" t="str">
        <f>""</f>
        <v/>
      </c>
      <c r="F308" t="str">
        <f>""</f>
        <v/>
      </c>
      <c r="G308" t="str">
        <f>""</f>
        <v/>
      </c>
      <c r="I308" t="str">
        <f>"INV 7097/UNIT 85"</f>
        <v>INV 7097/UNIT 85</v>
      </c>
    </row>
    <row r="309" spans="1:9" x14ac:dyDescent="0.3">
      <c r="A309" t="str">
        <f>""</f>
        <v/>
      </c>
      <c r="F309" t="str">
        <f>""</f>
        <v/>
      </c>
      <c r="G309" t="str">
        <f>""</f>
        <v/>
      </c>
      <c r="I309" t="str">
        <f>"INV 7106/UNIT 4719"</f>
        <v>INV 7106/UNIT 4719</v>
      </c>
    </row>
    <row r="310" spans="1:9" x14ac:dyDescent="0.3">
      <c r="A310" t="str">
        <f>""</f>
        <v/>
      </c>
      <c r="F310" t="str">
        <f>""</f>
        <v/>
      </c>
      <c r="G310" t="str">
        <f>""</f>
        <v/>
      </c>
      <c r="I310" t="str">
        <f>"INV 7108/UNIT 123"</f>
        <v>INV 7108/UNIT 123</v>
      </c>
    </row>
    <row r="311" spans="1:9" x14ac:dyDescent="0.3">
      <c r="A311" t="str">
        <f>""</f>
        <v/>
      </c>
      <c r="F311" t="str">
        <f>""</f>
        <v/>
      </c>
      <c r="G311" t="str">
        <f>""</f>
        <v/>
      </c>
      <c r="I311" t="str">
        <f>"INV 7109/UNIT 1971"</f>
        <v>INV 7109/UNIT 1971</v>
      </c>
    </row>
    <row r="312" spans="1:9" x14ac:dyDescent="0.3">
      <c r="A312" t="str">
        <f>""</f>
        <v/>
      </c>
      <c r="F312" t="str">
        <f>""</f>
        <v/>
      </c>
      <c r="G312" t="str">
        <f>""</f>
        <v/>
      </c>
      <c r="I312" t="str">
        <f>"INV 7110/UNIT 1668"</f>
        <v>INV 7110/UNIT 1668</v>
      </c>
    </row>
    <row r="313" spans="1:9" x14ac:dyDescent="0.3">
      <c r="A313" t="str">
        <f>""</f>
        <v/>
      </c>
      <c r="F313" t="str">
        <f>""</f>
        <v/>
      </c>
      <c r="G313" t="str">
        <f>""</f>
        <v/>
      </c>
      <c r="I313" t="str">
        <f>"INV 7112/UNIT 1670"</f>
        <v>INV 7112/UNIT 1670</v>
      </c>
    </row>
    <row r="314" spans="1:9" x14ac:dyDescent="0.3">
      <c r="A314" t="str">
        <f>""</f>
        <v/>
      </c>
      <c r="F314" t="str">
        <f>""</f>
        <v/>
      </c>
      <c r="G314" t="str">
        <f>""</f>
        <v/>
      </c>
      <c r="I314" t="str">
        <f>"INV 7120/UNIT 8944"</f>
        <v>INV 7120/UNIT 8944</v>
      </c>
    </row>
    <row r="315" spans="1:9" x14ac:dyDescent="0.3">
      <c r="A315" t="str">
        <f>""</f>
        <v/>
      </c>
      <c r="F315" t="str">
        <f>""</f>
        <v/>
      </c>
      <c r="G315" t="str">
        <f>""</f>
        <v/>
      </c>
      <c r="I315" t="str">
        <f>"INV 7126/UNIT 4717"</f>
        <v>INV 7126/UNIT 4717</v>
      </c>
    </row>
    <row r="316" spans="1:9" x14ac:dyDescent="0.3">
      <c r="A316" t="str">
        <f>""</f>
        <v/>
      </c>
      <c r="F316" t="str">
        <f>""</f>
        <v/>
      </c>
      <c r="G316" t="str">
        <f>""</f>
        <v/>
      </c>
      <c r="I316" t="str">
        <f>"INV 7127/UNIT 0119"</f>
        <v>INV 7127/UNIT 0119</v>
      </c>
    </row>
    <row r="317" spans="1:9" x14ac:dyDescent="0.3">
      <c r="A317" t="str">
        <f>""</f>
        <v/>
      </c>
      <c r="F317" t="str">
        <f>""</f>
        <v/>
      </c>
      <c r="G317" t="str">
        <f>""</f>
        <v/>
      </c>
      <c r="I317" t="str">
        <f>"INV 7132/UNIT 6523"</f>
        <v>INV 7132/UNIT 6523</v>
      </c>
    </row>
    <row r="318" spans="1:9" x14ac:dyDescent="0.3">
      <c r="A318" t="str">
        <f>""</f>
        <v/>
      </c>
      <c r="F318" t="str">
        <f>""</f>
        <v/>
      </c>
      <c r="G318" t="str">
        <f>""</f>
        <v/>
      </c>
      <c r="I318" t="str">
        <f>"INV 7136/UNIT 3805"</f>
        <v>INV 7136/UNIT 3805</v>
      </c>
    </row>
    <row r="319" spans="1:9" x14ac:dyDescent="0.3">
      <c r="A319" t="str">
        <f>""</f>
        <v/>
      </c>
      <c r="F319" t="str">
        <f>""</f>
        <v/>
      </c>
      <c r="G319" t="str">
        <f>""</f>
        <v/>
      </c>
      <c r="I319" t="str">
        <f>"INV 7145/UNIT 4718"</f>
        <v>INV 7145/UNIT 4718</v>
      </c>
    </row>
    <row r="320" spans="1:9" x14ac:dyDescent="0.3">
      <c r="A320" t="str">
        <f>""</f>
        <v/>
      </c>
      <c r="F320" t="str">
        <f>""</f>
        <v/>
      </c>
      <c r="G320" t="str">
        <f>""</f>
        <v/>
      </c>
      <c r="I320" t="str">
        <f>"INV 7154/UNIT 1672"</f>
        <v>INV 7154/UNIT 1672</v>
      </c>
    </row>
    <row r="321" spans="1:9" x14ac:dyDescent="0.3">
      <c r="A321" t="str">
        <f>""</f>
        <v/>
      </c>
      <c r="F321" t="str">
        <f>"SHERIFF/VEH MAINT"</f>
        <v>SHERIFF/VEH MAINT</v>
      </c>
      <c r="G321" t="str">
        <f>"INV 7052/UNIT 1669"</f>
        <v>INV 7052/UNIT 1669</v>
      </c>
      <c r="H321" s="2">
        <v>515.15</v>
      </c>
      <c r="I321" t="str">
        <f>"INV 7052/UNIT 1669"</f>
        <v>INV 7052/UNIT 1669</v>
      </c>
    </row>
    <row r="322" spans="1:9" x14ac:dyDescent="0.3">
      <c r="A322" t="str">
        <f>""</f>
        <v/>
      </c>
      <c r="F322" t="str">
        <f>""</f>
        <v/>
      </c>
      <c r="G322" t="str">
        <f>""</f>
        <v/>
      </c>
      <c r="I322" t="str">
        <f>"INV 7054/UNIT 121"</f>
        <v>INV 7054/UNIT 121</v>
      </c>
    </row>
    <row r="323" spans="1:9" x14ac:dyDescent="0.3">
      <c r="A323" t="str">
        <f>""</f>
        <v/>
      </c>
      <c r="F323" t="str">
        <f>""</f>
        <v/>
      </c>
      <c r="G323" t="str">
        <f>""</f>
        <v/>
      </c>
      <c r="I323" t="str">
        <f>"INV 7057/UNIT 1667"</f>
        <v>INV 7057/UNIT 1667</v>
      </c>
    </row>
    <row r="324" spans="1:9" x14ac:dyDescent="0.3">
      <c r="A324" t="str">
        <f>""</f>
        <v/>
      </c>
      <c r="F324" t="str">
        <f>""</f>
        <v/>
      </c>
      <c r="G324" t="str">
        <f>""</f>
        <v/>
      </c>
      <c r="I324" t="str">
        <f>"INV 7063/UNIT 6554"</f>
        <v>INV 7063/UNIT 6554</v>
      </c>
    </row>
    <row r="325" spans="1:9" x14ac:dyDescent="0.3">
      <c r="A325" t="str">
        <f>""</f>
        <v/>
      </c>
      <c r="F325" t="str">
        <f>""</f>
        <v/>
      </c>
      <c r="G325" t="str">
        <f>""</f>
        <v/>
      </c>
      <c r="I325" t="str">
        <f>"INV 7065/UNIT 119"</f>
        <v>INV 7065/UNIT 119</v>
      </c>
    </row>
    <row r="326" spans="1:9" x14ac:dyDescent="0.3">
      <c r="A326" t="str">
        <f>""</f>
        <v/>
      </c>
      <c r="F326" t="str">
        <f>""</f>
        <v/>
      </c>
      <c r="G326" t="str">
        <f>""</f>
        <v/>
      </c>
      <c r="I326" t="str">
        <f>"INV 7068/UNIT 48.01"</f>
        <v>INV 7068/UNIT 48.01</v>
      </c>
    </row>
    <row r="327" spans="1:9" x14ac:dyDescent="0.3">
      <c r="A327" t="str">
        <f>""</f>
        <v/>
      </c>
      <c r="F327" t="str">
        <f>""</f>
        <v/>
      </c>
      <c r="G327" t="str">
        <f>""</f>
        <v/>
      </c>
      <c r="I327" t="str">
        <f>"INV 7069/UNIT 8948"</f>
        <v>INV 7069/UNIT 8948</v>
      </c>
    </row>
    <row r="328" spans="1:9" x14ac:dyDescent="0.3">
      <c r="A328" t="str">
        <f>""</f>
        <v/>
      </c>
      <c r="F328" t="str">
        <f>""</f>
        <v/>
      </c>
      <c r="G328" t="str">
        <f>""</f>
        <v/>
      </c>
      <c r="I328" t="str">
        <f>"INV 7074/UNIT 5511"</f>
        <v>INV 7074/UNIT 5511</v>
      </c>
    </row>
    <row r="329" spans="1:9" x14ac:dyDescent="0.3">
      <c r="A329" t="str">
        <f>""</f>
        <v/>
      </c>
      <c r="F329" t="str">
        <f>""</f>
        <v/>
      </c>
      <c r="G329" t="str">
        <f>""</f>
        <v/>
      </c>
      <c r="I329" t="str">
        <f>"INV 7077/UNIT 0314"</f>
        <v>INV 7077/UNIT 0314</v>
      </c>
    </row>
    <row r="330" spans="1:9" x14ac:dyDescent="0.3">
      <c r="A330" t="str">
        <f>""</f>
        <v/>
      </c>
      <c r="F330" t="str">
        <f>""</f>
        <v/>
      </c>
      <c r="G330" t="str">
        <f>""</f>
        <v/>
      </c>
      <c r="I330" t="str">
        <f>"INV 7078/UNIT 3804"</f>
        <v>INV 7078/UNIT 3804</v>
      </c>
    </row>
    <row r="331" spans="1:9" x14ac:dyDescent="0.3">
      <c r="A331" t="str">
        <f>""</f>
        <v/>
      </c>
      <c r="F331" t="str">
        <f>""</f>
        <v/>
      </c>
      <c r="G331" t="str">
        <f>""</f>
        <v/>
      </c>
      <c r="I331" t="str">
        <f>"INV 7085/UNIT 8954"</f>
        <v>INV 7085/UNIT 8954</v>
      </c>
    </row>
    <row r="332" spans="1:9" x14ac:dyDescent="0.3">
      <c r="A332" t="str">
        <f>""</f>
        <v/>
      </c>
      <c r="F332" t="str">
        <f>""</f>
        <v/>
      </c>
      <c r="G332" t="str">
        <f>""</f>
        <v/>
      </c>
      <c r="I332" t="str">
        <f>"INV 7086/UNIT 4362"</f>
        <v>INV 7086/UNIT 4362</v>
      </c>
    </row>
    <row r="333" spans="1:9" x14ac:dyDescent="0.3">
      <c r="A333" t="str">
        <f>""</f>
        <v/>
      </c>
      <c r="F333" t="str">
        <f>""</f>
        <v/>
      </c>
      <c r="G333" t="str">
        <f>""</f>
        <v/>
      </c>
      <c r="I333" t="str">
        <f>"INV 7087/UNIT 80"</f>
        <v>INV 7087/UNIT 80</v>
      </c>
    </row>
    <row r="334" spans="1:9" x14ac:dyDescent="0.3">
      <c r="A334" t="str">
        <f>""</f>
        <v/>
      </c>
      <c r="F334" t="str">
        <f>""</f>
        <v/>
      </c>
      <c r="G334" t="str">
        <f>""</f>
        <v/>
      </c>
      <c r="I334" t="str">
        <f>"INV 7089/UNIT 0417"</f>
        <v>INV 7089/UNIT 0417</v>
      </c>
    </row>
    <row r="335" spans="1:9" x14ac:dyDescent="0.3">
      <c r="A335" t="str">
        <f>""</f>
        <v/>
      </c>
      <c r="F335" t="str">
        <f>"VEHICLE MAINT."</f>
        <v>VEHICLE MAINT.</v>
      </c>
      <c r="G335" t="str">
        <f>"INV 7156/UNIT 4716"</f>
        <v>INV 7156/UNIT 4716</v>
      </c>
      <c r="H335" s="2">
        <v>679.11</v>
      </c>
      <c r="I335" t="str">
        <f>"INV 7156/UNIT 4716"</f>
        <v>INV 7156/UNIT 4716</v>
      </c>
    </row>
    <row r="336" spans="1:9" x14ac:dyDescent="0.3">
      <c r="A336" t="str">
        <f>""</f>
        <v/>
      </c>
      <c r="F336" t="str">
        <f>""</f>
        <v/>
      </c>
      <c r="G336" t="str">
        <f>""</f>
        <v/>
      </c>
      <c r="I336" t="str">
        <f>"INV 7158/UNIT 122"</f>
        <v>INV 7158/UNIT 122</v>
      </c>
    </row>
    <row r="337" spans="1:9" x14ac:dyDescent="0.3">
      <c r="A337" t="str">
        <f>""</f>
        <v/>
      </c>
      <c r="F337" t="str">
        <f>""</f>
        <v/>
      </c>
      <c r="G337" t="str">
        <f>""</f>
        <v/>
      </c>
      <c r="I337" t="str">
        <f>"INV 7159/UNIT 1673"</f>
        <v>INV 7159/UNIT 1673</v>
      </c>
    </row>
    <row r="338" spans="1:9" x14ac:dyDescent="0.3">
      <c r="A338" t="str">
        <f>""</f>
        <v/>
      </c>
      <c r="F338" t="str">
        <f>""</f>
        <v/>
      </c>
      <c r="G338" t="str">
        <f>""</f>
        <v/>
      </c>
      <c r="I338" t="str">
        <f>"INV 7161/UNIT 4718"</f>
        <v>INV 7161/UNIT 4718</v>
      </c>
    </row>
    <row r="339" spans="1:9" x14ac:dyDescent="0.3">
      <c r="A339" t="str">
        <f>"001367"</f>
        <v>001367</v>
      </c>
      <c r="B339" t="s">
        <v>93</v>
      </c>
      <c r="C339">
        <v>75352</v>
      </c>
      <c r="D339" s="2">
        <v>1183.1300000000001</v>
      </c>
      <c r="E339" s="1">
        <v>43157</v>
      </c>
      <c r="F339" t="str">
        <f>"7034"</f>
        <v>7034</v>
      </c>
      <c r="G339" t="str">
        <f>"BOBBY BROWN"</f>
        <v>BOBBY BROWN</v>
      </c>
      <c r="H339" s="2">
        <v>39.450000000000003</v>
      </c>
      <c r="I339" t="str">
        <f>"Oil Change"</f>
        <v>Oil Change</v>
      </c>
    </row>
    <row r="340" spans="1:9" x14ac:dyDescent="0.3">
      <c r="A340" t="str">
        <f>""</f>
        <v/>
      </c>
      <c r="F340" t="str">
        <f>"7170"</f>
        <v>7170</v>
      </c>
      <c r="G340" t="str">
        <f>"SHOP SUPPLIES/2010 FORD F-150"</f>
        <v>SHOP SUPPLIES/2010 FORD F-150</v>
      </c>
      <c r="H340" s="2">
        <v>43.36</v>
      </c>
      <c r="I340" t="str">
        <f>"SHOP SUPPLIES/2010 FORD F-150"</f>
        <v>SHOP SUPPLIES/2010 FORD F-150</v>
      </c>
    </row>
    <row r="341" spans="1:9" x14ac:dyDescent="0.3">
      <c r="A341" t="str">
        <f>""</f>
        <v/>
      </c>
      <c r="F341" t="str">
        <f>"7217/UNIT 4431"</f>
        <v>7217/UNIT 4431</v>
      </c>
      <c r="G341" t="str">
        <f>"ONV 7217/ UNIT 4431"</f>
        <v>ONV 7217/ UNIT 4431</v>
      </c>
      <c r="H341" s="2">
        <v>381.93</v>
      </c>
      <c r="I341" t="str">
        <f>"ONV 7217/ UNIT 4431"</f>
        <v>ONV 7217/ UNIT 4431</v>
      </c>
    </row>
    <row r="342" spans="1:9" x14ac:dyDescent="0.3">
      <c r="A342" t="str">
        <f>""</f>
        <v/>
      </c>
      <c r="F342" t="str">
        <f>"INV7187/UNIT4431"</f>
        <v>INV7187/UNIT4431</v>
      </c>
      <c r="G342" t="str">
        <f>"INV 7187/ UNIT 4431"</f>
        <v>INV 7187/ UNIT 4431</v>
      </c>
      <c r="H342" s="2">
        <v>73.290000000000006</v>
      </c>
      <c r="I342" t="str">
        <f>"INV 7187/ UNIT 4431"</f>
        <v>INV 7187/ UNIT 4431</v>
      </c>
    </row>
    <row r="343" spans="1:9" x14ac:dyDescent="0.3">
      <c r="A343" t="str">
        <f>""</f>
        <v/>
      </c>
      <c r="F343" t="str">
        <f>"VEH MAIN SHERIFF"</f>
        <v>VEH MAIN SHERIFF</v>
      </c>
      <c r="G343" t="str">
        <f>"INV 7164/ UNIT 7279"</f>
        <v>INV 7164/ UNIT 7279</v>
      </c>
      <c r="H343" s="2">
        <v>645.1</v>
      </c>
      <c r="I343" t="str">
        <f>"INV 7164/ UNIT 7279"</f>
        <v>INV 7164/ UNIT 7279</v>
      </c>
    </row>
    <row r="344" spans="1:9" x14ac:dyDescent="0.3">
      <c r="A344" t="str">
        <f>""</f>
        <v/>
      </c>
      <c r="F344" t="str">
        <f>""</f>
        <v/>
      </c>
      <c r="G344" t="str">
        <f>""</f>
        <v/>
      </c>
      <c r="I344" t="str">
        <f>"INV 7182/ UNIT 4716"</f>
        <v>INV 7182/ UNIT 4716</v>
      </c>
    </row>
    <row r="345" spans="1:9" x14ac:dyDescent="0.3">
      <c r="A345" t="str">
        <f>""</f>
        <v/>
      </c>
      <c r="F345" t="str">
        <f>""</f>
        <v/>
      </c>
      <c r="G345" t="str">
        <f>""</f>
        <v/>
      </c>
      <c r="I345" t="str">
        <f>"INV 7185/ UNIT 6532"</f>
        <v>INV 7185/ UNIT 6532</v>
      </c>
    </row>
    <row r="346" spans="1:9" x14ac:dyDescent="0.3">
      <c r="A346" t="str">
        <f>""</f>
        <v/>
      </c>
      <c r="F346" t="str">
        <f>""</f>
        <v/>
      </c>
      <c r="G346" t="str">
        <f>""</f>
        <v/>
      </c>
      <c r="I346" t="str">
        <f>"INV 7186/ UNIT 6556"</f>
        <v>INV 7186/ UNIT 6556</v>
      </c>
    </row>
    <row r="347" spans="1:9" x14ac:dyDescent="0.3">
      <c r="A347" t="str">
        <f>""</f>
        <v/>
      </c>
      <c r="F347" t="str">
        <f>""</f>
        <v/>
      </c>
      <c r="G347" t="str">
        <f>""</f>
        <v/>
      </c>
      <c r="I347" t="str">
        <f>"INV 7194/ UNIT 4431"</f>
        <v>INV 7194/ UNIT 4431</v>
      </c>
    </row>
    <row r="348" spans="1:9" x14ac:dyDescent="0.3">
      <c r="A348" t="str">
        <f>""</f>
        <v/>
      </c>
      <c r="F348" t="str">
        <f>""</f>
        <v/>
      </c>
      <c r="G348" t="str">
        <f>""</f>
        <v/>
      </c>
      <c r="I348" t="str">
        <f>"INV 7196/UNIT 0313"</f>
        <v>INV 7196/UNIT 0313</v>
      </c>
    </row>
    <row r="349" spans="1:9" x14ac:dyDescent="0.3">
      <c r="A349" t="str">
        <f>""</f>
        <v/>
      </c>
      <c r="F349" t="str">
        <f>""</f>
        <v/>
      </c>
      <c r="G349" t="str">
        <f>""</f>
        <v/>
      </c>
      <c r="I349" t="str">
        <f>"INV 7198/ UNIT 8217"</f>
        <v>INV 7198/ UNIT 8217</v>
      </c>
    </row>
    <row r="350" spans="1:9" x14ac:dyDescent="0.3">
      <c r="A350" t="str">
        <f>""</f>
        <v/>
      </c>
      <c r="F350" t="str">
        <f>""</f>
        <v/>
      </c>
      <c r="G350" t="str">
        <f>""</f>
        <v/>
      </c>
      <c r="I350" t="str">
        <f>"INV 7202/UNIT 0312"</f>
        <v>INV 7202/UNIT 0312</v>
      </c>
    </row>
    <row r="351" spans="1:9" x14ac:dyDescent="0.3">
      <c r="A351" t="str">
        <f>""</f>
        <v/>
      </c>
      <c r="F351" t="str">
        <f>""</f>
        <v/>
      </c>
      <c r="G351" t="str">
        <f>""</f>
        <v/>
      </c>
      <c r="I351" t="str">
        <f>"INV 7204/UNIT 0311"</f>
        <v>INV 7204/UNIT 0311</v>
      </c>
    </row>
    <row r="352" spans="1:9" x14ac:dyDescent="0.3">
      <c r="A352" t="str">
        <f>""</f>
        <v/>
      </c>
      <c r="F352" t="str">
        <f>""</f>
        <v/>
      </c>
      <c r="G352" t="str">
        <f>""</f>
        <v/>
      </c>
      <c r="I352" t="str">
        <f>"INV 7207/ UNIT 7278"</f>
        <v>INV 7207/ UNIT 7278</v>
      </c>
    </row>
    <row r="353" spans="1:9" x14ac:dyDescent="0.3">
      <c r="A353" t="str">
        <f>""</f>
        <v/>
      </c>
      <c r="F353" t="str">
        <f>""</f>
        <v/>
      </c>
      <c r="G353" t="str">
        <f>""</f>
        <v/>
      </c>
      <c r="I353" t="str">
        <f>"INV 7210 /UNIT 6531"</f>
        <v>INV 7210 /UNIT 6531</v>
      </c>
    </row>
    <row r="354" spans="1:9" x14ac:dyDescent="0.3">
      <c r="A354" t="str">
        <f>""</f>
        <v/>
      </c>
      <c r="F354" t="str">
        <f>""</f>
        <v/>
      </c>
      <c r="G354" t="str">
        <f>""</f>
        <v/>
      </c>
      <c r="I354" t="str">
        <f>"INV 7213/ UNIT 8217"</f>
        <v>INV 7213/ UNIT 8217</v>
      </c>
    </row>
    <row r="355" spans="1:9" x14ac:dyDescent="0.3">
      <c r="A355" t="str">
        <f>""</f>
        <v/>
      </c>
      <c r="F355" t="str">
        <f>""</f>
        <v/>
      </c>
      <c r="G355" t="str">
        <f>""</f>
        <v/>
      </c>
      <c r="I355" t="str">
        <f>"INV 7218/ UNIT 0125"</f>
        <v>INV 7218/ UNIT 0125</v>
      </c>
    </row>
    <row r="356" spans="1:9" x14ac:dyDescent="0.3">
      <c r="A356" t="str">
        <f>""</f>
        <v/>
      </c>
      <c r="F356" t="str">
        <f>""</f>
        <v/>
      </c>
      <c r="G356" t="str">
        <f>""</f>
        <v/>
      </c>
      <c r="I356" t="str">
        <f>"INV 7225/ UNIT 0118"</f>
        <v>INV 7225/ UNIT 0118</v>
      </c>
    </row>
    <row r="357" spans="1:9" x14ac:dyDescent="0.3">
      <c r="A357" t="str">
        <f>""</f>
        <v/>
      </c>
      <c r="F357" t="str">
        <f>""</f>
        <v/>
      </c>
      <c r="G357" t="str">
        <f>""</f>
        <v/>
      </c>
      <c r="I357" t="str">
        <f>"INV 7226/ UNIT 6550"</f>
        <v>INV 7226/ UNIT 6550</v>
      </c>
    </row>
    <row r="358" spans="1:9" x14ac:dyDescent="0.3">
      <c r="A358" t="str">
        <f>""</f>
        <v/>
      </c>
      <c r="F358" t="str">
        <f>""</f>
        <v/>
      </c>
      <c r="G358" t="str">
        <f>""</f>
        <v/>
      </c>
      <c r="I358" t="str">
        <f>"INV 7228/ UNIT 4717"</f>
        <v>INV 7228/ UNIT 4717</v>
      </c>
    </row>
    <row r="359" spans="1:9" x14ac:dyDescent="0.3">
      <c r="A359" t="str">
        <f>""</f>
        <v/>
      </c>
      <c r="F359" t="str">
        <f>""</f>
        <v/>
      </c>
      <c r="G359" t="str">
        <f>""</f>
        <v/>
      </c>
      <c r="I359" t="str">
        <f>"INV 7229/ UNIT 0116"</f>
        <v>INV 7229/ UNIT 0116</v>
      </c>
    </row>
    <row r="360" spans="1:9" x14ac:dyDescent="0.3">
      <c r="A360" t="str">
        <f>""</f>
        <v/>
      </c>
      <c r="F360" t="str">
        <f>""</f>
        <v/>
      </c>
      <c r="G360" t="str">
        <f>""</f>
        <v/>
      </c>
      <c r="I360" t="str">
        <f>"INV 7231/ UNIT 1671"</f>
        <v>INV 7231/ UNIT 1671</v>
      </c>
    </row>
    <row r="361" spans="1:9" x14ac:dyDescent="0.3">
      <c r="A361" t="str">
        <f>""</f>
        <v/>
      </c>
      <c r="F361" t="str">
        <f>""</f>
        <v/>
      </c>
      <c r="G361" t="str">
        <f>""</f>
        <v/>
      </c>
      <c r="I361" t="str">
        <f>"INV 7233/ UNIT 0121"</f>
        <v>INV 7233/ UNIT 0121</v>
      </c>
    </row>
    <row r="362" spans="1:9" x14ac:dyDescent="0.3">
      <c r="A362" t="str">
        <f>"004069"</f>
        <v>004069</v>
      </c>
      <c r="B362" t="s">
        <v>94</v>
      </c>
      <c r="C362">
        <v>75038</v>
      </c>
      <c r="D362" s="2">
        <v>4551.82</v>
      </c>
      <c r="E362" s="1">
        <v>43143</v>
      </c>
      <c r="F362" t="str">
        <f>"91294"</f>
        <v>91294</v>
      </c>
      <c r="G362" t="str">
        <f>"ACCT#1268/PCT#3"</f>
        <v>ACCT#1268/PCT#3</v>
      </c>
      <c r="H362" s="2">
        <v>934</v>
      </c>
      <c r="I362" t="str">
        <f>"ACCT#1268/PCT#3"</f>
        <v>ACCT#1268/PCT#3</v>
      </c>
    </row>
    <row r="363" spans="1:9" x14ac:dyDescent="0.3">
      <c r="A363" t="str">
        <f>""</f>
        <v/>
      </c>
      <c r="F363" t="str">
        <f>"91413"</f>
        <v>91413</v>
      </c>
      <c r="G363" t="str">
        <f>"ACCT#1268/PCT#3"</f>
        <v>ACCT#1268/PCT#3</v>
      </c>
      <c r="H363" s="2">
        <v>1137.1099999999999</v>
      </c>
      <c r="I363" t="str">
        <f>"ACCT#1268/PCT#3"</f>
        <v>ACCT#1268/PCT#3</v>
      </c>
    </row>
    <row r="364" spans="1:9" x14ac:dyDescent="0.3">
      <c r="A364" t="str">
        <f>""</f>
        <v/>
      </c>
      <c r="F364" t="str">
        <f>"91557"</f>
        <v>91557</v>
      </c>
      <c r="G364" t="str">
        <f>"ACCT#1268/PCT#3"</f>
        <v>ACCT#1268/PCT#3</v>
      </c>
      <c r="H364" s="2">
        <v>2480.71</v>
      </c>
      <c r="I364" t="str">
        <f>"ACCT#1268/PCT#3"</f>
        <v>ACCT#1268/PCT#3</v>
      </c>
    </row>
    <row r="365" spans="1:9" x14ac:dyDescent="0.3">
      <c r="A365" t="str">
        <f>"004069"</f>
        <v>004069</v>
      </c>
      <c r="B365" t="s">
        <v>94</v>
      </c>
      <c r="C365">
        <v>75353</v>
      </c>
      <c r="D365" s="2">
        <v>4822.58</v>
      </c>
      <c r="E365" s="1">
        <v>43157</v>
      </c>
      <c r="F365" t="str">
        <f>"91680"</f>
        <v>91680</v>
      </c>
      <c r="G365" t="str">
        <f>"ACCT#1268/PCT#3"</f>
        <v>ACCT#1268/PCT#3</v>
      </c>
      <c r="H365" s="2">
        <v>2837.46</v>
      </c>
      <c r="I365" t="str">
        <f>"ACCT#1268/PCT#3"</f>
        <v>ACCT#1268/PCT#3</v>
      </c>
    </row>
    <row r="366" spans="1:9" x14ac:dyDescent="0.3">
      <c r="A366" t="str">
        <f>""</f>
        <v/>
      </c>
      <c r="F366" t="str">
        <f>"91838"</f>
        <v>91838</v>
      </c>
      <c r="G366" t="str">
        <f>"ACCT#1268/PCT#3"</f>
        <v>ACCT#1268/PCT#3</v>
      </c>
      <c r="H366" s="2">
        <v>1985.12</v>
      </c>
      <c r="I366" t="str">
        <f>"ACCT#1268/PCT#3"</f>
        <v>ACCT#1268/PCT#3</v>
      </c>
    </row>
    <row r="367" spans="1:9" x14ac:dyDescent="0.3">
      <c r="A367" t="str">
        <f>"003337"</f>
        <v>003337</v>
      </c>
      <c r="B367" t="s">
        <v>95</v>
      </c>
      <c r="C367">
        <v>75039</v>
      </c>
      <c r="D367" s="2">
        <v>87.28</v>
      </c>
      <c r="E367" s="1">
        <v>43143</v>
      </c>
      <c r="F367" t="str">
        <f>"REIMBURSE-FEED/FUE"</f>
        <v>REIMBURSE-FEED/FUE</v>
      </c>
      <c r="G367" t="str">
        <f>"REIMBURSEMENT"</f>
        <v>REIMBURSEMENT</v>
      </c>
      <c r="H367" s="2">
        <v>87.28</v>
      </c>
      <c r="I367" t="str">
        <f>"REIMBURSEMENT - FUEL"</f>
        <v>REIMBURSEMENT - FUEL</v>
      </c>
    </row>
    <row r="368" spans="1:9" x14ac:dyDescent="0.3">
      <c r="A368" t="str">
        <f>""</f>
        <v/>
      </c>
      <c r="F368" t="str">
        <f>""</f>
        <v/>
      </c>
      <c r="G368" t="str">
        <f>""</f>
        <v/>
      </c>
      <c r="I368" t="str">
        <f>"REIMBURSEMENT - FEED"</f>
        <v>REIMBURSEMENT - FEED</v>
      </c>
    </row>
    <row r="369" spans="1:9" x14ac:dyDescent="0.3">
      <c r="A369" t="str">
        <f>"003337"</f>
        <v>003337</v>
      </c>
      <c r="B369" t="s">
        <v>95</v>
      </c>
      <c r="C369">
        <v>75354</v>
      </c>
      <c r="D369" s="2">
        <v>85</v>
      </c>
      <c r="E369" s="1">
        <v>43157</v>
      </c>
      <c r="F369" t="str">
        <f>"FUEL REIMBURSEMENT"</f>
        <v>FUEL REIMBURSEMENT</v>
      </c>
      <c r="G369" t="str">
        <f>"FUEL REIMBURSEMENT"</f>
        <v>FUEL REIMBURSEMENT</v>
      </c>
      <c r="H369" s="2">
        <v>85</v>
      </c>
      <c r="I369" t="str">
        <f>"FUEL REIMBURSEMENT"</f>
        <v>FUEL REIMBURSEMENT</v>
      </c>
    </row>
    <row r="370" spans="1:9" x14ac:dyDescent="0.3">
      <c r="A370" t="str">
        <f>"T9216"</f>
        <v>T9216</v>
      </c>
      <c r="B370" t="s">
        <v>96</v>
      </c>
      <c r="C370">
        <v>75040</v>
      </c>
      <c r="D370" s="2">
        <v>750</v>
      </c>
      <c r="E370" s="1">
        <v>43143</v>
      </c>
      <c r="F370" t="str">
        <f>"201801308249"</f>
        <v>201801308249</v>
      </c>
      <c r="G370" t="str">
        <f>"53 279"</f>
        <v>53 279</v>
      </c>
      <c r="H370" s="2">
        <v>250</v>
      </c>
      <c r="I370" t="str">
        <f>"53 279"</f>
        <v>53 279</v>
      </c>
    </row>
    <row r="371" spans="1:9" x14ac:dyDescent="0.3">
      <c r="A371" t="str">
        <f>""</f>
        <v/>
      </c>
      <c r="F371" t="str">
        <f>"201801308250"</f>
        <v>201801308250</v>
      </c>
      <c r="G371" t="str">
        <f>"55 489"</f>
        <v>55 489</v>
      </c>
      <c r="H371" s="2">
        <v>250</v>
      </c>
      <c r="I371" t="str">
        <f>"55 489"</f>
        <v>55 489</v>
      </c>
    </row>
    <row r="372" spans="1:9" x14ac:dyDescent="0.3">
      <c r="A372" t="str">
        <f>""</f>
        <v/>
      </c>
      <c r="F372" t="str">
        <f>"201802078627"</f>
        <v>201802078627</v>
      </c>
      <c r="G372" t="str">
        <f>"55 675"</f>
        <v>55 675</v>
      </c>
      <c r="H372" s="2">
        <v>250</v>
      </c>
      <c r="I372" t="str">
        <f>"55 675"</f>
        <v>55 675</v>
      </c>
    </row>
    <row r="373" spans="1:9" x14ac:dyDescent="0.3">
      <c r="A373" t="str">
        <f>"000205"</f>
        <v>000205</v>
      </c>
      <c r="B373" t="s">
        <v>97</v>
      </c>
      <c r="C373">
        <v>999999</v>
      </c>
      <c r="D373" s="2">
        <v>269.45999999999998</v>
      </c>
      <c r="E373" s="1">
        <v>43144</v>
      </c>
      <c r="F373" t="str">
        <f>"90000874"</f>
        <v>90000874</v>
      </c>
      <c r="G373" t="str">
        <f>"CUST#24890/GREEN FOAM"</f>
        <v>CUST#24890/GREEN FOAM</v>
      </c>
      <c r="H373" s="2">
        <v>269.45999999999998</v>
      </c>
      <c r="I373" t="str">
        <f>"CUST#24890/GREEN FOAM"</f>
        <v>CUST#24890/GREEN FOAM</v>
      </c>
    </row>
    <row r="374" spans="1:9" x14ac:dyDescent="0.3">
      <c r="A374" t="str">
        <f>"004635"</f>
        <v>004635</v>
      </c>
      <c r="B374" t="s">
        <v>98</v>
      </c>
      <c r="C374">
        <v>75041</v>
      </c>
      <c r="D374" s="2">
        <v>112</v>
      </c>
      <c r="E374" s="1">
        <v>43143</v>
      </c>
      <c r="F374" t="str">
        <f>"44624"</f>
        <v>44624</v>
      </c>
      <c r="G374" t="str">
        <f>"ACCT#188757/MIKE FISHER BLDG"</f>
        <v>ACCT#188757/MIKE FISHER BLDG</v>
      </c>
      <c r="H374" s="2">
        <v>112</v>
      </c>
      <c r="I374" t="str">
        <f>"ACCT#188757/MIKE FISHER BLDG"</f>
        <v>ACCT#188757/MIKE FISHER BLDG</v>
      </c>
    </row>
    <row r="375" spans="1:9" x14ac:dyDescent="0.3">
      <c r="A375" t="str">
        <f>"004635"</f>
        <v>004635</v>
      </c>
      <c r="B375" t="s">
        <v>98</v>
      </c>
      <c r="C375">
        <v>75355</v>
      </c>
      <c r="D375" s="2">
        <v>2717.07</v>
      </c>
      <c r="E375" s="1">
        <v>43157</v>
      </c>
      <c r="F375" t="str">
        <f>"201802218822"</f>
        <v>201802218822</v>
      </c>
      <c r="G375" t="str">
        <f>"ACCT#188757/STATMENT#16851"</f>
        <v>ACCT#188757/STATMENT#16851</v>
      </c>
      <c r="H375" s="2">
        <v>2314.13</v>
      </c>
      <c r="I375" t="str">
        <f>"ACCT#188757/STATMENT#16851"</f>
        <v>ACCT#188757/STATMENT#16851</v>
      </c>
    </row>
    <row r="376" spans="1:9" x14ac:dyDescent="0.3">
      <c r="A376" t="str">
        <f>""</f>
        <v/>
      </c>
      <c r="F376" t="str">
        <f>"46997"</f>
        <v>46997</v>
      </c>
      <c r="G376" t="str">
        <f>"BUG MASTER EXTERMINATING LTD"</f>
        <v>BUG MASTER EXTERMINATING LTD</v>
      </c>
      <c r="H376" s="2">
        <v>189.44</v>
      </c>
      <c r="I376" t="str">
        <f>"Mel Hamner"</f>
        <v>Mel Hamner</v>
      </c>
    </row>
    <row r="377" spans="1:9" x14ac:dyDescent="0.3">
      <c r="A377" t="str">
        <f>""</f>
        <v/>
      </c>
      <c r="F377" t="str">
        <f>"48204"</f>
        <v>48204</v>
      </c>
      <c r="G377" t="str">
        <f>"ACCT # 188757 - PEST CONTROL"</f>
        <v>ACCT # 188757 - PEST CONTROL</v>
      </c>
      <c r="H377" s="2">
        <v>95</v>
      </c>
      <c r="I377" t="str">
        <f>"ACCT # 188757 - PEST CONTROL"</f>
        <v>ACCT # 188757 - PEST CONTROL</v>
      </c>
    </row>
    <row r="378" spans="1:9" x14ac:dyDescent="0.3">
      <c r="A378" t="str">
        <f>""</f>
        <v/>
      </c>
      <c r="F378" t="str">
        <f>"48209"</f>
        <v>48209</v>
      </c>
      <c r="G378" t="str">
        <f>"ACCT # 188757 - PEST CONTROL"</f>
        <v>ACCT # 188757 - PEST CONTROL</v>
      </c>
      <c r="H378" s="2">
        <v>118.5</v>
      </c>
      <c r="I378" t="str">
        <f>"ACCT # 188757 - PEST CONTROL"</f>
        <v>ACCT # 188757 - PEST CONTROL</v>
      </c>
    </row>
    <row r="379" spans="1:9" x14ac:dyDescent="0.3">
      <c r="A379" t="str">
        <f>"005301"</f>
        <v>005301</v>
      </c>
      <c r="B379" t="s">
        <v>99</v>
      </c>
      <c r="C379">
        <v>75042</v>
      </c>
      <c r="D379" s="2">
        <v>240</v>
      </c>
      <c r="E379" s="1">
        <v>43143</v>
      </c>
      <c r="F379" t="str">
        <f>"PER DIEM"</f>
        <v>PER DIEM</v>
      </c>
      <c r="G379" t="str">
        <f>"PER DIEM"</f>
        <v>PER DIEM</v>
      </c>
      <c r="H379" s="2">
        <v>240</v>
      </c>
      <c r="I379" t="str">
        <f>"PER DIEM"</f>
        <v>PER DIEM</v>
      </c>
    </row>
    <row r="380" spans="1:9" x14ac:dyDescent="0.3">
      <c r="A380" t="str">
        <f>"003279"</f>
        <v>003279</v>
      </c>
      <c r="B380" t="s">
        <v>100</v>
      </c>
      <c r="C380">
        <v>75043</v>
      </c>
      <c r="D380" s="2">
        <v>1620</v>
      </c>
      <c r="E380" s="1">
        <v>43143</v>
      </c>
      <c r="F380" t="str">
        <f>"R8639"</f>
        <v>R8639</v>
      </c>
      <c r="G380" t="str">
        <f>"Callyo Renewal"</f>
        <v>Callyo Renewal</v>
      </c>
      <c r="H380" s="2">
        <v>1620</v>
      </c>
      <c r="I380" t="str">
        <f>"Basic System"</f>
        <v>Basic System</v>
      </c>
    </row>
    <row r="381" spans="1:9" x14ac:dyDescent="0.3">
      <c r="A381" t="str">
        <f>""</f>
        <v/>
      </c>
      <c r="F381" t="str">
        <f>""</f>
        <v/>
      </c>
      <c r="G381" t="str">
        <f>""</f>
        <v/>
      </c>
      <c r="I381" t="str">
        <f>"Callyo Lines"</f>
        <v>Callyo Lines</v>
      </c>
    </row>
    <row r="382" spans="1:9" x14ac:dyDescent="0.3">
      <c r="A382" t="str">
        <f>""</f>
        <v/>
      </c>
      <c r="F382" t="str">
        <f>""</f>
        <v/>
      </c>
      <c r="G382" t="str">
        <f>""</f>
        <v/>
      </c>
      <c r="I382" t="str">
        <f>"Appliance Support"</f>
        <v>Appliance Support</v>
      </c>
    </row>
    <row r="383" spans="1:9" x14ac:dyDescent="0.3">
      <c r="A383" t="str">
        <f>"005414"</f>
        <v>005414</v>
      </c>
      <c r="B383" t="s">
        <v>101</v>
      </c>
      <c r="C383">
        <v>75044</v>
      </c>
      <c r="D383" s="2">
        <v>15</v>
      </c>
      <c r="E383" s="1">
        <v>43143</v>
      </c>
      <c r="F383" t="str">
        <f>"201802018418"</f>
        <v>201802018418</v>
      </c>
      <c r="G383" t="str">
        <f>"FERAL HOGS"</f>
        <v>FERAL HOGS</v>
      </c>
      <c r="H383" s="2">
        <v>15</v>
      </c>
      <c r="I383" t="str">
        <f>"FERAL HOGS"</f>
        <v>FERAL HOGS</v>
      </c>
    </row>
    <row r="384" spans="1:9" x14ac:dyDescent="0.3">
      <c r="A384" t="str">
        <f>"005267"</f>
        <v>005267</v>
      </c>
      <c r="B384" t="s">
        <v>102</v>
      </c>
      <c r="C384">
        <v>75356</v>
      </c>
      <c r="D384" s="2">
        <v>135</v>
      </c>
      <c r="E384" s="1">
        <v>43157</v>
      </c>
      <c r="F384" t="str">
        <f>"1440"</f>
        <v>1440</v>
      </c>
      <c r="G384" t="str">
        <f>"INSTALLED WASHING MACHINE/BCAS"</f>
        <v>INSTALLED WASHING MACHINE/BCAS</v>
      </c>
      <c r="H384" s="2">
        <v>135</v>
      </c>
      <c r="I384" t="str">
        <f>"INSTALLED WASHING MACHINE/BCAS"</f>
        <v>INSTALLED WASHING MACHINE/BCAS</v>
      </c>
    </row>
    <row r="385" spans="1:9" x14ac:dyDescent="0.3">
      <c r="A385" t="str">
        <f>"005252"</f>
        <v>005252</v>
      </c>
      <c r="B385" t="s">
        <v>103</v>
      </c>
      <c r="C385">
        <v>75045</v>
      </c>
      <c r="D385" s="2">
        <v>3236.87</v>
      </c>
      <c r="E385" s="1">
        <v>43143</v>
      </c>
      <c r="F385" t="str">
        <f>"2017 VAN REAR A/C"</f>
        <v>2017 VAN REAR A/C</v>
      </c>
      <c r="G385" t="str">
        <f>"CAP FLEET UPFITTERS  LLC"</f>
        <v>CAP FLEET UPFITTERS  LLC</v>
      </c>
      <c r="H385" s="2">
        <v>3236.87</v>
      </c>
      <c r="I385" t="str">
        <f>"Rear AC"</f>
        <v>Rear AC</v>
      </c>
    </row>
    <row r="386" spans="1:9" x14ac:dyDescent="0.3">
      <c r="A386" t="str">
        <f>""</f>
        <v/>
      </c>
      <c r="F386" t="str">
        <f>""</f>
        <v/>
      </c>
      <c r="G386" t="str">
        <f>""</f>
        <v/>
      </c>
      <c r="I386" t="str">
        <f>"Rear Back Up Camera"</f>
        <v>Rear Back Up Camera</v>
      </c>
    </row>
    <row r="387" spans="1:9" x14ac:dyDescent="0.3">
      <c r="A387" t="str">
        <f>""</f>
        <v/>
      </c>
      <c r="F387" t="str">
        <f>""</f>
        <v/>
      </c>
      <c r="G387" t="str">
        <f>""</f>
        <v/>
      </c>
      <c r="I387" t="str">
        <f>"Rear Vision Display"</f>
        <v>Rear Vision Display</v>
      </c>
    </row>
    <row r="388" spans="1:9" x14ac:dyDescent="0.3">
      <c r="A388" t="str">
        <f>""</f>
        <v/>
      </c>
      <c r="F388" t="str">
        <f>""</f>
        <v/>
      </c>
      <c r="G388" t="str">
        <f>""</f>
        <v/>
      </c>
      <c r="I388" t="str">
        <f>"Labor"</f>
        <v>Labor</v>
      </c>
    </row>
    <row r="389" spans="1:9" x14ac:dyDescent="0.3">
      <c r="A389" t="str">
        <f>""</f>
        <v/>
      </c>
      <c r="F389" t="str">
        <f>""</f>
        <v/>
      </c>
      <c r="G389" t="str">
        <f>""</f>
        <v/>
      </c>
      <c r="I389" t="str">
        <f>"Shop Supplies"</f>
        <v>Shop Supplies</v>
      </c>
    </row>
    <row r="390" spans="1:9" x14ac:dyDescent="0.3">
      <c r="A390" t="str">
        <f>""</f>
        <v/>
      </c>
      <c r="F390" t="str">
        <f>""</f>
        <v/>
      </c>
      <c r="G390" t="str">
        <f>""</f>
        <v/>
      </c>
      <c r="I390" t="str">
        <f>"Shipping and Handlin"</f>
        <v>Shipping and Handlin</v>
      </c>
    </row>
    <row r="391" spans="1:9" x14ac:dyDescent="0.3">
      <c r="A391" t="str">
        <f>""</f>
        <v/>
      </c>
      <c r="F391" t="str">
        <f>""</f>
        <v/>
      </c>
      <c r="G391" t="str">
        <f>""</f>
        <v/>
      </c>
      <c r="I391" t="str">
        <f>"Pick Up &amp; Delivery"</f>
        <v>Pick Up &amp; Delivery</v>
      </c>
    </row>
    <row r="392" spans="1:9" x14ac:dyDescent="0.3">
      <c r="A392" t="str">
        <f>"T12518"</f>
        <v>T12518</v>
      </c>
      <c r="B392" t="s">
        <v>104</v>
      </c>
      <c r="C392">
        <v>75046</v>
      </c>
      <c r="D392" s="2">
        <v>288</v>
      </c>
      <c r="E392" s="1">
        <v>43143</v>
      </c>
      <c r="F392" t="str">
        <f>"TRAINING-S. RAWLIN"</f>
        <v>TRAINING-S. RAWLIN</v>
      </c>
      <c r="G392" t="str">
        <f>"TRAINING"</f>
        <v>TRAINING</v>
      </c>
      <c r="H392" s="2">
        <v>288</v>
      </c>
      <c r="I392" t="str">
        <f>"TRAINING"</f>
        <v>TRAINING</v>
      </c>
    </row>
    <row r="393" spans="1:9" x14ac:dyDescent="0.3">
      <c r="A393" t="str">
        <f>"T12518"</f>
        <v>T12518</v>
      </c>
      <c r="B393" t="s">
        <v>104</v>
      </c>
      <c r="C393">
        <v>75357</v>
      </c>
      <c r="D393" s="2">
        <v>80</v>
      </c>
      <c r="E393" s="1">
        <v>43157</v>
      </c>
      <c r="F393" t="str">
        <f>"201802218815"</f>
        <v>201802218815</v>
      </c>
      <c r="G393" t="str">
        <f>"BASIC ENVIRONMENTAL TRAINING"</f>
        <v>BASIC ENVIRONMENTAL TRAINING</v>
      </c>
      <c r="H393" s="2">
        <v>80</v>
      </c>
      <c r="I393" t="str">
        <f>"BASIC ENVIRONMENTAL TRAINING"</f>
        <v>BASIC ENVIRONMENTAL TRAINING</v>
      </c>
    </row>
    <row r="394" spans="1:9" x14ac:dyDescent="0.3">
      <c r="A394" t="str">
        <f>"002726"</f>
        <v>002726</v>
      </c>
      <c r="B394" t="s">
        <v>105</v>
      </c>
      <c r="C394">
        <v>75047</v>
      </c>
      <c r="D394" s="2">
        <v>3459.19</v>
      </c>
      <c r="E394" s="1">
        <v>43143</v>
      </c>
      <c r="F394" t="str">
        <f>"ACCTXXXX XXXX 0058"</f>
        <v>ACCTXXXX XXXX 0058</v>
      </c>
      <c r="G394" t="str">
        <f>"Acct# 0058"</f>
        <v>Acct# 0058</v>
      </c>
      <c r="H394" s="2">
        <v>3459.19</v>
      </c>
      <c r="I394" t="str">
        <f>"Conflict Resolution"</f>
        <v>Conflict Resolution</v>
      </c>
    </row>
    <row r="395" spans="1:9" x14ac:dyDescent="0.3">
      <c r="A395" t="str">
        <f>""</f>
        <v/>
      </c>
      <c r="F395" t="str">
        <f>""</f>
        <v/>
      </c>
      <c r="G395" t="str">
        <f>""</f>
        <v/>
      </c>
      <c r="I395" t="str">
        <f>"PayPal*TamMediators"</f>
        <v>PayPal*TamMediators</v>
      </c>
    </row>
    <row r="396" spans="1:9" x14ac:dyDescent="0.3">
      <c r="A396" t="str">
        <f>""</f>
        <v/>
      </c>
      <c r="F396" t="str">
        <f>""</f>
        <v/>
      </c>
      <c r="G396" t="str">
        <f>""</f>
        <v/>
      </c>
      <c r="I396" t="str">
        <f>"UT Professionals"</f>
        <v>UT Professionals</v>
      </c>
    </row>
    <row r="397" spans="1:9" x14ac:dyDescent="0.3">
      <c r="A397" t="str">
        <f>""</f>
        <v/>
      </c>
      <c r="F397" t="str">
        <f>""</f>
        <v/>
      </c>
      <c r="G397" t="str">
        <f>""</f>
        <v/>
      </c>
      <c r="I397" t="str">
        <f>"APCO Internationals"</f>
        <v>APCO Internationals</v>
      </c>
    </row>
    <row r="398" spans="1:9" x14ac:dyDescent="0.3">
      <c r="A398" t="str">
        <f>""</f>
        <v/>
      </c>
      <c r="F398" t="str">
        <f>""</f>
        <v/>
      </c>
      <c r="G398" t="str">
        <f>""</f>
        <v/>
      </c>
      <c r="I398" t="str">
        <f>"DotGov"</f>
        <v>DotGov</v>
      </c>
    </row>
    <row r="399" spans="1:9" x14ac:dyDescent="0.3">
      <c r="A399" t="str">
        <f>""</f>
        <v/>
      </c>
      <c r="F399" t="str">
        <f>""</f>
        <v/>
      </c>
      <c r="G399" t="str">
        <f>""</f>
        <v/>
      </c>
      <c r="I399" t="str">
        <f>"Central Spy Shop"</f>
        <v>Central Spy Shop</v>
      </c>
    </row>
    <row r="400" spans="1:9" x14ac:dyDescent="0.3">
      <c r="A400" t="str">
        <f>""</f>
        <v/>
      </c>
      <c r="F400" t="str">
        <f>""</f>
        <v/>
      </c>
      <c r="G400" t="str">
        <f>""</f>
        <v/>
      </c>
      <c r="I400" t="str">
        <f>"Rosanna Garza"</f>
        <v>Rosanna Garza</v>
      </c>
    </row>
    <row r="401" spans="1:9" x14ac:dyDescent="0.3">
      <c r="A401" t="str">
        <f>""</f>
        <v/>
      </c>
      <c r="F401" t="str">
        <f>""</f>
        <v/>
      </c>
      <c r="G401" t="str">
        <f>""</f>
        <v/>
      </c>
      <c r="I401" t="str">
        <f>"Robert Bennet"</f>
        <v>Robert Bennet</v>
      </c>
    </row>
    <row r="402" spans="1:9" x14ac:dyDescent="0.3">
      <c r="A402" t="str">
        <f>""</f>
        <v/>
      </c>
      <c r="F402" t="str">
        <f>""</f>
        <v/>
      </c>
      <c r="G402" t="str">
        <f>""</f>
        <v/>
      </c>
      <c r="I402" t="str">
        <f>"Annette Murley"</f>
        <v>Annette Murley</v>
      </c>
    </row>
    <row r="403" spans="1:9" x14ac:dyDescent="0.3">
      <c r="A403" t="str">
        <f>""</f>
        <v/>
      </c>
      <c r="F403" t="str">
        <f>""</f>
        <v/>
      </c>
      <c r="G403" t="str">
        <f>""</f>
        <v/>
      </c>
      <c r="I403" t="str">
        <f>"Charles Adams"</f>
        <v>Charles Adams</v>
      </c>
    </row>
    <row r="404" spans="1:9" x14ac:dyDescent="0.3">
      <c r="A404" t="str">
        <f>""</f>
        <v/>
      </c>
      <c r="F404" t="str">
        <f>""</f>
        <v/>
      </c>
      <c r="G404" t="str">
        <f>""</f>
        <v/>
      </c>
      <c r="I404" t="str">
        <f>"Erika DeJesus"</f>
        <v>Erika DeJesus</v>
      </c>
    </row>
    <row r="405" spans="1:9" x14ac:dyDescent="0.3">
      <c r="A405" t="str">
        <f>""</f>
        <v/>
      </c>
      <c r="F405" t="str">
        <f>""</f>
        <v/>
      </c>
      <c r="G405" t="str">
        <f>""</f>
        <v/>
      </c>
      <c r="I405" t="str">
        <f>"Kenneth Leatherwood"</f>
        <v>Kenneth Leatherwood</v>
      </c>
    </row>
    <row r="406" spans="1:9" x14ac:dyDescent="0.3">
      <c r="A406" t="str">
        <f>""</f>
        <v/>
      </c>
      <c r="F406" t="str">
        <f>""</f>
        <v/>
      </c>
      <c r="G406" t="str">
        <f>""</f>
        <v/>
      </c>
      <c r="I406" t="str">
        <f>"Decorative Concrete"</f>
        <v>Decorative Concrete</v>
      </c>
    </row>
    <row r="407" spans="1:9" x14ac:dyDescent="0.3">
      <c r="A407" t="str">
        <f>""</f>
        <v/>
      </c>
      <c r="F407" t="str">
        <f>""</f>
        <v/>
      </c>
      <c r="G407" t="str">
        <f>""</f>
        <v/>
      </c>
      <c r="I407" t="str">
        <f>"Gas- Rent a Car"</f>
        <v>Gas- Rent a Car</v>
      </c>
    </row>
    <row r="408" spans="1:9" x14ac:dyDescent="0.3">
      <c r="A408" t="str">
        <f>""</f>
        <v/>
      </c>
      <c r="F408" t="str">
        <f>""</f>
        <v/>
      </c>
      <c r="G408" t="str">
        <f>""</f>
        <v/>
      </c>
      <c r="I408" t="str">
        <f>"Tessco"</f>
        <v>Tessco</v>
      </c>
    </row>
    <row r="409" spans="1:9" x14ac:dyDescent="0.3">
      <c r="A409" t="str">
        <f>""</f>
        <v/>
      </c>
      <c r="F409" t="str">
        <f>""</f>
        <v/>
      </c>
      <c r="G409" t="str">
        <f>""</f>
        <v/>
      </c>
      <c r="I409" t="str">
        <f>"Budget Rent A Car"</f>
        <v>Budget Rent A Car</v>
      </c>
    </row>
    <row r="410" spans="1:9" x14ac:dyDescent="0.3">
      <c r="A410" t="str">
        <f>"002726"</f>
        <v>002726</v>
      </c>
      <c r="B410" t="s">
        <v>105</v>
      </c>
      <c r="C410">
        <v>75358</v>
      </c>
      <c r="D410" s="2">
        <v>3692.13</v>
      </c>
      <c r="E410" s="1">
        <v>43157</v>
      </c>
      <c r="F410" t="str">
        <f>"ACCOUNT#0058/JAN-F"</f>
        <v>ACCOUNT#0058/JAN-F</v>
      </c>
      <c r="G410" t="str">
        <f>"Acct# 0058"</f>
        <v>Acct# 0058</v>
      </c>
      <c r="H410" s="2">
        <v>3692.13</v>
      </c>
      <c r="I410" t="str">
        <f>"SkillPath"</f>
        <v>SkillPath</v>
      </c>
    </row>
    <row r="411" spans="1:9" x14ac:dyDescent="0.3">
      <c r="A411" t="str">
        <f>""</f>
        <v/>
      </c>
      <c r="F411" t="str">
        <f>""</f>
        <v/>
      </c>
      <c r="G411" t="str">
        <f>""</f>
        <v/>
      </c>
      <c r="I411" t="str">
        <f>"Texas Facilities"</f>
        <v>Texas Facilities</v>
      </c>
    </row>
    <row r="412" spans="1:9" x14ac:dyDescent="0.3">
      <c r="A412" t="str">
        <f>""</f>
        <v/>
      </c>
      <c r="F412" t="str">
        <f>""</f>
        <v/>
      </c>
      <c r="G412" t="str">
        <f>""</f>
        <v/>
      </c>
      <c r="I412" t="str">
        <f>"NEPELRA"</f>
        <v>NEPELRA</v>
      </c>
    </row>
    <row r="413" spans="1:9" x14ac:dyDescent="0.3">
      <c r="A413" t="str">
        <f>""</f>
        <v/>
      </c>
      <c r="F413" t="str">
        <f>""</f>
        <v/>
      </c>
      <c r="G413" t="str">
        <f>""</f>
        <v/>
      </c>
      <c r="I413" t="str">
        <f>"Tractor Supply"</f>
        <v>Tractor Supply</v>
      </c>
    </row>
    <row r="414" spans="1:9" x14ac:dyDescent="0.3">
      <c r="A414" t="str">
        <f>""</f>
        <v/>
      </c>
      <c r="F414" t="str">
        <f>""</f>
        <v/>
      </c>
      <c r="G414" t="str">
        <f>""</f>
        <v/>
      </c>
      <c r="I414" t="str">
        <f>"WayTek"</f>
        <v>WayTek</v>
      </c>
    </row>
    <row r="415" spans="1:9" x14ac:dyDescent="0.3">
      <c r="A415" t="str">
        <f>""</f>
        <v/>
      </c>
      <c r="F415" t="str">
        <f>""</f>
        <v/>
      </c>
      <c r="G415" t="str">
        <f>""</f>
        <v/>
      </c>
      <c r="I415" t="str">
        <f>"Rosanna Garza"</f>
        <v>Rosanna Garza</v>
      </c>
    </row>
    <row r="416" spans="1:9" x14ac:dyDescent="0.3">
      <c r="A416" t="str">
        <f>""</f>
        <v/>
      </c>
      <c r="F416" t="str">
        <f>""</f>
        <v/>
      </c>
      <c r="G416" t="str">
        <f>""</f>
        <v/>
      </c>
      <c r="I416" t="str">
        <f>"Robert Bennet"</f>
        <v>Robert Bennet</v>
      </c>
    </row>
    <row r="417" spans="1:9" x14ac:dyDescent="0.3">
      <c r="A417" t="str">
        <f>""</f>
        <v/>
      </c>
      <c r="F417" t="str">
        <f>""</f>
        <v/>
      </c>
      <c r="G417" t="str">
        <f>""</f>
        <v/>
      </c>
      <c r="I417" t="str">
        <f>"Annette Murley"</f>
        <v>Annette Murley</v>
      </c>
    </row>
    <row r="418" spans="1:9" x14ac:dyDescent="0.3">
      <c r="A418" t="str">
        <f>""</f>
        <v/>
      </c>
      <c r="F418" t="str">
        <f>""</f>
        <v/>
      </c>
      <c r="G418" t="str">
        <f>""</f>
        <v/>
      </c>
      <c r="I418" t="str">
        <f>"Charles Adams"</f>
        <v>Charles Adams</v>
      </c>
    </row>
    <row r="419" spans="1:9" x14ac:dyDescent="0.3">
      <c r="A419" t="str">
        <f>""</f>
        <v/>
      </c>
      <c r="F419" t="str">
        <f>""</f>
        <v/>
      </c>
      <c r="G419" t="str">
        <f>""</f>
        <v/>
      </c>
      <c r="I419" t="str">
        <f>"Erika DeJesus"</f>
        <v>Erika DeJesus</v>
      </c>
    </row>
    <row r="420" spans="1:9" x14ac:dyDescent="0.3">
      <c r="A420" t="str">
        <f>""</f>
        <v/>
      </c>
      <c r="F420" t="str">
        <f>""</f>
        <v/>
      </c>
      <c r="G420" t="str">
        <f>""</f>
        <v/>
      </c>
      <c r="I420" t="str">
        <f>"Rosanna Garza"</f>
        <v>Rosanna Garza</v>
      </c>
    </row>
    <row r="421" spans="1:9" x14ac:dyDescent="0.3">
      <c r="A421" t="str">
        <f>""</f>
        <v/>
      </c>
      <c r="F421" t="str">
        <f>""</f>
        <v/>
      </c>
      <c r="G421" t="str">
        <f>""</f>
        <v/>
      </c>
      <c r="I421" t="str">
        <f>"Robert Bennet"</f>
        <v>Robert Bennet</v>
      </c>
    </row>
    <row r="422" spans="1:9" x14ac:dyDescent="0.3">
      <c r="A422" t="str">
        <f>""</f>
        <v/>
      </c>
      <c r="F422" t="str">
        <f>""</f>
        <v/>
      </c>
      <c r="G422" t="str">
        <f>""</f>
        <v/>
      </c>
      <c r="I422" t="str">
        <f>"Annette Murley"</f>
        <v>Annette Murley</v>
      </c>
    </row>
    <row r="423" spans="1:9" x14ac:dyDescent="0.3">
      <c r="A423" t="str">
        <f>""</f>
        <v/>
      </c>
      <c r="F423" t="str">
        <f>""</f>
        <v/>
      </c>
      <c r="G423" t="str">
        <f>""</f>
        <v/>
      </c>
      <c r="I423" t="str">
        <f>"Kenneth Leatherwood"</f>
        <v>Kenneth Leatherwood</v>
      </c>
    </row>
    <row r="424" spans="1:9" x14ac:dyDescent="0.3">
      <c r="A424" t="str">
        <f>""</f>
        <v/>
      </c>
      <c r="F424" t="str">
        <f>""</f>
        <v/>
      </c>
      <c r="G424" t="str">
        <f>""</f>
        <v/>
      </c>
      <c r="I424" t="str">
        <f>"Academy"</f>
        <v>Academy</v>
      </c>
    </row>
    <row r="425" spans="1:9" x14ac:dyDescent="0.3">
      <c r="A425" t="str">
        <f>""</f>
        <v/>
      </c>
      <c r="F425" t="str">
        <f>""</f>
        <v/>
      </c>
      <c r="G425" t="str">
        <f>""</f>
        <v/>
      </c>
      <c r="I425" t="str">
        <f>"Austin Pet"</f>
        <v>Austin Pet</v>
      </c>
    </row>
    <row r="426" spans="1:9" x14ac:dyDescent="0.3">
      <c r="A426" t="str">
        <f>""</f>
        <v/>
      </c>
      <c r="F426" t="str">
        <f>""</f>
        <v/>
      </c>
      <c r="G426" t="str">
        <f>""</f>
        <v/>
      </c>
      <c r="I426" t="str">
        <f>"Fee Charged"</f>
        <v>Fee Charged</v>
      </c>
    </row>
    <row r="427" spans="1:9" x14ac:dyDescent="0.3">
      <c r="A427" t="str">
        <f>""</f>
        <v/>
      </c>
      <c r="F427" t="str">
        <f>""</f>
        <v/>
      </c>
      <c r="G427" t="str">
        <f>""</f>
        <v/>
      </c>
      <c r="I427" t="str">
        <f>"Interest Charge"</f>
        <v>Interest Charge</v>
      </c>
    </row>
    <row r="428" spans="1:9" x14ac:dyDescent="0.3">
      <c r="A428" t="str">
        <f>""</f>
        <v/>
      </c>
      <c r="F428" t="str">
        <f>""</f>
        <v/>
      </c>
      <c r="G428" t="str">
        <f>""</f>
        <v/>
      </c>
      <c r="I428" t="str">
        <f>"Harbor Freight"</f>
        <v>Harbor Freight</v>
      </c>
    </row>
    <row r="429" spans="1:9" x14ac:dyDescent="0.3">
      <c r="A429" t="str">
        <f>""</f>
        <v/>
      </c>
      <c r="F429" t="str">
        <f>""</f>
        <v/>
      </c>
      <c r="G429" t="str">
        <f>""</f>
        <v/>
      </c>
      <c r="I429" t="str">
        <f>"Tessco"</f>
        <v>Tessco</v>
      </c>
    </row>
    <row r="430" spans="1:9" x14ac:dyDescent="0.3">
      <c r="A430" t="str">
        <f>""</f>
        <v/>
      </c>
      <c r="F430" t="str">
        <f>""</f>
        <v/>
      </c>
      <c r="G430" t="str">
        <f>""</f>
        <v/>
      </c>
      <c r="I430" t="str">
        <f>"Leif Johnson"</f>
        <v>Leif Johnson</v>
      </c>
    </row>
    <row r="431" spans="1:9" x14ac:dyDescent="0.3">
      <c r="A431" t="str">
        <f>"CARD"</f>
        <v>CARD</v>
      </c>
      <c r="B431" t="s">
        <v>105</v>
      </c>
      <c r="C431">
        <v>75048</v>
      </c>
      <c r="D431" s="2">
        <v>1680.41</v>
      </c>
      <c r="E431" s="1">
        <v>43143</v>
      </c>
      <c r="F431" t="str">
        <f>"CARD#0574"</f>
        <v>CARD#0574</v>
      </c>
      <c r="G431" t="str">
        <f>"0574 STATEMENT"</f>
        <v>0574 STATEMENT</v>
      </c>
      <c r="H431" s="2">
        <v>1680.41</v>
      </c>
      <c r="I431" t="str">
        <f>"LODGING - B WESTERN"</f>
        <v>LODGING - B WESTERN</v>
      </c>
    </row>
    <row r="432" spans="1:9" x14ac:dyDescent="0.3">
      <c r="A432" t="str">
        <f>""</f>
        <v/>
      </c>
      <c r="F432" t="str">
        <f>""</f>
        <v/>
      </c>
      <c r="G432" t="str">
        <f>""</f>
        <v/>
      </c>
      <c r="I432" t="str">
        <f>"LODGING - B WESTERN"</f>
        <v>LODGING - B WESTERN</v>
      </c>
    </row>
    <row r="433" spans="1:9" x14ac:dyDescent="0.3">
      <c r="A433" t="str">
        <f>""</f>
        <v/>
      </c>
      <c r="F433" t="str">
        <f>""</f>
        <v/>
      </c>
      <c r="G433" t="str">
        <f>""</f>
        <v/>
      </c>
      <c r="I433" t="str">
        <f>"FUEL - BUC-EE'S"</f>
        <v>FUEL - BUC-EE'S</v>
      </c>
    </row>
    <row r="434" spans="1:9" x14ac:dyDescent="0.3">
      <c r="A434" t="str">
        <f>""</f>
        <v/>
      </c>
      <c r="F434" t="str">
        <f>""</f>
        <v/>
      </c>
      <c r="G434" t="str">
        <f>""</f>
        <v/>
      </c>
      <c r="I434" t="str">
        <f>"FUEL - BUC-EE'S"</f>
        <v>FUEL - BUC-EE'S</v>
      </c>
    </row>
    <row r="435" spans="1:9" x14ac:dyDescent="0.3">
      <c r="A435" t="str">
        <f>""</f>
        <v/>
      </c>
      <c r="F435" t="str">
        <f>""</f>
        <v/>
      </c>
      <c r="G435" t="str">
        <f>""</f>
        <v/>
      </c>
      <c r="I435" t="str">
        <f>"FUEL - BUC-EE'S"</f>
        <v>FUEL - BUC-EE'S</v>
      </c>
    </row>
    <row r="436" spans="1:9" x14ac:dyDescent="0.3">
      <c r="A436" t="str">
        <f>""</f>
        <v/>
      </c>
      <c r="F436" t="str">
        <f>""</f>
        <v/>
      </c>
      <c r="G436" t="str">
        <f>""</f>
        <v/>
      </c>
      <c r="I436" t="str">
        <f>"FUEL - BUC-EE'S"</f>
        <v>FUEL - BUC-EE'S</v>
      </c>
    </row>
    <row r="437" spans="1:9" x14ac:dyDescent="0.3">
      <c r="A437" t="str">
        <f>""</f>
        <v/>
      </c>
      <c r="F437" t="str">
        <f>""</f>
        <v/>
      </c>
      <c r="G437" t="str">
        <f>""</f>
        <v/>
      </c>
      <c r="I437" t="str">
        <f>"FUEL - BUC-EE'S"</f>
        <v>FUEL - BUC-EE'S</v>
      </c>
    </row>
    <row r="438" spans="1:9" x14ac:dyDescent="0.3">
      <c r="A438" t="str">
        <f>""</f>
        <v/>
      </c>
      <c r="F438" t="str">
        <f>""</f>
        <v/>
      </c>
      <c r="G438" t="str">
        <f>""</f>
        <v/>
      </c>
      <c r="I438" t="str">
        <f>"INTEREST"</f>
        <v>INTEREST</v>
      </c>
    </row>
    <row r="439" spans="1:9" x14ac:dyDescent="0.3">
      <c r="A439" t="str">
        <f>""</f>
        <v/>
      </c>
      <c r="F439" t="str">
        <f>""</f>
        <v/>
      </c>
      <c r="G439" t="str">
        <f>""</f>
        <v/>
      </c>
      <c r="I439" t="str">
        <f>"LODGING - UNIVERSITY"</f>
        <v>LODGING - UNIVERSITY</v>
      </c>
    </row>
    <row r="440" spans="1:9" x14ac:dyDescent="0.3">
      <c r="A440" t="str">
        <f>"T6383"</f>
        <v>T6383</v>
      </c>
      <c r="B440" t="s">
        <v>106</v>
      </c>
      <c r="C440">
        <v>75049</v>
      </c>
      <c r="D440" s="2">
        <v>40.270000000000003</v>
      </c>
      <c r="E440" s="1">
        <v>43143</v>
      </c>
      <c r="F440" t="str">
        <f>"201802078655"</f>
        <v>201802078655</v>
      </c>
      <c r="G440" t="str">
        <f>"INDIGENT HEALTH"</f>
        <v>INDIGENT HEALTH</v>
      </c>
      <c r="H440" s="2">
        <v>40.270000000000003</v>
      </c>
      <c r="I440" t="str">
        <f>"INDIGENT HEALTH"</f>
        <v>INDIGENT HEALTH</v>
      </c>
    </row>
    <row r="441" spans="1:9" x14ac:dyDescent="0.3">
      <c r="A441" t="str">
        <f>"CRR"</f>
        <v>CRR</v>
      </c>
      <c r="B441" t="s">
        <v>107</v>
      </c>
      <c r="C441">
        <v>75050</v>
      </c>
      <c r="D441" s="2">
        <v>7375</v>
      </c>
      <c r="E441" s="1">
        <v>43143</v>
      </c>
      <c r="F441" t="str">
        <f>"201801248229"</f>
        <v>201801248229</v>
      </c>
      <c r="G441" t="str">
        <f>"PROF SVCS/10/12/2017-1/17/2018"</f>
        <v>PROF SVCS/10/12/2017-1/17/2018</v>
      </c>
      <c r="H441" s="2">
        <v>7375</v>
      </c>
      <c r="I441" t="str">
        <f>"PROF SVCS/10/12/2017-1/17/2018"</f>
        <v>PROF SVCS/10/12/2017-1/17/2018</v>
      </c>
    </row>
    <row r="442" spans="1:9" x14ac:dyDescent="0.3">
      <c r="A442" t="str">
        <f>"CTRPNT"</f>
        <v>CTRPNT</v>
      </c>
      <c r="B442" t="s">
        <v>108</v>
      </c>
      <c r="C442">
        <v>75359</v>
      </c>
      <c r="D442" s="2">
        <v>4190.5</v>
      </c>
      <c r="E442" s="1">
        <v>43157</v>
      </c>
      <c r="F442" t="str">
        <f>"201802218817"</f>
        <v>201802218817</v>
      </c>
      <c r="G442" t="str">
        <f>"ACCT#8000081165-5/02162018"</f>
        <v>ACCT#8000081165-5/02162018</v>
      </c>
      <c r="H442" s="2">
        <v>4190.5</v>
      </c>
      <c r="I442" t="str">
        <f>"ACCT#8000081165-5/02162018"</f>
        <v>ACCT#8000081165-5/02162018</v>
      </c>
    </row>
    <row r="443" spans="1:9" x14ac:dyDescent="0.3">
      <c r="A443" t="str">
        <f>""</f>
        <v/>
      </c>
      <c r="F443" t="str">
        <f>""</f>
        <v/>
      </c>
      <c r="G443" t="str">
        <f>""</f>
        <v/>
      </c>
      <c r="I443" t="str">
        <f>"ACCT#8000081165-5/02162018"</f>
        <v>ACCT#8000081165-5/02162018</v>
      </c>
    </row>
    <row r="444" spans="1:9" x14ac:dyDescent="0.3">
      <c r="A444" t="str">
        <f>"CENTEX"</f>
        <v>CENTEX</v>
      </c>
      <c r="B444" t="s">
        <v>109</v>
      </c>
      <c r="C444">
        <v>75051</v>
      </c>
      <c r="D444" s="2">
        <v>819.9</v>
      </c>
      <c r="E444" s="1">
        <v>43143</v>
      </c>
      <c r="F444" t="str">
        <f>"30123345"</f>
        <v>30123345</v>
      </c>
      <c r="G444" t="str">
        <f>"CUST#BASPCT1/ORD#37-19558/PCT1"</f>
        <v>CUST#BASPCT1/ORD#37-19558/PCT1</v>
      </c>
      <c r="H444" s="2">
        <v>819.9</v>
      </c>
      <c r="I444" t="str">
        <f>"CUST#BASPCT1/ORD#37-19558/PCT1"</f>
        <v>CUST#BASPCT1/ORD#37-19558/PCT1</v>
      </c>
    </row>
    <row r="445" spans="1:9" x14ac:dyDescent="0.3">
      <c r="A445" t="str">
        <f>"003739"</f>
        <v>003739</v>
      </c>
      <c r="B445" t="s">
        <v>110</v>
      </c>
      <c r="C445">
        <v>75052</v>
      </c>
      <c r="D445" s="2">
        <v>7386.5</v>
      </c>
      <c r="E445" s="1">
        <v>43143</v>
      </c>
      <c r="F445" t="str">
        <f>"0000046448"</f>
        <v>0000046448</v>
      </c>
      <c r="G445" t="str">
        <f>"SERVICE CALL/DPS"</f>
        <v>SERVICE CALL/DPS</v>
      </c>
      <c r="H445" s="2">
        <v>269.75</v>
      </c>
      <c r="I445" t="str">
        <f>"SERVICE CALL/DPS"</f>
        <v>SERVICE CALL/DPS</v>
      </c>
    </row>
    <row r="446" spans="1:9" x14ac:dyDescent="0.3">
      <c r="A446" t="str">
        <f>""</f>
        <v/>
      </c>
      <c r="F446" t="str">
        <f>"46575/46560/45925"</f>
        <v>46575/46560/45925</v>
      </c>
      <c r="G446" t="str">
        <f>"Inv# 46575  46560  45925"</f>
        <v>Inv# 46575  46560  45925</v>
      </c>
      <c r="H446" s="2">
        <v>6847</v>
      </c>
      <c r="I446" t="str">
        <f>"Inv# 46575"</f>
        <v>Inv# 46575</v>
      </c>
    </row>
    <row r="447" spans="1:9" x14ac:dyDescent="0.3">
      <c r="A447" t="str">
        <f>""</f>
        <v/>
      </c>
      <c r="F447" t="str">
        <f>""</f>
        <v/>
      </c>
      <c r="G447" t="str">
        <f>""</f>
        <v/>
      </c>
      <c r="I447" t="str">
        <f>"Inv# 46560"</f>
        <v>Inv# 46560</v>
      </c>
    </row>
    <row r="448" spans="1:9" x14ac:dyDescent="0.3">
      <c r="A448" t="str">
        <f>""</f>
        <v/>
      </c>
      <c r="F448" t="str">
        <f>""</f>
        <v/>
      </c>
      <c r="G448" t="str">
        <f>""</f>
        <v/>
      </c>
      <c r="I448" t="str">
        <f>"Inv# 45925"</f>
        <v>Inv# 45925</v>
      </c>
    </row>
    <row r="449" spans="1:9" x14ac:dyDescent="0.3">
      <c r="A449" t="str">
        <f>""</f>
        <v/>
      </c>
      <c r="F449" t="str">
        <f>"64648"</f>
        <v>64648</v>
      </c>
      <c r="G449" t="str">
        <f>"Inv# 64648"</f>
        <v>Inv# 64648</v>
      </c>
      <c r="H449" s="2">
        <v>269.75</v>
      </c>
      <c r="I449" t="str">
        <f>"Inv# 64648"</f>
        <v>Inv# 64648</v>
      </c>
    </row>
    <row r="450" spans="1:9" x14ac:dyDescent="0.3">
      <c r="A450" t="str">
        <f>"003739"</f>
        <v>003739</v>
      </c>
      <c r="B450" t="s">
        <v>110</v>
      </c>
      <c r="C450">
        <v>75360</v>
      </c>
      <c r="D450" s="2">
        <v>488.13</v>
      </c>
      <c r="E450" s="1">
        <v>43157</v>
      </c>
      <c r="F450" t="str">
        <f>"0000046721"</f>
        <v>0000046721</v>
      </c>
      <c r="G450" t="str">
        <f>"SERVICE CALL/OEM"</f>
        <v>SERVICE CALL/OEM</v>
      </c>
      <c r="H450" s="2">
        <v>110</v>
      </c>
      <c r="I450" t="str">
        <f>"SERVICE CALL/OEM"</f>
        <v>SERVICE CALL/OEM</v>
      </c>
    </row>
    <row r="451" spans="1:9" x14ac:dyDescent="0.3">
      <c r="A451" t="str">
        <f>""</f>
        <v/>
      </c>
      <c r="F451" t="str">
        <f>"0000046727"</f>
        <v>0000046727</v>
      </c>
      <c r="G451" t="str">
        <f>"SVC CALL/PART/ANIMAL SHELTER"</f>
        <v>SVC CALL/PART/ANIMAL SHELTER</v>
      </c>
      <c r="H451" s="2">
        <v>378.13</v>
      </c>
      <c r="I451" t="str">
        <f>"SVC CALL/PART/ANIMAL SHELTER"</f>
        <v>SVC CALL/PART/ANIMAL SHELTER</v>
      </c>
    </row>
    <row r="452" spans="1:9" x14ac:dyDescent="0.3">
      <c r="A452" t="str">
        <f>"T11963"</f>
        <v>T11963</v>
      </c>
      <c r="B452" t="s">
        <v>111</v>
      </c>
      <c r="C452">
        <v>75361</v>
      </c>
      <c r="D452" s="2">
        <v>665</v>
      </c>
      <c r="E452" s="1">
        <v>43157</v>
      </c>
      <c r="F452" t="str">
        <f>"BC#002"</f>
        <v>BC#002</v>
      </c>
      <c r="G452" t="str">
        <f>"RENTAL DATES DEC 29-JAN"</f>
        <v>RENTAL DATES DEC 29-JAN</v>
      </c>
      <c r="H452" s="2">
        <v>195</v>
      </c>
      <c r="I452" t="str">
        <f>"HECTOR ROAD-BRIDGE SMITHVILLE"</f>
        <v>HECTOR ROAD-BRIDGE SMITHVILLE</v>
      </c>
    </row>
    <row r="453" spans="1:9" x14ac:dyDescent="0.3">
      <c r="A453" t="str">
        <f>""</f>
        <v/>
      </c>
      <c r="F453" t="str">
        <f>"BC2#001"</f>
        <v>BC2#001</v>
      </c>
      <c r="G453" t="str">
        <f>"RENTAL DATES NOV 29-DEC 29"</f>
        <v>RENTAL DATES NOV 29-DEC 29</v>
      </c>
      <c r="H453" s="2">
        <v>470</v>
      </c>
      <c r="I453" t="str">
        <f>"RENTAL DATES NOV 29-DEC 29"</f>
        <v>RENTAL DATES NOV 29-DEC 29</v>
      </c>
    </row>
    <row r="454" spans="1:9" x14ac:dyDescent="0.3">
      <c r="A454" t="str">
        <f>"002795"</f>
        <v>002795</v>
      </c>
      <c r="B454" t="s">
        <v>112</v>
      </c>
      <c r="C454">
        <v>75053</v>
      </c>
      <c r="D454" s="2">
        <v>16800</v>
      </c>
      <c r="E454" s="1">
        <v>43143</v>
      </c>
      <c r="F454" t="str">
        <f>"11833"</f>
        <v>11833</v>
      </c>
      <c r="G454" t="str">
        <f>"CTA 240-17/G.SANCHEZ/PER5/1/17"</f>
        <v>CTA 240-17/G.SANCHEZ/PER5/1/17</v>
      </c>
      <c r="H454" s="2">
        <v>2100</v>
      </c>
      <c r="I454" t="str">
        <f>"CTA 240-17/G.SANCHEZ/PER5/1/17"</f>
        <v>CTA 240-17/G.SANCHEZ/PER5/1/17</v>
      </c>
    </row>
    <row r="455" spans="1:9" x14ac:dyDescent="0.3">
      <c r="A455" t="str">
        <f>""</f>
        <v/>
      </c>
      <c r="F455" t="str">
        <f>"11834"</f>
        <v>11834</v>
      </c>
      <c r="G455" t="str">
        <f>"CTA241-17-G.ZUNIGA PERF.5/1/17"</f>
        <v>CTA241-17-G.ZUNIGA PERF.5/1/17</v>
      </c>
      <c r="H455" s="2">
        <v>2100</v>
      </c>
      <c r="I455" t="str">
        <f>"CTA241-17-G.ZUNIGA PERF.5/1/17"</f>
        <v>CTA241-17-G.ZUNIGA PERF.5/1/17</v>
      </c>
    </row>
    <row r="456" spans="1:9" x14ac:dyDescent="0.3">
      <c r="A456" t="str">
        <f>""</f>
        <v/>
      </c>
      <c r="F456" t="str">
        <f>"11921"</f>
        <v>11921</v>
      </c>
      <c r="G456" t="str">
        <f>"CTA233-17/R.GUIZAR/PERF4/27/17"</f>
        <v>CTA233-17/R.GUIZAR/PERF4/27/17</v>
      </c>
      <c r="H456" s="2">
        <v>2100</v>
      </c>
      <c r="I456" t="str">
        <f>"CTA233-17/R.GUIZAR/PERF4/27/17"</f>
        <v>CTA233-17/R.GUIZAR/PERF4/27/17</v>
      </c>
    </row>
    <row r="457" spans="1:9" x14ac:dyDescent="0.3">
      <c r="A457" t="str">
        <f>""</f>
        <v/>
      </c>
      <c r="F457" t="str">
        <f>"12028"</f>
        <v>12028</v>
      </c>
      <c r="G457" t="str">
        <f>"CTA424-17/I FIEBRICH/PER9/9/17"</f>
        <v>CTA424-17/I FIEBRICH/PER9/9/17</v>
      </c>
      <c r="H457" s="2">
        <v>2100</v>
      </c>
      <c r="I457" t="str">
        <f>"FULL AUTOPSY/CTA 424-17"</f>
        <v>FULL AUTOPSY/CTA 424-17</v>
      </c>
    </row>
    <row r="458" spans="1:9" x14ac:dyDescent="0.3">
      <c r="A458" t="str">
        <f>""</f>
        <v/>
      </c>
      <c r="F458" t="str">
        <f>"12057"</f>
        <v>12057</v>
      </c>
      <c r="G458" t="str">
        <f>"CTA 310-17/R. HOLMAN"</f>
        <v>CTA 310-17/R. HOLMAN</v>
      </c>
      <c r="H458" s="2">
        <v>2100</v>
      </c>
      <c r="I458" t="str">
        <f>"CTA 310-17/R. HOLMAN"</f>
        <v>CTA 310-17/R. HOLMAN</v>
      </c>
    </row>
    <row r="459" spans="1:9" x14ac:dyDescent="0.3">
      <c r="A459" t="str">
        <f>""</f>
        <v/>
      </c>
      <c r="F459" t="str">
        <f>"12058"</f>
        <v>12058</v>
      </c>
      <c r="G459" t="str">
        <f>"CTA340-17/K. PARKS"</f>
        <v>CTA340-17/K. PARKS</v>
      </c>
      <c r="H459" s="2">
        <v>2100</v>
      </c>
      <c r="I459" t="str">
        <f>"CTA340-17/K. PARKS"</f>
        <v>CTA340-17/K. PARKS</v>
      </c>
    </row>
    <row r="460" spans="1:9" x14ac:dyDescent="0.3">
      <c r="A460" t="str">
        <f>""</f>
        <v/>
      </c>
      <c r="F460" t="str">
        <f>"12059"</f>
        <v>12059</v>
      </c>
      <c r="G460" t="str">
        <f>"CTA441-17-R. WENDEL"</f>
        <v>CTA441-17-R. WENDEL</v>
      </c>
      <c r="H460" s="2">
        <v>2100</v>
      </c>
      <c r="I460" t="str">
        <f>"CTA441-17-R. WENDEL"</f>
        <v>CTA441-17-R. WENDEL</v>
      </c>
    </row>
    <row r="461" spans="1:9" x14ac:dyDescent="0.3">
      <c r="A461" t="str">
        <f>""</f>
        <v/>
      </c>
      <c r="F461" t="str">
        <f>"12061"</f>
        <v>12061</v>
      </c>
      <c r="G461" t="str">
        <f>"CTA 504-17-D. TEPKE"</f>
        <v>CTA 504-17-D. TEPKE</v>
      </c>
      <c r="H461" s="2">
        <v>2100</v>
      </c>
      <c r="I461" t="str">
        <f>"CTA 504-17-D. TEPKE"</f>
        <v>CTA 504-17-D. TEPKE</v>
      </c>
    </row>
    <row r="462" spans="1:9" x14ac:dyDescent="0.3">
      <c r="A462" t="str">
        <f>"002795"</f>
        <v>002795</v>
      </c>
      <c r="B462" t="s">
        <v>112</v>
      </c>
      <c r="C462">
        <v>75362</v>
      </c>
      <c r="D462" s="2">
        <v>6300</v>
      </c>
      <c r="E462" s="1">
        <v>43157</v>
      </c>
      <c r="F462" t="str">
        <f>"12060"</f>
        <v>12060</v>
      </c>
      <c r="G462" t="str">
        <f>"CTA 457-17-S. HARGRAVE"</f>
        <v>CTA 457-17-S. HARGRAVE</v>
      </c>
      <c r="H462" s="2">
        <v>2100</v>
      </c>
      <c r="I462" t="str">
        <f>"CTA 457-17-S. HARGRAVE"</f>
        <v>CTA 457-17-S. HARGRAVE</v>
      </c>
    </row>
    <row r="463" spans="1:9" x14ac:dyDescent="0.3">
      <c r="A463" t="str">
        <f>""</f>
        <v/>
      </c>
      <c r="F463" t="str">
        <f>"12083"</f>
        <v>12083</v>
      </c>
      <c r="G463" t="str">
        <f>"CTA 010-18-J.H. ALLRED"</f>
        <v>CTA 010-18-J.H. ALLRED</v>
      </c>
      <c r="H463" s="2">
        <v>2100</v>
      </c>
      <c r="I463" t="str">
        <f>"CTA 010-18-J.H. ALLRED"</f>
        <v>CTA 010-18-J.H. ALLRED</v>
      </c>
    </row>
    <row r="464" spans="1:9" x14ac:dyDescent="0.3">
      <c r="A464" t="str">
        <f>""</f>
        <v/>
      </c>
      <c r="F464" t="str">
        <f>"12093"</f>
        <v>12093</v>
      </c>
      <c r="G464" t="str">
        <f>"CTA 507-17/J. SCHUELKE"</f>
        <v>CTA 507-17/J. SCHUELKE</v>
      </c>
      <c r="H464" s="2">
        <v>2100</v>
      </c>
      <c r="I464" t="str">
        <f>"CTA 507-17/J. SCHUELKE"</f>
        <v>CTA 507-17/J. SCHUELKE</v>
      </c>
    </row>
    <row r="465" spans="1:9" x14ac:dyDescent="0.3">
      <c r="A465" t="str">
        <f>"005385"</f>
        <v>005385</v>
      </c>
      <c r="B465" t="s">
        <v>113</v>
      </c>
      <c r="C465">
        <v>75054</v>
      </c>
      <c r="D465" s="2">
        <v>120</v>
      </c>
      <c r="E465" s="1">
        <v>43143</v>
      </c>
      <c r="F465" t="str">
        <f>"60722-SVC PROT"</f>
        <v>60722-SVC PROT</v>
      </c>
      <c r="G465" t="str">
        <f>"Basic Internet Inv# 60722"</f>
        <v>Basic Internet Inv# 60722</v>
      </c>
      <c r="H465" s="2">
        <v>120</v>
      </c>
      <c r="I465" t="str">
        <f>"Service Protection P"</f>
        <v>Service Protection P</v>
      </c>
    </row>
    <row r="466" spans="1:9" x14ac:dyDescent="0.3">
      <c r="A466" t="str">
        <f>"004648"</f>
        <v>004648</v>
      </c>
      <c r="B466" t="s">
        <v>114</v>
      </c>
      <c r="C466">
        <v>75055</v>
      </c>
      <c r="D466" s="2">
        <v>547.5</v>
      </c>
      <c r="E466" s="1">
        <v>43143</v>
      </c>
      <c r="F466" t="str">
        <f>"201802078632"</f>
        <v>201802078632</v>
      </c>
      <c r="G466" t="str">
        <f>"17-18269"</f>
        <v>17-18269</v>
      </c>
      <c r="H466" s="2">
        <v>272.5</v>
      </c>
      <c r="I466" t="str">
        <f>"17-18269"</f>
        <v>17-18269</v>
      </c>
    </row>
    <row r="467" spans="1:9" x14ac:dyDescent="0.3">
      <c r="A467" t="str">
        <f>""</f>
        <v/>
      </c>
      <c r="F467" t="str">
        <f>"201802078633"</f>
        <v>201802078633</v>
      </c>
      <c r="G467" t="str">
        <f>"17-18229"</f>
        <v>17-18229</v>
      </c>
      <c r="H467" s="2">
        <v>175</v>
      </c>
      <c r="I467" t="str">
        <f>"17-18229"</f>
        <v>17-18229</v>
      </c>
    </row>
    <row r="468" spans="1:9" x14ac:dyDescent="0.3">
      <c r="A468" t="str">
        <f>""</f>
        <v/>
      </c>
      <c r="F468" t="str">
        <f>"201802078634"</f>
        <v>201802078634</v>
      </c>
      <c r="G468" t="str">
        <f>"17-18250"</f>
        <v>17-18250</v>
      </c>
      <c r="H468" s="2">
        <v>100</v>
      </c>
      <c r="I468" t="str">
        <f>"17-18250"</f>
        <v>17-18250</v>
      </c>
    </row>
    <row r="469" spans="1:9" x14ac:dyDescent="0.3">
      <c r="A469" t="str">
        <f>"004648"</f>
        <v>004648</v>
      </c>
      <c r="B469" t="s">
        <v>114</v>
      </c>
      <c r="C469">
        <v>75363</v>
      </c>
      <c r="D469" s="2">
        <v>245</v>
      </c>
      <c r="E469" s="1">
        <v>43157</v>
      </c>
      <c r="F469" t="str">
        <f>"17-18579"</f>
        <v>17-18579</v>
      </c>
      <c r="G469" t="str">
        <f>"17-18579"</f>
        <v>17-18579</v>
      </c>
      <c r="H469" s="2">
        <v>115</v>
      </c>
      <c r="I469" t="str">
        <f>"17-18579"</f>
        <v>17-18579</v>
      </c>
    </row>
    <row r="470" spans="1:9" x14ac:dyDescent="0.3">
      <c r="A470" t="str">
        <f>""</f>
        <v/>
      </c>
      <c r="F470" t="str">
        <f>"201802218853"</f>
        <v>201802218853</v>
      </c>
      <c r="G470" t="str">
        <f>"17-18119"</f>
        <v>17-18119</v>
      </c>
      <c r="H470" s="2">
        <v>130</v>
      </c>
      <c r="I470" t="str">
        <f>"17-18119"</f>
        <v>17-18119</v>
      </c>
    </row>
    <row r="471" spans="1:9" x14ac:dyDescent="0.3">
      <c r="A471" t="str">
        <f>"005429"</f>
        <v>005429</v>
      </c>
      <c r="B471" t="s">
        <v>115</v>
      </c>
      <c r="C471">
        <v>75364</v>
      </c>
      <c r="D471" s="2">
        <v>105</v>
      </c>
      <c r="E471" s="1">
        <v>43157</v>
      </c>
      <c r="F471" t="str">
        <f>"PER DIEM-TRAINING"</f>
        <v>PER DIEM-TRAINING</v>
      </c>
      <c r="G471" t="str">
        <f>"PER DIEM"</f>
        <v>PER DIEM</v>
      </c>
      <c r="H471" s="2">
        <v>105</v>
      </c>
      <c r="I471" t="str">
        <f>"PER DIEM"</f>
        <v>PER DIEM</v>
      </c>
    </row>
    <row r="472" spans="1:9" x14ac:dyDescent="0.3">
      <c r="A472" t="str">
        <f>"T9145"</f>
        <v>T9145</v>
      </c>
      <c r="B472" t="s">
        <v>116</v>
      </c>
      <c r="C472">
        <v>999999</v>
      </c>
      <c r="D472" s="2">
        <v>3375</v>
      </c>
      <c r="E472" s="1">
        <v>43144</v>
      </c>
      <c r="F472" t="str">
        <f>"201801248221"</f>
        <v>201801248221</v>
      </c>
      <c r="G472" t="str">
        <f>"16 050"</f>
        <v>16 050</v>
      </c>
      <c r="H472" s="2">
        <v>400</v>
      </c>
      <c r="I472" t="str">
        <f>"16 050"</f>
        <v>16 050</v>
      </c>
    </row>
    <row r="473" spans="1:9" x14ac:dyDescent="0.3">
      <c r="A473" t="str">
        <f>""</f>
        <v/>
      </c>
      <c r="F473" t="str">
        <f>"201801308251"</f>
        <v>201801308251</v>
      </c>
      <c r="G473" t="str">
        <f>"54 695"</f>
        <v>54 695</v>
      </c>
      <c r="H473" s="2">
        <v>250</v>
      </c>
      <c r="I473" t="str">
        <f>"54 695"</f>
        <v>54 695</v>
      </c>
    </row>
    <row r="474" spans="1:9" x14ac:dyDescent="0.3">
      <c r="A474" t="str">
        <f>""</f>
        <v/>
      </c>
      <c r="F474" t="str">
        <f>"201801308252"</f>
        <v>201801308252</v>
      </c>
      <c r="G474" t="str">
        <f>"55 441"</f>
        <v>55 441</v>
      </c>
      <c r="H474" s="2">
        <v>250</v>
      </c>
      <c r="I474" t="str">
        <f>"55 441"</f>
        <v>55 441</v>
      </c>
    </row>
    <row r="475" spans="1:9" x14ac:dyDescent="0.3">
      <c r="A475" t="str">
        <f>""</f>
        <v/>
      </c>
      <c r="F475" t="str">
        <f>"201801308253"</f>
        <v>201801308253</v>
      </c>
      <c r="G475" t="str">
        <f>"52 470/52 471"</f>
        <v>52 470/52 471</v>
      </c>
      <c r="H475" s="2">
        <v>375</v>
      </c>
      <c r="I475" t="str">
        <f>"52 470/52 471"</f>
        <v>52 470/52 471</v>
      </c>
    </row>
    <row r="476" spans="1:9" x14ac:dyDescent="0.3">
      <c r="A476" t="str">
        <f>""</f>
        <v/>
      </c>
      <c r="F476" t="str">
        <f>"201802018447"</f>
        <v>201802018447</v>
      </c>
      <c r="G476" t="str">
        <f>"20170263B"</f>
        <v>20170263B</v>
      </c>
      <c r="H476" s="2">
        <v>400</v>
      </c>
      <c r="I476" t="str">
        <f>"20170263B"</f>
        <v>20170263B</v>
      </c>
    </row>
    <row r="477" spans="1:9" x14ac:dyDescent="0.3">
      <c r="A477" t="str">
        <f>""</f>
        <v/>
      </c>
      <c r="F477" t="str">
        <f>"201802018448"</f>
        <v>201802018448</v>
      </c>
      <c r="G477" t="str">
        <f>"16 369"</f>
        <v>16 369</v>
      </c>
      <c r="H477" s="2">
        <v>400</v>
      </c>
      <c r="I477" t="str">
        <f>"16 369"</f>
        <v>16 369</v>
      </c>
    </row>
    <row r="478" spans="1:9" x14ac:dyDescent="0.3">
      <c r="A478" t="str">
        <f>""</f>
        <v/>
      </c>
      <c r="F478" t="str">
        <f>"201802028456"</f>
        <v>201802028456</v>
      </c>
      <c r="G478" t="str">
        <f>"18-18824"</f>
        <v>18-18824</v>
      </c>
      <c r="H478" s="2">
        <v>100</v>
      </c>
      <c r="I478" t="str">
        <f>"18-18824"</f>
        <v>18-18824</v>
      </c>
    </row>
    <row r="479" spans="1:9" x14ac:dyDescent="0.3">
      <c r="A479" t="str">
        <f>""</f>
        <v/>
      </c>
      <c r="F479" t="str">
        <f>"201802068574"</f>
        <v>201802068574</v>
      </c>
      <c r="G479" t="str">
        <f>"423-5504"</f>
        <v>423-5504</v>
      </c>
      <c r="H479" s="2">
        <v>100</v>
      </c>
      <c r="I479" t="str">
        <f>"423-5504"</f>
        <v>423-5504</v>
      </c>
    </row>
    <row r="480" spans="1:9" x14ac:dyDescent="0.3">
      <c r="A480" t="str">
        <f>""</f>
        <v/>
      </c>
      <c r="F480" t="str">
        <f>"201802068575"</f>
        <v>201802068575</v>
      </c>
      <c r="G480" t="str">
        <f>"696-335"</f>
        <v>696-335</v>
      </c>
      <c r="H480" s="2">
        <v>100</v>
      </c>
      <c r="I480" t="str">
        <f>"696-335"</f>
        <v>696-335</v>
      </c>
    </row>
    <row r="481" spans="1:9" x14ac:dyDescent="0.3">
      <c r="A481" t="str">
        <f>""</f>
        <v/>
      </c>
      <c r="F481" t="str">
        <f>"201802068576"</f>
        <v>201802068576</v>
      </c>
      <c r="G481" t="str">
        <f>"697-21"</f>
        <v>697-21</v>
      </c>
      <c r="H481" s="2">
        <v>100</v>
      </c>
      <c r="I481" t="str">
        <f>"697-21"</f>
        <v>697-21</v>
      </c>
    </row>
    <row r="482" spans="1:9" x14ac:dyDescent="0.3">
      <c r="A482" t="str">
        <f>""</f>
        <v/>
      </c>
      <c r="F482" t="str">
        <f>"201802068577"</f>
        <v>201802068577</v>
      </c>
      <c r="G482" t="str">
        <f>"16 249"</f>
        <v>16 249</v>
      </c>
      <c r="H482" s="2">
        <v>400</v>
      </c>
      <c r="I482" t="str">
        <f>"16 249"</f>
        <v>16 249</v>
      </c>
    </row>
    <row r="483" spans="1:9" x14ac:dyDescent="0.3">
      <c r="A483" t="str">
        <f>""</f>
        <v/>
      </c>
      <c r="F483" t="str">
        <f>"201802078638"</f>
        <v>201802078638</v>
      </c>
      <c r="G483" t="str">
        <f>"55 164"</f>
        <v>55 164</v>
      </c>
      <c r="H483" s="2">
        <v>250</v>
      </c>
      <c r="I483" t="str">
        <f>"55 164"</f>
        <v>55 164</v>
      </c>
    </row>
    <row r="484" spans="1:9" x14ac:dyDescent="0.3">
      <c r="A484" t="str">
        <f>""</f>
        <v/>
      </c>
      <c r="F484" t="str">
        <f>"201802078639"</f>
        <v>201802078639</v>
      </c>
      <c r="G484" t="str">
        <f>"306192016C"</f>
        <v>306192016C</v>
      </c>
      <c r="H484" s="2">
        <v>250</v>
      </c>
      <c r="I484" t="str">
        <f>"306192016C"</f>
        <v>306192016C</v>
      </c>
    </row>
    <row r="485" spans="1:9" x14ac:dyDescent="0.3">
      <c r="A485" t="str">
        <f>"T9145"</f>
        <v>T9145</v>
      </c>
      <c r="B485" t="s">
        <v>116</v>
      </c>
      <c r="C485">
        <v>999999</v>
      </c>
      <c r="D485" s="2">
        <v>1350</v>
      </c>
      <c r="E485" s="1">
        <v>43158</v>
      </c>
      <c r="F485" t="str">
        <f>"201802158768"</f>
        <v>201802158768</v>
      </c>
      <c r="G485" t="str">
        <f>"423-5505"</f>
        <v>423-5505</v>
      </c>
      <c r="H485" s="2">
        <v>100</v>
      </c>
      <c r="I485" t="str">
        <f>"423-5505"</f>
        <v>423-5505</v>
      </c>
    </row>
    <row r="486" spans="1:9" x14ac:dyDescent="0.3">
      <c r="A486" t="str">
        <f>""</f>
        <v/>
      </c>
      <c r="F486" t="str">
        <f>"201802158769"</f>
        <v>201802158769</v>
      </c>
      <c r="G486" t="str">
        <f>"14 635"</f>
        <v>14 635</v>
      </c>
      <c r="H486" s="2">
        <v>400</v>
      </c>
      <c r="I486" t="str">
        <f>"14 635"</f>
        <v>14 635</v>
      </c>
    </row>
    <row r="487" spans="1:9" x14ac:dyDescent="0.3">
      <c r="A487" t="str">
        <f>""</f>
        <v/>
      </c>
      <c r="F487" t="str">
        <f>"201802218837"</f>
        <v>201802218837</v>
      </c>
      <c r="G487" t="str">
        <f>"53 749"</f>
        <v>53 749</v>
      </c>
      <c r="H487" s="2">
        <v>750</v>
      </c>
      <c r="I487" t="str">
        <f>"53 749"</f>
        <v>53 749</v>
      </c>
    </row>
    <row r="488" spans="1:9" x14ac:dyDescent="0.3">
      <c r="A488" t="str">
        <f>""</f>
        <v/>
      </c>
      <c r="F488" t="str">
        <f>"201802218852"</f>
        <v>201802218852</v>
      </c>
      <c r="G488" t="str">
        <f>"17-18119"</f>
        <v>17-18119</v>
      </c>
      <c r="H488" s="2">
        <v>100</v>
      </c>
      <c r="I488" t="str">
        <f>"17-18119"</f>
        <v>17-18119</v>
      </c>
    </row>
    <row r="489" spans="1:9" x14ac:dyDescent="0.3">
      <c r="A489" t="str">
        <f>"005428"</f>
        <v>005428</v>
      </c>
      <c r="B489" t="s">
        <v>117</v>
      </c>
      <c r="C489">
        <v>75365</v>
      </c>
      <c r="D489" s="2">
        <v>105</v>
      </c>
      <c r="E489" s="1">
        <v>43157</v>
      </c>
      <c r="F489" t="str">
        <f>"PER DIEM-C.SANTASI"</f>
        <v>PER DIEM-C.SANTASI</v>
      </c>
      <c r="G489" t="str">
        <f>"PER DIEM"</f>
        <v>PER DIEM</v>
      </c>
      <c r="H489" s="2">
        <v>105</v>
      </c>
      <c r="I489" t="str">
        <f>"PER DIEM"</f>
        <v>PER DIEM</v>
      </c>
    </row>
    <row r="490" spans="1:9" x14ac:dyDescent="0.3">
      <c r="A490" t="str">
        <f>"T14263"</f>
        <v>T14263</v>
      </c>
      <c r="B490" t="s">
        <v>118</v>
      </c>
      <c r="C490">
        <v>75366</v>
      </c>
      <c r="D490" s="2">
        <v>450</v>
      </c>
      <c r="E490" s="1">
        <v>43157</v>
      </c>
      <c r="F490" t="str">
        <f>"201802148745"</f>
        <v>201802148745</v>
      </c>
      <c r="G490" t="str">
        <f>"ATTORNEY FEES"</f>
        <v>ATTORNEY FEES</v>
      </c>
      <c r="H490" s="2">
        <v>450</v>
      </c>
      <c r="I490" t="str">
        <f>"ATTORNEY FEES"</f>
        <v>ATTORNEY FEES</v>
      </c>
    </row>
    <row r="491" spans="1:9" x14ac:dyDescent="0.3">
      <c r="A491" t="str">
        <f>"004228"</f>
        <v>004228</v>
      </c>
      <c r="B491" t="s">
        <v>119</v>
      </c>
      <c r="C491">
        <v>999999</v>
      </c>
      <c r="D491" s="2">
        <v>160.83000000000001</v>
      </c>
      <c r="E491" s="1">
        <v>43144</v>
      </c>
      <c r="F491" t="str">
        <f>"201801318358"</f>
        <v>201801318358</v>
      </c>
      <c r="G491" t="str">
        <f>"MILEAGE REIMBURSMENT"</f>
        <v>MILEAGE REIMBURSMENT</v>
      </c>
      <c r="H491" s="2">
        <v>111.18</v>
      </c>
      <c r="I491" t="str">
        <f>"MILEAGE REIMBURSMENT"</f>
        <v>MILEAGE REIMBURSMENT</v>
      </c>
    </row>
    <row r="492" spans="1:9" x14ac:dyDescent="0.3">
      <c r="A492" t="str">
        <f>""</f>
        <v/>
      </c>
      <c r="F492" t="str">
        <f>"201801318359"</f>
        <v>201801318359</v>
      </c>
      <c r="G492" t="str">
        <f>"REIMBURSE-PARKING/MAIL OUT"</f>
        <v>REIMBURSE-PARKING/MAIL OUT</v>
      </c>
      <c r="H492" s="2">
        <v>49.65</v>
      </c>
      <c r="I492" t="str">
        <f>"REIMBURSE-PARKING/MAIL OUT"</f>
        <v>REIMBURSE-PARKING/MAIL OUT</v>
      </c>
    </row>
    <row r="493" spans="1:9" x14ac:dyDescent="0.3">
      <c r="A493" t="str">
        <f>"004228"</f>
        <v>004228</v>
      </c>
      <c r="B493" t="s">
        <v>119</v>
      </c>
      <c r="C493">
        <v>999999</v>
      </c>
      <c r="D493" s="2">
        <v>406.41</v>
      </c>
      <c r="E493" s="1">
        <v>43158</v>
      </c>
      <c r="F493" t="str">
        <f>"201802158771"</f>
        <v>201802158771</v>
      </c>
      <c r="G493" t="str">
        <f>"PER DIEM"</f>
        <v>PER DIEM</v>
      </c>
      <c r="H493" s="2">
        <v>165</v>
      </c>
      <c r="I493" t="str">
        <f>"PER DIEM"</f>
        <v>PER DIEM</v>
      </c>
    </row>
    <row r="494" spans="1:9" x14ac:dyDescent="0.3">
      <c r="A494" t="str">
        <f>""</f>
        <v/>
      </c>
      <c r="F494" t="str">
        <f>"201802158772"</f>
        <v>201802158772</v>
      </c>
      <c r="G494" t="str">
        <f>"REIMBURSEMENT FOR  HOTEL"</f>
        <v>REIMBURSEMENT FOR  HOTEL</v>
      </c>
      <c r="H494" s="2">
        <v>79</v>
      </c>
      <c r="I494" t="str">
        <f>"REIMBURSEMENT FOR  HOTEL"</f>
        <v>REIMBURSEMENT FOR  HOTEL</v>
      </c>
    </row>
    <row r="495" spans="1:9" x14ac:dyDescent="0.3">
      <c r="A495" t="str">
        <f>""</f>
        <v/>
      </c>
      <c r="F495" t="str">
        <f>"201802158773"</f>
        <v>201802158773</v>
      </c>
      <c r="G495" t="str">
        <f>"MILEAGE REIMBURSEMENT"</f>
        <v>MILEAGE REIMBURSEMENT</v>
      </c>
      <c r="H495" s="2">
        <v>162.41</v>
      </c>
      <c r="I495" t="str">
        <f>"MILEAGE REIMBURSEMENT"</f>
        <v>MILEAGE REIMBURSEMENT</v>
      </c>
    </row>
    <row r="496" spans="1:9" x14ac:dyDescent="0.3">
      <c r="A496" t="str">
        <f>"005120"</f>
        <v>005120</v>
      </c>
      <c r="B496" t="s">
        <v>120</v>
      </c>
      <c r="C496">
        <v>75056</v>
      </c>
      <c r="D496" s="2">
        <v>66.44</v>
      </c>
      <c r="E496" s="1">
        <v>43143</v>
      </c>
      <c r="F496" t="str">
        <f>"5009928024"</f>
        <v>5009928024</v>
      </c>
      <c r="G496" t="str">
        <f>"CUST#0011167190/PCT#1"</f>
        <v>CUST#0011167190/PCT#1</v>
      </c>
      <c r="H496" s="2">
        <v>66.44</v>
      </c>
      <c r="I496" t="str">
        <f>"CUST#0011167190/PCT#1"</f>
        <v>CUST#0011167190/PCT#1</v>
      </c>
    </row>
    <row r="497" spans="1:9" x14ac:dyDescent="0.3">
      <c r="A497" t="str">
        <f>"005132"</f>
        <v>005132</v>
      </c>
      <c r="B497" t="s">
        <v>121</v>
      </c>
      <c r="C497">
        <v>75057</v>
      </c>
      <c r="D497" s="2">
        <v>249.15</v>
      </c>
      <c r="E497" s="1">
        <v>43143</v>
      </c>
      <c r="F497" t="str">
        <f>"8403511227"</f>
        <v>8403511227</v>
      </c>
      <c r="G497" t="str">
        <f>"CUST#10377368/192 FOHN RD/PCT3"</f>
        <v>CUST#10377368/192 FOHN RD/PCT3</v>
      </c>
      <c r="H497" s="2">
        <v>249.15</v>
      </c>
      <c r="I497" t="str">
        <f>"CUST#10377368/192 FOHN RD/PCT3"</f>
        <v>CUST#10377368/192 FOHN RD/PCT3</v>
      </c>
    </row>
    <row r="498" spans="1:9" x14ac:dyDescent="0.3">
      <c r="A498" t="str">
        <f>"004728"</f>
        <v>004728</v>
      </c>
      <c r="B498" t="s">
        <v>122</v>
      </c>
      <c r="C498">
        <v>75058</v>
      </c>
      <c r="D498" s="2">
        <v>3768.32</v>
      </c>
      <c r="E498" s="1">
        <v>43143</v>
      </c>
      <c r="F498" t="str">
        <f>"201802078594"</f>
        <v>201802078594</v>
      </c>
      <c r="G498" t="str">
        <f>"ACCT#086-11451/PCT#1"</f>
        <v>ACCT#086-11451/PCT#1</v>
      </c>
      <c r="H498" s="2">
        <v>767.85</v>
      </c>
      <c r="I498" t="str">
        <f>"ACCT#086-11451/PCT#1"</f>
        <v>ACCT#086-11451/PCT#1</v>
      </c>
    </row>
    <row r="499" spans="1:9" x14ac:dyDescent="0.3">
      <c r="A499" t="str">
        <f>""</f>
        <v/>
      </c>
      <c r="F499" t="str">
        <f>"201802078605"</f>
        <v>201802078605</v>
      </c>
      <c r="G499" t="str">
        <f>"ACCT#086-11451"</f>
        <v>ACCT#086-11451</v>
      </c>
      <c r="H499" s="2">
        <v>51.95</v>
      </c>
      <c r="I499" t="str">
        <f>"ACCT#086-11451"</f>
        <v>ACCT#086-11451</v>
      </c>
    </row>
    <row r="500" spans="1:9" x14ac:dyDescent="0.3">
      <c r="A500" t="str">
        <f>""</f>
        <v/>
      </c>
      <c r="F500" t="str">
        <f>"201802078606"</f>
        <v>201802078606</v>
      </c>
      <c r="G500" t="str">
        <f>"ACCT#086-11458/ANIMAL SHELTER"</f>
        <v>ACCT#086-11458/ANIMAL SHELTER</v>
      </c>
      <c r="H500" s="2">
        <v>120.12</v>
      </c>
      <c r="I500" t="str">
        <f>"ACCT#086-11458/ANIMAL SHELTER"</f>
        <v>ACCT#086-11458/ANIMAL SHELTER</v>
      </c>
    </row>
    <row r="501" spans="1:9" x14ac:dyDescent="0.3">
      <c r="A501" t="str">
        <f>""</f>
        <v/>
      </c>
      <c r="F501" t="str">
        <f>"201802078607"</f>
        <v>201802078607</v>
      </c>
      <c r="G501" t="str">
        <f>"ACCT#086-11381/GENERAL SVCS"</f>
        <v>ACCT#086-11381/GENERAL SVCS</v>
      </c>
      <c r="H501" s="2">
        <v>839.2</v>
      </c>
      <c r="I501" t="str">
        <f>"ACCT#086-11381/GENERAL SVCS"</f>
        <v>ACCT#086-11381/GENERAL SVCS</v>
      </c>
    </row>
    <row r="502" spans="1:9" x14ac:dyDescent="0.3">
      <c r="A502" t="str">
        <f>""</f>
        <v/>
      </c>
      <c r="F502" t="str">
        <f>"201802078608"</f>
        <v>201802078608</v>
      </c>
      <c r="G502" t="str">
        <f>"ACCT#086-11375/PCT#2"</f>
        <v>ACCT#086-11375/PCT#2</v>
      </c>
      <c r="H502" s="2">
        <v>690.08</v>
      </c>
      <c r="I502" t="str">
        <f>"ACCT#086-11375/PCT#2"</f>
        <v>ACCT#086-11375/PCT#2</v>
      </c>
    </row>
    <row r="503" spans="1:9" x14ac:dyDescent="0.3">
      <c r="A503" t="str">
        <f>""</f>
        <v/>
      </c>
      <c r="F503" t="str">
        <f>"201802078609"</f>
        <v>201802078609</v>
      </c>
      <c r="G503" t="str">
        <f>"ACCT#086-11386/PCT#4"</f>
        <v>ACCT#086-11386/PCT#4</v>
      </c>
      <c r="H503" s="2">
        <v>1299.1199999999999</v>
      </c>
      <c r="I503" t="str">
        <f>"ACCT#086-11386/PCT#4"</f>
        <v>ACCT#086-11386/PCT#4</v>
      </c>
    </row>
    <row r="504" spans="1:9" x14ac:dyDescent="0.3">
      <c r="A504" t="str">
        <f>"005132"</f>
        <v>005132</v>
      </c>
      <c r="B504" t="s">
        <v>121</v>
      </c>
      <c r="C504">
        <v>75367</v>
      </c>
      <c r="D504" s="2">
        <v>52.97</v>
      </c>
      <c r="E504" s="1">
        <v>43157</v>
      </c>
      <c r="F504" t="str">
        <f>"8403535205"</f>
        <v>8403535205</v>
      </c>
      <c r="G504" t="str">
        <f>"CUST#10377368/PCT#2"</f>
        <v>CUST#10377368/PCT#2</v>
      </c>
      <c r="H504" s="2">
        <v>52.97</v>
      </c>
      <c r="I504" t="str">
        <f>"CUST#10377368/PCT#2"</f>
        <v>CUST#10377368/PCT#2</v>
      </c>
    </row>
    <row r="505" spans="1:9" x14ac:dyDescent="0.3">
      <c r="A505" t="str">
        <f>"BCO"</f>
        <v>BCO</v>
      </c>
      <c r="B505" t="s">
        <v>71</v>
      </c>
      <c r="C505">
        <v>74992</v>
      </c>
      <c r="D505" s="2">
        <v>41087.14</v>
      </c>
      <c r="E505" s="1">
        <v>43139</v>
      </c>
      <c r="F505" t="str">
        <f>"201802088677"</f>
        <v>201802088677</v>
      </c>
      <c r="G505" t="str">
        <f>"ACCT#02-2083-04 / 01292018"</f>
        <v>ACCT#02-2083-04 / 01292018</v>
      </c>
      <c r="H505" s="2">
        <v>330.02</v>
      </c>
      <c r="I505" t="str">
        <f>"ACCT#02-2083-04 / 01292018"</f>
        <v>ACCT#02-2083-04 / 01292018</v>
      </c>
    </row>
    <row r="506" spans="1:9" x14ac:dyDescent="0.3">
      <c r="A506" t="str">
        <f>""</f>
        <v/>
      </c>
      <c r="F506" t="str">
        <f>"201802088678"</f>
        <v>201802088678</v>
      </c>
      <c r="G506" t="str">
        <f>"COUNTY DEVELOPMENT CENTER"</f>
        <v>COUNTY DEVELOPMENT CENTER</v>
      </c>
      <c r="H506" s="2">
        <v>1989.81</v>
      </c>
      <c r="I506" t="str">
        <f>"COUNTY DEVELOPMENT CENTER"</f>
        <v>COUNTY DEVELOPMENT CENTER</v>
      </c>
    </row>
    <row r="507" spans="1:9" x14ac:dyDescent="0.3">
      <c r="A507" t="str">
        <f>""</f>
        <v/>
      </c>
      <c r="F507" t="str">
        <f>"201802088679"</f>
        <v>201802088679</v>
      </c>
      <c r="G507" t="str">
        <f>"LAW ENFORCEMENT CENTER"</f>
        <v>LAW ENFORCEMENT CENTER</v>
      </c>
      <c r="H507" s="2">
        <v>22486.37</v>
      </c>
      <c r="I507" t="str">
        <f>"LAW ENFORCEMENT CENTER"</f>
        <v>LAW ENFORCEMENT CENTER</v>
      </c>
    </row>
    <row r="508" spans="1:9" x14ac:dyDescent="0.3">
      <c r="A508" t="str">
        <f>""</f>
        <v/>
      </c>
      <c r="F508" t="str">
        <f>"201802088680"</f>
        <v>201802088680</v>
      </c>
      <c r="G508" t="str">
        <f>"BASTROP COUNTY COURTHOUSE"</f>
        <v>BASTROP COUNTY COURTHOUSE</v>
      </c>
      <c r="H508" s="2">
        <v>16280.94</v>
      </c>
      <c r="I508" t="str">
        <f>"BASTROP COUNTY COURTHOUSE"</f>
        <v>BASTROP COUNTY COURTHOUSE</v>
      </c>
    </row>
    <row r="509" spans="1:9" x14ac:dyDescent="0.3">
      <c r="A509" t="str">
        <f>"BCO"</f>
        <v>BCO</v>
      </c>
      <c r="B509" t="s">
        <v>71</v>
      </c>
      <c r="C509">
        <v>75368</v>
      </c>
      <c r="D509" s="2">
        <v>29.6</v>
      </c>
      <c r="E509" s="1">
        <v>43157</v>
      </c>
      <c r="F509" t="str">
        <f>"201802148749"</f>
        <v>201802148749</v>
      </c>
      <c r="G509" t="str">
        <f>"ARREST FEES-OCT 1-DEC 31 2017"</f>
        <v>ARREST FEES-OCT 1-DEC 31 2017</v>
      </c>
      <c r="H509" s="2">
        <v>29.6</v>
      </c>
      <c r="I509" t="str">
        <f>"ARREST FEES-OCT 1-DEC 31 2017"</f>
        <v>ARREST FEES-OCT 1-DEC 31 2017</v>
      </c>
    </row>
    <row r="510" spans="1:9" x14ac:dyDescent="0.3">
      <c r="A510" t="str">
        <f>"COB"</f>
        <v>COB</v>
      </c>
      <c r="B510" t="s">
        <v>71</v>
      </c>
      <c r="C510">
        <v>75369</v>
      </c>
      <c r="D510" s="2">
        <v>500</v>
      </c>
      <c r="E510" s="1">
        <v>43157</v>
      </c>
      <c r="F510" t="str">
        <f>"201802208803"</f>
        <v>201802208803</v>
      </c>
      <c r="G510" t="str">
        <f>"RENTAL-PARKING LOT"</f>
        <v>RENTAL-PARKING LOT</v>
      </c>
      <c r="H510" s="2">
        <v>500</v>
      </c>
      <c r="I510" t="str">
        <f>"RENTAL-PARKING LOT"</f>
        <v>RENTAL-PARKING LOT</v>
      </c>
    </row>
    <row r="511" spans="1:9" x14ac:dyDescent="0.3">
      <c r="A511" t="str">
        <f>"ECO"</f>
        <v>ECO</v>
      </c>
      <c r="B511" t="s">
        <v>123</v>
      </c>
      <c r="C511">
        <v>75370</v>
      </c>
      <c r="D511" s="2">
        <v>30.47</v>
      </c>
      <c r="E511" s="1">
        <v>43157</v>
      </c>
      <c r="F511" t="str">
        <f>"201802148748"</f>
        <v>201802148748</v>
      </c>
      <c r="G511" t="str">
        <f>"ARREST FEES OCT 1-DEC 31 2017"</f>
        <v>ARREST FEES OCT 1-DEC 31 2017</v>
      </c>
      <c r="H511" s="2">
        <v>30.47</v>
      </c>
      <c r="I511" t="str">
        <f>"ARREST FEES OCT 1-DEC 31 2017"</f>
        <v>ARREST FEES OCT 1-DEC 31 2017</v>
      </c>
    </row>
    <row r="512" spans="1:9" x14ac:dyDescent="0.3">
      <c r="A512" t="str">
        <f>"SCO"</f>
        <v>SCO</v>
      </c>
      <c r="B512" t="s">
        <v>124</v>
      </c>
      <c r="C512">
        <v>74989</v>
      </c>
      <c r="D512" s="2">
        <v>1351.39</v>
      </c>
      <c r="E512" s="1">
        <v>43132</v>
      </c>
      <c r="F512" t="str">
        <f>"201802018378"</f>
        <v>201802018378</v>
      </c>
      <c r="G512" t="str">
        <f>"ACCT#007-0000388-000/01242018"</f>
        <v>ACCT#007-0000388-000/01242018</v>
      </c>
      <c r="H512" s="2">
        <v>459.72</v>
      </c>
      <c r="I512" t="str">
        <f>"ACCT#007-0000388-000/01242018"</f>
        <v>ACCT#007-0000388-000/01242018</v>
      </c>
    </row>
    <row r="513" spans="1:9" x14ac:dyDescent="0.3">
      <c r="A513" t="str">
        <f>""</f>
        <v/>
      </c>
      <c r="F513" t="str">
        <f>"201802018379"</f>
        <v>201802018379</v>
      </c>
      <c r="G513" t="str">
        <f>"ACCT#007-0000389-000/01242018"</f>
        <v>ACCT#007-0000389-000/01242018</v>
      </c>
      <c r="H513" s="2">
        <v>44.67</v>
      </c>
      <c r="I513" t="str">
        <f>"ACCT#007-0000389-000/01242018"</f>
        <v>ACCT#007-0000389-000/01242018</v>
      </c>
    </row>
    <row r="514" spans="1:9" x14ac:dyDescent="0.3">
      <c r="A514" t="str">
        <f>""</f>
        <v/>
      </c>
      <c r="F514" t="str">
        <f>"201802018380"</f>
        <v>201802018380</v>
      </c>
      <c r="G514" t="str">
        <f>"ACCT#044-0001240-000/01242018"</f>
        <v>ACCT#044-0001240-000/01242018</v>
      </c>
      <c r="H514" s="2">
        <v>261.5</v>
      </c>
      <c r="I514" t="str">
        <f>"ACCT#044-0001240-000/01242018"</f>
        <v>ACCT#044-0001240-000/01242018</v>
      </c>
    </row>
    <row r="515" spans="1:9" x14ac:dyDescent="0.3">
      <c r="A515" t="str">
        <f>""</f>
        <v/>
      </c>
      <c r="F515" t="str">
        <f>"201802018382"</f>
        <v>201802018382</v>
      </c>
      <c r="G515" t="str">
        <f>"ACCT#044-0001250-000/01242018"</f>
        <v>ACCT#044-0001250-000/01242018</v>
      </c>
      <c r="H515" s="2">
        <v>167.08</v>
      </c>
      <c r="I515" t="str">
        <f>"ACCT#044-0001250-000/01242018"</f>
        <v>ACCT#044-0001250-000/01242018</v>
      </c>
    </row>
    <row r="516" spans="1:9" x14ac:dyDescent="0.3">
      <c r="A516" t="str">
        <f>""</f>
        <v/>
      </c>
      <c r="F516" t="str">
        <f>"201802018383"</f>
        <v>201802018383</v>
      </c>
      <c r="G516" t="str">
        <f>"ACCT#044-0001252-000/01242018"</f>
        <v>ACCT#044-0001252-000/01242018</v>
      </c>
      <c r="H516" s="2">
        <v>7.82</v>
      </c>
      <c r="I516" t="str">
        <f>"ACCT#044-0001252-000/01242018"</f>
        <v>ACCT#044-0001252-000/01242018</v>
      </c>
    </row>
    <row r="517" spans="1:9" x14ac:dyDescent="0.3">
      <c r="A517" t="str">
        <f>""</f>
        <v/>
      </c>
      <c r="F517" t="str">
        <f>"201802018384"</f>
        <v>201802018384</v>
      </c>
      <c r="G517" t="str">
        <f>"ACCT#044-0001253-000/01242018"</f>
        <v>ACCT#044-0001253-000/01242018</v>
      </c>
      <c r="H517" s="2">
        <v>410.6</v>
      </c>
      <c r="I517" t="str">
        <f>"ACCT#044-0001253-000/01242018"</f>
        <v>ACCT#044-0001253-000/01242018</v>
      </c>
    </row>
    <row r="518" spans="1:9" x14ac:dyDescent="0.3">
      <c r="A518" t="str">
        <f>"SCO"</f>
        <v>SCO</v>
      </c>
      <c r="B518" t="s">
        <v>124</v>
      </c>
      <c r="C518">
        <v>75371</v>
      </c>
      <c r="D518" s="2">
        <v>15.05</v>
      </c>
      <c r="E518" s="1">
        <v>43157</v>
      </c>
      <c r="F518" t="str">
        <f>"201802148750"</f>
        <v>201802148750</v>
      </c>
      <c r="G518" t="str">
        <f>"ARREST FEES-OCT 1-DEC 31  2017"</f>
        <v>ARREST FEES-OCT 1-DEC 31  2017</v>
      </c>
      <c r="H518" s="2">
        <v>15.05</v>
      </c>
      <c r="I518" t="str">
        <f>"ARREST FEES-OCT 1-DEC 31  2017"</f>
        <v>ARREST FEES-OCT 1-DEC 31  2017</v>
      </c>
    </row>
    <row r="519" spans="1:9" x14ac:dyDescent="0.3">
      <c r="A519" t="str">
        <f>"SCO"</f>
        <v>SCO</v>
      </c>
      <c r="B519" t="s">
        <v>124</v>
      </c>
      <c r="C519">
        <v>75493</v>
      </c>
      <c r="D519" s="2">
        <v>1084.8699999999999</v>
      </c>
      <c r="E519" s="1">
        <v>43159</v>
      </c>
      <c r="F519" t="str">
        <f>"201802288900"</f>
        <v>201802288900</v>
      </c>
      <c r="G519" t="str">
        <f>"ACCT#007-0000388-000/02212018"</f>
        <v>ACCT#007-0000388-000/02212018</v>
      </c>
      <c r="H519" s="2">
        <v>384.27</v>
      </c>
      <c r="I519" t="str">
        <f>"ACCT#007-0000388-000/02212018"</f>
        <v>ACCT#007-0000388-000/02212018</v>
      </c>
    </row>
    <row r="520" spans="1:9" x14ac:dyDescent="0.3">
      <c r="A520" t="str">
        <f>""</f>
        <v/>
      </c>
      <c r="F520" t="str">
        <f>"201802288901"</f>
        <v>201802288901</v>
      </c>
      <c r="G520" t="str">
        <f>"ACCT#007-0000389-000/02212018"</f>
        <v>ACCT#007-0000389-000/02212018</v>
      </c>
      <c r="H520" s="2">
        <v>17.11</v>
      </c>
      <c r="I520" t="str">
        <f>"ACCT#007-0000389-000/02212018"</f>
        <v>ACCT#007-0000389-000/02212018</v>
      </c>
    </row>
    <row r="521" spans="1:9" x14ac:dyDescent="0.3">
      <c r="A521" t="str">
        <f>""</f>
        <v/>
      </c>
      <c r="F521" t="str">
        <f>"201802288902"</f>
        <v>201802288902</v>
      </c>
      <c r="G521" t="str">
        <f>"ACCT#044-0001240-000/02212018"</f>
        <v>ACCT#044-0001240-000/02212018</v>
      </c>
      <c r="H521" s="2">
        <v>277.92</v>
      </c>
      <c r="I521" t="str">
        <f>"ACCT#044-0001240-000/02212018"</f>
        <v>ACCT#044-0001240-000/02212018</v>
      </c>
    </row>
    <row r="522" spans="1:9" x14ac:dyDescent="0.3">
      <c r="A522" t="str">
        <f>""</f>
        <v/>
      </c>
      <c r="F522" t="str">
        <f>"201802288903"</f>
        <v>201802288903</v>
      </c>
      <c r="G522" t="str">
        <f>"ACCT#044-0001250-000/02212018"</f>
        <v>ACCT#044-0001250-000/02212018</v>
      </c>
      <c r="H522" s="2">
        <v>70.77</v>
      </c>
      <c r="I522" t="str">
        <f>"ACCT#044-0001250-000/02212018"</f>
        <v>ACCT#044-0001250-000/02212018</v>
      </c>
    </row>
    <row r="523" spans="1:9" x14ac:dyDescent="0.3">
      <c r="A523" t="str">
        <f>""</f>
        <v/>
      </c>
      <c r="F523" t="str">
        <f>"201802288904"</f>
        <v>201802288904</v>
      </c>
      <c r="G523" t="str">
        <f>"ACCT#044-0001252-000/02212018"</f>
        <v>ACCT#044-0001252-000/02212018</v>
      </c>
      <c r="H523" s="2">
        <v>7.82</v>
      </c>
      <c r="I523" t="str">
        <f>"ACCT#044-0001252-000/02212018"</f>
        <v>ACCT#044-0001252-000/02212018</v>
      </c>
    </row>
    <row r="524" spans="1:9" x14ac:dyDescent="0.3">
      <c r="A524" t="str">
        <f>""</f>
        <v/>
      </c>
      <c r="F524" t="str">
        <f>"201802288905"</f>
        <v>201802288905</v>
      </c>
      <c r="G524" t="str">
        <f>"ACCT#044-0001253-000/02212018"</f>
        <v>ACCT#044-0001253-000/02212018</v>
      </c>
      <c r="H524" s="2">
        <v>326.98</v>
      </c>
      <c r="I524" t="str">
        <f>"ACCT#044-0001253-000/02212018"</f>
        <v>ACCT#044-0001253-000/02212018</v>
      </c>
    </row>
    <row r="525" spans="1:9" x14ac:dyDescent="0.3">
      <c r="A525" t="str">
        <f>"003318"</f>
        <v>003318</v>
      </c>
      <c r="B525" t="s">
        <v>125</v>
      </c>
      <c r="C525">
        <v>75059</v>
      </c>
      <c r="D525" s="2">
        <v>15</v>
      </c>
      <c r="E525" s="1">
        <v>43143</v>
      </c>
      <c r="F525" t="str">
        <f>"201802018415"</f>
        <v>201802018415</v>
      </c>
      <c r="G525" t="str">
        <f>"FERAL HOGS"</f>
        <v>FERAL HOGS</v>
      </c>
      <c r="H525" s="2">
        <v>15</v>
      </c>
      <c r="I525" t="str">
        <f>"FERAL HOGS"</f>
        <v>FERAL HOGS</v>
      </c>
    </row>
    <row r="526" spans="1:9" x14ac:dyDescent="0.3">
      <c r="A526" t="str">
        <f>"004214"</f>
        <v>004214</v>
      </c>
      <c r="B526" t="s">
        <v>126</v>
      </c>
      <c r="C526">
        <v>75060</v>
      </c>
      <c r="D526" s="2">
        <v>34.72</v>
      </c>
      <c r="E526" s="1">
        <v>43143</v>
      </c>
      <c r="F526" t="str">
        <f>"201802078656"</f>
        <v>201802078656</v>
      </c>
      <c r="G526" t="str">
        <f>"INDIGENT HEALTH"</f>
        <v>INDIGENT HEALTH</v>
      </c>
      <c r="H526" s="2">
        <v>34.72</v>
      </c>
      <c r="I526" t="str">
        <f>"INDIGENT HEALTH"</f>
        <v>INDIGENT HEALTH</v>
      </c>
    </row>
    <row r="527" spans="1:9" x14ac:dyDescent="0.3">
      <c r="A527" t="str">
        <f>"002198"</f>
        <v>002198</v>
      </c>
      <c r="B527" t="s">
        <v>127</v>
      </c>
      <c r="C527">
        <v>999999</v>
      </c>
      <c r="D527" s="2">
        <v>1126.26</v>
      </c>
      <c r="E527" s="1">
        <v>43144</v>
      </c>
      <c r="F527" t="str">
        <f>"SVC-0066367"</f>
        <v>SVC-0066367</v>
      </c>
      <c r="G527" t="str">
        <f>"INV SVC-0066367"</f>
        <v>INV SVC-0066367</v>
      </c>
      <c r="H527" s="2">
        <v>1126.26</v>
      </c>
      <c r="I527" t="str">
        <f>"INV SVC-0066367"</f>
        <v>INV SVC-0066367</v>
      </c>
    </row>
    <row r="528" spans="1:9" x14ac:dyDescent="0.3">
      <c r="A528" t="str">
        <f>"CPA"</f>
        <v>CPA</v>
      </c>
      <c r="B528" t="s">
        <v>128</v>
      </c>
      <c r="C528">
        <v>75061</v>
      </c>
      <c r="D528" s="2">
        <v>87.14</v>
      </c>
      <c r="E528" s="1">
        <v>43143</v>
      </c>
      <c r="F528" t="str">
        <f>"201802078657"</f>
        <v>201802078657</v>
      </c>
      <c r="G528" t="str">
        <f>"INDIGENT HEALTH"</f>
        <v>INDIGENT HEALTH</v>
      </c>
      <c r="H528" s="2">
        <v>87.14</v>
      </c>
      <c r="I528" t="str">
        <f>"INDIGENT HEALTH"</f>
        <v>INDIGENT HEALTH</v>
      </c>
    </row>
    <row r="529" spans="1:9" x14ac:dyDescent="0.3">
      <c r="A529" t="str">
        <f>"CLINIC"</f>
        <v>CLINIC</v>
      </c>
      <c r="B529" t="s">
        <v>129</v>
      </c>
      <c r="C529">
        <v>999999</v>
      </c>
      <c r="D529" s="2">
        <v>1113.83</v>
      </c>
      <c r="E529" s="1">
        <v>43144</v>
      </c>
      <c r="F529" t="str">
        <f>"201801-0 JAN LAB W"</f>
        <v>201801-0 JAN LAB W</v>
      </c>
      <c r="G529" t="str">
        <f>"INV 201801-0"</f>
        <v>INV 201801-0</v>
      </c>
      <c r="H529" s="2">
        <v>341.55</v>
      </c>
      <c r="I529" t="str">
        <f>"INV 201801-0"</f>
        <v>INV 201801-0</v>
      </c>
    </row>
    <row r="530" spans="1:9" x14ac:dyDescent="0.3">
      <c r="A530" t="str">
        <f>""</f>
        <v/>
      </c>
      <c r="F530" t="str">
        <f>"201802078591"</f>
        <v>201802078591</v>
      </c>
      <c r="G530" t="str">
        <f>"JAIL MEDICAL/4327*98062*2/*3"</f>
        <v>JAIL MEDICAL/4327*98062*2/*3</v>
      </c>
      <c r="H530" s="2">
        <v>224.81</v>
      </c>
      <c r="I530" t="str">
        <f>"JAIL MEDICAL/4327*98062*2/*3"</f>
        <v>JAIL MEDICAL/4327*98062*2/*3</v>
      </c>
    </row>
    <row r="531" spans="1:9" x14ac:dyDescent="0.3">
      <c r="A531" t="str">
        <f>""</f>
        <v/>
      </c>
      <c r="F531" t="str">
        <f>"201802078658"</f>
        <v>201802078658</v>
      </c>
      <c r="G531" t="str">
        <f>"INDIGENT HEALTH"</f>
        <v>INDIGENT HEALTH</v>
      </c>
      <c r="H531" s="2">
        <v>547.47</v>
      </c>
      <c r="I531" t="str">
        <f>"INDIGENT HEALTH"</f>
        <v>INDIGENT HEALTH</v>
      </c>
    </row>
    <row r="532" spans="1:9" x14ac:dyDescent="0.3">
      <c r="A532" t="str">
        <f>"CLINIC"</f>
        <v>CLINIC</v>
      </c>
      <c r="B532" t="s">
        <v>129</v>
      </c>
      <c r="C532">
        <v>999999</v>
      </c>
      <c r="D532" s="2">
        <v>10.050000000000001</v>
      </c>
      <c r="E532" s="1">
        <v>43158</v>
      </c>
      <c r="F532" t="str">
        <f>"201801-0"</f>
        <v>201801-0</v>
      </c>
      <c r="G532" t="str">
        <f>"INV 201801-0"</f>
        <v>INV 201801-0</v>
      </c>
      <c r="H532" s="2">
        <v>10.050000000000001</v>
      </c>
      <c r="I532" t="str">
        <f>"INV 201801-0"</f>
        <v>INV 201801-0</v>
      </c>
    </row>
    <row r="533" spans="1:9" x14ac:dyDescent="0.3">
      <c r="A533" t="str">
        <f>"T12761"</f>
        <v>T12761</v>
      </c>
      <c r="B533" t="s">
        <v>130</v>
      </c>
      <c r="C533">
        <v>75372</v>
      </c>
      <c r="D533" s="2">
        <v>76</v>
      </c>
      <c r="E533" s="1">
        <v>43157</v>
      </c>
      <c r="F533" t="str">
        <f>"2062231-105798881"</f>
        <v>2062231-105798881</v>
      </c>
      <c r="G533" t="str">
        <f>"REG ID#105798881-A. LEWIS"</f>
        <v>REG ID#105798881-A. LEWIS</v>
      </c>
      <c r="H533" s="2">
        <v>38</v>
      </c>
      <c r="I533" t="str">
        <f>"REG ID#105798881-A. LEWIS"</f>
        <v>REG ID#105798881-A. LEWIS</v>
      </c>
    </row>
    <row r="534" spans="1:9" x14ac:dyDescent="0.3">
      <c r="A534" t="str">
        <f>""</f>
        <v/>
      </c>
      <c r="F534" t="str">
        <f>"2062231-105798902"</f>
        <v>2062231-105798902</v>
      </c>
      <c r="G534" t="str">
        <f>"REG ID#105798902-C. GINSEL"</f>
        <v>REG ID#105798902-C. GINSEL</v>
      </c>
      <c r="H534" s="2">
        <v>38</v>
      </c>
      <c r="I534" t="str">
        <f>"REG ID#105798902-C. GINSEL"</f>
        <v>REG ID#105798902-C. GINSEL</v>
      </c>
    </row>
    <row r="535" spans="1:9" x14ac:dyDescent="0.3">
      <c r="A535" t="str">
        <f>"T8825"</f>
        <v>T8825</v>
      </c>
      <c r="B535" t="s">
        <v>131</v>
      </c>
      <c r="C535">
        <v>75062</v>
      </c>
      <c r="D535" s="2">
        <v>150</v>
      </c>
      <c r="E535" s="1">
        <v>43143</v>
      </c>
      <c r="F535" t="str">
        <f>" 01841496TX"</f>
        <v xml:space="preserve"> 01841496TX</v>
      </c>
      <c r="G535" t="str">
        <f>"BOND#01841496TX/AGENCY42-03442"</f>
        <v>BOND#01841496TX/AGENCY42-03442</v>
      </c>
      <c r="H535" s="2">
        <v>37.5</v>
      </c>
      <c r="I535" t="str">
        <f>"BOND#01841496TX/AGENCY42-03442"</f>
        <v>BOND#01841496TX/AGENCY42-03442</v>
      </c>
    </row>
    <row r="536" spans="1:9" x14ac:dyDescent="0.3">
      <c r="A536" t="str">
        <f>""</f>
        <v/>
      </c>
      <c r="F536" t="str">
        <f>"01841496  TX"</f>
        <v>01841496  TX</v>
      </c>
      <c r="G536" t="str">
        <f>"BOND#01841496TX/AGENCY42-03442"</f>
        <v>BOND#01841496TX/AGENCY42-03442</v>
      </c>
      <c r="H536" s="2">
        <v>37.5</v>
      </c>
      <c r="I536" t="str">
        <f>"BOND#01841496TX/AGENCY42-03442"</f>
        <v>BOND#01841496TX/AGENCY42-03442</v>
      </c>
    </row>
    <row r="537" spans="1:9" x14ac:dyDescent="0.3">
      <c r="A537" t="str">
        <f>""</f>
        <v/>
      </c>
      <c r="F537" t="str">
        <f>"01841496 TX"</f>
        <v>01841496 TX</v>
      </c>
      <c r="G537" t="str">
        <f>"BOND#01841496TX/AGENCY42-03442"</f>
        <v>BOND#01841496TX/AGENCY42-03442</v>
      </c>
      <c r="H537" s="2">
        <v>37.5</v>
      </c>
      <c r="I537" t="str">
        <f>"BOND#01841496TX/AGENCY42-03442"</f>
        <v>BOND#01841496TX/AGENCY42-03442</v>
      </c>
    </row>
    <row r="538" spans="1:9" x14ac:dyDescent="0.3">
      <c r="A538" t="str">
        <f>""</f>
        <v/>
      </c>
      <c r="F538" t="str">
        <f>"01841496TX"</f>
        <v>01841496TX</v>
      </c>
      <c r="G538" t="str">
        <f>"BOND#01841496TX/AGENCY42-03442"</f>
        <v>BOND#01841496TX/AGENCY42-03442</v>
      </c>
      <c r="H538" s="2">
        <v>37.5</v>
      </c>
      <c r="I538" t="str">
        <f>"BOND#01841496TX/AGENCY42-03442"</f>
        <v>BOND#01841496TX/AGENCY42-03442</v>
      </c>
    </row>
    <row r="539" spans="1:9" x14ac:dyDescent="0.3">
      <c r="A539" t="str">
        <f>"002809"</f>
        <v>002809</v>
      </c>
      <c r="B539" t="s">
        <v>132</v>
      </c>
      <c r="C539">
        <v>75373</v>
      </c>
      <c r="D539" s="2">
        <v>369</v>
      </c>
      <c r="E539" s="1">
        <v>43157</v>
      </c>
      <c r="F539" t="str">
        <f>"12457803843"</f>
        <v>12457803843</v>
      </c>
      <c r="G539" t="str">
        <f>"INV 12457803843"</f>
        <v>INV 12457803843</v>
      </c>
      <c r="H539" s="2">
        <v>369</v>
      </c>
      <c r="I539" t="str">
        <f>"INV 12457803843"</f>
        <v>INV 12457803843</v>
      </c>
    </row>
    <row r="540" spans="1:9" x14ac:dyDescent="0.3">
      <c r="A540" t="str">
        <f>"003939"</f>
        <v>003939</v>
      </c>
      <c r="B540" t="s">
        <v>133</v>
      </c>
      <c r="C540">
        <v>999999</v>
      </c>
      <c r="D540" s="2">
        <v>337.57</v>
      </c>
      <c r="E540" s="1">
        <v>43144</v>
      </c>
      <c r="F540" t="str">
        <f>"201802078659"</f>
        <v>201802078659</v>
      </c>
      <c r="G540" t="str">
        <f>"INDIGENT HEALTH"</f>
        <v>INDIGENT HEALTH</v>
      </c>
      <c r="H540" s="2">
        <v>337.57</v>
      </c>
      <c r="I540" t="str">
        <f>"INDIGENT HEALTH"</f>
        <v>INDIGENT HEALTH</v>
      </c>
    </row>
    <row r="541" spans="1:9" x14ac:dyDescent="0.3">
      <c r="A541" t="str">
        <f>""</f>
        <v/>
      </c>
      <c r="F541" t="str">
        <f>""</f>
        <v/>
      </c>
      <c r="G541" t="str">
        <f>""</f>
        <v/>
      </c>
      <c r="I541" t="str">
        <f>"INDIGENT HEALTH"</f>
        <v>INDIGENT HEALTH</v>
      </c>
    </row>
    <row r="542" spans="1:9" x14ac:dyDescent="0.3">
      <c r="A542" t="str">
        <f>"CONTEC"</f>
        <v>CONTEC</v>
      </c>
      <c r="B542" t="s">
        <v>134</v>
      </c>
      <c r="C542">
        <v>75374</v>
      </c>
      <c r="D542" s="2">
        <v>6480</v>
      </c>
      <c r="E542" s="1">
        <v>43157</v>
      </c>
      <c r="F542" t="str">
        <f>"16233434"</f>
        <v>16233434</v>
      </c>
      <c r="G542" t="str">
        <f>"ACCT#434304/PCT#3"</f>
        <v>ACCT#434304/PCT#3</v>
      </c>
      <c r="H542" s="2">
        <v>6480</v>
      </c>
      <c r="I542" t="str">
        <f>"ACCT#434304/PCT#3"</f>
        <v>ACCT#434304/PCT#3</v>
      </c>
    </row>
    <row r="543" spans="1:9" x14ac:dyDescent="0.3">
      <c r="A543" t="str">
        <f>"003723"</f>
        <v>003723</v>
      </c>
      <c r="B543" t="s">
        <v>135</v>
      </c>
      <c r="C543">
        <v>75063</v>
      </c>
      <c r="D543" s="2">
        <v>5126.8999999999996</v>
      </c>
      <c r="E543" s="1">
        <v>43143</v>
      </c>
      <c r="F543" t="str">
        <f>"19603"</f>
        <v>19603</v>
      </c>
      <c r="G543" t="str">
        <f>"VARIOUS PATCH CABLES"</f>
        <v>VARIOUS PATCH CABLES</v>
      </c>
      <c r="H543" s="2">
        <v>3245.4</v>
      </c>
      <c r="I543" t="str">
        <f>"3' Patch Cable"</f>
        <v>3' Patch Cable</v>
      </c>
    </row>
    <row r="544" spans="1:9" x14ac:dyDescent="0.3">
      <c r="A544" t="str">
        <f>""</f>
        <v/>
      </c>
      <c r="F544" t="str">
        <f>""</f>
        <v/>
      </c>
      <c r="G544" t="str">
        <f>""</f>
        <v/>
      </c>
      <c r="I544" t="str">
        <f>"5' Patch Cable"</f>
        <v>5' Patch Cable</v>
      </c>
    </row>
    <row r="545" spans="1:9" x14ac:dyDescent="0.3">
      <c r="A545" t="str">
        <f>""</f>
        <v/>
      </c>
      <c r="F545" t="str">
        <f>""</f>
        <v/>
      </c>
      <c r="G545" t="str">
        <f>""</f>
        <v/>
      </c>
      <c r="I545" t="str">
        <f>"15' Patch Cable"</f>
        <v>15' Patch Cable</v>
      </c>
    </row>
    <row r="546" spans="1:9" x14ac:dyDescent="0.3">
      <c r="A546" t="str">
        <f>""</f>
        <v/>
      </c>
      <c r="F546" t="str">
        <f>""</f>
        <v/>
      </c>
      <c r="G546" t="str">
        <f>""</f>
        <v/>
      </c>
      <c r="I546" t="str">
        <f>"25' Patch Cable"</f>
        <v>25' Patch Cable</v>
      </c>
    </row>
    <row r="547" spans="1:9" x14ac:dyDescent="0.3">
      <c r="A547" t="str">
        <f>""</f>
        <v/>
      </c>
      <c r="F547" t="str">
        <f>"19630"</f>
        <v>19630</v>
      </c>
      <c r="G547" t="str">
        <f>"TADS Building"</f>
        <v>TADS Building</v>
      </c>
      <c r="H547" s="2">
        <v>488</v>
      </c>
      <c r="I547" t="str">
        <f>"Material"</f>
        <v>Material</v>
      </c>
    </row>
    <row r="548" spans="1:9" x14ac:dyDescent="0.3">
      <c r="A548" t="str">
        <f>""</f>
        <v/>
      </c>
      <c r="F548" t="str">
        <f>""</f>
        <v/>
      </c>
      <c r="G548" t="str">
        <f>""</f>
        <v/>
      </c>
      <c r="I548" t="str">
        <f>"Labor"</f>
        <v>Labor</v>
      </c>
    </row>
    <row r="549" spans="1:9" x14ac:dyDescent="0.3">
      <c r="A549" t="str">
        <f>""</f>
        <v/>
      </c>
      <c r="F549" t="str">
        <f>"19637"</f>
        <v>19637</v>
      </c>
      <c r="G549" t="str">
        <f>"Smithville Barn"</f>
        <v>Smithville Barn</v>
      </c>
      <c r="H549" s="2">
        <v>959</v>
      </c>
      <c r="I549" t="str">
        <f>"Material"</f>
        <v>Material</v>
      </c>
    </row>
    <row r="550" spans="1:9" x14ac:dyDescent="0.3">
      <c r="A550" t="str">
        <f>""</f>
        <v/>
      </c>
      <c r="F550" t="str">
        <f>""</f>
        <v/>
      </c>
      <c r="G550" t="str">
        <f>""</f>
        <v/>
      </c>
      <c r="I550" t="str">
        <f>"Labor"</f>
        <v>Labor</v>
      </c>
    </row>
    <row r="551" spans="1:9" x14ac:dyDescent="0.3">
      <c r="A551" t="str">
        <f>""</f>
        <v/>
      </c>
      <c r="F551" t="str">
        <f>"PATCH CORD"</f>
        <v>PATCH CORD</v>
      </c>
      <c r="G551" t="str">
        <f>"S.O. Fiber Patch"</f>
        <v>S.O. Fiber Patch</v>
      </c>
      <c r="H551" s="2">
        <v>434.5</v>
      </c>
      <c r="I551" t="str">
        <f>"Patch Cord 1 meter"</f>
        <v>Patch Cord 1 meter</v>
      </c>
    </row>
    <row r="552" spans="1:9" x14ac:dyDescent="0.3">
      <c r="A552" t="str">
        <f>""</f>
        <v/>
      </c>
      <c r="F552" t="str">
        <f>""</f>
        <v/>
      </c>
      <c r="G552" t="str">
        <f>""</f>
        <v/>
      </c>
      <c r="I552" t="str">
        <f>"Patch Cord 2 meter"</f>
        <v>Patch Cord 2 meter</v>
      </c>
    </row>
    <row r="553" spans="1:9" x14ac:dyDescent="0.3">
      <c r="A553" t="str">
        <f>"003723"</f>
        <v>003723</v>
      </c>
      <c r="B553" t="s">
        <v>135</v>
      </c>
      <c r="C553">
        <v>75375</v>
      </c>
      <c r="D553" s="2">
        <v>652</v>
      </c>
      <c r="E553" s="1">
        <v>43157</v>
      </c>
      <c r="F553" t="str">
        <f>"19434"</f>
        <v>19434</v>
      </c>
      <c r="G553" t="str">
        <f>"MATERIAL/LABOR/IT DEPT"</f>
        <v>MATERIAL/LABOR/IT DEPT</v>
      </c>
      <c r="H553" s="2">
        <v>652</v>
      </c>
      <c r="I553" t="str">
        <f>"MATERIAL/LABOR/IT DEPT"</f>
        <v>MATERIAL/LABOR/IT DEPT</v>
      </c>
    </row>
    <row r="554" spans="1:9" x14ac:dyDescent="0.3">
      <c r="A554" t="str">
        <f>"005417"</f>
        <v>005417</v>
      </c>
      <c r="B554" t="s">
        <v>136</v>
      </c>
      <c r="C554">
        <v>75064</v>
      </c>
      <c r="D554" s="2">
        <v>30</v>
      </c>
      <c r="E554" s="1">
        <v>43143</v>
      </c>
      <c r="F554" t="str">
        <f>"201802018423"</f>
        <v>201802018423</v>
      </c>
      <c r="G554" t="str">
        <f>"FERAL HOGS"</f>
        <v>FERAL HOGS</v>
      </c>
      <c r="H554" s="2">
        <v>30</v>
      </c>
      <c r="I554" t="str">
        <f>"FERAL HOGS"</f>
        <v>FERAL HOGS</v>
      </c>
    </row>
    <row r="555" spans="1:9" x14ac:dyDescent="0.3">
      <c r="A555" t="str">
        <f>"000889"</f>
        <v>000889</v>
      </c>
      <c r="B555" t="s">
        <v>137</v>
      </c>
      <c r="C555">
        <v>75376</v>
      </c>
      <c r="D555" s="2">
        <v>1100</v>
      </c>
      <c r="E555" s="1">
        <v>43157</v>
      </c>
      <c r="F555" t="str">
        <f>"TRAINING"</f>
        <v>TRAINING</v>
      </c>
      <c r="G555" t="str">
        <f>"TRAINING"</f>
        <v>TRAINING</v>
      </c>
      <c r="H555" s="2">
        <v>1100</v>
      </c>
      <c r="I555" t="str">
        <f>"TRAINING"</f>
        <v>TRAINING</v>
      </c>
    </row>
    <row r="556" spans="1:9" x14ac:dyDescent="0.3">
      <c r="A556" t="str">
        <f>"002553"</f>
        <v>002553</v>
      </c>
      <c r="B556" t="s">
        <v>138</v>
      </c>
      <c r="C556">
        <v>75065</v>
      </c>
      <c r="D556" s="2">
        <v>60</v>
      </c>
      <c r="E556" s="1">
        <v>43143</v>
      </c>
      <c r="F556" t="str">
        <f>"12731"</f>
        <v>12731</v>
      </c>
      <c r="G556" t="str">
        <f>"SERVICE  11/29/17"</f>
        <v>SERVICE  11/29/17</v>
      </c>
      <c r="H556" s="2">
        <v>60</v>
      </c>
      <c r="I556" t="str">
        <f>"SERVICE  11/29/17"</f>
        <v>SERVICE  11/29/17</v>
      </c>
    </row>
    <row r="557" spans="1:9" x14ac:dyDescent="0.3">
      <c r="A557" t="str">
        <f>"001894"</f>
        <v>001894</v>
      </c>
      <c r="B557" t="s">
        <v>139</v>
      </c>
      <c r="C557">
        <v>75066</v>
      </c>
      <c r="D557" s="2">
        <v>1151.6199999999999</v>
      </c>
      <c r="E557" s="1">
        <v>43143</v>
      </c>
      <c r="F557" t="str">
        <f>"201802058479"</f>
        <v>201802058479</v>
      </c>
      <c r="G557" t="str">
        <f>"ACCT#38049/PART#SJ11644/PCT#4"</f>
        <v>ACCT#38049/PART#SJ11644/PCT#4</v>
      </c>
      <c r="H557" s="2">
        <v>985.63</v>
      </c>
      <c r="I557" t="str">
        <f>"ACCT#38049/PART#SJ11644/PCT#4"</f>
        <v>ACCT#38049/PART#SJ11644/PCT#4</v>
      </c>
    </row>
    <row r="558" spans="1:9" x14ac:dyDescent="0.3">
      <c r="A558" t="str">
        <f>""</f>
        <v/>
      </c>
      <c r="F558" t="str">
        <f>"419970"</f>
        <v>419970</v>
      </c>
      <c r="G558" t="str">
        <f>"ACCT#38049/MIRROR/PCT#4"</f>
        <v>ACCT#38049/MIRROR/PCT#4</v>
      </c>
      <c r="H558" s="2">
        <v>165.99</v>
      </c>
      <c r="I558" t="str">
        <f>"ACCT#38049/MIRROR/PCT#4"</f>
        <v>ACCT#38049/MIRROR/PCT#4</v>
      </c>
    </row>
    <row r="559" spans="1:9" x14ac:dyDescent="0.3">
      <c r="A559" t="str">
        <f>"001894"</f>
        <v>001894</v>
      </c>
      <c r="B559" t="s">
        <v>139</v>
      </c>
      <c r="C559">
        <v>75377</v>
      </c>
      <c r="D559" s="2">
        <v>109.42</v>
      </c>
      <c r="E559" s="1">
        <v>43157</v>
      </c>
      <c r="F559" t="str">
        <f>"428237"</f>
        <v>428237</v>
      </c>
      <c r="G559" t="str">
        <f>"ACCT#38049/PCT#4"</f>
        <v>ACCT#38049/PCT#4</v>
      </c>
      <c r="H559" s="2">
        <v>109.42</v>
      </c>
      <c r="I559" t="str">
        <f>"ACCT#38049/PCT#4"</f>
        <v>ACCT#38049/PCT#4</v>
      </c>
    </row>
    <row r="560" spans="1:9" x14ac:dyDescent="0.3">
      <c r="A560" t="str">
        <f>"CJCAT"</f>
        <v>CJCAT</v>
      </c>
      <c r="B560" t="s">
        <v>140</v>
      </c>
      <c r="C560">
        <v>75067</v>
      </c>
      <c r="D560" s="2">
        <v>1800</v>
      </c>
      <c r="E560" s="1">
        <v>43143</v>
      </c>
      <c r="F560" t="str">
        <f>"201801318361"</f>
        <v>201801318361</v>
      </c>
      <c r="G560" t="str">
        <f>"ANNUAL DUES-BASTROP CO/P.PAPE"</f>
        <v>ANNUAL DUES-BASTROP CO/P.PAPE</v>
      </c>
      <c r="H560" s="2">
        <v>1800</v>
      </c>
      <c r="I560" t="str">
        <f>"ANNUAL DUES-BASTROP CO/P.PAPE"</f>
        <v>ANNUAL DUES-BASTROP CO/P.PAPE</v>
      </c>
    </row>
    <row r="561" spans="1:9" x14ac:dyDescent="0.3">
      <c r="A561" t="str">
        <f>"005420"</f>
        <v>005420</v>
      </c>
      <c r="B561" t="s">
        <v>141</v>
      </c>
      <c r="C561">
        <v>75068</v>
      </c>
      <c r="D561" s="2">
        <v>270.3</v>
      </c>
      <c r="E561" s="1">
        <v>43143</v>
      </c>
      <c r="F561" t="str">
        <f>"201802058486"</f>
        <v>201802058486</v>
      </c>
      <c r="G561" t="str">
        <f>"HLTHY COUNTY BOOT CAMP-M.WALTY"</f>
        <v>HLTHY COUNTY BOOT CAMP-M.WALTY</v>
      </c>
      <c r="H561" s="2">
        <v>270.3</v>
      </c>
      <c r="I561" t="str">
        <f>"HLTHY COUNTY BOOT CAMP-M.WALTY"</f>
        <v>HLTHY COUNTY BOOT CAMP-M.WALTY</v>
      </c>
    </row>
    <row r="562" spans="1:9" x14ac:dyDescent="0.3">
      <c r="A562" t="str">
        <f>"T14505"</f>
        <v>T14505</v>
      </c>
      <c r="B562" t="s">
        <v>142</v>
      </c>
      <c r="C562">
        <v>75069</v>
      </c>
      <c r="D562" s="2">
        <v>40</v>
      </c>
      <c r="E562" s="1">
        <v>43143</v>
      </c>
      <c r="F562" t="str">
        <f>"201802028462"</f>
        <v>201802028462</v>
      </c>
      <c r="G562" t="str">
        <f>"TEXAS COUNTY DIRECTORY/AUDITOR"</f>
        <v>TEXAS COUNTY DIRECTORY/AUDITOR</v>
      </c>
      <c r="H562" s="2">
        <v>40</v>
      </c>
      <c r="I562" t="str">
        <f>"TEXAS COUNTY DIRECTORY/AUDITOR"</f>
        <v>TEXAS COUNTY DIRECTORY/AUDITOR</v>
      </c>
    </row>
    <row r="563" spans="1:9" x14ac:dyDescent="0.3">
      <c r="A563" t="str">
        <f>"005421"</f>
        <v>005421</v>
      </c>
      <c r="B563" t="s">
        <v>143</v>
      </c>
      <c r="C563">
        <v>75378</v>
      </c>
      <c r="D563" s="2">
        <v>354.1</v>
      </c>
      <c r="E563" s="1">
        <v>43157</v>
      </c>
      <c r="F563" t="str">
        <f>"161000023-1"</f>
        <v>161000023-1</v>
      </c>
      <c r="G563" t="str">
        <f>"CUST#1610000100/LABOR/PCT#4"</f>
        <v>CUST#1610000100/LABOR/PCT#4</v>
      </c>
      <c r="H563" s="2">
        <v>164.1</v>
      </c>
      <c r="I563" t="str">
        <f>"CUST#1610000100/LABOR/PCT#4"</f>
        <v>CUST#1610000100/LABOR/PCT#4</v>
      </c>
    </row>
    <row r="564" spans="1:9" x14ac:dyDescent="0.3">
      <c r="A564" t="str">
        <f>""</f>
        <v/>
      </c>
      <c r="F564" t="str">
        <f>"161000033-1"</f>
        <v>161000033-1</v>
      </c>
      <c r="G564" t="str">
        <f>"CUST#1610000100"</f>
        <v>CUST#1610000100</v>
      </c>
      <c r="H564" s="2">
        <v>190</v>
      </c>
      <c r="I564" t="str">
        <f>"CUST#1610000100"</f>
        <v>CUST#1610000100</v>
      </c>
    </row>
    <row r="565" spans="1:9" x14ac:dyDescent="0.3">
      <c r="A565" t="str">
        <f>"T11708"</f>
        <v>T11708</v>
      </c>
      <c r="B565" t="s">
        <v>144</v>
      </c>
      <c r="C565">
        <v>75070</v>
      </c>
      <c r="D565" s="2">
        <v>150</v>
      </c>
      <c r="E565" s="1">
        <v>43143</v>
      </c>
      <c r="F565" t="str">
        <f>"201802058490"</f>
        <v>201802058490</v>
      </c>
      <c r="G565" t="str">
        <f>"CLEANING SVCS/JAN 12 &amp; 26/PCT2"</f>
        <v>CLEANING SVCS/JAN 12 &amp; 26/PCT2</v>
      </c>
      <c r="H565" s="2">
        <v>150</v>
      </c>
      <c r="I565" t="str">
        <f>"CLEANING SVCS/JAN 12 &amp; 26/PCT2"</f>
        <v>CLEANING SVCS/JAN 12 &amp; 26/PCT2</v>
      </c>
    </row>
    <row r="566" spans="1:9" x14ac:dyDescent="0.3">
      <c r="A566" t="str">
        <f>"003136"</f>
        <v>003136</v>
      </c>
      <c r="B566" t="s">
        <v>145</v>
      </c>
      <c r="C566">
        <v>75071</v>
      </c>
      <c r="D566" s="2">
        <v>13.64</v>
      </c>
      <c r="E566" s="1">
        <v>43143</v>
      </c>
      <c r="F566" t="str">
        <f>"UVB749/USL249"</f>
        <v>UVB749/USL249</v>
      </c>
      <c r="G566" t="str">
        <f>"Ref. ID# UVB749 &amp; USL249"</f>
        <v>Ref. ID# UVB749 &amp; USL249</v>
      </c>
      <c r="H566" s="2">
        <v>10.32</v>
      </c>
      <c r="I566" t="str">
        <f>"Ref. ID# UVB749"</f>
        <v>Ref. ID# UVB749</v>
      </c>
    </row>
    <row r="567" spans="1:9" x14ac:dyDescent="0.3">
      <c r="A567" t="str">
        <f>""</f>
        <v/>
      </c>
      <c r="F567" t="str">
        <f>""</f>
        <v/>
      </c>
      <c r="G567" t="str">
        <f>""</f>
        <v/>
      </c>
      <c r="I567" t="str">
        <f>"Ref. ID# USL249"</f>
        <v>Ref. ID# USL249</v>
      </c>
    </row>
    <row r="568" spans="1:9" x14ac:dyDescent="0.3">
      <c r="A568" t="str">
        <f>""</f>
        <v/>
      </c>
      <c r="F568" t="str">
        <f>"UYP003"</f>
        <v>UYP003</v>
      </c>
      <c r="G568" t="str">
        <f>"Reference ID: UYP003"</f>
        <v>Reference ID: UYP003</v>
      </c>
      <c r="H568" s="2">
        <v>3.32</v>
      </c>
      <c r="I568" t="str">
        <f>"Reference ID: UYP003"</f>
        <v>Reference ID: UYP003</v>
      </c>
    </row>
    <row r="569" spans="1:9" x14ac:dyDescent="0.3">
      <c r="A569" t="str">
        <f>"CUMMIN"</f>
        <v>CUMMIN</v>
      </c>
      <c r="B569" t="s">
        <v>146</v>
      </c>
      <c r="C569">
        <v>75072</v>
      </c>
      <c r="D569" s="2">
        <v>497</v>
      </c>
      <c r="E569" s="1">
        <v>43143</v>
      </c>
      <c r="F569" t="str">
        <f>"1309109"</f>
        <v>1309109</v>
      </c>
      <c r="G569" t="str">
        <f>"CUST#23813/MAINT CONT#20598218"</f>
        <v>CUST#23813/MAINT CONT#20598218</v>
      </c>
      <c r="H569" s="2">
        <v>497</v>
      </c>
      <c r="I569" t="str">
        <f>"CUST#23813/MAINT CONT#20598218"</f>
        <v>CUST#23813/MAINT CONT#20598218</v>
      </c>
    </row>
    <row r="570" spans="1:9" x14ac:dyDescent="0.3">
      <c r="A570" t="str">
        <f>"T14390"</f>
        <v>T14390</v>
      </c>
      <c r="B570" t="s">
        <v>147</v>
      </c>
      <c r="C570">
        <v>75073</v>
      </c>
      <c r="D570" s="2">
        <v>1537.56</v>
      </c>
      <c r="E570" s="1">
        <v>43143</v>
      </c>
      <c r="F570" t="str">
        <f>"042-1434-2"</f>
        <v>042-1434-2</v>
      </c>
      <c r="G570" t="str">
        <f>"BILL#2987 1801 6210 946/RETIRE"</f>
        <v>BILL#2987 1801 6210 946/RETIRE</v>
      </c>
      <c r="H570" s="2">
        <v>1537.56</v>
      </c>
      <c r="I570" t="str">
        <f>"BILL#2987 1801 6210 946/RETIRE"</f>
        <v>BILL#2987 1801 6210 946/RETIRE</v>
      </c>
    </row>
    <row r="571" spans="1:9" x14ac:dyDescent="0.3">
      <c r="A571" t="str">
        <f>"T13909"</f>
        <v>T13909</v>
      </c>
      <c r="B571" t="s">
        <v>148</v>
      </c>
      <c r="C571">
        <v>75379</v>
      </c>
      <c r="D571" s="2">
        <v>3825</v>
      </c>
      <c r="E571" s="1">
        <v>43157</v>
      </c>
      <c r="F571" t="str">
        <f>"1149"</f>
        <v>1149</v>
      </c>
      <c r="G571" t="str">
        <f>"Excavator: Foothill Road"</f>
        <v>Excavator: Foothill Road</v>
      </c>
      <c r="H571" s="2">
        <v>3825</v>
      </c>
      <c r="I571" t="str">
        <f>"Excavator: Foothill"</f>
        <v>Excavator: Foothill</v>
      </c>
    </row>
    <row r="572" spans="1:9" x14ac:dyDescent="0.3">
      <c r="A572" t="str">
        <f>"T9280"</f>
        <v>T9280</v>
      </c>
      <c r="B572" t="s">
        <v>149</v>
      </c>
      <c r="C572">
        <v>75074</v>
      </c>
      <c r="D572" s="2">
        <v>1215.6400000000001</v>
      </c>
      <c r="E572" s="1">
        <v>43143</v>
      </c>
      <c r="F572" t="str">
        <f>"299701"</f>
        <v>299701</v>
      </c>
      <c r="G572" t="str">
        <f>"Quote# B326874"</f>
        <v>Quote# B326874</v>
      </c>
      <c r="H572" s="2">
        <v>1215.6400000000001</v>
      </c>
      <c r="I572" t="str">
        <f>"BA080HYE0408D"</f>
        <v>BA080HYE0408D</v>
      </c>
    </row>
    <row r="573" spans="1:9" x14ac:dyDescent="0.3">
      <c r="A573" t="str">
        <f>""</f>
        <v/>
      </c>
      <c r="F573" t="str">
        <f>""</f>
        <v/>
      </c>
      <c r="G573" t="str">
        <f>""</f>
        <v/>
      </c>
      <c r="I573" t="str">
        <f>"Freight"</f>
        <v>Freight</v>
      </c>
    </row>
    <row r="574" spans="1:9" x14ac:dyDescent="0.3">
      <c r="A574" t="str">
        <f>"T9280"</f>
        <v>T9280</v>
      </c>
      <c r="B574" t="s">
        <v>149</v>
      </c>
      <c r="C574">
        <v>75380</v>
      </c>
      <c r="D574" s="2">
        <v>3032.41</v>
      </c>
      <c r="E574" s="1">
        <v>43157</v>
      </c>
      <c r="F574" t="str">
        <f>"300356"</f>
        <v>300356</v>
      </c>
      <c r="G574" t="str">
        <f>"CUSTOM PRODUCTS CORPORATION"</f>
        <v>CUSTOM PRODUCTS CORPORATION</v>
      </c>
      <c r="H574" s="2">
        <v>1967.64</v>
      </c>
      <c r="I574" t="str">
        <f>"4X8 Delinators"</f>
        <v>4X8 Delinators</v>
      </c>
    </row>
    <row r="575" spans="1:9" x14ac:dyDescent="0.3">
      <c r="A575" t="str">
        <f>""</f>
        <v/>
      </c>
      <c r="F575" t="str">
        <f>""</f>
        <v/>
      </c>
      <c r="G575" t="str">
        <f>""</f>
        <v/>
      </c>
      <c r="I575" t="str">
        <f>"Freight"</f>
        <v>Freight</v>
      </c>
    </row>
    <row r="576" spans="1:9" x14ac:dyDescent="0.3">
      <c r="A576" t="str">
        <f>""</f>
        <v/>
      </c>
      <c r="F576" t="str">
        <f>"300522"</f>
        <v>300522</v>
      </c>
      <c r="G576" t="str">
        <f>"Quote# B327542"</f>
        <v>Quote# B327542</v>
      </c>
      <c r="H576" s="2">
        <v>1064.77</v>
      </c>
      <c r="I576" t="str">
        <f>"RSH7725122450"</f>
        <v>RSH7725122450</v>
      </c>
    </row>
    <row r="577" spans="1:10" x14ac:dyDescent="0.3">
      <c r="A577" t="str">
        <f>""</f>
        <v/>
      </c>
      <c r="F577" t="str">
        <f>""</f>
        <v/>
      </c>
      <c r="G577" t="str">
        <f>""</f>
        <v/>
      </c>
      <c r="I577" t="str">
        <f>"RSH8108P2450"</f>
        <v>RSH8108P2450</v>
      </c>
    </row>
    <row r="578" spans="1:10" x14ac:dyDescent="0.3">
      <c r="A578" t="str">
        <f>""</f>
        <v/>
      </c>
      <c r="F578" t="str">
        <f>""</f>
        <v/>
      </c>
      <c r="G578" t="str">
        <f>""</f>
        <v/>
      </c>
      <c r="I578" t="str">
        <f>"BA080HYE0408D"</f>
        <v>BA080HYE0408D</v>
      </c>
    </row>
    <row r="579" spans="1:10" x14ac:dyDescent="0.3">
      <c r="A579" t="str">
        <f>""</f>
        <v/>
      </c>
      <c r="F579" t="str">
        <f>""</f>
        <v/>
      </c>
      <c r="G579" t="str">
        <f>""</f>
        <v/>
      </c>
      <c r="I579" t="str">
        <f>"Freight"</f>
        <v>Freight</v>
      </c>
    </row>
    <row r="580" spans="1:10" x14ac:dyDescent="0.3">
      <c r="A580" t="str">
        <f>"004346"</f>
        <v>004346</v>
      </c>
      <c r="B580" t="s">
        <v>150</v>
      </c>
      <c r="C580">
        <v>75075</v>
      </c>
      <c r="D580" s="2">
        <v>335</v>
      </c>
      <c r="E580" s="1">
        <v>43143</v>
      </c>
      <c r="F580" t="str">
        <f>"201802018416"</f>
        <v>201802018416</v>
      </c>
      <c r="G580" t="str">
        <f>"FERAL HOGS"</f>
        <v>FERAL HOGS</v>
      </c>
      <c r="H580" s="2">
        <v>335</v>
      </c>
      <c r="I580" t="str">
        <f>"FERAL HOGS"</f>
        <v>FERAL HOGS</v>
      </c>
    </row>
    <row r="581" spans="1:10" x14ac:dyDescent="0.3">
      <c r="A581" t="str">
        <f>"T11060"</f>
        <v>T11060</v>
      </c>
      <c r="B581" t="s">
        <v>151</v>
      </c>
      <c r="C581">
        <v>75076</v>
      </c>
      <c r="D581" s="2">
        <v>1001.8</v>
      </c>
      <c r="E581" s="1">
        <v>43143</v>
      </c>
      <c r="F581" t="str">
        <f>"070529"</f>
        <v>070529</v>
      </c>
      <c r="G581" t="str">
        <f>"CUST#BCO001/PCT#3"</f>
        <v>CUST#BCO001/PCT#3</v>
      </c>
      <c r="H581" s="2">
        <v>1001.8</v>
      </c>
      <c r="I581" t="str">
        <f>"CUST#BCO001/PCT#3"</f>
        <v>CUST#BCO001/PCT#3</v>
      </c>
    </row>
    <row r="582" spans="1:10" x14ac:dyDescent="0.3">
      <c r="A582" t="str">
        <f>"004072"</f>
        <v>004072</v>
      </c>
      <c r="B582" t="s">
        <v>152</v>
      </c>
      <c r="C582">
        <v>75077</v>
      </c>
      <c r="D582" s="2">
        <v>522.59</v>
      </c>
      <c r="E582" s="1">
        <v>43143</v>
      </c>
      <c r="F582" t="str">
        <f>"IN1462939"</f>
        <v>IN1462939</v>
      </c>
      <c r="G582" t="str">
        <f>"ACCT#CO150:40G634/TONER"</f>
        <v>ACCT#CO150:40G634/TONER</v>
      </c>
      <c r="H582" s="2">
        <v>73.95</v>
      </c>
      <c r="I582" t="str">
        <f>"ACCT#CO150:40G634/TONER"</f>
        <v>ACCT#CO150:40G634/TONER</v>
      </c>
    </row>
    <row r="583" spans="1:10" x14ac:dyDescent="0.3">
      <c r="A583" t="str">
        <f>""</f>
        <v/>
      </c>
      <c r="F583" t="str">
        <f>"IN1462940"</f>
        <v>IN1462940</v>
      </c>
      <c r="G583" t="str">
        <f>"ACCT#CO150:40G634/TONER"</f>
        <v>ACCT#CO150:40G634/TONER</v>
      </c>
      <c r="H583" s="2">
        <v>172.94</v>
      </c>
      <c r="I583" t="str">
        <f>"ACCT#CO150:40G634/TONER"</f>
        <v>ACCT#CO150:40G634/TONER</v>
      </c>
    </row>
    <row r="584" spans="1:10" x14ac:dyDescent="0.3">
      <c r="A584" t="str">
        <f>""</f>
        <v/>
      </c>
      <c r="F584" t="str">
        <f>"IN1510108"</f>
        <v>IN1510108</v>
      </c>
      <c r="G584" t="str">
        <f>"ACCT#BC113:40R756/CONT#CN11583"</f>
        <v>ACCT#BC113:40R756/CONT#CN11583</v>
      </c>
      <c r="H584" s="2">
        <v>275.7</v>
      </c>
      <c r="I584" t="str">
        <f>"ACCT#BC113:40R756/CONT#CN11583"</f>
        <v>ACCT#BC113:40R756/CONT#CN11583</v>
      </c>
    </row>
    <row r="585" spans="1:10" x14ac:dyDescent="0.3">
      <c r="A585" t="str">
        <f>"004072"</f>
        <v>004072</v>
      </c>
      <c r="B585" t="s">
        <v>152</v>
      </c>
      <c r="C585">
        <v>75381</v>
      </c>
      <c r="D585" s="2">
        <v>39.99</v>
      </c>
      <c r="E585" s="1">
        <v>43157</v>
      </c>
      <c r="F585" t="str">
        <f>"IN1522087"</f>
        <v>IN1522087</v>
      </c>
      <c r="G585" t="str">
        <f>"ACCT#C0150:40G634/ORD#SO490018"</f>
        <v>ACCT#C0150:40G634/ORD#SO490018</v>
      </c>
      <c r="H585" s="2">
        <v>39.99</v>
      </c>
      <c r="I585" t="str">
        <f>"ACCT#C0150:40G634/ORD#SO490018"</f>
        <v>ACCT#C0150:40G634/ORD#SO490018</v>
      </c>
    </row>
    <row r="586" spans="1:10" x14ac:dyDescent="0.3">
      <c r="A586" t="str">
        <f>"T7935"</f>
        <v>T7935</v>
      </c>
      <c r="B586" t="s">
        <v>153</v>
      </c>
      <c r="C586">
        <v>75382</v>
      </c>
      <c r="D586" s="2">
        <v>140.32</v>
      </c>
      <c r="E586" s="1">
        <v>43157</v>
      </c>
      <c r="F586" t="str">
        <f>"31512381 - 56"</f>
        <v>31512381 - 56</v>
      </c>
      <c r="G586" t="str">
        <f>"SCHED#216/COPIER"</f>
        <v>SCHED#216/COPIER</v>
      </c>
      <c r="H586" s="2">
        <v>140.32</v>
      </c>
      <c r="I586" t="str">
        <f>"SCHED#216/COPIER"</f>
        <v>SCHED#216/COPIER</v>
      </c>
    </row>
    <row r="587" spans="1:10" x14ac:dyDescent="0.3">
      <c r="A587" t="str">
        <f>"002352"</f>
        <v>002352</v>
      </c>
      <c r="B587" t="s">
        <v>154</v>
      </c>
      <c r="C587">
        <v>75078</v>
      </c>
      <c r="D587" s="2">
        <v>75</v>
      </c>
      <c r="E587" s="1">
        <v>43143</v>
      </c>
      <c r="F587" t="s">
        <v>60</v>
      </c>
      <c r="G587" t="s">
        <v>61</v>
      </c>
      <c r="H587" s="2" t="str">
        <f>"SERVICE  11/29/17"</f>
        <v>SERVICE  11/29/17</v>
      </c>
      <c r="I587" t="str">
        <f>"995-4110"</f>
        <v>995-4110</v>
      </c>
      <c r="J587">
        <v>75</v>
      </c>
    </row>
    <row r="588" spans="1:10" x14ac:dyDescent="0.3">
      <c r="A588" t="str">
        <f>"002352"</f>
        <v>002352</v>
      </c>
      <c r="B588" t="s">
        <v>154</v>
      </c>
      <c r="C588">
        <v>75383</v>
      </c>
      <c r="D588" s="2">
        <v>80</v>
      </c>
      <c r="E588" s="1">
        <v>43157</v>
      </c>
      <c r="F588" t="str">
        <f>"12597"</f>
        <v>12597</v>
      </c>
      <c r="G588" t="str">
        <f>"SERVICE  12/04/17"</f>
        <v>SERVICE  12/04/17</v>
      </c>
      <c r="H588" s="2">
        <v>80</v>
      </c>
      <c r="I588" t="str">
        <f>"SERVICE  12/04/17"</f>
        <v>SERVICE  12/04/17</v>
      </c>
    </row>
    <row r="589" spans="1:10" x14ac:dyDescent="0.3">
      <c r="A589" t="str">
        <f>"004962"</f>
        <v>004962</v>
      </c>
      <c r="B589" t="s">
        <v>155</v>
      </c>
      <c r="C589">
        <v>999999</v>
      </c>
      <c r="D589" s="2">
        <v>134.07</v>
      </c>
      <c r="E589" s="1">
        <v>43144</v>
      </c>
      <c r="F589" t="str">
        <f>"201802018367"</f>
        <v>201802018367</v>
      </c>
      <c r="G589" t="str">
        <f>"MILEAGE REIMBURSEMENT"</f>
        <v>MILEAGE REIMBURSEMENT</v>
      </c>
      <c r="H589" s="2">
        <v>134.07</v>
      </c>
      <c r="I589" t="str">
        <f>"MILEAGE REIMBURSEMENT"</f>
        <v>MILEAGE REIMBURSEMENT</v>
      </c>
    </row>
    <row r="590" spans="1:10" x14ac:dyDescent="0.3">
      <c r="A590" t="str">
        <f>"005398"</f>
        <v>005398</v>
      </c>
      <c r="B590" t="s">
        <v>156</v>
      </c>
      <c r="C590">
        <v>75079</v>
      </c>
      <c r="D590" s="2">
        <v>625</v>
      </c>
      <c r="E590" s="1">
        <v>43143</v>
      </c>
      <c r="F590" t="str">
        <f>"201801238204"</f>
        <v>201801238204</v>
      </c>
      <c r="G590" t="str">
        <f>"REFUND DUE TO EXCESS COLLECTIO"</f>
        <v>REFUND DUE TO EXCESS COLLECTIO</v>
      </c>
      <c r="H590" s="2">
        <v>625</v>
      </c>
      <c r="I590" t="str">
        <f>"REFUND DUE TO EXCESS COLLECTIO"</f>
        <v>REFUND DUE TO EXCESS COLLECTIO</v>
      </c>
    </row>
    <row r="591" spans="1:10" x14ac:dyDescent="0.3">
      <c r="A591" t="str">
        <f>""</f>
        <v/>
      </c>
      <c r="F591" t="str">
        <f>""</f>
        <v/>
      </c>
      <c r="G591" t="str">
        <f>""</f>
        <v/>
      </c>
      <c r="I591" t="str">
        <f>"REFUND DUE TO EXCESS COLLECTIO"</f>
        <v>REFUND DUE TO EXCESS COLLECTIO</v>
      </c>
    </row>
    <row r="592" spans="1:10" x14ac:dyDescent="0.3">
      <c r="A592" t="str">
        <f>"003577"</f>
        <v>003577</v>
      </c>
      <c r="B592" t="s">
        <v>157</v>
      </c>
      <c r="C592">
        <v>75080</v>
      </c>
      <c r="D592" s="2">
        <v>50</v>
      </c>
      <c r="E592" s="1">
        <v>43143</v>
      </c>
      <c r="F592" t="str">
        <f>"201802018424"</f>
        <v>201802018424</v>
      </c>
      <c r="G592" t="str">
        <f>"FERAL HOGS"</f>
        <v>FERAL HOGS</v>
      </c>
      <c r="H592" s="2">
        <v>50</v>
      </c>
      <c r="I592" t="str">
        <f>"FERAL HOGS"</f>
        <v>FERAL HOGS</v>
      </c>
    </row>
    <row r="593" spans="1:9" x14ac:dyDescent="0.3">
      <c r="A593" t="str">
        <f>"BROOKS"</f>
        <v>BROOKS</v>
      </c>
      <c r="B593" t="s">
        <v>158</v>
      </c>
      <c r="C593">
        <v>75081</v>
      </c>
      <c r="D593" s="2">
        <v>100</v>
      </c>
      <c r="E593" s="1">
        <v>43143</v>
      </c>
      <c r="F593" t="str">
        <f>"201802068568"</f>
        <v>201802068568</v>
      </c>
      <c r="G593" t="str">
        <f>"LEGAL CONSULT SVCS-JAN 2018"</f>
        <v>LEGAL CONSULT SVCS-JAN 2018</v>
      </c>
      <c r="H593" s="2">
        <v>100</v>
      </c>
      <c r="I593" t="str">
        <f>"LEGAL CONSULT SVCS-JAN 2018"</f>
        <v>LEGAL CONSULT SVCS-JAN 2018</v>
      </c>
    </row>
    <row r="594" spans="1:9" x14ac:dyDescent="0.3">
      <c r="A594" t="str">
        <f>"003335"</f>
        <v>003335</v>
      </c>
      <c r="B594" t="s">
        <v>159</v>
      </c>
      <c r="C594">
        <v>999999</v>
      </c>
      <c r="D594" s="2">
        <v>1627.5</v>
      </c>
      <c r="E594" s="1">
        <v>43158</v>
      </c>
      <c r="F594" t="str">
        <f>"201802148720"</f>
        <v>201802148720</v>
      </c>
      <c r="G594" t="str">
        <f>"16-17591"</f>
        <v>16-17591</v>
      </c>
      <c r="H594" s="2">
        <v>250</v>
      </c>
      <c r="I594" t="str">
        <f>"16-17591"</f>
        <v>16-17591</v>
      </c>
    </row>
    <row r="595" spans="1:9" x14ac:dyDescent="0.3">
      <c r="A595" t="str">
        <f>""</f>
        <v/>
      </c>
      <c r="F595" t="str">
        <f>"201802148721"</f>
        <v>201802148721</v>
      </c>
      <c r="G595" t="str">
        <f>"16-18043"</f>
        <v>16-18043</v>
      </c>
      <c r="H595" s="2">
        <v>280</v>
      </c>
      <c r="I595" t="str">
        <f>"16-18043"</f>
        <v>16-18043</v>
      </c>
    </row>
    <row r="596" spans="1:9" x14ac:dyDescent="0.3">
      <c r="A596" t="str">
        <f>""</f>
        <v/>
      </c>
      <c r="F596" t="str">
        <f>"201802148722"</f>
        <v>201802148722</v>
      </c>
      <c r="G596" t="str">
        <f>"18-18819"</f>
        <v>18-18819</v>
      </c>
      <c r="H596" s="2">
        <v>152.5</v>
      </c>
      <c r="I596" t="str">
        <f>"18-18819"</f>
        <v>18-18819</v>
      </c>
    </row>
    <row r="597" spans="1:9" x14ac:dyDescent="0.3">
      <c r="A597" t="str">
        <f>""</f>
        <v/>
      </c>
      <c r="F597" t="str">
        <f>"201802148723"</f>
        <v>201802148723</v>
      </c>
      <c r="G597" t="str">
        <f>"17-18543"</f>
        <v>17-18543</v>
      </c>
      <c r="H597" s="2">
        <v>235</v>
      </c>
      <c r="I597" t="str">
        <f>"17-18543"</f>
        <v>17-18543</v>
      </c>
    </row>
    <row r="598" spans="1:9" x14ac:dyDescent="0.3">
      <c r="A598" t="str">
        <f>""</f>
        <v/>
      </c>
      <c r="F598" t="str">
        <f>"201802148724"</f>
        <v>201802148724</v>
      </c>
      <c r="G598" t="str">
        <f>"15-17513"</f>
        <v>15-17513</v>
      </c>
      <c r="H598" s="2">
        <v>460</v>
      </c>
      <c r="I598" t="str">
        <f>"15-17513"</f>
        <v>15-17513</v>
      </c>
    </row>
    <row r="599" spans="1:9" x14ac:dyDescent="0.3">
      <c r="A599" t="str">
        <f>""</f>
        <v/>
      </c>
      <c r="F599" t="str">
        <f>"201802148725"</f>
        <v>201802148725</v>
      </c>
      <c r="G599" t="str">
        <f>"J-3111"</f>
        <v>J-3111</v>
      </c>
      <c r="H599" s="2">
        <v>250</v>
      </c>
      <c r="I599" t="str">
        <f>"J-3111"</f>
        <v>J-3111</v>
      </c>
    </row>
    <row r="600" spans="1:9" x14ac:dyDescent="0.3">
      <c r="A600" t="str">
        <f>"003329"</f>
        <v>003329</v>
      </c>
      <c r="B600" t="s">
        <v>160</v>
      </c>
      <c r="C600">
        <v>75082</v>
      </c>
      <c r="D600" s="2">
        <v>55</v>
      </c>
      <c r="E600" s="1">
        <v>43143</v>
      </c>
      <c r="F600" t="str">
        <f>"201802018400"</f>
        <v>201802018400</v>
      </c>
      <c r="G600" t="str">
        <f>"FERAL HOGS"</f>
        <v>FERAL HOGS</v>
      </c>
      <c r="H600" s="2">
        <v>55</v>
      </c>
      <c r="I600" t="str">
        <f>"FERAL HOGS"</f>
        <v>FERAL HOGS</v>
      </c>
    </row>
    <row r="601" spans="1:9" x14ac:dyDescent="0.3">
      <c r="A601" t="str">
        <f>"DELL"</f>
        <v>DELL</v>
      </c>
      <c r="B601" t="s">
        <v>161</v>
      </c>
      <c r="C601">
        <v>75083</v>
      </c>
      <c r="D601" s="2">
        <v>398.48</v>
      </c>
      <c r="E601" s="1">
        <v>43143</v>
      </c>
      <c r="F601" t="str">
        <f>"10219086284"</f>
        <v>10219086284</v>
      </c>
      <c r="G601" t="str">
        <f>"JP 1 Dell - Monitor/km717"</f>
        <v>JP 1 Dell - Monitor/km717</v>
      </c>
      <c r="H601" s="2">
        <v>357.48</v>
      </c>
      <c r="I601" t="str">
        <f>"Monitor"</f>
        <v>Monitor</v>
      </c>
    </row>
    <row r="602" spans="1:9" x14ac:dyDescent="0.3">
      <c r="A602" t="str">
        <f>""</f>
        <v/>
      </c>
      <c r="F602" t="str">
        <f>""</f>
        <v/>
      </c>
      <c r="G602" t="str">
        <f>""</f>
        <v/>
      </c>
      <c r="I602" t="str">
        <f>"KeyBoard &amp; Mouse"</f>
        <v>KeyBoard &amp; Mouse</v>
      </c>
    </row>
    <row r="603" spans="1:9" x14ac:dyDescent="0.3">
      <c r="A603" t="str">
        <f>""</f>
        <v/>
      </c>
      <c r="F603" t="str">
        <f>"337479193"</f>
        <v>337479193</v>
      </c>
      <c r="G603" t="str">
        <f>"SVC TAG#FVM5182/REF#337479193"</f>
        <v>SVC TAG#FVM5182/REF#337479193</v>
      </c>
      <c r="H603" s="2">
        <v>41</v>
      </c>
      <c r="I603" t="str">
        <f>"SVC TAG#FVM5182/REF#337479193"</f>
        <v>SVC TAG#FVM5182/REF#337479193</v>
      </c>
    </row>
    <row r="604" spans="1:9" x14ac:dyDescent="0.3">
      <c r="A604" t="str">
        <f>"004270"</f>
        <v>004270</v>
      </c>
      <c r="B604" t="s">
        <v>162</v>
      </c>
      <c r="C604">
        <v>75384</v>
      </c>
      <c r="D604" s="2">
        <v>2611.0500000000002</v>
      </c>
      <c r="E604" s="1">
        <v>43157</v>
      </c>
      <c r="F604" t="str">
        <f>"10222653400"</f>
        <v>10222653400</v>
      </c>
      <c r="G604" t="str">
        <f>"Computer-Grant Funded"</f>
        <v>Computer-Grant Funded</v>
      </c>
      <c r="H604" s="2">
        <v>1396.06</v>
      </c>
      <c r="I604" t="str">
        <f>"210-AKOK"</f>
        <v>210-AKOK</v>
      </c>
    </row>
    <row r="605" spans="1:9" x14ac:dyDescent="0.3">
      <c r="A605" t="str">
        <f>""</f>
        <v/>
      </c>
      <c r="F605" t="str">
        <f>""</f>
        <v/>
      </c>
      <c r="G605" t="str">
        <f>""</f>
        <v/>
      </c>
      <c r="I605" t="str">
        <f>"318-2885"</f>
        <v>318-2885</v>
      </c>
    </row>
    <row r="606" spans="1:9" x14ac:dyDescent="0.3">
      <c r="A606" t="str">
        <f>""</f>
        <v/>
      </c>
      <c r="F606" t="str">
        <f>""</f>
        <v/>
      </c>
      <c r="G606" t="str">
        <f>""</f>
        <v/>
      </c>
      <c r="I606" t="str">
        <f>"210-AIIB"</f>
        <v>210-AIIB</v>
      </c>
    </row>
    <row r="607" spans="1:9" x14ac:dyDescent="0.3">
      <c r="A607" t="str">
        <f>""</f>
        <v/>
      </c>
      <c r="F607" t="str">
        <f>"10224604270"</f>
        <v>10224604270</v>
      </c>
      <c r="G607" t="str">
        <f>"OEM Administrative Compt"</f>
        <v>OEM Administrative Compt</v>
      </c>
      <c r="H607" s="2">
        <v>1214.99</v>
      </c>
      <c r="I607" t="str">
        <f>"5M48M"</f>
        <v>5M48M</v>
      </c>
    </row>
    <row r="608" spans="1:9" x14ac:dyDescent="0.3">
      <c r="A608" t="str">
        <f>""</f>
        <v/>
      </c>
      <c r="F608" t="str">
        <f>""</f>
        <v/>
      </c>
      <c r="G608" t="str">
        <f>""</f>
        <v/>
      </c>
      <c r="I608" t="str">
        <f>"920-002836"</f>
        <v>920-002836</v>
      </c>
    </row>
    <row r="609" spans="1:9" x14ac:dyDescent="0.3">
      <c r="A609" t="str">
        <f>""</f>
        <v/>
      </c>
      <c r="F609" t="str">
        <f>""</f>
        <v/>
      </c>
      <c r="G609" t="str">
        <f>""</f>
        <v/>
      </c>
      <c r="I609" t="str">
        <f>"210-AIWG"</f>
        <v>210-AIWG</v>
      </c>
    </row>
    <row r="610" spans="1:9" x14ac:dyDescent="0.3">
      <c r="A610" t="str">
        <f>""</f>
        <v/>
      </c>
      <c r="F610" t="str">
        <f>""</f>
        <v/>
      </c>
      <c r="G610" t="str">
        <f>""</f>
        <v/>
      </c>
      <c r="I610" t="str">
        <f>"NCW95"</f>
        <v>NCW95</v>
      </c>
    </row>
    <row r="611" spans="1:9" x14ac:dyDescent="0.3">
      <c r="A611" t="str">
        <f>""</f>
        <v/>
      </c>
      <c r="F611" t="str">
        <f>""</f>
        <v/>
      </c>
      <c r="G611" t="str">
        <f>""</f>
        <v/>
      </c>
      <c r="I611" t="str">
        <f>"210-AKJR"</f>
        <v>210-AKJR</v>
      </c>
    </row>
    <row r="612" spans="1:9" x14ac:dyDescent="0.3">
      <c r="A612" t="str">
        <f>"005434"</f>
        <v>005434</v>
      </c>
      <c r="B612" t="s">
        <v>163</v>
      </c>
      <c r="C612">
        <v>75385</v>
      </c>
      <c r="D612" s="2">
        <v>50</v>
      </c>
      <c r="E612" s="1">
        <v>43157</v>
      </c>
      <c r="F612" t="str">
        <f>"201802218824"</f>
        <v>201802218824</v>
      </c>
      <c r="G612" t="str">
        <f>"REFUND SHELTER FEES"</f>
        <v>REFUND SHELTER FEES</v>
      </c>
      <c r="H612" s="2">
        <v>50</v>
      </c>
      <c r="I612" t="str">
        <f>"REFUND SHELTER FEES"</f>
        <v>REFUND SHELTER FEES</v>
      </c>
    </row>
    <row r="613" spans="1:9" x14ac:dyDescent="0.3">
      <c r="A613" t="str">
        <f>"DENTRU"</f>
        <v>DENTRU</v>
      </c>
      <c r="B613" t="s">
        <v>164</v>
      </c>
      <c r="C613">
        <v>999999</v>
      </c>
      <c r="D613" s="2">
        <v>1385</v>
      </c>
      <c r="E613" s="1">
        <v>43144</v>
      </c>
      <c r="F613" t="str">
        <f>"BATX015118"</f>
        <v>BATX015118</v>
      </c>
      <c r="G613" t="str">
        <f>"INV BATX015118"</f>
        <v>INV BATX015118</v>
      </c>
      <c r="H613" s="2">
        <v>1385</v>
      </c>
      <c r="I613" t="str">
        <f>"INV BATX015118"</f>
        <v>INV BATX015118</v>
      </c>
    </row>
    <row r="614" spans="1:9" x14ac:dyDescent="0.3">
      <c r="A614" t="str">
        <f>"DENTRU"</f>
        <v>DENTRU</v>
      </c>
      <c r="B614" t="s">
        <v>164</v>
      </c>
      <c r="C614">
        <v>999999</v>
      </c>
      <c r="D614" s="2">
        <v>2015</v>
      </c>
      <c r="E614" s="1">
        <v>43158</v>
      </c>
      <c r="F614" t="str">
        <f>"BATX015174"</f>
        <v>BATX015174</v>
      </c>
      <c r="G614" t="str">
        <f>"INV BATX015174"</f>
        <v>INV BATX015174</v>
      </c>
      <c r="H614" s="2">
        <v>2015</v>
      </c>
      <c r="I614" t="str">
        <f>"INV BATX015174"</f>
        <v>INV BATX015174</v>
      </c>
    </row>
    <row r="615" spans="1:9" x14ac:dyDescent="0.3">
      <c r="A615" t="str">
        <f>"004311"</f>
        <v>004311</v>
      </c>
      <c r="B615" t="s">
        <v>165</v>
      </c>
      <c r="C615">
        <v>75084</v>
      </c>
      <c r="D615" s="2">
        <v>20</v>
      </c>
      <c r="E615" s="1">
        <v>43143</v>
      </c>
      <c r="F615" t="str">
        <f>"201802018401"</f>
        <v>201802018401</v>
      </c>
      <c r="G615" t="str">
        <f>"FERAL HOGS"</f>
        <v>FERAL HOGS</v>
      </c>
      <c r="H615" s="2">
        <v>20</v>
      </c>
      <c r="I615" t="str">
        <f>"FERAL HOGS"</f>
        <v>FERAL HOGS</v>
      </c>
    </row>
    <row r="616" spans="1:9" x14ac:dyDescent="0.3">
      <c r="A616" t="str">
        <f>"005381"</f>
        <v>005381</v>
      </c>
      <c r="B616" t="s">
        <v>143</v>
      </c>
      <c r="C616">
        <v>75085</v>
      </c>
      <c r="D616" s="2">
        <v>380</v>
      </c>
      <c r="E616" s="1">
        <v>43143</v>
      </c>
      <c r="F616" t="str">
        <f>"1610000341-1/35-1"</f>
        <v>1610000341-1/35-1</v>
      </c>
      <c r="G616" t="str">
        <f>"1610000341-1/161000035-1"</f>
        <v>1610000341-1/161000035-1</v>
      </c>
      <c r="H616" s="2">
        <v>380</v>
      </c>
      <c r="I616" t="str">
        <f>"1610000341-1"</f>
        <v>1610000341-1</v>
      </c>
    </row>
    <row r="617" spans="1:9" x14ac:dyDescent="0.3">
      <c r="A617" t="str">
        <f>""</f>
        <v/>
      </c>
      <c r="F617" t="str">
        <f>""</f>
        <v/>
      </c>
      <c r="G617" t="str">
        <f>""</f>
        <v/>
      </c>
      <c r="I617" t="str">
        <f>"161000035-1"</f>
        <v>161000035-1</v>
      </c>
    </row>
    <row r="618" spans="1:9" x14ac:dyDescent="0.3">
      <c r="A618" t="str">
        <f>"T5686"</f>
        <v>T5686</v>
      </c>
      <c r="B618" t="s">
        <v>166</v>
      </c>
      <c r="C618">
        <v>75086</v>
      </c>
      <c r="D618" s="2">
        <v>241</v>
      </c>
      <c r="E618" s="1">
        <v>43143</v>
      </c>
      <c r="F618" t="str">
        <f>"24129"</f>
        <v>24129</v>
      </c>
      <c r="G618" t="str">
        <f>"LOCK SVCS/GEN SVCS"</f>
        <v>LOCK SVCS/GEN SVCS</v>
      </c>
      <c r="H618" s="2">
        <v>91</v>
      </c>
      <c r="I618" t="str">
        <f>"LOCK SVCS/GEN SVCS"</f>
        <v>LOCK SVCS/GEN SVCS</v>
      </c>
    </row>
    <row r="619" spans="1:9" x14ac:dyDescent="0.3">
      <c r="A619" t="str">
        <f>""</f>
        <v/>
      </c>
      <c r="F619" t="str">
        <f>"24143"</f>
        <v>24143</v>
      </c>
      <c r="G619" t="str">
        <f>"KEY SVCS/GEN SVCS"</f>
        <v>KEY SVCS/GEN SVCS</v>
      </c>
      <c r="H619" s="2">
        <v>110</v>
      </c>
      <c r="I619" t="str">
        <f>"KEY SVCS/GEN SVCS"</f>
        <v>KEY SVCS/GEN SVCS</v>
      </c>
    </row>
    <row r="620" spans="1:9" x14ac:dyDescent="0.3">
      <c r="A620" t="str">
        <f>""</f>
        <v/>
      </c>
      <c r="F620" t="str">
        <f>"24159"</f>
        <v>24159</v>
      </c>
      <c r="G620" t="str">
        <f>"DUPLICATE KEYS/PCT#3"</f>
        <v>DUPLICATE KEYS/PCT#3</v>
      </c>
      <c r="H620" s="2">
        <v>32</v>
      </c>
      <c r="I620" t="str">
        <f>"DUPLICATE KEYS/PCT#3"</f>
        <v>DUPLICATE KEYS/PCT#3</v>
      </c>
    </row>
    <row r="621" spans="1:9" x14ac:dyDescent="0.3">
      <c r="A621" t="str">
        <f>""</f>
        <v/>
      </c>
      <c r="F621" t="str">
        <f>"INV24175"</f>
        <v>INV24175</v>
      </c>
      <c r="G621" t="str">
        <f>"INV 24175"</f>
        <v>INV 24175</v>
      </c>
      <c r="H621" s="2">
        <v>8</v>
      </c>
      <c r="I621" t="str">
        <f>"INV 24175"</f>
        <v>INV 24175</v>
      </c>
    </row>
    <row r="622" spans="1:9" x14ac:dyDescent="0.3">
      <c r="A622" t="str">
        <f>"T5686"</f>
        <v>T5686</v>
      </c>
      <c r="B622" t="s">
        <v>166</v>
      </c>
      <c r="C622">
        <v>75386</v>
      </c>
      <c r="D622" s="2">
        <v>765.05</v>
      </c>
      <c r="E622" s="1">
        <v>43157</v>
      </c>
      <c r="F622" t="str">
        <f>"24148"</f>
        <v>24148</v>
      </c>
      <c r="G622" t="str">
        <f>"LOCK OUT/DUP KEYS/GEN SVCS"</f>
        <v>LOCK OUT/DUP KEYS/GEN SVCS</v>
      </c>
      <c r="H622" s="2">
        <v>70</v>
      </c>
      <c r="I622" t="str">
        <f>"LOCK OUT/DUP KEYS/GEN SVCS"</f>
        <v>LOCK OUT/DUP KEYS/GEN SVCS</v>
      </c>
    </row>
    <row r="623" spans="1:9" x14ac:dyDescent="0.3">
      <c r="A623" t="str">
        <f>""</f>
        <v/>
      </c>
      <c r="F623" t="str">
        <f>"24176"</f>
        <v>24176</v>
      </c>
      <c r="G623" t="str">
        <f>"LOCK SVCS/GN SVCS"</f>
        <v>LOCK SVCS/GN SVCS</v>
      </c>
      <c r="H623" s="2">
        <v>108.85</v>
      </c>
      <c r="I623" t="str">
        <f>"LOCK SVCS/GN SVCS"</f>
        <v>LOCK SVCS/GN SVCS</v>
      </c>
    </row>
    <row r="624" spans="1:9" x14ac:dyDescent="0.3">
      <c r="A624" t="str">
        <f>""</f>
        <v/>
      </c>
      <c r="F624" t="str">
        <f>"24194/24212"</f>
        <v>24194/24212</v>
      </c>
      <c r="G624" t="str">
        <f>"Inv# 24194  24212"</f>
        <v>Inv# 24194  24212</v>
      </c>
      <c r="H624" s="2">
        <v>180</v>
      </c>
      <c r="I624" t="str">
        <f>"Inv# 24194"</f>
        <v>Inv# 24194</v>
      </c>
    </row>
    <row r="625" spans="1:9" x14ac:dyDescent="0.3">
      <c r="A625" t="str">
        <f>""</f>
        <v/>
      </c>
      <c r="F625" t="str">
        <f>""</f>
        <v/>
      </c>
      <c r="G625" t="str">
        <f>""</f>
        <v/>
      </c>
      <c r="I625" t="str">
        <f>"Inv# 24212"</f>
        <v>Inv# 24212</v>
      </c>
    </row>
    <row r="626" spans="1:9" x14ac:dyDescent="0.3">
      <c r="A626" t="str">
        <f>""</f>
        <v/>
      </c>
      <c r="F626" t="str">
        <f>"24195"</f>
        <v>24195</v>
      </c>
      <c r="G626" t="str">
        <f>"DUPLICATE KEYS/GEN SVCS"</f>
        <v>DUPLICATE KEYS/GEN SVCS</v>
      </c>
      <c r="H626" s="2">
        <v>99</v>
      </c>
      <c r="I626" t="str">
        <f>"DUPLICATE KEYS/GEN SVCS"</f>
        <v>DUPLICATE KEYS/GEN SVCS</v>
      </c>
    </row>
    <row r="627" spans="1:9" x14ac:dyDescent="0.3">
      <c r="A627" t="str">
        <f>""</f>
        <v/>
      </c>
      <c r="F627" t="str">
        <f>"24198"</f>
        <v>24198</v>
      </c>
      <c r="G627" t="str">
        <f>"CUSTOM KEYS/PCT#3"</f>
        <v>CUSTOM KEYS/PCT#3</v>
      </c>
      <c r="H627" s="2">
        <v>307.2</v>
      </c>
      <c r="I627" t="str">
        <f>"CUSTOM KEYS/PCT#3"</f>
        <v>CUSTOM KEYS/PCT#3</v>
      </c>
    </row>
    <row r="628" spans="1:9" x14ac:dyDescent="0.3">
      <c r="A628" t="str">
        <f>"001911"</f>
        <v>001911</v>
      </c>
      <c r="B628" t="s">
        <v>167</v>
      </c>
      <c r="C628">
        <v>75087</v>
      </c>
      <c r="D628" s="2">
        <v>2342.2399999999998</v>
      </c>
      <c r="E628" s="1">
        <v>43143</v>
      </c>
      <c r="F628" t="str">
        <f>"18121120N"</f>
        <v>18121120N</v>
      </c>
      <c r="G628" t="str">
        <f>"CUST CODE:PKE5000"</f>
        <v>CUST CODE:PKE5000</v>
      </c>
      <c r="H628" s="2">
        <v>2342.2399999999998</v>
      </c>
      <c r="I628" t="str">
        <f>"CUST CODE:PKE5000"</f>
        <v>CUST CODE:PKE5000</v>
      </c>
    </row>
    <row r="629" spans="1:9" x14ac:dyDescent="0.3">
      <c r="A629" t="str">
        <f>""</f>
        <v/>
      </c>
      <c r="F629" t="str">
        <f>""</f>
        <v/>
      </c>
      <c r="G629" t="str">
        <f>""</f>
        <v/>
      </c>
      <c r="I629" t="str">
        <f>"CUST CODE:PKE5000"</f>
        <v>CUST CODE:PKE5000</v>
      </c>
    </row>
    <row r="630" spans="1:9" x14ac:dyDescent="0.3">
      <c r="A630" t="str">
        <f>"001911"</f>
        <v>001911</v>
      </c>
      <c r="B630" t="s">
        <v>167</v>
      </c>
      <c r="C630">
        <v>75387</v>
      </c>
      <c r="D630" s="2">
        <v>2313.6</v>
      </c>
      <c r="E630" s="1">
        <v>43157</v>
      </c>
      <c r="F630" t="str">
        <f>"18011120N"</f>
        <v>18011120N</v>
      </c>
      <c r="G630" t="str">
        <f>"ID#33133133133000/CUST:PKE5000"</f>
        <v>ID#33133133133000/CUST:PKE5000</v>
      </c>
      <c r="H630" s="2">
        <v>2313.6</v>
      </c>
      <c r="I630" t="str">
        <f>"ID#33133133133000/CUST:PKE5000"</f>
        <v>ID#33133133133000/CUST:PKE5000</v>
      </c>
    </row>
    <row r="631" spans="1:9" x14ac:dyDescent="0.3">
      <c r="A631" t="str">
        <f>""</f>
        <v/>
      </c>
      <c r="F631" t="str">
        <f>""</f>
        <v/>
      </c>
      <c r="G631" t="str">
        <f>""</f>
        <v/>
      </c>
      <c r="I631" t="str">
        <f>"ID#33133133133000/CUST:PKE5000"</f>
        <v>ID#33133133133000/CUST:PKE5000</v>
      </c>
    </row>
    <row r="632" spans="1:9" x14ac:dyDescent="0.3">
      <c r="A632" t="str">
        <f>"000573"</f>
        <v>000573</v>
      </c>
      <c r="B632" t="s">
        <v>168</v>
      </c>
      <c r="C632">
        <v>75088</v>
      </c>
      <c r="D632" s="2">
        <v>876.57</v>
      </c>
      <c r="E632" s="1">
        <v>43143</v>
      </c>
      <c r="F632" t="str">
        <f>"15382"</f>
        <v>15382</v>
      </c>
      <c r="G632" t="str">
        <f>"Walk Door"</f>
        <v>Walk Door</v>
      </c>
      <c r="H632" s="2">
        <v>552.17999999999995</v>
      </c>
      <c r="I632" t="str">
        <f>"4070 Walk Door"</f>
        <v>4070 Walk Door</v>
      </c>
    </row>
    <row r="633" spans="1:9" x14ac:dyDescent="0.3">
      <c r="A633" t="str">
        <f>""</f>
        <v/>
      </c>
      <c r="F633" t="str">
        <f>"93879"</f>
        <v>93879</v>
      </c>
      <c r="G633" t="str">
        <f>"PARTS/PCT#3"</f>
        <v>PARTS/PCT#3</v>
      </c>
      <c r="H633" s="2">
        <v>324.39</v>
      </c>
      <c r="I633" t="str">
        <f>"PARTS/PCT#3"</f>
        <v>PARTS/PCT#3</v>
      </c>
    </row>
    <row r="634" spans="1:9" x14ac:dyDescent="0.3">
      <c r="A634" t="str">
        <f>"002868"</f>
        <v>002868</v>
      </c>
      <c r="B634" t="s">
        <v>169</v>
      </c>
      <c r="C634">
        <v>75089</v>
      </c>
      <c r="D634" s="2">
        <v>23</v>
      </c>
      <c r="E634" s="1">
        <v>43143</v>
      </c>
      <c r="F634" t="str">
        <f>"201801238201"</f>
        <v>201801238201</v>
      </c>
      <c r="G634" t="str">
        <f>"ACCT#27917/2008 FORD/TIRE REPL"</f>
        <v>ACCT#27917/2008 FORD/TIRE REPL</v>
      </c>
      <c r="H634" s="2">
        <v>23</v>
      </c>
      <c r="I634" t="str">
        <f>"ACCT#27917/2008 FORD/TIRE REPL"</f>
        <v>ACCT#27917/2008 FORD/TIRE REPL</v>
      </c>
    </row>
    <row r="635" spans="1:9" x14ac:dyDescent="0.3">
      <c r="A635" t="str">
        <f>"004924"</f>
        <v>004924</v>
      </c>
      <c r="B635" t="s">
        <v>170</v>
      </c>
      <c r="C635">
        <v>75388</v>
      </c>
      <c r="D635" s="2">
        <v>749.4</v>
      </c>
      <c r="E635" s="1">
        <v>43157</v>
      </c>
      <c r="F635" t="str">
        <f>"201802218818"</f>
        <v>201802218818</v>
      </c>
      <c r="G635" t="str">
        <f>"ACCT#405900029225/03012018"</f>
        <v>ACCT#405900029225/03012018</v>
      </c>
      <c r="H635" s="2">
        <v>187.35</v>
      </c>
      <c r="I635" t="str">
        <f>"ACCT#405900029225/03012018"</f>
        <v>ACCT#405900029225/03012018</v>
      </c>
    </row>
    <row r="636" spans="1:9" x14ac:dyDescent="0.3">
      <c r="A636" t="str">
        <f>""</f>
        <v/>
      </c>
      <c r="F636" t="str">
        <f>"201802218819"</f>
        <v>201802218819</v>
      </c>
      <c r="G636" t="str">
        <f>"ACCT#405900029213/03012018"</f>
        <v>ACCT#405900029213/03012018</v>
      </c>
      <c r="H636" s="2">
        <v>374.7</v>
      </c>
      <c r="I636" t="str">
        <f>"ACCT#405900029213/03012018"</f>
        <v>ACCT#405900029213/03012018</v>
      </c>
    </row>
    <row r="637" spans="1:9" x14ac:dyDescent="0.3">
      <c r="A637" t="str">
        <f>""</f>
        <v/>
      </c>
      <c r="F637" t="str">
        <f>"201802218829"</f>
        <v>201802218829</v>
      </c>
      <c r="G637" t="str">
        <f>"ACCT#405900028789/03012018"</f>
        <v>ACCT#405900028789/03012018</v>
      </c>
      <c r="H637" s="2">
        <v>187.35</v>
      </c>
      <c r="I637" t="str">
        <f>"ACCT#405900028789/03012018"</f>
        <v>ACCT#405900028789/03012018</v>
      </c>
    </row>
    <row r="638" spans="1:9" x14ac:dyDescent="0.3">
      <c r="A638" t="str">
        <f>"003853"</f>
        <v>003853</v>
      </c>
      <c r="B638" t="s">
        <v>171</v>
      </c>
      <c r="C638">
        <v>75314</v>
      </c>
      <c r="D638" s="2">
        <v>115</v>
      </c>
      <c r="E638" s="1">
        <v>43147</v>
      </c>
      <c r="F638" t="str">
        <f>"201802158781"</f>
        <v>201802158781</v>
      </c>
      <c r="G638" t="str">
        <f>"PER DIEM - 02/25-28/18"</f>
        <v>PER DIEM - 02/25-28/18</v>
      </c>
      <c r="H638" s="2">
        <v>115</v>
      </c>
      <c r="I638" t="str">
        <f>"PER DIEM - 02/25-28/18"</f>
        <v>PER DIEM - 02/25-28/18</v>
      </c>
    </row>
    <row r="639" spans="1:9" x14ac:dyDescent="0.3">
      <c r="A639" t="str">
        <f>"T13918"</f>
        <v>T13918</v>
      </c>
      <c r="B639" t="s">
        <v>172</v>
      </c>
      <c r="C639">
        <v>75389</v>
      </c>
      <c r="D639" s="2">
        <v>373</v>
      </c>
      <c r="E639" s="1">
        <v>43157</v>
      </c>
      <c r="F639" t="str">
        <f>"31342"</f>
        <v>31342</v>
      </c>
      <c r="G639" t="str">
        <f>"MESH TARP/PCT#2"</f>
        <v>MESH TARP/PCT#2</v>
      </c>
      <c r="H639" s="2">
        <v>373</v>
      </c>
      <c r="I639" t="str">
        <f>"MESH TARP/PCT#2"</f>
        <v>MESH TARP/PCT#2</v>
      </c>
    </row>
    <row r="640" spans="1:9" x14ac:dyDescent="0.3">
      <c r="A640" t="str">
        <f>"T9323"</f>
        <v>T9323</v>
      </c>
      <c r="B640" t="s">
        <v>173</v>
      </c>
      <c r="C640">
        <v>999999</v>
      </c>
      <c r="D640" s="2">
        <v>4350</v>
      </c>
      <c r="E640" s="1">
        <v>43144</v>
      </c>
      <c r="F640" t="str">
        <f>"201801248219"</f>
        <v>201801248219</v>
      </c>
      <c r="G640" t="str">
        <f>"16387"</f>
        <v>16387</v>
      </c>
      <c r="H640" s="2">
        <v>400</v>
      </c>
      <c r="I640" t="str">
        <f>"16387"</f>
        <v>16387</v>
      </c>
    </row>
    <row r="641" spans="1:9" x14ac:dyDescent="0.3">
      <c r="A641" t="str">
        <f>""</f>
        <v/>
      </c>
      <c r="F641" t="str">
        <f>"201801248220"</f>
        <v>201801248220</v>
      </c>
      <c r="G641" t="str">
        <f>"16432"</f>
        <v>16432</v>
      </c>
      <c r="H641" s="2">
        <v>400</v>
      </c>
      <c r="I641" t="str">
        <f>"16432"</f>
        <v>16432</v>
      </c>
    </row>
    <row r="642" spans="1:9" x14ac:dyDescent="0.3">
      <c r="A642" t="str">
        <f>""</f>
        <v/>
      </c>
      <c r="F642" t="str">
        <f>"201801308288"</f>
        <v>201801308288</v>
      </c>
      <c r="G642" t="str">
        <f>"17-18764"</f>
        <v>17-18764</v>
      </c>
      <c r="H642" s="2">
        <v>150</v>
      </c>
      <c r="I642" t="str">
        <f>"17-18764"</f>
        <v>17-18764</v>
      </c>
    </row>
    <row r="643" spans="1:9" x14ac:dyDescent="0.3">
      <c r="A643" t="str">
        <f>""</f>
        <v/>
      </c>
      <c r="F643" t="str">
        <f>"201801308289"</f>
        <v>201801308289</v>
      </c>
      <c r="G643" t="str">
        <f>"55342"</f>
        <v>55342</v>
      </c>
      <c r="H643" s="2">
        <v>250</v>
      </c>
      <c r="I643" t="str">
        <f>"55342"</f>
        <v>55342</v>
      </c>
    </row>
    <row r="644" spans="1:9" x14ac:dyDescent="0.3">
      <c r="A644" t="str">
        <f>""</f>
        <v/>
      </c>
      <c r="F644" t="str">
        <f>"201801308290"</f>
        <v>201801308290</v>
      </c>
      <c r="G644" t="str">
        <f>"55655"</f>
        <v>55655</v>
      </c>
      <c r="H644" s="2">
        <v>250</v>
      </c>
      <c r="I644" t="str">
        <f>"55655"</f>
        <v>55655</v>
      </c>
    </row>
    <row r="645" spans="1:9" x14ac:dyDescent="0.3">
      <c r="A645" t="str">
        <f>""</f>
        <v/>
      </c>
      <c r="F645" t="str">
        <f>"201801308291"</f>
        <v>201801308291</v>
      </c>
      <c r="G645" t="str">
        <f>"02-1214-2-15"</f>
        <v>02-1214-2-15</v>
      </c>
      <c r="H645" s="2">
        <v>250</v>
      </c>
      <c r="I645" t="str">
        <f>"02-1214-2-15"</f>
        <v>02-1214-2-15</v>
      </c>
    </row>
    <row r="646" spans="1:9" x14ac:dyDescent="0.3">
      <c r="A646" t="str">
        <f>""</f>
        <v/>
      </c>
      <c r="F646" t="str">
        <f>"201801308292"</f>
        <v>201801308292</v>
      </c>
      <c r="G646" t="str">
        <f>"CH-20170806"</f>
        <v>CH-20170806</v>
      </c>
      <c r="H646" s="2">
        <v>250</v>
      </c>
      <c r="I646" t="str">
        <f>"CH-20170806"</f>
        <v>CH-20170806</v>
      </c>
    </row>
    <row r="647" spans="1:9" x14ac:dyDescent="0.3">
      <c r="A647" t="str">
        <f>""</f>
        <v/>
      </c>
      <c r="F647" t="str">
        <f>"201801308293"</f>
        <v>201801308293</v>
      </c>
      <c r="G647" t="str">
        <f>"CH20170928"</f>
        <v>CH20170928</v>
      </c>
      <c r="H647" s="2">
        <v>250</v>
      </c>
      <c r="I647" t="str">
        <f>"CH20170928"</f>
        <v>CH20170928</v>
      </c>
    </row>
    <row r="648" spans="1:9" x14ac:dyDescent="0.3">
      <c r="A648" t="str">
        <f>""</f>
        <v/>
      </c>
      <c r="F648" t="str">
        <f>"201801308294"</f>
        <v>201801308294</v>
      </c>
      <c r="G648" t="str">
        <f>"15-S-07798/16-S-00234/1JP-1650"</f>
        <v>15-S-07798/16-S-00234/1JP-1650</v>
      </c>
      <c r="H648" s="2">
        <v>500</v>
      </c>
      <c r="I648" t="str">
        <f>"15-S-07798/16-S-00234/1JP-1650"</f>
        <v>15-S-07798/16-S-00234/1JP-1650</v>
      </c>
    </row>
    <row r="649" spans="1:9" x14ac:dyDescent="0.3">
      <c r="A649" t="str">
        <f>""</f>
        <v/>
      </c>
      <c r="F649" t="str">
        <f>"201801308295"</f>
        <v>201801308295</v>
      </c>
      <c r="G649" t="str">
        <f>"55343/55344/1JP5716B"</f>
        <v>55343/55344/1JP5716B</v>
      </c>
      <c r="H649" s="2">
        <v>500</v>
      </c>
      <c r="I649" t="str">
        <f>"55343/55344/1JP5716B"</f>
        <v>55343/55344/1JP5716B</v>
      </c>
    </row>
    <row r="650" spans="1:9" x14ac:dyDescent="0.3">
      <c r="A650" t="str">
        <f>""</f>
        <v/>
      </c>
      <c r="F650" t="str">
        <f>"201801308296"</f>
        <v>201801308296</v>
      </c>
      <c r="G650" t="str">
        <f>"17-18579"</f>
        <v>17-18579</v>
      </c>
      <c r="H650" s="2">
        <v>150</v>
      </c>
      <c r="I650" t="str">
        <f>"17-18579"</f>
        <v>17-18579</v>
      </c>
    </row>
    <row r="651" spans="1:9" x14ac:dyDescent="0.3">
      <c r="A651" t="str">
        <f>""</f>
        <v/>
      </c>
      <c r="F651" t="str">
        <f>"201802018446"</f>
        <v>201802018446</v>
      </c>
      <c r="G651" t="str">
        <f>"16427"</f>
        <v>16427</v>
      </c>
      <c r="H651" s="2">
        <v>400</v>
      </c>
      <c r="I651" t="str">
        <f>"16427"</f>
        <v>16427</v>
      </c>
    </row>
    <row r="652" spans="1:9" x14ac:dyDescent="0.3">
      <c r="A652" t="str">
        <f>""</f>
        <v/>
      </c>
      <c r="F652" t="str">
        <f>"201802028451"</f>
        <v>201802028451</v>
      </c>
      <c r="G652" t="str">
        <f>"17-18617"</f>
        <v>17-18617</v>
      </c>
      <c r="H652" s="2">
        <v>100</v>
      </c>
      <c r="I652" t="str">
        <f>"17-18617"</f>
        <v>17-18617</v>
      </c>
    </row>
    <row r="653" spans="1:9" x14ac:dyDescent="0.3">
      <c r="A653" t="str">
        <f>""</f>
        <v/>
      </c>
      <c r="F653" t="str">
        <f>"201802028459"</f>
        <v>201802028459</v>
      </c>
      <c r="G653" t="str">
        <f>"J-3110"</f>
        <v>J-3110</v>
      </c>
      <c r="H653" s="2">
        <v>250</v>
      </c>
      <c r="I653" t="str">
        <f>"J-3110"</f>
        <v>J-3110</v>
      </c>
    </row>
    <row r="654" spans="1:9" x14ac:dyDescent="0.3">
      <c r="A654" t="str">
        <f>""</f>
        <v/>
      </c>
      <c r="F654" t="str">
        <f>"201802028460"</f>
        <v>201802028460</v>
      </c>
      <c r="G654" t="str">
        <f>"J-3115"</f>
        <v>J-3115</v>
      </c>
      <c r="H654" s="2">
        <v>250</v>
      </c>
      <c r="I654" t="str">
        <f>"J-3115"</f>
        <v>J-3115</v>
      </c>
    </row>
    <row r="655" spans="1:9" x14ac:dyDescent="0.3">
      <c r="A655" t="str">
        <f>"T9323"</f>
        <v>T9323</v>
      </c>
      <c r="B655" t="s">
        <v>173</v>
      </c>
      <c r="C655">
        <v>999999</v>
      </c>
      <c r="D655" s="2">
        <v>9737.5</v>
      </c>
      <c r="E655" s="1">
        <v>43158</v>
      </c>
      <c r="F655" t="str">
        <f>"201802148699"</f>
        <v>201802148699</v>
      </c>
      <c r="G655" t="str">
        <f>"423-5519"</f>
        <v>423-5519</v>
      </c>
      <c r="H655" s="2">
        <v>100</v>
      </c>
      <c r="I655" t="str">
        <f>"423-5519"</f>
        <v>423-5519</v>
      </c>
    </row>
    <row r="656" spans="1:9" x14ac:dyDescent="0.3">
      <c r="A656" t="str">
        <f>""</f>
        <v/>
      </c>
      <c r="F656" t="str">
        <f>"201802148700"</f>
        <v>201802148700</v>
      </c>
      <c r="G656" t="str">
        <f>"AC 2017 1215"</f>
        <v>AC 2017 1215</v>
      </c>
      <c r="H656" s="2">
        <v>400</v>
      </c>
      <c r="I656" t="str">
        <f>"AC 2017 1215"</f>
        <v>AC 2017 1215</v>
      </c>
    </row>
    <row r="657" spans="1:9" x14ac:dyDescent="0.3">
      <c r="A657" t="str">
        <f>""</f>
        <v/>
      </c>
      <c r="F657" t="str">
        <f>"201802148701"</f>
        <v>201802148701</v>
      </c>
      <c r="G657" t="str">
        <f>"16405"</f>
        <v>16405</v>
      </c>
      <c r="H657" s="2">
        <v>400</v>
      </c>
      <c r="I657" t="str">
        <f>"16405"</f>
        <v>16405</v>
      </c>
    </row>
    <row r="658" spans="1:9" x14ac:dyDescent="0.3">
      <c r="A658" t="str">
        <f>""</f>
        <v/>
      </c>
      <c r="F658" t="str">
        <f>"201802148702"</f>
        <v>201802148702</v>
      </c>
      <c r="G658" t="str">
        <f>"9789"</f>
        <v>9789</v>
      </c>
      <c r="H658" s="2">
        <v>400</v>
      </c>
      <c r="I658" t="str">
        <f>"9789"</f>
        <v>9789</v>
      </c>
    </row>
    <row r="659" spans="1:9" x14ac:dyDescent="0.3">
      <c r="A659" t="str">
        <f>""</f>
        <v/>
      </c>
      <c r="F659" t="str">
        <f>"201802148703"</f>
        <v>201802148703</v>
      </c>
      <c r="G659" t="str">
        <f>"DCPC-15-019"</f>
        <v>DCPC-15-019</v>
      </c>
      <c r="H659" s="2">
        <v>600</v>
      </c>
      <c r="I659" t="str">
        <f>"DCPC-15-019"</f>
        <v>DCPC-15-019</v>
      </c>
    </row>
    <row r="660" spans="1:9" x14ac:dyDescent="0.3">
      <c r="A660" t="str">
        <f>""</f>
        <v/>
      </c>
      <c r="F660" t="str">
        <f>"201802148704"</f>
        <v>201802148704</v>
      </c>
      <c r="G660" t="str">
        <f>"4081864"</f>
        <v>4081864</v>
      </c>
      <c r="H660" s="2">
        <v>600</v>
      </c>
      <c r="I660" t="str">
        <f>"4081864"</f>
        <v>4081864</v>
      </c>
    </row>
    <row r="661" spans="1:9" x14ac:dyDescent="0.3">
      <c r="A661" t="str">
        <f>""</f>
        <v/>
      </c>
      <c r="F661" t="str">
        <f>"201802148705"</f>
        <v>201802148705</v>
      </c>
      <c r="G661" t="str">
        <f>"423-3547"</f>
        <v>423-3547</v>
      </c>
      <c r="H661" s="2">
        <v>100</v>
      </c>
      <c r="I661" t="str">
        <f>"423-3547"</f>
        <v>423-3547</v>
      </c>
    </row>
    <row r="662" spans="1:9" x14ac:dyDescent="0.3">
      <c r="A662" t="str">
        <f>""</f>
        <v/>
      </c>
      <c r="F662" t="str">
        <f>"201802148730"</f>
        <v>201802148730</v>
      </c>
      <c r="G662" t="str">
        <f>"04-8662"</f>
        <v>04-8662</v>
      </c>
      <c r="H662" s="2">
        <v>175</v>
      </c>
      <c r="I662" t="str">
        <f>"04-8662"</f>
        <v>04-8662</v>
      </c>
    </row>
    <row r="663" spans="1:9" x14ac:dyDescent="0.3">
      <c r="A663" t="str">
        <f>""</f>
        <v/>
      </c>
      <c r="F663" t="str">
        <f>"201802148731"</f>
        <v>201802148731</v>
      </c>
      <c r="G663" t="str">
        <f>"17-18764"</f>
        <v>17-18764</v>
      </c>
      <c r="H663" s="2">
        <v>100</v>
      </c>
      <c r="I663" t="str">
        <f>"17-18764"</f>
        <v>17-18764</v>
      </c>
    </row>
    <row r="664" spans="1:9" x14ac:dyDescent="0.3">
      <c r="A664" t="str">
        <f>""</f>
        <v/>
      </c>
      <c r="F664" t="str">
        <f>"201802148732"</f>
        <v>201802148732</v>
      </c>
      <c r="G664" t="str">
        <f>"55625"</f>
        <v>55625</v>
      </c>
      <c r="H664" s="2">
        <v>250</v>
      </c>
      <c r="I664" t="str">
        <f>"55625"</f>
        <v>55625</v>
      </c>
    </row>
    <row r="665" spans="1:9" x14ac:dyDescent="0.3">
      <c r="A665" t="str">
        <f>""</f>
        <v/>
      </c>
      <c r="F665" t="str">
        <f>"201802148733"</f>
        <v>201802148733</v>
      </c>
      <c r="G665" t="str">
        <f>"06-10870"</f>
        <v>06-10870</v>
      </c>
      <c r="H665" s="2">
        <v>175</v>
      </c>
      <c r="I665" t="str">
        <f>"06-10870"</f>
        <v>06-10870</v>
      </c>
    </row>
    <row r="666" spans="1:9" x14ac:dyDescent="0.3">
      <c r="A666" t="str">
        <f>""</f>
        <v/>
      </c>
      <c r="F666" t="str">
        <f>"201802148734"</f>
        <v>201802148734</v>
      </c>
      <c r="G666" t="str">
        <f>"18-18857"</f>
        <v>18-18857</v>
      </c>
      <c r="H666" s="2">
        <v>100</v>
      </c>
      <c r="I666" t="str">
        <f>"18-18857"</f>
        <v>18-18857</v>
      </c>
    </row>
    <row r="667" spans="1:9" x14ac:dyDescent="0.3">
      <c r="A667" t="str">
        <f>""</f>
        <v/>
      </c>
      <c r="F667" t="str">
        <f>"201802148735"</f>
        <v>201802148735</v>
      </c>
      <c r="G667" t="str">
        <f>"CH-20180131-B"</f>
        <v>CH-20180131-B</v>
      </c>
      <c r="H667" s="2">
        <v>250</v>
      </c>
      <c r="I667" t="str">
        <f>"CH-20180131-B"</f>
        <v>CH-20180131-B</v>
      </c>
    </row>
    <row r="668" spans="1:9" x14ac:dyDescent="0.3">
      <c r="A668" t="str">
        <f>""</f>
        <v/>
      </c>
      <c r="F668" t="str">
        <f>"201802148736"</f>
        <v>201802148736</v>
      </c>
      <c r="G668" t="str">
        <f>"17-18493"</f>
        <v>17-18493</v>
      </c>
      <c r="H668" s="2">
        <v>100</v>
      </c>
      <c r="I668" t="str">
        <f>"17-18493"</f>
        <v>17-18493</v>
      </c>
    </row>
    <row r="669" spans="1:9" x14ac:dyDescent="0.3">
      <c r="A669" t="str">
        <f>""</f>
        <v/>
      </c>
      <c r="F669" t="str">
        <f>"201802148737"</f>
        <v>201802148737</v>
      </c>
      <c r="G669" t="str">
        <f>"17-18317"</f>
        <v>17-18317</v>
      </c>
      <c r="H669" s="2">
        <v>137.5</v>
      </c>
      <c r="I669" t="str">
        <f>"17-18317"</f>
        <v>17-18317</v>
      </c>
    </row>
    <row r="670" spans="1:9" x14ac:dyDescent="0.3">
      <c r="A670" t="str">
        <f>""</f>
        <v/>
      </c>
      <c r="F670" t="str">
        <f>"201802158763"</f>
        <v>201802158763</v>
      </c>
      <c r="G670" t="str">
        <f>"14645"</f>
        <v>14645</v>
      </c>
      <c r="H670" s="2">
        <v>4900</v>
      </c>
      <c r="I670" t="str">
        <f>"14645"</f>
        <v>14645</v>
      </c>
    </row>
    <row r="671" spans="1:9" x14ac:dyDescent="0.3">
      <c r="A671" t="str">
        <f>""</f>
        <v/>
      </c>
      <c r="F671" t="str">
        <f>"201802158764"</f>
        <v>201802158764</v>
      </c>
      <c r="G671" t="str">
        <f>"13674"</f>
        <v>13674</v>
      </c>
      <c r="H671" s="2">
        <v>400</v>
      </c>
      <c r="I671" t="str">
        <f>"13674"</f>
        <v>13674</v>
      </c>
    </row>
    <row r="672" spans="1:9" x14ac:dyDescent="0.3">
      <c r="A672" t="str">
        <f>""</f>
        <v/>
      </c>
      <c r="F672" t="str">
        <f>"201802218846"</f>
        <v>201802218846</v>
      </c>
      <c r="G672" t="str">
        <f>"06-10636"</f>
        <v>06-10636</v>
      </c>
      <c r="H672" s="2">
        <v>100</v>
      </c>
      <c r="I672" t="str">
        <f>"06-10636"</f>
        <v>06-10636</v>
      </c>
    </row>
    <row r="673" spans="1:9" x14ac:dyDescent="0.3">
      <c r="A673" t="str">
        <f>""</f>
        <v/>
      </c>
      <c r="F673" t="str">
        <f>"201802218847"</f>
        <v>201802218847</v>
      </c>
      <c r="G673" t="str">
        <f>"09-13569"</f>
        <v>09-13569</v>
      </c>
      <c r="H673" s="2">
        <v>100</v>
      </c>
      <c r="I673" t="str">
        <f>"09-13569"</f>
        <v>09-13569</v>
      </c>
    </row>
    <row r="674" spans="1:9" x14ac:dyDescent="0.3">
      <c r="A674" t="str">
        <f>""</f>
        <v/>
      </c>
      <c r="F674" t="str">
        <f>"201802218848"</f>
        <v>201802218848</v>
      </c>
      <c r="G674" t="str">
        <f>"18-18875/1JP2218B"</f>
        <v>18-18875/1JP2218B</v>
      </c>
      <c r="H674" s="2">
        <v>100</v>
      </c>
      <c r="I674" t="str">
        <f>"18-18875/1JP2218B"</f>
        <v>18-18875/1JP2218B</v>
      </c>
    </row>
    <row r="675" spans="1:9" x14ac:dyDescent="0.3">
      <c r="A675" t="str">
        <f>""</f>
        <v/>
      </c>
      <c r="F675" t="str">
        <f>"201802218863"</f>
        <v>201802218863</v>
      </c>
      <c r="G675" t="str">
        <f>"17-18119"</f>
        <v>17-18119</v>
      </c>
      <c r="H675" s="2">
        <v>250</v>
      </c>
      <c r="I675" t="str">
        <f>"17-18119"</f>
        <v>17-18119</v>
      </c>
    </row>
    <row r="676" spans="1:9" x14ac:dyDescent="0.3">
      <c r="A676" t="str">
        <f>"DURAN"</f>
        <v>DURAN</v>
      </c>
      <c r="B676" t="s">
        <v>174</v>
      </c>
      <c r="C676">
        <v>75090</v>
      </c>
      <c r="D676" s="2">
        <v>9060</v>
      </c>
      <c r="E676" s="1">
        <v>43143</v>
      </c>
      <c r="F676" t="str">
        <f>"15-462"</f>
        <v>15-462</v>
      </c>
      <c r="G676" t="str">
        <f>"GRAVEL/BASE/PCT#3"</f>
        <v>GRAVEL/BASE/PCT#3</v>
      </c>
      <c r="H676" s="2">
        <v>9060</v>
      </c>
      <c r="I676" t="str">
        <f>"GRAVEL/BASE/PCT#3"</f>
        <v>GRAVEL/BASE/PCT#3</v>
      </c>
    </row>
    <row r="677" spans="1:9" x14ac:dyDescent="0.3">
      <c r="A677" t="str">
        <f>"ECOLAB"</f>
        <v>ECOLAB</v>
      </c>
      <c r="B677" t="s">
        <v>175</v>
      </c>
      <c r="C677">
        <v>999999</v>
      </c>
      <c r="D677" s="2">
        <v>1591.81</v>
      </c>
      <c r="E677" s="1">
        <v>43144</v>
      </c>
      <c r="F677" t="str">
        <f>"INV8204374"</f>
        <v>INV8204374</v>
      </c>
      <c r="G677" t="str">
        <f>"INV 8204374"</f>
        <v>INV 8204374</v>
      </c>
      <c r="H677" s="2">
        <v>1006.2</v>
      </c>
      <c r="I677" t="str">
        <f>"INV 8204374"</f>
        <v>INV 8204374</v>
      </c>
    </row>
    <row r="678" spans="1:9" x14ac:dyDescent="0.3">
      <c r="A678" t="str">
        <f>""</f>
        <v/>
      </c>
      <c r="F678" t="str">
        <f>"INV8350979"</f>
        <v>INV8350979</v>
      </c>
      <c r="G678" t="str">
        <f>"INV 8350979"</f>
        <v>INV 8350979</v>
      </c>
      <c r="H678" s="2">
        <v>585.61</v>
      </c>
      <c r="I678" t="str">
        <f>"INV 8350979"</f>
        <v>INV 8350979</v>
      </c>
    </row>
    <row r="679" spans="1:9" x14ac:dyDescent="0.3">
      <c r="A679" t="str">
        <f>"ECOLAB"</f>
        <v>ECOLAB</v>
      </c>
      <c r="B679" t="s">
        <v>175</v>
      </c>
      <c r="C679">
        <v>999999</v>
      </c>
      <c r="D679" s="2">
        <v>888.54</v>
      </c>
      <c r="E679" s="1">
        <v>43158</v>
      </c>
      <c r="F679" t="str">
        <f>"8526760"</f>
        <v>8526760</v>
      </c>
      <c r="G679" t="str">
        <f>"INV 8526760"</f>
        <v>INV 8526760</v>
      </c>
      <c r="H679" s="2">
        <v>888.54</v>
      </c>
      <c r="I679" t="str">
        <f>"INV 8526760"</f>
        <v>INV 8526760</v>
      </c>
    </row>
    <row r="680" spans="1:9" x14ac:dyDescent="0.3">
      <c r="A680" t="str">
        <f>"004447"</f>
        <v>004447</v>
      </c>
      <c r="B680" t="s">
        <v>176</v>
      </c>
      <c r="C680">
        <v>75091</v>
      </c>
      <c r="D680" s="2">
        <v>235</v>
      </c>
      <c r="E680" s="1">
        <v>43143</v>
      </c>
      <c r="F680" t="str">
        <f>"201802018386"</f>
        <v>201802018386</v>
      </c>
      <c r="G680" t="str">
        <f>"FERAL HOGS"</f>
        <v>FERAL HOGS</v>
      </c>
      <c r="H680" s="2">
        <v>235</v>
      </c>
      <c r="I680" t="str">
        <f>"FERAL HOGS"</f>
        <v>FERAL HOGS</v>
      </c>
    </row>
    <row r="681" spans="1:9" x14ac:dyDescent="0.3">
      <c r="A681" t="str">
        <f>"005406"</f>
        <v>005406</v>
      </c>
      <c r="B681" t="s">
        <v>177</v>
      </c>
      <c r="C681">
        <v>75092</v>
      </c>
      <c r="D681" s="2">
        <v>100.01</v>
      </c>
      <c r="E681" s="1">
        <v>43143</v>
      </c>
      <c r="F681" t="str">
        <f>"201801318364"</f>
        <v>201801318364</v>
      </c>
      <c r="G681" t="str">
        <f>"MEAL REIMBURSEMENT"</f>
        <v>MEAL REIMBURSEMENT</v>
      </c>
      <c r="H681" s="2">
        <v>100.01</v>
      </c>
      <c r="I681" t="str">
        <f>"MEAL REIMBURSEMENT"</f>
        <v>MEAL REIMBURSEMENT</v>
      </c>
    </row>
    <row r="682" spans="1:9" x14ac:dyDescent="0.3">
      <c r="A682" t="str">
        <f>"T6190"</f>
        <v>T6190</v>
      </c>
      <c r="B682" t="s">
        <v>178</v>
      </c>
      <c r="C682">
        <v>75390</v>
      </c>
      <c r="D682" s="2">
        <v>1194.2</v>
      </c>
      <c r="E682" s="1">
        <v>43157</v>
      </c>
      <c r="F682" t="str">
        <f>"1029575"</f>
        <v>1029575</v>
      </c>
      <c r="G682" t="str">
        <f>"ACCT#B06875/JACKET ENVELOPE"</f>
        <v>ACCT#B06875/JACKET ENVELOPE</v>
      </c>
      <c r="H682" s="2">
        <v>1194.2</v>
      </c>
      <c r="I682" t="str">
        <f>"ACCT#B06875/JACKET ENVELOPE"</f>
        <v>ACCT#B06875/JACKET ENVELOPE</v>
      </c>
    </row>
    <row r="683" spans="1:9" x14ac:dyDescent="0.3">
      <c r="A683" t="str">
        <f>"004238"</f>
        <v>004238</v>
      </c>
      <c r="B683" t="s">
        <v>179</v>
      </c>
      <c r="C683">
        <v>75093</v>
      </c>
      <c r="D683" s="2">
        <v>615.79999999999995</v>
      </c>
      <c r="E683" s="1">
        <v>43143</v>
      </c>
      <c r="F683" t="str">
        <f>"38265"</f>
        <v>38265</v>
      </c>
      <c r="G683" t="str">
        <f>"Election Item"</f>
        <v>Election Item</v>
      </c>
      <c r="H683" s="2">
        <v>615.79999999999995</v>
      </c>
      <c r="I683" t="str">
        <f>"Item# PS-59"</f>
        <v>Item# PS-59</v>
      </c>
    </row>
    <row r="684" spans="1:9" x14ac:dyDescent="0.3">
      <c r="A684" t="str">
        <f>""</f>
        <v/>
      </c>
      <c r="F684" t="str">
        <f>""</f>
        <v/>
      </c>
      <c r="G684" t="str">
        <f>""</f>
        <v/>
      </c>
      <c r="I684" t="str">
        <f>"Item# CC-103"</f>
        <v>Item# CC-103</v>
      </c>
    </row>
    <row r="685" spans="1:9" x14ac:dyDescent="0.3">
      <c r="A685" t="str">
        <f>""</f>
        <v/>
      </c>
      <c r="F685" t="str">
        <f>""</f>
        <v/>
      </c>
      <c r="G685" t="str">
        <f>""</f>
        <v/>
      </c>
      <c r="I685" t="str">
        <f>"Shipping"</f>
        <v>Shipping</v>
      </c>
    </row>
    <row r="686" spans="1:9" x14ac:dyDescent="0.3">
      <c r="A686" t="str">
        <f>"EC"</f>
        <v>EC</v>
      </c>
      <c r="B686" t="s">
        <v>180</v>
      </c>
      <c r="C686">
        <v>999999</v>
      </c>
      <c r="D686" s="2">
        <v>175</v>
      </c>
      <c r="E686" s="1">
        <v>43144</v>
      </c>
      <c r="F686" t="str">
        <f>"012618-4"</f>
        <v>012618-4</v>
      </c>
      <c r="G686" t="str">
        <f>"1 YR SUBSCRIPTION RENEWAL-3387"</f>
        <v>1 YR SUBSCRIPTION RENEWAL-3387</v>
      </c>
      <c r="H686" s="2">
        <v>41</v>
      </c>
      <c r="I686" t="str">
        <f>"1 YR SUBSCRIPTION RENEWAL-3387"</f>
        <v>1 YR SUBSCRIPTION RENEWAL-3387</v>
      </c>
    </row>
    <row r="687" spans="1:9" x14ac:dyDescent="0.3">
      <c r="A687" t="str">
        <f>""</f>
        <v/>
      </c>
      <c r="F687" t="str">
        <f>"52421-9906"</f>
        <v>52421-9906</v>
      </c>
      <c r="G687" t="str">
        <f>"CLASSIFIEDS-JOB#17154"</f>
        <v>CLASSIFIEDS-JOB#17154</v>
      </c>
      <c r="H687" s="2">
        <v>134</v>
      </c>
      <c r="I687" t="str">
        <f>"CLASSIFIEDS-JOB#17154"</f>
        <v>CLASSIFIEDS-JOB#17154</v>
      </c>
    </row>
    <row r="688" spans="1:9" x14ac:dyDescent="0.3">
      <c r="A688" t="str">
        <f>"EC"</f>
        <v>EC</v>
      </c>
      <c r="B688" t="s">
        <v>180</v>
      </c>
      <c r="C688">
        <v>999999</v>
      </c>
      <c r="D688" s="2">
        <v>36</v>
      </c>
      <c r="E688" s="1">
        <v>43158</v>
      </c>
      <c r="F688" t="str">
        <f>"PUBLIC NOTICE AD"</f>
        <v>PUBLIC NOTICE AD</v>
      </c>
      <c r="G688" t="str">
        <f>"Public Notice Ad"</f>
        <v>Public Notice Ad</v>
      </c>
      <c r="H688" s="2">
        <v>36</v>
      </c>
      <c r="I688" t="str">
        <f>"Public Notice Ad"</f>
        <v>Public Notice Ad</v>
      </c>
    </row>
    <row r="689" spans="1:9" x14ac:dyDescent="0.3">
      <c r="A689" t="str">
        <f>"EU"</f>
        <v>EU</v>
      </c>
      <c r="B689" t="s">
        <v>181</v>
      </c>
      <c r="C689">
        <v>74993</v>
      </c>
      <c r="D689" s="2">
        <v>1191.6099999999999</v>
      </c>
      <c r="E689" s="1">
        <v>43139</v>
      </c>
      <c r="F689" t="str">
        <f>"201802088681"</f>
        <v>201802088681</v>
      </c>
      <c r="G689" t="str">
        <f>"ACCT#007-0008410-002/01312018"</f>
        <v>ACCT#007-0008410-002/01312018</v>
      </c>
      <c r="H689" s="2">
        <v>162.97</v>
      </c>
      <c r="I689" t="str">
        <f>"ACCT#007-0008410-002/01312018"</f>
        <v>ACCT#007-0008410-002/01312018</v>
      </c>
    </row>
    <row r="690" spans="1:9" x14ac:dyDescent="0.3">
      <c r="A690" t="str">
        <f>""</f>
        <v/>
      </c>
      <c r="F690" t="str">
        <f>"201802088682"</f>
        <v>201802088682</v>
      </c>
      <c r="G690" t="str">
        <f>"ACCT#007-0011501-000/01312018"</f>
        <v>ACCT#007-0011501-000/01312018</v>
      </c>
      <c r="H690" s="2">
        <v>102.64</v>
      </c>
      <c r="I690" t="str">
        <f>"ACCT#007-0011501-000/01312018"</f>
        <v>ACCT#007-0011501-000/01312018</v>
      </c>
    </row>
    <row r="691" spans="1:9" x14ac:dyDescent="0.3">
      <c r="A691" t="str">
        <f>""</f>
        <v/>
      </c>
      <c r="F691" t="str">
        <f>"201802088683"</f>
        <v>201802088683</v>
      </c>
      <c r="G691" t="str">
        <f>"ACCT#007-0011510-000/01312018"</f>
        <v>ACCT#007-0011510-000/01312018</v>
      </c>
      <c r="H691" s="2">
        <v>214.53</v>
      </c>
      <c r="I691" t="str">
        <f>"ACCT#007-0011510-000/01312018"</f>
        <v>ACCT#007-0011510-000/01312018</v>
      </c>
    </row>
    <row r="692" spans="1:9" x14ac:dyDescent="0.3">
      <c r="A692" t="str">
        <f>""</f>
        <v/>
      </c>
      <c r="F692" t="str">
        <f>"201802088684"</f>
        <v>201802088684</v>
      </c>
      <c r="G692" t="str">
        <f>"ACCT#007-0011530-000/01312018"</f>
        <v>ACCT#007-0011530-000/01312018</v>
      </c>
      <c r="H692" s="2">
        <v>94.09</v>
      </c>
      <c r="I692" t="str">
        <f>"ACCT#007-0011530-000/01312018"</f>
        <v>ACCT#007-0011530-000/01312018</v>
      </c>
    </row>
    <row r="693" spans="1:9" x14ac:dyDescent="0.3">
      <c r="A693" t="str">
        <f>""</f>
        <v/>
      </c>
      <c r="F693" t="str">
        <f>"201802088685"</f>
        <v>201802088685</v>
      </c>
      <c r="G693" t="str">
        <f>"ACCT#007-0011534-001/01312018"</f>
        <v>ACCT#007-0011534-001/01312018</v>
      </c>
      <c r="H693" s="2">
        <v>145.81</v>
      </c>
      <c r="I693" t="str">
        <f>"ACCT#007-0011534-001/01312018"</f>
        <v>ACCT#007-0011534-001/01312018</v>
      </c>
    </row>
    <row r="694" spans="1:9" x14ac:dyDescent="0.3">
      <c r="A694" t="str">
        <f>""</f>
        <v/>
      </c>
      <c r="F694" t="str">
        <f>"201802088686"</f>
        <v>201802088686</v>
      </c>
      <c r="G694" t="str">
        <f>"ACCT#007-0011535-000/01312018"</f>
        <v>ACCT#007-0011535-000/01312018</v>
      </c>
      <c r="H694" s="2">
        <v>365.23</v>
      </c>
      <c r="I694" t="str">
        <f>"ACCT#007-0011535-000/01312018"</f>
        <v>ACCT#007-0011535-000/01312018</v>
      </c>
    </row>
    <row r="695" spans="1:9" x14ac:dyDescent="0.3">
      <c r="A695" t="str">
        <f>""</f>
        <v/>
      </c>
      <c r="F695" t="str">
        <f>"201802088687"</f>
        <v>201802088687</v>
      </c>
      <c r="G695" t="str">
        <f>"ACCT#007-0011544-001/01312018"</f>
        <v>ACCT#007-0011544-001/01312018</v>
      </c>
      <c r="H695" s="2">
        <v>106.34</v>
      </c>
      <c r="I695" t="str">
        <f>"ACCT#007-0011544-001/01312018"</f>
        <v>ACCT#007-0011544-001/01312018</v>
      </c>
    </row>
    <row r="696" spans="1:9" x14ac:dyDescent="0.3">
      <c r="A696" t="str">
        <f>"003027"</f>
        <v>003027</v>
      </c>
      <c r="B696" t="s">
        <v>182</v>
      </c>
      <c r="C696">
        <v>75094</v>
      </c>
      <c r="D696" s="2">
        <v>691.09</v>
      </c>
      <c r="E696" s="1">
        <v>43143</v>
      </c>
      <c r="F696" t="str">
        <f>"145-14413-01"</f>
        <v>145-14413-01</v>
      </c>
      <c r="G696" t="str">
        <f>"Inv# 145-14413-01"</f>
        <v>Inv# 145-14413-01</v>
      </c>
      <c r="H696" s="2">
        <v>79.09</v>
      </c>
      <c r="I696" t="str">
        <f>"IGL630R"</f>
        <v>IGL630R</v>
      </c>
    </row>
    <row r="697" spans="1:9" x14ac:dyDescent="0.3">
      <c r="A697" t="str">
        <f>""</f>
        <v/>
      </c>
      <c r="F697" t="str">
        <f>""</f>
        <v/>
      </c>
      <c r="G697" t="str">
        <f>""</f>
        <v/>
      </c>
      <c r="I697" t="str">
        <f>"93111"</f>
        <v>93111</v>
      </c>
    </row>
    <row r="698" spans="1:9" x14ac:dyDescent="0.3">
      <c r="A698" t="str">
        <f>""</f>
        <v/>
      </c>
      <c r="F698" t="str">
        <f>""</f>
        <v/>
      </c>
      <c r="G698" t="str">
        <f>""</f>
        <v/>
      </c>
      <c r="I698" t="str">
        <f>"B230"</f>
        <v>B230</v>
      </c>
    </row>
    <row r="699" spans="1:9" x14ac:dyDescent="0.3">
      <c r="A699" t="str">
        <f>""</f>
        <v/>
      </c>
      <c r="F699" t="str">
        <f>""</f>
        <v/>
      </c>
      <c r="G699" t="str">
        <f>""</f>
        <v/>
      </c>
      <c r="I699" t="str">
        <f>"Shipping"</f>
        <v>Shipping</v>
      </c>
    </row>
    <row r="700" spans="1:9" x14ac:dyDescent="0.3">
      <c r="A700" t="str">
        <f>""</f>
        <v/>
      </c>
      <c r="F700" t="str">
        <f>"INV145-13813-01"</f>
        <v>INV145-13813-01</v>
      </c>
      <c r="G700" t="str">
        <f>"INV 145-13813-01"</f>
        <v>INV 145-13813-01</v>
      </c>
      <c r="H700" s="2">
        <v>612</v>
      </c>
      <c r="I700" t="str">
        <f>"INV 145-13813-01"</f>
        <v>INV 145-13813-01</v>
      </c>
    </row>
    <row r="701" spans="1:9" x14ac:dyDescent="0.3">
      <c r="A701" t="str">
        <f>"003027"</f>
        <v>003027</v>
      </c>
      <c r="B701" t="s">
        <v>182</v>
      </c>
      <c r="C701">
        <v>75391</v>
      </c>
      <c r="D701" s="2">
        <v>7890.42</v>
      </c>
      <c r="E701" s="1">
        <v>43157</v>
      </c>
      <c r="F701" t="str">
        <f>"145-12672-01"</f>
        <v>145-12672-01</v>
      </c>
      <c r="G701" t="str">
        <f>"CUST#0888336/ELEC SVCS"</f>
        <v>CUST#0888336/ELEC SVCS</v>
      </c>
      <c r="H701" s="2">
        <v>7890.42</v>
      </c>
      <c r="I701" t="str">
        <f>"CUST#0888336/ELEC SVCS"</f>
        <v>CUST#0888336/ELEC SVCS</v>
      </c>
    </row>
    <row r="702" spans="1:9" x14ac:dyDescent="0.3">
      <c r="A702" t="str">
        <f>"003920"</f>
        <v>003920</v>
      </c>
      <c r="B702" t="s">
        <v>183</v>
      </c>
      <c r="C702">
        <v>75392</v>
      </c>
      <c r="D702" s="2">
        <v>665.7</v>
      </c>
      <c r="E702" s="1">
        <v>43157</v>
      </c>
      <c r="F702" t="str">
        <f>"LODGING/PARKING"</f>
        <v>LODGING/PARKING</v>
      </c>
      <c r="G702" t="str">
        <f>"LODGING"</f>
        <v>LODGING</v>
      </c>
      <c r="H702" s="2">
        <v>665.7</v>
      </c>
      <c r="I702" t="str">
        <f>"LODGING"</f>
        <v>LODGING</v>
      </c>
    </row>
    <row r="703" spans="1:9" x14ac:dyDescent="0.3">
      <c r="A703" t="str">
        <f>""</f>
        <v/>
      </c>
      <c r="F703" t="str">
        <f>""</f>
        <v/>
      </c>
      <c r="G703" t="str">
        <f>""</f>
        <v/>
      </c>
      <c r="I703" t="str">
        <f>"PARKING"</f>
        <v>PARKING</v>
      </c>
    </row>
    <row r="704" spans="1:9" x14ac:dyDescent="0.3">
      <c r="A704" t="str">
        <f>"002424"</f>
        <v>002424</v>
      </c>
      <c r="B704" t="s">
        <v>184</v>
      </c>
      <c r="C704">
        <v>75095</v>
      </c>
      <c r="D704" s="2">
        <v>220.07</v>
      </c>
      <c r="E704" s="1">
        <v>43143</v>
      </c>
      <c r="F704" t="str">
        <f>"201802078660"</f>
        <v>201802078660</v>
      </c>
      <c r="G704" t="str">
        <f>"INDIGENT HEALTH"</f>
        <v>INDIGENT HEALTH</v>
      </c>
      <c r="H704" s="2">
        <v>220.07</v>
      </c>
    </row>
    <row r="705" spans="1:10" x14ac:dyDescent="0.3">
      <c r="A705" t="str">
        <f>"005218"</f>
        <v>005218</v>
      </c>
      <c r="B705" t="s">
        <v>185</v>
      </c>
      <c r="C705">
        <v>999999</v>
      </c>
      <c r="D705" s="2">
        <v>1032.96</v>
      </c>
      <c r="E705" s="1">
        <v>43158</v>
      </c>
      <c r="F705" t="str">
        <f>"201802148693"</f>
        <v>201802148693</v>
      </c>
      <c r="G705" t="str">
        <f>"423-3547"</f>
        <v>423-3547</v>
      </c>
      <c r="H705" s="2">
        <v>238.98</v>
      </c>
      <c r="I705" t="str">
        <f>"423-3547"</f>
        <v>423-3547</v>
      </c>
    </row>
    <row r="706" spans="1:10" x14ac:dyDescent="0.3">
      <c r="A706" t="str">
        <f>""</f>
        <v/>
      </c>
      <c r="F706" t="str">
        <f>"201802148694"</f>
        <v>201802148694</v>
      </c>
      <c r="G706" t="str">
        <f>"15 984"</f>
        <v>15 984</v>
      </c>
      <c r="H706" s="2">
        <v>193.98</v>
      </c>
      <c r="I706" t="str">
        <f>"15 984"</f>
        <v>15 984</v>
      </c>
    </row>
    <row r="707" spans="1:10" x14ac:dyDescent="0.3">
      <c r="A707" t="str">
        <f>""</f>
        <v/>
      </c>
      <c r="F707" t="str">
        <f>"201802158758"</f>
        <v>201802158758</v>
      </c>
      <c r="G707" t="str">
        <f>"15 984"</f>
        <v>15 984</v>
      </c>
      <c r="H707" s="2">
        <v>600</v>
      </c>
      <c r="I707" t="str">
        <f>"15 984"</f>
        <v>15 984</v>
      </c>
    </row>
    <row r="708" spans="1:10" x14ac:dyDescent="0.3">
      <c r="A708" t="str">
        <f>"000589"</f>
        <v>000589</v>
      </c>
      <c r="B708" t="s">
        <v>186</v>
      </c>
      <c r="C708">
        <v>75096</v>
      </c>
      <c r="D708" s="2">
        <v>926.53</v>
      </c>
      <c r="E708" s="1">
        <v>43143</v>
      </c>
      <c r="F708" t="str">
        <f>"9401773656"</f>
        <v>9401773656</v>
      </c>
      <c r="G708" t="str">
        <f>"ACCT#912922/BOL#21634/PCT#1"</f>
        <v>ACCT#912922/BOL#21634/PCT#1</v>
      </c>
      <c r="H708" s="2">
        <v>926.53</v>
      </c>
      <c r="I708" t="str">
        <f>"ACCT#912922/BOL#21634/PCT#1"</f>
        <v>ACCT#912922/BOL#21634/PCT#1</v>
      </c>
    </row>
    <row r="709" spans="1:10" x14ac:dyDescent="0.3">
      <c r="A709" t="str">
        <f>"T12811"</f>
        <v>T12811</v>
      </c>
      <c r="B709" t="s">
        <v>187</v>
      </c>
      <c r="C709">
        <v>75097</v>
      </c>
      <c r="D709" s="2">
        <v>35</v>
      </c>
      <c r="E709" s="1">
        <v>43143</v>
      </c>
      <c r="F709" t="str">
        <f>"201801238199"</f>
        <v>201801238199</v>
      </c>
      <c r="G709" t="str">
        <f>"ACCT#9290502/ANN. FEE TX SS PR"</f>
        <v>ACCT#9290502/ANN. FEE TX SS PR</v>
      </c>
      <c r="H709" s="2">
        <v>35</v>
      </c>
      <c r="I709" t="str">
        <f>"ACCT#9290502/ANN. FEE TX SS PR"</f>
        <v>ACCT#9290502/ANN. FEE TX SS PR</v>
      </c>
    </row>
    <row r="710" spans="1:10" x14ac:dyDescent="0.3">
      <c r="A710" t="str">
        <f>"003106"</f>
        <v>003106</v>
      </c>
      <c r="B710" t="s">
        <v>188</v>
      </c>
      <c r="C710">
        <v>75098</v>
      </c>
      <c r="D710" s="2">
        <v>732.64</v>
      </c>
      <c r="E710" s="1">
        <v>43143</v>
      </c>
      <c r="F710" t="str">
        <f>"INUS0176623"</f>
        <v>INUS0176623</v>
      </c>
      <c r="G710" t="str">
        <f>"x13 Deep Freeze Enterpris"</f>
        <v>x13 Deep Freeze Enterpris</v>
      </c>
      <c r="H710" s="2">
        <v>732.64</v>
      </c>
      <c r="I710" t="str">
        <f>"DFE0.NA1LA.PL0.E03.S"</f>
        <v>DFE0.NA1LA.PL0.E03.S</v>
      </c>
    </row>
    <row r="711" spans="1:10" x14ac:dyDescent="0.3">
      <c r="A711" t="str">
        <f>""</f>
        <v/>
      </c>
      <c r="F711" t="str">
        <f>""</f>
        <v/>
      </c>
      <c r="G711" t="str">
        <f>""</f>
        <v/>
      </c>
      <c r="I711" t="str">
        <f>"DFE0.NA1LA.CV0.E03.S"</f>
        <v>DFE0.NA1LA.CV0.E03.S</v>
      </c>
    </row>
    <row r="712" spans="1:10" x14ac:dyDescent="0.3">
      <c r="A712" t="str">
        <f>""</f>
        <v/>
      </c>
      <c r="F712" t="str">
        <f>""</f>
        <v/>
      </c>
      <c r="G712" t="str">
        <f>""</f>
        <v/>
      </c>
      <c r="I712" t="str">
        <f>"DFE0.NA1LA.MA1.E03.S"</f>
        <v>DFE0.NA1LA.MA1.E03.S</v>
      </c>
    </row>
    <row r="713" spans="1:10" x14ac:dyDescent="0.3">
      <c r="A713" t="str">
        <f>"001102"</f>
        <v>001102</v>
      </c>
      <c r="B713" t="s">
        <v>189</v>
      </c>
      <c r="C713">
        <v>75099</v>
      </c>
      <c r="D713" s="2">
        <v>650</v>
      </c>
      <c r="E713" s="1">
        <v>43143</v>
      </c>
      <c r="F713" t="str">
        <f>"REGIST-V.WELTNER"</f>
        <v>REGIST-V.WELTNER</v>
      </c>
      <c r="G713" t="str">
        <f>"REGISTRATION ID 9995981"</f>
        <v>REGISTRATION ID 9995981</v>
      </c>
      <c r="H713" s="2">
        <v>650</v>
      </c>
      <c r="I713" t="str">
        <f>"REGISTRATION ID 9995981"</f>
        <v>REGISTRATION ID 9995981</v>
      </c>
    </row>
    <row r="714" spans="1:10" x14ac:dyDescent="0.3">
      <c r="A714" t="str">
        <f>"T526"</f>
        <v>T526</v>
      </c>
      <c r="B714" t="s">
        <v>190</v>
      </c>
      <c r="C714">
        <v>75100</v>
      </c>
      <c r="D714" s="2">
        <v>138.41</v>
      </c>
      <c r="E714" s="1">
        <v>43143</v>
      </c>
      <c r="F714" t="str">
        <f>"6-067-11258"</f>
        <v>6-067-11258</v>
      </c>
      <c r="G714" t="str">
        <f>"ACCT#4702-9210-5/POSTAL SVCS"</f>
        <v>ACCT#4702-9210-5/POSTAL SVCS</v>
      </c>
      <c r="H714" s="2">
        <v>51.58</v>
      </c>
      <c r="I714" t="str">
        <f>"ACCT#4702-9210-5/POSTAL SVCS"</f>
        <v>ACCT#4702-9210-5/POSTAL SVCS</v>
      </c>
    </row>
    <row r="715" spans="1:10" x14ac:dyDescent="0.3">
      <c r="A715" t="str">
        <f>""</f>
        <v/>
      </c>
      <c r="F715" t="str">
        <f>"6003-36633"</f>
        <v>6003-36633</v>
      </c>
      <c r="G715" t="str">
        <f>"ACCT#4702-9210-5/AUDITOR'S OFF"</f>
        <v>ACCT#4702-9210-5/AUDITOR'S OFF</v>
      </c>
      <c r="H715" s="2">
        <v>86.83</v>
      </c>
      <c r="I715" t="str">
        <f>"ACCT#4702-9210-5/AUDITOR'S OFF"</f>
        <v>ACCT#4702-9210-5/AUDITOR'S OFF</v>
      </c>
    </row>
    <row r="716" spans="1:10" x14ac:dyDescent="0.3">
      <c r="A716" t="str">
        <f>"T526"</f>
        <v>T526</v>
      </c>
      <c r="B716" t="s">
        <v>190</v>
      </c>
      <c r="C716">
        <v>75393</v>
      </c>
      <c r="D716" s="2">
        <v>84.91</v>
      </c>
      <c r="E716" s="1">
        <v>43157</v>
      </c>
      <c r="F716" t="str">
        <f>"6-074-70200"</f>
        <v>6-074-70200</v>
      </c>
      <c r="G716" t="str">
        <f>"ACCT#1305-8295-8/DA OFFICE"</f>
        <v>ACCT#1305-8295-8/DA OFFICE</v>
      </c>
      <c r="H716" s="2">
        <v>56.34</v>
      </c>
      <c r="I716" t="str">
        <f>"ACCT#1305-8295-8/DA OFFICE"</f>
        <v>ACCT#1305-8295-8/DA OFFICE</v>
      </c>
    </row>
    <row r="717" spans="1:10" x14ac:dyDescent="0.3">
      <c r="A717" t="str">
        <f>""</f>
        <v/>
      </c>
      <c r="F717" t="str">
        <f>"6-082-13776"</f>
        <v>6-082-13776</v>
      </c>
      <c r="G717" t="str">
        <f>"ACCT#1305-8295-8/DA'S OFFICE"</f>
        <v>ACCT#1305-8295-8/DA'S OFFICE</v>
      </c>
      <c r="H717" s="2">
        <v>28.57</v>
      </c>
      <c r="I717" t="str">
        <f>"ACCT#1305-8295-8/DA'S OFFICE"</f>
        <v>ACCT#1305-8295-8/DA'S OFFICE</v>
      </c>
    </row>
    <row r="718" spans="1:10" x14ac:dyDescent="0.3">
      <c r="A718" t="str">
        <f>"T9733"</f>
        <v>T9733</v>
      </c>
      <c r="B718" t="s">
        <v>191</v>
      </c>
      <c r="C718">
        <v>75101</v>
      </c>
      <c r="D718" s="2">
        <v>50</v>
      </c>
      <c r="E718" s="1">
        <v>43143</v>
      </c>
      <c r="F718" t="s">
        <v>192</v>
      </c>
      <c r="G718" t="s">
        <v>193</v>
      </c>
      <c r="H718" s="2" t="str">
        <f>"RESTITUTION-F.GREER JR."</f>
        <v>RESTITUTION-F.GREER JR.</v>
      </c>
      <c r="I718" t="str">
        <f>"210-0000"</f>
        <v>210-0000</v>
      </c>
      <c r="J718">
        <v>50</v>
      </c>
    </row>
    <row r="719" spans="1:10" x14ac:dyDescent="0.3">
      <c r="A719" t="str">
        <f>"004691"</f>
        <v>004691</v>
      </c>
      <c r="B719" t="s">
        <v>194</v>
      </c>
      <c r="C719">
        <v>75102</v>
      </c>
      <c r="D719" s="2">
        <v>13670.11</v>
      </c>
      <c r="E719" s="1">
        <v>43143</v>
      </c>
      <c r="F719" t="str">
        <f>"NP52373870"</f>
        <v>NP52373870</v>
      </c>
      <c r="G719" t="str">
        <f>"Stmt# NP52373870"</f>
        <v>Stmt# NP52373870</v>
      </c>
      <c r="H719" s="2">
        <v>972.51</v>
      </c>
      <c r="I719" t="str">
        <f>"IT"</f>
        <v>IT</v>
      </c>
    </row>
    <row r="720" spans="1:10" x14ac:dyDescent="0.3">
      <c r="A720" t="str">
        <f>""</f>
        <v/>
      </c>
      <c r="F720" t="str">
        <f>""</f>
        <v/>
      </c>
      <c r="G720" t="str">
        <f>""</f>
        <v/>
      </c>
      <c r="I720" t="str">
        <f>"General Services"</f>
        <v>General Services</v>
      </c>
    </row>
    <row r="721" spans="1:9" x14ac:dyDescent="0.3">
      <c r="A721" t="str">
        <f>""</f>
        <v/>
      </c>
      <c r="F721" t="str">
        <f>""</f>
        <v/>
      </c>
      <c r="G721" t="str">
        <f>""</f>
        <v/>
      </c>
      <c r="I721" t="str">
        <f>"Sign Shop"</f>
        <v>Sign Shop</v>
      </c>
    </row>
    <row r="722" spans="1:9" x14ac:dyDescent="0.3">
      <c r="A722" t="str">
        <f>""</f>
        <v/>
      </c>
      <c r="F722" t="str">
        <f>""</f>
        <v/>
      </c>
      <c r="G722" t="str">
        <f>""</f>
        <v/>
      </c>
      <c r="I722" t="str">
        <f>"Animal Shelter"</f>
        <v>Animal Shelter</v>
      </c>
    </row>
    <row r="723" spans="1:9" x14ac:dyDescent="0.3">
      <c r="A723" t="str">
        <f>""</f>
        <v/>
      </c>
      <c r="F723" t="str">
        <f>""</f>
        <v/>
      </c>
      <c r="G723" t="str">
        <f>""</f>
        <v/>
      </c>
      <c r="I723" t="str">
        <f>"Habitat Conservation"</f>
        <v>Habitat Conservation</v>
      </c>
    </row>
    <row r="724" spans="1:9" x14ac:dyDescent="0.3">
      <c r="A724" t="str">
        <f>""</f>
        <v/>
      </c>
      <c r="F724" t="str">
        <f>""</f>
        <v/>
      </c>
      <c r="G724" t="str">
        <f>""</f>
        <v/>
      </c>
      <c r="I724" t="str">
        <f>"Ag Extension"</f>
        <v>Ag Extension</v>
      </c>
    </row>
    <row r="725" spans="1:9" x14ac:dyDescent="0.3">
      <c r="A725" t="str">
        <f>""</f>
        <v/>
      </c>
      <c r="F725" t="str">
        <f>""</f>
        <v/>
      </c>
      <c r="G725" t="str">
        <f>""</f>
        <v/>
      </c>
      <c r="I725" t="str">
        <f>"Pct 1"</f>
        <v>Pct 1</v>
      </c>
    </row>
    <row r="726" spans="1:9" x14ac:dyDescent="0.3">
      <c r="A726" t="str">
        <f>""</f>
        <v/>
      </c>
      <c r="F726" t="str">
        <f>"NP52374043"</f>
        <v>NP52374043</v>
      </c>
      <c r="G726" t="str">
        <f>"INV NP52374043"</f>
        <v>INV NP52374043</v>
      </c>
      <c r="H726" s="2">
        <v>10884.09</v>
      </c>
      <c r="I726" t="str">
        <f>"INV NP52374043"</f>
        <v>INV NP52374043</v>
      </c>
    </row>
    <row r="727" spans="1:9" x14ac:dyDescent="0.3">
      <c r="A727" t="str">
        <f>""</f>
        <v/>
      </c>
      <c r="F727" t="str">
        <f>"NP52374074"</f>
        <v>NP52374074</v>
      </c>
      <c r="G727" t="str">
        <f>"STMT# NP52374074"</f>
        <v>STMT# NP52374074</v>
      </c>
      <c r="H727" s="2">
        <v>445.65</v>
      </c>
      <c r="I727" t="str">
        <f>"STMT# NP52374074"</f>
        <v>STMT# NP52374074</v>
      </c>
    </row>
    <row r="728" spans="1:9" x14ac:dyDescent="0.3">
      <c r="A728" t="str">
        <f>""</f>
        <v/>
      </c>
      <c r="F728" t="str">
        <f>"NP52527729"</f>
        <v>NP52527729</v>
      </c>
      <c r="G728" t="str">
        <f>"Stmt# NP52527729"</f>
        <v>Stmt# NP52527729</v>
      </c>
      <c r="H728" s="2">
        <v>892.02</v>
      </c>
      <c r="I728" t="str">
        <f>"Purchasing"</f>
        <v>Purchasing</v>
      </c>
    </row>
    <row r="729" spans="1:9" x14ac:dyDescent="0.3">
      <c r="A729" t="str">
        <f>""</f>
        <v/>
      </c>
      <c r="F729" t="str">
        <f>""</f>
        <v/>
      </c>
      <c r="G729" t="str">
        <f>""</f>
        <v/>
      </c>
      <c r="I729" t="str">
        <f>"IT"</f>
        <v>IT</v>
      </c>
    </row>
    <row r="730" spans="1:9" x14ac:dyDescent="0.3">
      <c r="A730" t="str">
        <f>""</f>
        <v/>
      </c>
      <c r="F730" t="str">
        <f>""</f>
        <v/>
      </c>
      <c r="G730" t="str">
        <f>""</f>
        <v/>
      </c>
      <c r="I730" t="str">
        <f>"General Services"</f>
        <v>General Services</v>
      </c>
    </row>
    <row r="731" spans="1:9" x14ac:dyDescent="0.3">
      <c r="A731" t="str">
        <f>""</f>
        <v/>
      </c>
      <c r="F731" t="str">
        <f>""</f>
        <v/>
      </c>
      <c r="G731" t="str">
        <f>""</f>
        <v/>
      </c>
      <c r="I731" t="str">
        <f>"Sign Shop"</f>
        <v>Sign Shop</v>
      </c>
    </row>
    <row r="732" spans="1:9" x14ac:dyDescent="0.3">
      <c r="A732" t="str">
        <f>""</f>
        <v/>
      </c>
      <c r="F732" t="str">
        <f>""</f>
        <v/>
      </c>
      <c r="G732" t="str">
        <f>""</f>
        <v/>
      </c>
      <c r="I732" t="str">
        <f>"Animal shelter"</f>
        <v>Animal shelter</v>
      </c>
    </row>
    <row r="733" spans="1:9" x14ac:dyDescent="0.3">
      <c r="A733" t="str">
        <f>""</f>
        <v/>
      </c>
      <c r="F733" t="str">
        <f>""</f>
        <v/>
      </c>
      <c r="G733" t="str">
        <f>""</f>
        <v/>
      </c>
      <c r="I733" t="str">
        <f>"Ag Extension"</f>
        <v>Ag Extension</v>
      </c>
    </row>
    <row r="734" spans="1:9" x14ac:dyDescent="0.3">
      <c r="A734" t="str">
        <f>""</f>
        <v/>
      </c>
      <c r="F734" t="str">
        <f>""</f>
        <v/>
      </c>
      <c r="G734" t="str">
        <f>""</f>
        <v/>
      </c>
      <c r="I734" t="str">
        <f>"Pct 1"</f>
        <v>Pct 1</v>
      </c>
    </row>
    <row r="735" spans="1:9" x14ac:dyDescent="0.3">
      <c r="A735" t="str">
        <f>""</f>
        <v/>
      </c>
      <c r="F735" t="str">
        <f>"NP52527933"</f>
        <v>NP52527933</v>
      </c>
      <c r="G735" t="str">
        <f>"Stmt# NP52527933"</f>
        <v>Stmt# NP52527933</v>
      </c>
      <c r="H735" s="2">
        <v>475.84</v>
      </c>
      <c r="I735" t="str">
        <f>"Stmt# NP52527933"</f>
        <v>Stmt# NP52527933</v>
      </c>
    </row>
    <row r="736" spans="1:9" x14ac:dyDescent="0.3">
      <c r="A736" t="str">
        <f>"004691"</f>
        <v>004691</v>
      </c>
      <c r="B736" t="s">
        <v>194</v>
      </c>
      <c r="C736">
        <v>75394</v>
      </c>
      <c r="D736" s="2">
        <v>14316.38</v>
      </c>
      <c r="E736" s="1">
        <v>43157</v>
      </c>
      <c r="F736" t="str">
        <f>"NP52527902"</f>
        <v>NP52527902</v>
      </c>
      <c r="G736" t="str">
        <f>"INV NP52527902"</f>
        <v>INV NP52527902</v>
      </c>
      <c r="H736" s="2">
        <v>12468.1</v>
      </c>
      <c r="I736" t="str">
        <f>"INV NP52527902"</f>
        <v>INV NP52527902</v>
      </c>
    </row>
    <row r="737" spans="1:9" x14ac:dyDescent="0.3">
      <c r="A737" t="str">
        <f>""</f>
        <v/>
      </c>
      <c r="F737" t="str">
        <f>"NP52599930"</f>
        <v>NP52599930</v>
      </c>
      <c r="G737" t="str">
        <f>"Stmt# NP52599930"</f>
        <v>Stmt# NP52599930</v>
      </c>
      <c r="H737" s="2">
        <v>1307.8399999999999</v>
      </c>
      <c r="I737" t="str">
        <f>"IT"</f>
        <v>IT</v>
      </c>
    </row>
    <row r="738" spans="1:9" x14ac:dyDescent="0.3">
      <c r="A738" t="str">
        <f>""</f>
        <v/>
      </c>
      <c r="F738" t="str">
        <f>""</f>
        <v/>
      </c>
      <c r="G738" t="str">
        <f>""</f>
        <v/>
      </c>
      <c r="I738" t="str">
        <f>"General Services"</f>
        <v>General Services</v>
      </c>
    </row>
    <row r="739" spans="1:9" x14ac:dyDescent="0.3">
      <c r="A739" t="str">
        <f>""</f>
        <v/>
      </c>
      <c r="F739" t="str">
        <f>""</f>
        <v/>
      </c>
      <c r="G739" t="str">
        <f>""</f>
        <v/>
      </c>
      <c r="I739" t="str">
        <f>"Sign Shop"</f>
        <v>Sign Shop</v>
      </c>
    </row>
    <row r="740" spans="1:9" x14ac:dyDescent="0.3">
      <c r="A740" t="str">
        <f>""</f>
        <v/>
      </c>
      <c r="F740" t="str">
        <f>""</f>
        <v/>
      </c>
      <c r="G740" t="str">
        <f>""</f>
        <v/>
      </c>
      <c r="I740" t="str">
        <f>"Animal Control"</f>
        <v>Animal Control</v>
      </c>
    </row>
    <row r="741" spans="1:9" x14ac:dyDescent="0.3">
      <c r="A741" t="str">
        <f>""</f>
        <v/>
      </c>
      <c r="F741" t="str">
        <f>""</f>
        <v/>
      </c>
      <c r="G741" t="str">
        <f>""</f>
        <v/>
      </c>
      <c r="I741" t="str">
        <f>"Habitat Conservation"</f>
        <v>Habitat Conservation</v>
      </c>
    </row>
    <row r="742" spans="1:9" x14ac:dyDescent="0.3">
      <c r="A742" t="str">
        <f>""</f>
        <v/>
      </c>
      <c r="F742" t="str">
        <f>""</f>
        <v/>
      </c>
      <c r="G742" t="str">
        <f>""</f>
        <v/>
      </c>
      <c r="I742" t="str">
        <f>"Ag"</f>
        <v>Ag</v>
      </c>
    </row>
    <row r="743" spans="1:9" x14ac:dyDescent="0.3">
      <c r="A743" t="str">
        <f>""</f>
        <v/>
      </c>
      <c r="F743" t="str">
        <f>""</f>
        <v/>
      </c>
      <c r="G743" t="str">
        <f>""</f>
        <v/>
      </c>
      <c r="I743" t="str">
        <f>"PCt 1"</f>
        <v>PCt 1</v>
      </c>
    </row>
    <row r="744" spans="1:9" x14ac:dyDescent="0.3">
      <c r="A744" t="str">
        <f>""</f>
        <v/>
      </c>
      <c r="F744" t="str">
        <f>"NP52600133"</f>
        <v>NP52600133</v>
      </c>
      <c r="G744" t="str">
        <f>"Stmt# NP52600133"</f>
        <v>Stmt# NP52600133</v>
      </c>
      <c r="H744" s="2">
        <v>540.44000000000005</v>
      </c>
      <c r="I744" t="str">
        <f>"Stmt# NP52600133"</f>
        <v>Stmt# NP52600133</v>
      </c>
    </row>
    <row r="745" spans="1:9" x14ac:dyDescent="0.3">
      <c r="A745" t="str">
        <f>"T5062"</f>
        <v>T5062</v>
      </c>
      <c r="B745" t="s">
        <v>195</v>
      </c>
      <c r="C745">
        <v>75103</v>
      </c>
      <c r="D745" s="2">
        <v>390.81</v>
      </c>
      <c r="E745" s="1">
        <v>43143</v>
      </c>
      <c r="F745" t="str">
        <f>"91780920"</f>
        <v>91780920</v>
      </c>
      <c r="G745" t="str">
        <f>"ACCT#80975-001/PCT#3"</f>
        <v>ACCT#80975-001/PCT#3</v>
      </c>
      <c r="H745" s="2">
        <v>390.81</v>
      </c>
      <c r="I745" t="str">
        <f>"ACCT#80975-001/PCT#3"</f>
        <v>ACCT#80975-001/PCT#3</v>
      </c>
    </row>
    <row r="746" spans="1:9" x14ac:dyDescent="0.3">
      <c r="A746" t="str">
        <f>"T5062"</f>
        <v>T5062</v>
      </c>
      <c r="B746" t="s">
        <v>195</v>
      </c>
      <c r="C746">
        <v>75395</v>
      </c>
      <c r="D746" s="2">
        <v>259.64</v>
      </c>
      <c r="E746" s="1">
        <v>43157</v>
      </c>
      <c r="F746" t="str">
        <f>"92080205"</f>
        <v>92080205</v>
      </c>
      <c r="G746" t="str">
        <f>"PARTS/PCT#2"</f>
        <v>PARTS/PCT#2</v>
      </c>
      <c r="H746" s="2">
        <v>233.16</v>
      </c>
      <c r="I746" t="str">
        <f>"PARTS/PCT#2"</f>
        <v>PARTS/PCT#2</v>
      </c>
    </row>
    <row r="747" spans="1:9" x14ac:dyDescent="0.3">
      <c r="A747" t="str">
        <f>""</f>
        <v/>
      </c>
      <c r="F747" t="str">
        <f>"92258153"</f>
        <v>92258153</v>
      </c>
      <c r="G747" t="str">
        <f>"SERIES KWIKCONNECT/PCT#3"</f>
        <v>SERIES KWIKCONNECT/PCT#3</v>
      </c>
      <c r="H747" s="2">
        <v>26.48</v>
      </c>
      <c r="I747" t="str">
        <f>"SERIES KWIKCONNECT/PCT#3"</f>
        <v>SERIES KWIKCONNECT/PCT#3</v>
      </c>
    </row>
    <row r="748" spans="1:9" x14ac:dyDescent="0.3">
      <c r="A748" t="str">
        <f>"001318"</f>
        <v>001318</v>
      </c>
      <c r="B748" t="s">
        <v>196</v>
      </c>
      <c r="C748">
        <v>75396</v>
      </c>
      <c r="D748" s="2">
        <v>60</v>
      </c>
      <c r="E748" s="1">
        <v>43157</v>
      </c>
      <c r="F748" t="str">
        <f>"201802158779"</f>
        <v>201802158779</v>
      </c>
      <c r="G748" t="str">
        <f>"REF COUP 19622 21662 20837/38"</f>
        <v>REF COUP 19622 21662 20837/38</v>
      </c>
      <c r="H748" s="2">
        <v>60</v>
      </c>
      <c r="I748" t="str">
        <f>"REF COUP 19622 21662 20837/38"</f>
        <v>REF COUP 19622 21662 20837/38</v>
      </c>
    </row>
    <row r="749" spans="1:9" x14ac:dyDescent="0.3">
      <c r="A749" t="str">
        <f>"FLS"</f>
        <v>FLS</v>
      </c>
      <c r="B749" t="s">
        <v>197</v>
      </c>
      <c r="C749">
        <v>999999</v>
      </c>
      <c r="D749" s="2">
        <v>2850</v>
      </c>
      <c r="E749" s="1">
        <v>43144</v>
      </c>
      <c r="F749" t="str">
        <f>"201801248230"</f>
        <v>201801248230</v>
      </c>
      <c r="G749" t="str">
        <f>"685 335"</f>
        <v>685 335</v>
      </c>
      <c r="H749" s="2">
        <v>100</v>
      </c>
      <c r="I749" t="str">
        <f>"685 335"</f>
        <v>685 335</v>
      </c>
    </row>
    <row r="750" spans="1:9" x14ac:dyDescent="0.3">
      <c r="A750" t="str">
        <f>""</f>
        <v/>
      </c>
      <c r="F750" t="str">
        <f>"201801308255"</f>
        <v>201801308255</v>
      </c>
      <c r="G750" t="str">
        <f>"54 738"</f>
        <v>54 738</v>
      </c>
      <c r="H750" s="2">
        <v>250</v>
      </c>
      <c r="I750" t="str">
        <f>"54 738"</f>
        <v>54 738</v>
      </c>
    </row>
    <row r="751" spans="1:9" x14ac:dyDescent="0.3">
      <c r="A751" t="str">
        <f>""</f>
        <v/>
      </c>
      <c r="F751" t="str">
        <f>"201801308256"</f>
        <v>201801308256</v>
      </c>
      <c r="G751" t="str">
        <f>"54 874"</f>
        <v>54 874</v>
      </c>
      <c r="H751" s="2">
        <v>250</v>
      </c>
      <c r="I751" t="str">
        <f>"54 874"</f>
        <v>54 874</v>
      </c>
    </row>
    <row r="752" spans="1:9" x14ac:dyDescent="0.3">
      <c r="A752" t="str">
        <f>""</f>
        <v/>
      </c>
      <c r="F752" t="str">
        <f>"201801308257"</f>
        <v>201801308257</v>
      </c>
      <c r="G752" t="str">
        <f>"UNFILED-CRIM TRESPASS"</f>
        <v>UNFILED-CRIM TRESPASS</v>
      </c>
      <c r="H752" s="2">
        <v>250</v>
      </c>
      <c r="I752" t="str">
        <f>"UNFILED-CRIM TRESPASS"</f>
        <v>UNFILED-CRIM TRESPASS</v>
      </c>
    </row>
    <row r="753" spans="1:9" x14ac:dyDescent="0.3">
      <c r="A753" t="str">
        <f>""</f>
        <v/>
      </c>
      <c r="F753" t="str">
        <f>"201801308258"</f>
        <v>201801308258</v>
      </c>
      <c r="G753" t="str">
        <f>"54 419"</f>
        <v>54 419</v>
      </c>
      <c r="H753" s="2">
        <v>250</v>
      </c>
      <c r="I753" t="str">
        <f>"54 419"</f>
        <v>54 419</v>
      </c>
    </row>
    <row r="754" spans="1:9" x14ac:dyDescent="0.3">
      <c r="A754" t="str">
        <f>""</f>
        <v/>
      </c>
      <c r="F754" t="str">
        <f>"201801308259"</f>
        <v>201801308259</v>
      </c>
      <c r="G754" t="str">
        <f>"55 269"</f>
        <v>55 269</v>
      </c>
      <c r="H754" s="2">
        <v>250</v>
      </c>
      <c r="I754" t="str">
        <f>"55 269"</f>
        <v>55 269</v>
      </c>
    </row>
    <row r="755" spans="1:9" x14ac:dyDescent="0.3">
      <c r="A755" t="str">
        <f>""</f>
        <v/>
      </c>
      <c r="F755" t="str">
        <f>"201801308260"</f>
        <v>201801308260</v>
      </c>
      <c r="G755" t="str">
        <f>"54 838"</f>
        <v>54 838</v>
      </c>
      <c r="H755" s="2">
        <v>250</v>
      </c>
      <c r="I755" t="str">
        <f>"54 838"</f>
        <v>54 838</v>
      </c>
    </row>
    <row r="756" spans="1:9" x14ac:dyDescent="0.3">
      <c r="A756" t="str">
        <f>""</f>
        <v/>
      </c>
      <c r="F756" t="str">
        <f>"201802018438"</f>
        <v>201802018438</v>
      </c>
      <c r="G756" t="str">
        <f>"15 271"</f>
        <v>15 271</v>
      </c>
      <c r="H756" s="2">
        <v>1000</v>
      </c>
      <c r="I756" t="str">
        <f>"15 271"</f>
        <v>15 271</v>
      </c>
    </row>
    <row r="757" spans="1:9" x14ac:dyDescent="0.3">
      <c r="A757" t="str">
        <f>""</f>
        <v/>
      </c>
      <c r="F757" t="str">
        <f>"201802078619"</f>
        <v>201802078619</v>
      </c>
      <c r="G757" t="str">
        <f>"55 226"</f>
        <v>55 226</v>
      </c>
      <c r="H757" s="2">
        <v>250</v>
      </c>
      <c r="I757" t="str">
        <f>"55 226"</f>
        <v>55 226</v>
      </c>
    </row>
    <row r="758" spans="1:9" x14ac:dyDescent="0.3">
      <c r="A758" t="str">
        <f>"FLS"</f>
        <v>FLS</v>
      </c>
      <c r="B758" t="s">
        <v>197</v>
      </c>
      <c r="C758">
        <v>999999</v>
      </c>
      <c r="D758" s="2">
        <v>1300</v>
      </c>
      <c r="E758" s="1">
        <v>43158</v>
      </c>
      <c r="F758" t="str">
        <f>"201802148691"</f>
        <v>201802148691</v>
      </c>
      <c r="G758" t="str">
        <f>"N/A (UNINDICTED)"</f>
        <v>N/A (UNINDICTED)</v>
      </c>
      <c r="H758" s="2">
        <v>400</v>
      </c>
      <c r="I758" t="str">
        <f>"N/A (UNINDICTED)"</f>
        <v>N/A (UNINDICTED)</v>
      </c>
    </row>
    <row r="759" spans="1:9" x14ac:dyDescent="0.3">
      <c r="A759" t="str">
        <f>""</f>
        <v/>
      </c>
      <c r="F759" t="str">
        <f>"201802148692"</f>
        <v>201802148692</v>
      </c>
      <c r="G759" t="str">
        <f>"55 691"</f>
        <v>55 691</v>
      </c>
      <c r="H759" s="2">
        <v>150</v>
      </c>
      <c r="I759" t="str">
        <f>"55 691"</f>
        <v>55 691</v>
      </c>
    </row>
    <row r="760" spans="1:9" x14ac:dyDescent="0.3">
      <c r="A760" t="str">
        <f>""</f>
        <v/>
      </c>
      <c r="F760" t="str">
        <f>"201802148726"</f>
        <v>201802148726</v>
      </c>
      <c r="G760" t="str">
        <f>"55 691/N/A"</f>
        <v>55 691/N/A</v>
      </c>
      <c r="H760" s="2">
        <v>375</v>
      </c>
      <c r="I760" t="str">
        <f>"55 691/N/A"</f>
        <v>55 691/N/A</v>
      </c>
    </row>
    <row r="761" spans="1:9" x14ac:dyDescent="0.3">
      <c r="A761" t="str">
        <f>""</f>
        <v/>
      </c>
      <c r="F761" t="str">
        <f>"201802148727"</f>
        <v>201802148727</v>
      </c>
      <c r="G761" t="str">
        <f>"55 538/N/A UNFILED"</f>
        <v>55 538/N/A UNFILED</v>
      </c>
      <c r="H761" s="2">
        <v>375</v>
      </c>
      <c r="I761" t="str">
        <f>"55 538/N/A UNFILED"</f>
        <v>55 538/N/A UNFILED</v>
      </c>
    </row>
    <row r="762" spans="1:9" x14ac:dyDescent="0.3">
      <c r="A762" t="str">
        <f>"PPLAN"</f>
        <v>PPLAN</v>
      </c>
      <c r="B762" t="s">
        <v>198</v>
      </c>
      <c r="C762">
        <v>75104</v>
      </c>
      <c r="D762" s="2">
        <v>1601.57</v>
      </c>
      <c r="E762" s="1">
        <v>43143</v>
      </c>
      <c r="F762" t="str">
        <f>"P59279"</f>
        <v>P59279</v>
      </c>
      <c r="G762" t="str">
        <f>"ACCT#8850283308/PCT#4"</f>
        <v>ACCT#8850283308/PCT#4</v>
      </c>
      <c r="H762" s="2">
        <v>84.74</v>
      </c>
      <c r="I762" t="str">
        <f>"ACCT#8850283308/PCT#4"</f>
        <v>ACCT#8850283308/PCT#4</v>
      </c>
    </row>
    <row r="763" spans="1:9" x14ac:dyDescent="0.3">
      <c r="A763" t="str">
        <f>""</f>
        <v/>
      </c>
      <c r="F763" t="str">
        <f>"W93469"</f>
        <v>W93469</v>
      </c>
      <c r="G763" t="str">
        <f>"ACCT#8850283308/ENVIR SVCS"</f>
        <v>ACCT#8850283308/ENVIR SVCS</v>
      </c>
      <c r="H763" s="2">
        <v>1516.83</v>
      </c>
      <c r="I763" t="str">
        <f>"ACCT#8850283308/ENVIR SVCS"</f>
        <v>ACCT#8850283308/ENVIR SVCS</v>
      </c>
    </row>
    <row r="764" spans="1:9" x14ac:dyDescent="0.3">
      <c r="A764" t="str">
        <f>"005208"</f>
        <v>005208</v>
      </c>
      <c r="B764" t="s">
        <v>199</v>
      </c>
      <c r="C764">
        <v>75105</v>
      </c>
      <c r="D764" s="2">
        <v>225</v>
      </c>
      <c r="E764" s="1">
        <v>43143</v>
      </c>
      <c r="F764" t="str">
        <f>"12211"</f>
        <v>12211</v>
      </c>
      <c r="G764" t="str">
        <f>"REFUND OF SERVICE FEE"</f>
        <v>REFUND OF SERVICE FEE</v>
      </c>
      <c r="H764" s="2">
        <v>225</v>
      </c>
      <c r="I764" t="str">
        <f>"REFUND OF SERVICE FEE"</f>
        <v>REFUND OF SERVICE FEE</v>
      </c>
    </row>
    <row r="765" spans="1:9" x14ac:dyDescent="0.3">
      <c r="A765" t="str">
        <f>"AT&amp;EI"</f>
        <v>AT&amp;EI</v>
      </c>
      <c r="B765" t="s">
        <v>200</v>
      </c>
      <c r="C765">
        <v>75106</v>
      </c>
      <c r="D765" s="2">
        <v>235.99</v>
      </c>
      <c r="E765" s="1">
        <v>43143</v>
      </c>
      <c r="F765" t="str">
        <f>"AP359115"</f>
        <v>AP359115</v>
      </c>
      <c r="G765" t="str">
        <f>"ACCT#3324/LIGHTS/PCT#3"</f>
        <v>ACCT#3324/LIGHTS/PCT#3</v>
      </c>
      <c r="H765" s="2">
        <v>151.13</v>
      </c>
      <c r="I765" t="str">
        <f>"ACCT#3324/LIGHTS/PCT#3"</f>
        <v>ACCT#3324/LIGHTS/PCT#3</v>
      </c>
    </row>
    <row r="766" spans="1:9" x14ac:dyDescent="0.3">
      <c r="A766" t="str">
        <f>""</f>
        <v/>
      </c>
      <c r="F766" t="str">
        <f>"AP360023"</f>
        <v>AP360023</v>
      </c>
      <c r="G766" t="str">
        <f>"ACCT#3326/PCT#4"</f>
        <v>ACCT#3326/PCT#4</v>
      </c>
      <c r="H766" s="2">
        <v>13.38</v>
      </c>
      <c r="I766" t="str">
        <f>"ACCT#3326/PCT#4"</f>
        <v>ACCT#3326/PCT#4</v>
      </c>
    </row>
    <row r="767" spans="1:9" x14ac:dyDescent="0.3">
      <c r="A767" t="str">
        <f>""</f>
        <v/>
      </c>
      <c r="F767" t="str">
        <f>"AP360485"</f>
        <v>AP360485</v>
      </c>
      <c r="G767" t="str">
        <f>"ACCT#3324/BLADES/PCT#3"</f>
        <v>ACCT#3324/BLADES/PCT#3</v>
      </c>
      <c r="H767" s="2">
        <v>71.48</v>
      </c>
      <c r="I767" t="str">
        <f>"ACCT#3324/BLADES/PCT#3"</f>
        <v>ACCT#3324/BLADES/PCT#3</v>
      </c>
    </row>
    <row r="768" spans="1:9" x14ac:dyDescent="0.3">
      <c r="A768" t="str">
        <f>"AT&amp;EI"</f>
        <v>AT&amp;EI</v>
      </c>
      <c r="B768" t="s">
        <v>200</v>
      </c>
      <c r="C768">
        <v>75397</v>
      </c>
      <c r="D768" s="2">
        <v>296.17</v>
      </c>
      <c r="E768" s="1">
        <v>43157</v>
      </c>
      <c r="F768" t="str">
        <f>"AP362257"</f>
        <v>AP362257</v>
      </c>
      <c r="G768" t="str">
        <f>"ACCT#3324/PCT#3"</f>
        <v>ACCT#3324/PCT#3</v>
      </c>
      <c r="H768" s="2">
        <v>208.97</v>
      </c>
      <c r="I768" t="str">
        <f>"ACCT#3324/PCT#3"</f>
        <v>ACCT#3324/PCT#3</v>
      </c>
    </row>
    <row r="769" spans="1:9" x14ac:dyDescent="0.3">
      <c r="A769" t="str">
        <f>""</f>
        <v/>
      </c>
      <c r="F769" t="str">
        <f>"AP362526"</f>
        <v>AP362526</v>
      </c>
      <c r="G769" t="str">
        <f>"ACCT#3324/FLUID/PCT33"</f>
        <v>ACCT#3324/FLUID/PCT33</v>
      </c>
      <c r="H769" s="2">
        <v>87.2</v>
      </c>
      <c r="I769" t="str">
        <f>"ACCT#3324/FLUID/PCT33"</f>
        <v>ACCT#3324/FLUID/PCT33</v>
      </c>
    </row>
    <row r="770" spans="1:9" x14ac:dyDescent="0.3">
      <c r="A770" t="str">
        <f>"G&amp;C"</f>
        <v>G&amp;C</v>
      </c>
      <c r="B770" t="s">
        <v>201</v>
      </c>
      <c r="C770">
        <v>999999</v>
      </c>
      <c r="D770" s="2">
        <v>816.2</v>
      </c>
      <c r="E770" s="1">
        <v>43144</v>
      </c>
      <c r="F770" t="str">
        <f>"104261"</f>
        <v>104261</v>
      </c>
      <c r="G770" t="str">
        <f>"WINDOW ENVELOPES/GIS&amp;ADDRESSIN"</f>
        <v>WINDOW ENVELOPES/GIS&amp;ADDRESSIN</v>
      </c>
      <c r="H770" s="2">
        <v>65.86</v>
      </c>
      <c r="I770" t="str">
        <f>"WINDOW ENVELOPES/GIS&amp;ADDRESSIN"</f>
        <v>WINDOW ENVELOPES/GIS&amp;ADDRESSIN</v>
      </c>
    </row>
    <row r="771" spans="1:9" x14ac:dyDescent="0.3">
      <c r="A771" t="str">
        <f>""</f>
        <v/>
      </c>
      <c r="F771" t="str">
        <f>"104309"</f>
        <v>104309</v>
      </c>
      <c r="G771" t="str">
        <f>"VOTING SCHEDULE/ELECT DEPT"</f>
        <v>VOTING SCHEDULE/ELECT DEPT</v>
      </c>
      <c r="H771" s="2">
        <v>191.38</v>
      </c>
      <c r="I771" t="str">
        <f>"VOTING SCHEDULE/ELECT DEPT"</f>
        <v>VOTING SCHEDULE/ELECT DEPT</v>
      </c>
    </row>
    <row r="772" spans="1:9" x14ac:dyDescent="0.3">
      <c r="A772" t="str">
        <f>""</f>
        <v/>
      </c>
      <c r="F772" t="str">
        <f>"104358"</f>
        <v>104358</v>
      </c>
      <c r="G772" t="str">
        <f>"ENVELOPES/SANITATION SVCS"</f>
        <v>ENVELOPES/SANITATION SVCS</v>
      </c>
      <c r="H772" s="2">
        <v>120.66</v>
      </c>
      <c r="I772" t="str">
        <f>"ENVELOPES/SANITATION SVCS"</f>
        <v>ENVELOPES/SANITATION SVCS</v>
      </c>
    </row>
    <row r="773" spans="1:9" x14ac:dyDescent="0.3">
      <c r="A773" t="str">
        <f>""</f>
        <v/>
      </c>
      <c r="F773" t="str">
        <f>"104399"</f>
        <v>104399</v>
      </c>
      <c r="G773" t="str">
        <f>"INV GC 104399"</f>
        <v>INV GC 104399</v>
      </c>
      <c r="H773" s="2">
        <v>40.96</v>
      </c>
      <c r="I773" t="str">
        <f>"INV GC 104399"</f>
        <v>INV GC 104399</v>
      </c>
    </row>
    <row r="774" spans="1:9" x14ac:dyDescent="0.3">
      <c r="A774" t="str">
        <f>""</f>
        <v/>
      </c>
      <c r="F774" t="str">
        <f>"104400"</f>
        <v>104400</v>
      </c>
      <c r="G774" t="str">
        <f>"INV GC 104400"</f>
        <v>INV GC 104400</v>
      </c>
      <c r="H774" s="2">
        <v>40.96</v>
      </c>
      <c r="I774" t="str">
        <f>"INV GC 104400"</f>
        <v>INV GC 104400</v>
      </c>
    </row>
    <row r="775" spans="1:9" x14ac:dyDescent="0.3">
      <c r="A775" t="str">
        <f>""</f>
        <v/>
      </c>
      <c r="F775" t="str">
        <f>"104401"</f>
        <v>104401</v>
      </c>
      <c r="G775" t="str">
        <f>"INV GC 104401"</f>
        <v>INV GC 104401</v>
      </c>
      <c r="H775" s="2">
        <v>40.96</v>
      </c>
      <c r="I775" t="str">
        <f>"INV GC 104401"</f>
        <v>INV GC 104401</v>
      </c>
    </row>
    <row r="776" spans="1:9" x14ac:dyDescent="0.3">
      <c r="A776" t="str">
        <f>""</f>
        <v/>
      </c>
      <c r="F776" t="str">
        <f>"104403"</f>
        <v>104403</v>
      </c>
      <c r="G776" t="str">
        <f>"INV GC 104403"</f>
        <v>INV GC 104403</v>
      </c>
      <c r="H776" s="2">
        <v>40.96</v>
      </c>
      <c r="I776" t="str">
        <f>"INV GC 104403"</f>
        <v>INV GC 104403</v>
      </c>
    </row>
    <row r="777" spans="1:9" x14ac:dyDescent="0.3">
      <c r="A777" t="str">
        <f>""</f>
        <v/>
      </c>
      <c r="F777" t="str">
        <f>"104404"</f>
        <v>104404</v>
      </c>
      <c r="G777" t="str">
        <f>"INV GC 104404"</f>
        <v>INV GC 104404</v>
      </c>
      <c r="H777" s="2">
        <v>40.96</v>
      </c>
      <c r="I777" t="str">
        <f>"INV GC 104404"</f>
        <v>INV GC 104404</v>
      </c>
    </row>
    <row r="778" spans="1:9" x14ac:dyDescent="0.3">
      <c r="A778" t="str">
        <f>""</f>
        <v/>
      </c>
      <c r="F778" t="str">
        <f>"104415"</f>
        <v>104415</v>
      </c>
      <c r="G778" t="str">
        <f>"PHOTO ID POSTERS/ELECTIONS"</f>
        <v>PHOTO ID POSTERS/ELECTIONS</v>
      </c>
      <c r="H778" s="2">
        <v>36.85</v>
      </c>
      <c r="I778" t="str">
        <f>"PHOTO ID POSTERS/ELECTIONS"</f>
        <v>PHOTO ID POSTERS/ELECTIONS</v>
      </c>
    </row>
    <row r="779" spans="1:9" x14ac:dyDescent="0.3">
      <c r="A779" t="str">
        <f>""</f>
        <v/>
      </c>
      <c r="F779" t="str">
        <f>"BUS CARDS-C. BROWN"</f>
        <v>BUS CARDS-C. BROWN</v>
      </c>
      <c r="G779" t="str">
        <f>"gc 104184 - C. BROWN"</f>
        <v>gc 104184 - C. BROWN</v>
      </c>
      <c r="H779" s="2">
        <v>40.96</v>
      </c>
      <c r="I779" t="str">
        <f>"BUSINESS CARD - C. BROWN"</f>
        <v>BUSINESS CARD - C. BROWN</v>
      </c>
    </row>
    <row r="780" spans="1:9" x14ac:dyDescent="0.3">
      <c r="A780" t="str">
        <f>""</f>
        <v/>
      </c>
      <c r="F780" t="str">
        <f>"BUS CARDS-S.MARTIN"</f>
        <v>BUS CARDS-S.MARTIN</v>
      </c>
      <c r="G780" t="str">
        <f>"GC 104185 - S. MARTIN"</f>
        <v>GC 104185 - S. MARTIN</v>
      </c>
      <c r="H780" s="2">
        <v>40.96</v>
      </c>
      <c r="I780" t="str">
        <f>"BUSINESS CARD - S. MARTIN"</f>
        <v>BUSINESS CARD - S. MARTIN</v>
      </c>
    </row>
    <row r="781" spans="1:9" x14ac:dyDescent="0.3">
      <c r="A781" t="str">
        <f>""</f>
        <v/>
      </c>
      <c r="F781" t="str">
        <f>"GC104405"</f>
        <v>GC104405</v>
      </c>
      <c r="G781" t="str">
        <f>"INV GC 104405"</f>
        <v>INV GC 104405</v>
      </c>
      <c r="H781" s="2">
        <v>114.73</v>
      </c>
      <c r="I781" t="str">
        <f>"INV GC 104405"</f>
        <v>INV GC 104405</v>
      </c>
    </row>
    <row r="782" spans="1:9" x14ac:dyDescent="0.3">
      <c r="A782" t="str">
        <f>"G&amp;C"</f>
        <v>G&amp;C</v>
      </c>
      <c r="B782" t="s">
        <v>201</v>
      </c>
      <c r="C782">
        <v>999999</v>
      </c>
      <c r="D782" s="2">
        <v>523.42999999999995</v>
      </c>
      <c r="E782" s="1">
        <v>43158</v>
      </c>
      <c r="F782" t="str">
        <f>"104397"</f>
        <v>104397</v>
      </c>
      <c r="G782" t="str">
        <f>"OFFICIAL BUDGET FY 2017-2018"</f>
        <v>OFFICIAL BUDGET FY 2017-2018</v>
      </c>
      <c r="H782" s="2">
        <v>462.42</v>
      </c>
      <c r="I782" t="str">
        <f>"OFFICIAL BUDGET FY 2017-2018"</f>
        <v>OFFICIAL BUDGET FY 2017-2018</v>
      </c>
    </row>
    <row r="783" spans="1:9" x14ac:dyDescent="0.3">
      <c r="A783" t="str">
        <f>""</f>
        <v/>
      </c>
      <c r="F783" t="str">
        <f>"104492"</f>
        <v>104492</v>
      </c>
      <c r="G783" t="str">
        <f>"INV 104492"</f>
        <v>INV 104492</v>
      </c>
      <c r="H783" s="2">
        <v>61.01</v>
      </c>
      <c r="I783" t="str">
        <f>"INV 104492"</f>
        <v>INV 104492</v>
      </c>
    </row>
    <row r="784" spans="1:9" x14ac:dyDescent="0.3">
      <c r="A784" t="str">
        <f>"002605"</f>
        <v>002605</v>
      </c>
      <c r="B784" t="s">
        <v>202</v>
      </c>
      <c r="C784">
        <v>75398</v>
      </c>
      <c r="D784" s="2">
        <v>330.12</v>
      </c>
      <c r="E784" s="1">
        <v>43157</v>
      </c>
      <c r="F784" t="str">
        <f>"201802148753"</f>
        <v>201802148753</v>
      </c>
      <c r="G784" t="str">
        <f>"CUST#2179855/PCT#3"</f>
        <v>CUST#2179855/PCT#3</v>
      </c>
      <c r="H784" s="2">
        <v>330.12</v>
      </c>
      <c r="I784" t="str">
        <f>"CUST#2179855/PCT#3"</f>
        <v>CUST#2179855/PCT#3</v>
      </c>
    </row>
    <row r="785" spans="1:9" x14ac:dyDescent="0.3">
      <c r="A785" t="str">
        <f>"004055"</f>
        <v>004055</v>
      </c>
      <c r="B785" t="s">
        <v>203</v>
      </c>
      <c r="C785">
        <v>75107</v>
      </c>
      <c r="D785" s="2">
        <v>163.21</v>
      </c>
      <c r="E785" s="1">
        <v>43143</v>
      </c>
      <c r="F785" t="str">
        <f>"INV1149/1150"</f>
        <v>INV1149/1150</v>
      </c>
      <c r="G785" t="str">
        <f>"INV 1149"</f>
        <v>INV 1149</v>
      </c>
      <c r="H785" s="2">
        <v>75.209999999999994</v>
      </c>
      <c r="I785" t="str">
        <f>"INV 1149"</f>
        <v>INV 1149</v>
      </c>
    </row>
    <row r="786" spans="1:9" x14ac:dyDescent="0.3">
      <c r="A786" t="str">
        <f>""</f>
        <v/>
      </c>
      <c r="F786" t="str">
        <f>""</f>
        <v/>
      </c>
      <c r="G786" t="str">
        <f>""</f>
        <v/>
      </c>
      <c r="I786" t="str">
        <f>"INV 1150"</f>
        <v>INV 1150</v>
      </c>
    </row>
    <row r="787" spans="1:9" x14ac:dyDescent="0.3">
      <c r="A787" t="str">
        <f>""</f>
        <v/>
      </c>
      <c r="F787" t="str">
        <f>"INV1151/1152"</f>
        <v>INV1151/1152</v>
      </c>
      <c r="G787" t="str">
        <f>"INV 1151"</f>
        <v>INV 1151</v>
      </c>
      <c r="H787" s="2">
        <v>88</v>
      </c>
      <c r="I787" t="str">
        <f>"INV 1151"</f>
        <v>INV 1151</v>
      </c>
    </row>
    <row r="788" spans="1:9" x14ac:dyDescent="0.3">
      <c r="A788" t="str">
        <f>""</f>
        <v/>
      </c>
      <c r="F788" t="str">
        <f>""</f>
        <v/>
      </c>
      <c r="G788" t="str">
        <f>""</f>
        <v/>
      </c>
      <c r="I788" t="str">
        <f>"INV 1152"</f>
        <v>INV 1152</v>
      </c>
    </row>
    <row r="789" spans="1:9" x14ac:dyDescent="0.3">
      <c r="A789" t="str">
        <f>"T5794"</f>
        <v>T5794</v>
      </c>
      <c r="B789" t="s">
        <v>204</v>
      </c>
      <c r="C789">
        <v>999999</v>
      </c>
      <c r="D789" s="2">
        <v>254.91</v>
      </c>
      <c r="E789" s="1">
        <v>43158</v>
      </c>
      <c r="F789" t="str">
        <f>"N50787"</f>
        <v>N50787</v>
      </c>
      <c r="G789" t="str">
        <f>"INV N50787"</f>
        <v>INV N50787</v>
      </c>
      <c r="H789" s="2">
        <v>254.91</v>
      </c>
      <c r="I789" t="str">
        <f>"INV N50787"</f>
        <v>INV N50787</v>
      </c>
    </row>
    <row r="790" spans="1:9" x14ac:dyDescent="0.3">
      <c r="A790" t="str">
        <f>"004906"</f>
        <v>004906</v>
      </c>
      <c r="B790" t="s">
        <v>205</v>
      </c>
      <c r="C790">
        <v>75108</v>
      </c>
      <c r="D790" s="2">
        <v>10</v>
      </c>
      <c r="E790" s="1">
        <v>43143</v>
      </c>
      <c r="F790" t="str">
        <f>"201802018405"</f>
        <v>201802018405</v>
      </c>
      <c r="G790" t="str">
        <f>"FERAL HOGS"</f>
        <v>FERAL HOGS</v>
      </c>
      <c r="H790" s="2">
        <v>10</v>
      </c>
      <c r="I790" t="str">
        <f>"FERAL HOGS"</f>
        <v>FERAL HOGS</v>
      </c>
    </row>
    <row r="791" spans="1:9" x14ac:dyDescent="0.3">
      <c r="A791" t="str">
        <f>"GCR"</f>
        <v>GCR</v>
      </c>
      <c r="B791" t="s">
        <v>206</v>
      </c>
      <c r="C791">
        <v>75399</v>
      </c>
      <c r="D791" s="2">
        <v>6331.4</v>
      </c>
      <c r="E791" s="1">
        <v>43157</v>
      </c>
      <c r="F791" t="str">
        <f>"625-95982"</f>
        <v>625-95982</v>
      </c>
      <c r="G791" t="str">
        <f>"ACCT#535538/ORD#99052/PCT#2"</f>
        <v>ACCT#535538/ORD#99052/PCT#2</v>
      </c>
      <c r="H791" s="2">
        <v>6331.4</v>
      </c>
      <c r="I791" t="str">
        <f>"ACCT#535538/ORD#99052/PCT#2"</f>
        <v>ACCT#535538/ORD#99052/PCT#2</v>
      </c>
    </row>
    <row r="792" spans="1:9" x14ac:dyDescent="0.3">
      <c r="A792" t="str">
        <f>"005423"</f>
        <v>005423</v>
      </c>
      <c r="B792" t="s">
        <v>207</v>
      </c>
      <c r="C792">
        <v>75109</v>
      </c>
      <c r="D792" s="2">
        <v>213.25</v>
      </c>
      <c r="E792" s="1">
        <v>43143</v>
      </c>
      <c r="F792" t="str">
        <f>"201802078661"</f>
        <v>201802078661</v>
      </c>
      <c r="G792" t="str">
        <f>"INDIGENT HEALTH"</f>
        <v>INDIGENT HEALTH</v>
      </c>
      <c r="H792" s="2">
        <v>213.25</v>
      </c>
      <c r="I792" t="str">
        <f>"INDIGENT HEALTH"</f>
        <v>INDIGENT HEALTH</v>
      </c>
    </row>
    <row r="793" spans="1:9" x14ac:dyDescent="0.3">
      <c r="A793" t="str">
        <f>"004353"</f>
        <v>004353</v>
      </c>
      <c r="B793" t="s">
        <v>208</v>
      </c>
      <c r="C793">
        <v>75110</v>
      </c>
      <c r="D793" s="2">
        <v>1565</v>
      </c>
      <c r="E793" s="1">
        <v>43143</v>
      </c>
      <c r="F793" t="str">
        <f>"1006"</f>
        <v>1006</v>
      </c>
      <c r="G793" t="str">
        <f>"TRANSPORT-D. JONES/JP1"</f>
        <v>TRANSPORT-D. JONES/JP1</v>
      </c>
      <c r="H793" s="2">
        <v>390</v>
      </c>
      <c r="I793" t="str">
        <f>"TRANSPORT-D. JONES"</f>
        <v>TRANSPORT-D. JONES</v>
      </c>
    </row>
    <row r="794" spans="1:9" x14ac:dyDescent="0.3">
      <c r="A794" t="str">
        <f>""</f>
        <v/>
      </c>
      <c r="F794" t="str">
        <f>"1007"</f>
        <v>1007</v>
      </c>
      <c r="G794" t="str">
        <f>"TRANSPORT-P. QUINN"</f>
        <v>TRANSPORT-P. QUINN</v>
      </c>
      <c r="H794" s="2">
        <v>350</v>
      </c>
      <c r="I794" t="str">
        <f>"TRANSPORT-P. QUINN"</f>
        <v>TRANSPORT-P. QUINN</v>
      </c>
    </row>
    <row r="795" spans="1:9" x14ac:dyDescent="0.3">
      <c r="A795" t="str">
        <f>""</f>
        <v/>
      </c>
      <c r="F795" t="str">
        <f>"1008"</f>
        <v>1008</v>
      </c>
      <c r="G795" t="str">
        <f>"TRANSPORT-T. KINDER"</f>
        <v>TRANSPORT-T. KINDER</v>
      </c>
      <c r="H795" s="2">
        <v>350</v>
      </c>
      <c r="I795" t="str">
        <f>"TRANSPORT-T. KINDER"</f>
        <v>TRANSPORT-T. KINDER</v>
      </c>
    </row>
    <row r="796" spans="1:9" x14ac:dyDescent="0.3">
      <c r="A796" t="str">
        <f>""</f>
        <v/>
      </c>
      <c r="F796" t="str">
        <f>"1009"</f>
        <v>1009</v>
      </c>
      <c r="G796" t="str">
        <f>"TRANSPORT-I. TRUJILLO"</f>
        <v>TRANSPORT-I. TRUJILLO</v>
      </c>
      <c r="H796" s="2">
        <v>475</v>
      </c>
      <c r="I796" t="str">
        <f>"TRANSPORT-I. TRUJILLO"</f>
        <v>TRANSPORT-I. TRUJILLO</v>
      </c>
    </row>
    <row r="797" spans="1:9" x14ac:dyDescent="0.3">
      <c r="A797" t="str">
        <f>"004353"</f>
        <v>004353</v>
      </c>
      <c r="B797" t="s">
        <v>208</v>
      </c>
      <c r="C797">
        <v>75400</v>
      </c>
      <c r="D797" s="2">
        <v>700</v>
      </c>
      <c r="E797" s="1">
        <v>43157</v>
      </c>
      <c r="F797" t="str">
        <f>"1010"</f>
        <v>1010</v>
      </c>
      <c r="G797" t="str">
        <f>"TRANSPORT-D.J. COLLINS"</f>
        <v>TRANSPORT-D.J. COLLINS</v>
      </c>
      <c r="H797" s="2">
        <v>350</v>
      </c>
      <c r="I797" t="str">
        <f>"TRANSPORT-D.J. COLLINS"</f>
        <v>TRANSPORT-D.J. COLLINS</v>
      </c>
    </row>
    <row r="798" spans="1:9" x14ac:dyDescent="0.3">
      <c r="A798" t="str">
        <f>""</f>
        <v/>
      </c>
      <c r="F798" t="str">
        <f>"1058"</f>
        <v>1058</v>
      </c>
      <c r="G798" t="str">
        <f>"TRANSPORT-A.R.REESE"</f>
        <v>TRANSPORT-A.R.REESE</v>
      </c>
      <c r="H798" s="2">
        <v>350</v>
      </c>
      <c r="I798" t="str">
        <f>"TRANSPORT-A.R.REESE"</f>
        <v>TRANSPORT-A.R.REESE</v>
      </c>
    </row>
    <row r="799" spans="1:9" x14ac:dyDescent="0.3">
      <c r="A799" t="str">
        <f>"WWGI"</f>
        <v>WWGI</v>
      </c>
      <c r="B799" t="s">
        <v>209</v>
      </c>
      <c r="C799">
        <v>75111</v>
      </c>
      <c r="D799" s="2">
        <v>1116.32</v>
      </c>
      <c r="E799" s="1">
        <v>43143</v>
      </c>
      <c r="F799" t="str">
        <f>"5JFC6/5JFC7"</f>
        <v>5JFC6/5JFC7</v>
      </c>
      <c r="G799" t="str">
        <f>"OEM Flag Pole Parts"</f>
        <v>OEM Flag Pole Parts</v>
      </c>
      <c r="H799" s="2">
        <v>109.87</v>
      </c>
      <c r="I799" t="str">
        <f>"Item # 5JFC6"</f>
        <v>Item # 5JFC6</v>
      </c>
    </row>
    <row r="800" spans="1:9" x14ac:dyDescent="0.3">
      <c r="A800" t="str">
        <f>""</f>
        <v/>
      </c>
      <c r="F800" t="str">
        <f>""</f>
        <v/>
      </c>
      <c r="G800" t="str">
        <f>""</f>
        <v/>
      </c>
      <c r="I800" t="str">
        <f>"Item # 5JFC7"</f>
        <v>Item # 5JFC7</v>
      </c>
    </row>
    <row r="801" spans="1:9" x14ac:dyDescent="0.3">
      <c r="A801" t="str">
        <f>""</f>
        <v/>
      </c>
      <c r="F801" t="str">
        <f>"9683175948"</f>
        <v>9683175948</v>
      </c>
      <c r="G801" t="str">
        <f>"Account #: 814780730"</f>
        <v>Account #: 814780730</v>
      </c>
      <c r="H801" s="2">
        <v>912.1</v>
      </c>
      <c r="I801" t="str">
        <f>"Iten# 4W973"</f>
        <v>Iten# 4W973</v>
      </c>
    </row>
    <row r="802" spans="1:9" x14ac:dyDescent="0.3">
      <c r="A802" t="str">
        <f>""</f>
        <v/>
      </c>
      <c r="F802" t="str">
        <f>"INV9664529048/55"</f>
        <v>INV9664529048/55</v>
      </c>
      <c r="G802" t="str">
        <f>"INV 9664529048"</f>
        <v>INV 9664529048</v>
      </c>
      <c r="H802" s="2">
        <v>94.35</v>
      </c>
      <c r="I802" t="str">
        <f>"INV 9664529048"</f>
        <v>INV 9664529048</v>
      </c>
    </row>
    <row r="803" spans="1:9" x14ac:dyDescent="0.3">
      <c r="A803" t="str">
        <f>""</f>
        <v/>
      </c>
      <c r="F803" t="str">
        <f>""</f>
        <v/>
      </c>
      <c r="G803" t="str">
        <f>""</f>
        <v/>
      </c>
      <c r="I803" t="str">
        <f>"INV 9664529055"</f>
        <v>INV 9664529055</v>
      </c>
    </row>
    <row r="804" spans="1:9" x14ac:dyDescent="0.3">
      <c r="A804" t="str">
        <f>"005357"</f>
        <v>005357</v>
      </c>
      <c r="B804" t="s">
        <v>210</v>
      </c>
      <c r="C804">
        <v>75112</v>
      </c>
      <c r="D804" s="2">
        <v>56.16</v>
      </c>
      <c r="E804" s="1">
        <v>43143</v>
      </c>
      <c r="F804" t="str">
        <f>"I00283081-01112018"</f>
        <v>I00283081-01112018</v>
      </c>
      <c r="G804" t="str">
        <f>"PUBLIC NOTICE AD"</f>
        <v>PUBLIC NOTICE AD</v>
      </c>
      <c r="H804" s="2">
        <v>56.16</v>
      </c>
      <c r="I804" t="str">
        <f>"Bastrop/Smithville"</f>
        <v>Bastrop/Smithville</v>
      </c>
    </row>
    <row r="805" spans="1:9" x14ac:dyDescent="0.3">
      <c r="A805" t="str">
        <f>"005357"</f>
        <v>005357</v>
      </c>
      <c r="B805" t="s">
        <v>210</v>
      </c>
      <c r="C805">
        <v>75401</v>
      </c>
      <c r="D805" s="2">
        <v>1416.96</v>
      </c>
      <c r="E805" s="1">
        <v>43157</v>
      </c>
      <c r="F805" t="str">
        <f>"298591/298566/2985"</f>
        <v>298591/298566/2985</v>
      </c>
      <c r="G805" t="str">
        <f>"PO 18-19163"</f>
        <v>PO 18-19163</v>
      </c>
      <c r="H805" s="2">
        <v>1416.96</v>
      </c>
      <c r="I805" t="str">
        <f>"Ad# 298591"</f>
        <v>Ad# 298591</v>
      </c>
    </row>
    <row r="806" spans="1:9" x14ac:dyDescent="0.3">
      <c r="A806" t="str">
        <f>""</f>
        <v/>
      </c>
      <c r="F806" t="str">
        <f>""</f>
        <v/>
      </c>
      <c r="G806" t="str">
        <f>""</f>
        <v/>
      </c>
      <c r="I806" t="str">
        <f>"Ad# 298566"</f>
        <v>Ad# 298566</v>
      </c>
    </row>
    <row r="807" spans="1:9" x14ac:dyDescent="0.3">
      <c r="A807" t="str">
        <f>""</f>
        <v/>
      </c>
      <c r="F807" t="str">
        <f>""</f>
        <v/>
      </c>
      <c r="G807" t="str">
        <f>""</f>
        <v/>
      </c>
      <c r="I807" t="str">
        <f>"Ad# 298554"</f>
        <v>Ad# 298554</v>
      </c>
    </row>
    <row r="808" spans="1:9" x14ac:dyDescent="0.3">
      <c r="A808" t="str">
        <f>"004757"</f>
        <v>004757</v>
      </c>
      <c r="B808" t="s">
        <v>211</v>
      </c>
      <c r="C808">
        <v>75113</v>
      </c>
      <c r="D808" s="2">
        <v>79012</v>
      </c>
      <c r="E808" s="1">
        <v>43143</v>
      </c>
      <c r="F808" t="str">
        <f>"2018 DODGE SRW"</f>
        <v>2018 DODGE SRW</v>
      </c>
      <c r="G808" t="str">
        <f>"2 2018 Crew Cab's"</f>
        <v>2 2018 Crew Cab's</v>
      </c>
      <c r="H808" s="2">
        <v>79012</v>
      </c>
      <c r="I808" t="str">
        <f>"2018 Dodge Dually"</f>
        <v>2018 Dodge Dually</v>
      </c>
    </row>
    <row r="809" spans="1:9" x14ac:dyDescent="0.3">
      <c r="A809" t="str">
        <f>""</f>
        <v/>
      </c>
      <c r="F809" t="str">
        <f>""</f>
        <v/>
      </c>
      <c r="G809" t="str">
        <f>""</f>
        <v/>
      </c>
      <c r="I809" t="str">
        <f>"2018 Dodge SRW"</f>
        <v>2018 Dodge SRW</v>
      </c>
    </row>
    <row r="810" spans="1:9" x14ac:dyDescent="0.3">
      <c r="A810" t="str">
        <f>""</f>
        <v/>
      </c>
      <c r="F810" t="str">
        <f>""</f>
        <v/>
      </c>
      <c r="G810" t="str">
        <f>""</f>
        <v/>
      </c>
      <c r="I810" t="str">
        <f>"Buy Board Fee"</f>
        <v>Buy Board Fee</v>
      </c>
    </row>
    <row r="811" spans="1:9" x14ac:dyDescent="0.3">
      <c r="A811" t="str">
        <f>"005408"</f>
        <v>005408</v>
      </c>
      <c r="B811" t="s">
        <v>212</v>
      </c>
      <c r="C811">
        <v>75402</v>
      </c>
      <c r="D811" s="2">
        <v>1698.85</v>
      </c>
      <c r="E811" s="1">
        <v>43157</v>
      </c>
      <c r="F811" t="str">
        <f>"GP129606"</f>
        <v>GP129606</v>
      </c>
      <c r="G811" t="str">
        <f>"INV GP129606"</f>
        <v>INV GP129606</v>
      </c>
      <c r="H811" s="2">
        <v>1698.85</v>
      </c>
      <c r="I811" t="str">
        <f>"INV GP129606"</f>
        <v>INV GP129606</v>
      </c>
    </row>
    <row r="812" spans="1:9" x14ac:dyDescent="0.3">
      <c r="A812" t="str">
        <f>"GTDI"</f>
        <v>GTDI</v>
      </c>
      <c r="B812" t="s">
        <v>213</v>
      </c>
      <c r="C812">
        <v>75114</v>
      </c>
      <c r="D812" s="2">
        <v>227.94</v>
      </c>
      <c r="E812" s="1">
        <v>43143</v>
      </c>
      <c r="F812" t="str">
        <f>"DPT000220796"</f>
        <v>DPT000220796</v>
      </c>
      <c r="G812" t="str">
        <f>"DPT000220796"</f>
        <v>DPT000220796</v>
      </c>
      <c r="H812" s="2">
        <v>84.94</v>
      </c>
      <c r="I812" t="str">
        <f>"DPT000220796/ INV"</f>
        <v>DPT000220796/ INV</v>
      </c>
    </row>
    <row r="813" spans="1:9" x14ac:dyDescent="0.3">
      <c r="A813" t="str">
        <f>""</f>
        <v/>
      </c>
      <c r="F813" t="str">
        <f>""</f>
        <v/>
      </c>
      <c r="G813" t="str">
        <f>""</f>
        <v/>
      </c>
      <c r="I813" t="str">
        <f>"SHIPPING"</f>
        <v>SHIPPING</v>
      </c>
    </row>
    <row r="814" spans="1:9" x14ac:dyDescent="0.3">
      <c r="A814" t="str">
        <f>""</f>
        <v/>
      </c>
      <c r="F814" t="str">
        <f>"INV0645829"</f>
        <v>INV0645829</v>
      </c>
      <c r="G814" t="str">
        <f>"CUST#000825/ORD#DPT000220489"</f>
        <v>CUST#000825/ORD#DPT000220489</v>
      </c>
      <c r="H814" s="2">
        <v>143</v>
      </c>
      <c r="I814" t="str">
        <f>"CUST#000825/ORD#DPT000220489"</f>
        <v>CUST#000825/ORD#DPT000220489</v>
      </c>
    </row>
    <row r="815" spans="1:9" x14ac:dyDescent="0.3">
      <c r="A815" t="str">
        <f>"GTDI"</f>
        <v>GTDI</v>
      </c>
      <c r="B815" t="s">
        <v>213</v>
      </c>
      <c r="C815">
        <v>75403</v>
      </c>
      <c r="D815" s="2">
        <v>101.9</v>
      </c>
      <c r="E815" s="1">
        <v>43157</v>
      </c>
      <c r="F815" t="str">
        <f>"0647956"</f>
        <v>0647956</v>
      </c>
      <c r="G815" t="str">
        <f>"INV 0647956"</f>
        <v>INV 0647956</v>
      </c>
      <c r="H815" s="2">
        <v>101.9</v>
      </c>
      <c r="I815" t="str">
        <f>"INV 0647956"</f>
        <v>INV 0647956</v>
      </c>
    </row>
    <row r="816" spans="1:9" x14ac:dyDescent="0.3">
      <c r="A816" t="str">
        <f>"005268"</f>
        <v>005268</v>
      </c>
      <c r="B816" t="s">
        <v>214</v>
      </c>
      <c r="C816">
        <v>75115</v>
      </c>
      <c r="D816" s="2">
        <v>144.19999999999999</v>
      </c>
      <c r="E816" s="1">
        <v>43143</v>
      </c>
      <c r="F816" t="str">
        <f>"INV0014493"</f>
        <v>INV0014493</v>
      </c>
      <c r="G816" t="str">
        <f>"Vehicle Mounts"</f>
        <v>Vehicle Mounts</v>
      </c>
      <c r="H816" s="2">
        <v>144.19999999999999</v>
      </c>
      <c r="I816" t="str">
        <f>"Item# C-HDM-142"</f>
        <v>Item# C-HDM-142</v>
      </c>
    </row>
    <row r="817" spans="1:9" x14ac:dyDescent="0.3">
      <c r="A817" t="str">
        <f>"T3667"</f>
        <v>T3667</v>
      </c>
      <c r="B817" t="s">
        <v>215</v>
      </c>
      <c r="C817">
        <v>75116</v>
      </c>
      <c r="D817" s="2">
        <v>2238.5</v>
      </c>
      <c r="E817" s="1">
        <v>43143</v>
      </c>
      <c r="F817" t="str">
        <f>"1442802"</f>
        <v>1442802</v>
      </c>
      <c r="G817" t="str">
        <f>"CUST#0007014928/HOUSEKEEPING"</f>
        <v>CUST#0007014928/HOUSEKEEPING</v>
      </c>
      <c r="H817" s="2">
        <v>427.95</v>
      </c>
      <c r="I817" t="str">
        <f>"CUST#0007014928/HOUSEKEEPING"</f>
        <v>CUST#0007014928/HOUSEKEEPING</v>
      </c>
    </row>
    <row r="818" spans="1:9" x14ac:dyDescent="0.3">
      <c r="A818" t="str">
        <f>""</f>
        <v/>
      </c>
      <c r="F818" t="str">
        <f>"INV 1442798"</f>
        <v>INV 1442798</v>
      </c>
      <c r="G818" t="str">
        <f>"INV 1442798"</f>
        <v>INV 1442798</v>
      </c>
      <c r="H818" s="2">
        <v>33.549999999999997</v>
      </c>
      <c r="I818" t="str">
        <f>"INV 1442798"</f>
        <v>INV 1442798</v>
      </c>
    </row>
    <row r="819" spans="1:9" x14ac:dyDescent="0.3">
      <c r="A819" t="str">
        <f>""</f>
        <v/>
      </c>
      <c r="F819" t="str">
        <f>"INV1442809"</f>
        <v>INV1442809</v>
      </c>
      <c r="G819" t="str">
        <f>"INV 1442809"</f>
        <v>INV 1442809</v>
      </c>
      <c r="H819" s="2">
        <v>1777</v>
      </c>
      <c r="I819" t="str">
        <f>"INV 1442809"</f>
        <v>INV 1442809</v>
      </c>
    </row>
    <row r="820" spans="1:9" x14ac:dyDescent="0.3">
      <c r="A820" t="str">
        <f>"T3667"</f>
        <v>T3667</v>
      </c>
      <c r="B820" t="s">
        <v>215</v>
      </c>
      <c r="C820">
        <v>75404</v>
      </c>
      <c r="D820" s="2">
        <v>533.96</v>
      </c>
      <c r="E820" s="1">
        <v>43157</v>
      </c>
      <c r="F820" t="str">
        <f>"1450360"</f>
        <v>1450360</v>
      </c>
      <c r="G820" t="str">
        <f>"CUST#0007014928/SUPPLIES"</f>
        <v>CUST#0007014928/SUPPLIES</v>
      </c>
      <c r="H820" s="2">
        <v>431.15</v>
      </c>
      <c r="I820" t="str">
        <f>"CUST#0007014928/SUPPLIES"</f>
        <v>CUST#0007014928/SUPPLIES</v>
      </c>
    </row>
    <row r="821" spans="1:9" x14ac:dyDescent="0.3">
      <c r="A821" t="str">
        <f>""</f>
        <v/>
      </c>
      <c r="F821" t="str">
        <f>"1453825"</f>
        <v>1453825</v>
      </c>
      <c r="G821" t="str">
        <f>"CUST#0008007267/ANIMAL SHELTER"</f>
        <v>CUST#0008007267/ANIMAL SHELTER</v>
      </c>
      <c r="H821" s="2">
        <v>102.81</v>
      </c>
      <c r="I821" t="str">
        <f>"CUST#0008007267/ANIMAL SHELTER"</f>
        <v>CUST#0008007267/ANIMAL SHELTER</v>
      </c>
    </row>
    <row r="822" spans="1:9" x14ac:dyDescent="0.3">
      <c r="A822" t="str">
        <f>"005215"</f>
        <v>005215</v>
      </c>
      <c r="B822" t="s">
        <v>216</v>
      </c>
      <c r="C822">
        <v>75117</v>
      </c>
      <c r="D822" s="2">
        <v>28370</v>
      </c>
      <c r="E822" s="1">
        <v>43143</v>
      </c>
      <c r="F822" t="str">
        <f>"168873"</f>
        <v>168873</v>
      </c>
      <c r="G822" t="str">
        <f>"Inv# 168873"</f>
        <v>Inv# 168873</v>
      </c>
      <c r="H822" s="2">
        <v>28370</v>
      </c>
      <c r="I822" t="str">
        <f>"File Cabinets"</f>
        <v>File Cabinets</v>
      </c>
    </row>
    <row r="823" spans="1:9" x14ac:dyDescent="0.3">
      <c r="A823" t="str">
        <f>""</f>
        <v/>
      </c>
      <c r="F823" t="str">
        <f>""</f>
        <v/>
      </c>
      <c r="G823" t="str">
        <f>""</f>
        <v/>
      </c>
      <c r="I823" t="str">
        <f>"Trip Charge"</f>
        <v>Trip Charge</v>
      </c>
    </row>
    <row r="824" spans="1:9" x14ac:dyDescent="0.3">
      <c r="A824" t="str">
        <f>"T13876"</f>
        <v>T13876</v>
      </c>
      <c r="B824" t="s">
        <v>217</v>
      </c>
      <c r="C824">
        <v>75405</v>
      </c>
      <c r="D824" s="2">
        <v>10999.95</v>
      </c>
      <c r="E824" s="1">
        <v>43157</v>
      </c>
      <c r="F824" t="str">
        <f>"201802218827"</f>
        <v>201802218827</v>
      </c>
      <c r="G824" t="str">
        <f>"WORK ORD#3"</f>
        <v>WORK ORD#3</v>
      </c>
      <c r="H824" s="2">
        <v>10999.95</v>
      </c>
      <c r="I824" t="str">
        <f>"WORK ORD#3"</f>
        <v>WORK ORD#3</v>
      </c>
    </row>
    <row r="825" spans="1:9" x14ac:dyDescent="0.3">
      <c r="A825" t="str">
        <f>"HEWI"</f>
        <v>HEWI</v>
      </c>
      <c r="B825" t="s">
        <v>218</v>
      </c>
      <c r="C825">
        <v>999999</v>
      </c>
      <c r="D825" s="2">
        <v>780.41</v>
      </c>
      <c r="E825" s="1">
        <v>43158</v>
      </c>
      <c r="F825" t="str">
        <f>"548398"</f>
        <v>548398</v>
      </c>
      <c r="G825" t="str">
        <f>"INV 548398"</f>
        <v>INV 548398</v>
      </c>
      <c r="H825" s="2">
        <v>780.41</v>
      </c>
      <c r="I825" t="str">
        <f>"INV 548398"</f>
        <v>INV 548398</v>
      </c>
    </row>
    <row r="826" spans="1:9" x14ac:dyDescent="0.3">
      <c r="A826" t="str">
        <f>"005426"</f>
        <v>005426</v>
      </c>
      <c r="B826" t="s">
        <v>219</v>
      </c>
      <c r="C826">
        <v>75406</v>
      </c>
      <c r="D826" s="2">
        <v>938.4</v>
      </c>
      <c r="E826" s="1">
        <v>43157</v>
      </c>
      <c r="F826" t="str">
        <f>"201802148744"</f>
        <v>201802148744</v>
      </c>
      <c r="G826" t="str">
        <f>"TOWA CONFERENCE"</f>
        <v>TOWA CONFERENCE</v>
      </c>
      <c r="H826" s="2">
        <v>938.4</v>
      </c>
      <c r="I826" t="str">
        <f>"TOWA CONFERENCE"</f>
        <v>TOWA CONFERENCE</v>
      </c>
    </row>
    <row r="827" spans="1:9" x14ac:dyDescent="0.3">
      <c r="A827" t="str">
        <f>"005207"</f>
        <v>005207</v>
      </c>
      <c r="B827" t="s">
        <v>220</v>
      </c>
      <c r="C827">
        <v>75118</v>
      </c>
      <c r="D827" s="2">
        <v>84.8</v>
      </c>
      <c r="E827" s="1">
        <v>43143</v>
      </c>
      <c r="F827" t="str">
        <f>"201801318355"</f>
        <v>201801318355</v>
      </c>
      <c r="G827" t="str">
        <f>"MILEAGE REIMBURSEMENT"</f>
        <v>MILEAGE REIMBURSEMENT</v>
      </c>
      <c r="H827" s="2">
        <v>84.8</v>
      </c>
      <c r="I827" t="str">
        <f>"MILEAGE REIMBURSEMENT"</f>
        <v>MILEAGE REIMBURSEMENT</v>
      </c>
    </row>
    <row r="828" spans="1:9" x14ac:dyDescent="0.3">
      <c r="A828" t="str">
        <f>"005207"</f>
        <v>005207</v>
      </c>
      <c r="B828" t="s">
        <v>220</v>
      </c>
      <c r="C828">
        <v>75407</v>
      </c>
      <c r="D828" s="2">
        <v>127.47</v>
      </c>
      <c r="E828" s="1">
        <v>43157</v>
      </c>
      <c r="F828" t="str">
        <f>"201802218828"</f>
        <v>201802218828</v>
      </c>
      <c r="G828" t="str">
        <f>"MILEAGE-FEB 2018"</f>
        <v>MILEAGE-FEB 2018</v>
      </c>
      <c r="H828" s="2">
        <v>127.47</v>
      </c>
      <c r="I828" t="str">
        <f>"MILEAGE-FEB 2018"</f>
        <v>MILEAGE-FEB 2018</v>
      </c>
    </row>
    <row r="829" spans="1:9" x14ac:dyDescent="0.3">
      <c r="A829" t="str">
        <f>"002540"</f>
        <v>002540</v>
      </c>
      <c r="B829" t="s">
        <v>221</v>
      </c>
      <c r="C829">
        <v>75408</v>
      </c>
      <c r="D829" s="2">
        <v>75</v>
      </c>
      <c r="E829" s="1">
        <v>43157</v>
      </c>
      <c r="F829" t="str">
        <f>"12702"</f>
        <v>12702</v>
      </c>
      <c r="G829" t="str">
        <f>"SERVICE  12/04/17"</f>
        <v>SERVICE  12/04/17</v>
      </c>
      <c r="H829" s="2">
        <v>75</v>
      </c>
      <c r="I829" t="str">
        <f>"SERVICE  12/04/17"</f>
        <v>SERVICE  12/04/17</v>
      </c>
    </row>
    <row r="830" spans="1:9" x14ac:dyDescent="0.3">
      <c r="A830" t="str">
        <f>"005221"</f>
        <v>005221</v>
      </c>
      <c r="B830" t="s">
        <v>222</v>
      </c>
      <c r="C830">
        <v>75119</v>
      </c>
      <c r="D830" s="2">
        <v>8312.74</v>
      </c>
      <c r="E830" s="1">
        <v>43143</v>
      </c>
      <c r="F830" t="str">
        <f>"22326"</f>
        <v>22326</v>
      </c>
      <c r="G830" t="str">
        <f>"ACCT#954/RIP RAP/PCT#2"</f>
        <v>ACCT#954/RIP RAP/PCT#2</v>
      </c>
      <c r="H830" s="2">
        <v>3881.86</v>
      </c>
      <c r="I830" t="str">
        <f>"ACCT#954/RIP RAP/PCT#2"</f>
        <v>ACCT#954/RIP RAP/PCT#2</v>
      </c>
    </row>
    <row r="831" spans="1:9" x14ac:dyDescent="0.3">
      <c r="A831" t="str">
        <f>""</f>
        <v/>
      </c>
      <c r="F831" t="str">
        <f>"22327"</f>
        <v>22327</v>
      </c>
      <c r="G831" t="str">
        <f>"ACCT#954/RIP RAP/PCT#2"</f>
        <v>ACCT#954/RIP RAP/PCT#2</v>
      </c>
      <c r="H831" s="2">
        <v>4430.88</v>
      </c>
      <c r="I831" t="str">
        <f>"ACCT#954/RIP RAP/PCT#2"</f>
        <v>ACCT#954/RIP RAP/PCT#2</v>
      </c>
    </row>
    <row r="832" spans="1:9" x14ac:dyDescent="0.3">
      <c r="A832" t="str">
        <f>"005221"</f>
        <v>005221</v>
      </c>
      <c r="B832" t="s">
        <v>222</v>
      </c>
      <c r="C832">
        <v>75409</v>
      </c>
      <c r="D832" s="2">
        <v>2745.8</v>
      </c>
      <c r="E832" s="1">
        <v>43157</v>
      </c>
      <c r="F832" t="str">
        <f>"22362"</f>
        <v>22362</v>
      </c>
      <c r="G832" t="str">
        <f>"RIP RAP/PCT#3"</f>
        <v>RIP RAP/PCT#3</v>
      </c>
      <c r="H832" s="2">
        <v>1060.8</v>
      </c>
      <c r="I832" t="str">
        <f>"RIP RAP/PCT#3"</f>
        <v>RIP RAP/PCT#3</v>
      </c>
    </row>
    <row r="833" spans="1:10" x14ac:dyDescent="0.3">
      <c r="A833" t="str">
        <f>""</f>
        <v/>
      </c>
      <c r="F833" t="str">
        <f>"22407"</f>
        <v>22407</v>
      </c>
      <c r="G833" t="str">
        <f>"ACCT#937/PCT#3"</f>
        <v>ACCT#937/PCT#3</v>
      </c>
      <c r="H833" s="2">
        <v>817.2</v>
      </c>
      <c r="I833" t="str">
        <f>"ACCT#937/PCT#3"</f>
        <v>ACCT#937/PCT#3</v>
      </c>
    </row>
    <row r="834" spans="1:10" x14ac:dyDescent="0.3">
      <c r="A834" t="str">
        <f>""</f>
        <v/>
      </c>
      <c r="F834" t="str">
        <f>"22447"</f>
        <v>22447</v>
      </c>
      <c r="G834" t="s">
        <v>223</v>
      </c>
      <c r="H834" s="2">
        <v>867.8</v>
      </c>
      <c r="I834" t="s">
        <v>223</v>
      </c>
    </row>
    <row r="835" spans="1:10" x14ac:dyDescent="0.3">
      <c r="A835" t="str">
        <f>"HP&amp;S"</f>
        <v>HP&amp;S</v>
      </c>
      <c r="B835" t="s">
        <v>224</v>
      </c>
      <c r="C835">
        <v>75120</v>
      </c>
      <c r="D835" s="2">
        <v>477.55</v>
      </c>
      <c r="E835" s="1">
        <v>43143</v>
      </c>
      <c r="F835" t="str">
        <f>"040488"</f>
        <v>040488</v>
      </c>
      <c r="G835" t="str">
        <f>"CUSTOM STAMP/COPY STAMP/JP4"</f>
        <v>CUSTOM STAMP/COPY STAMP/JP4</v>
      </c>
      <c r="H835" s="2">
        <v>75</v>
      </c>
      <c r="I835" t="str">
        <f>"CUSTOM STAMP/COPY STAMP/JP4"</f>
        <v>CUSTOM STAMP/COPY STAMP/JP4</v>
      </c>
    </row>
    <row r="836" spans="1:10" x14ac:dyDescent="0.3">
      <c r="A836" t="str">
        <f>""</f>
        <v/>
      </c>
      <c r="F836" t="str">
        <f>"040522"</f>
        <v>040522</v>
      </c>
      <c r="G836" t="str">
        <f>"STAMPER"</f>
        <v>STAMPER</v>
      </c>
      <c r="H836" s="2">
        <v>12.55</v>
      </c>
      <c r="I836" t="str">
        <f>"STAMPER"</f>
        <v>STAMPER</v>
      </c>
    </row>
    <row r="837" spans="1:10" x14ac:dyDescent="0.3">
      <c r="A837" t="str">
        <f>""</f>
        <v/>
      </c>
      <c r="F837" t="str">
        <f>"040530"</f>
        <v>040530</v>
      </c>
      <c r="G837" t="str">
        <f>"DOCKET ENVELOPES/JP#4"</f>
        <v>DOCKET ENVELOPES/JP#4</v>
      </c>
      <c r="H837" s="2">
        <v>390</v>
      </c>
      <c r="I837" t="str">
        <f>"DOCKET ENVELOPES/JP#4"</f>
        <v>DOCKET ENVELOPES/JP#4</v>
      </c>
    </row>
    <row r="838" spans="1:10" x14ac:dyDescent="0.3">
      <c r="A838" t="str">
        <f>"HP&amp;S"</f>
        <v>HP&amp;S</v>
      </c>
      <c r="B838" t="s">
        <v>224</v>
      </c>
      <c r="C838">
        <v>75410</v>
      </c>
      <c r="D838" s="2">
        <v>396</v>
      </c>
      <c r="E838" s="1">
        <v>43157</v>
      </c>
      <c r="F838" t="str">
        <f>"40452"</f>
        <v>40452</v>
      </c>
      <c r="G838" t="str">
        <f>"SCHEDULE OF FINES"</f>
        <v>SCHEDULE OF FINES</v>
      </c>
      <c r="H838" s="2">
        <v>396</v>
      </c>
      <c r="I838" t="str">
        <f>"SCHEDULE OF FINES"</f>
        <v>SCHEDULE OF FINES</v>
      </c>
    </row>
    <row r="839" spans="1:10" x14ac:dyDescent="0.3">
      <c r="A839" t="str">
        <f>""</f>
        <v/>
      </c>
      <c r="F839" t="str">
        <f>""</f>
        <v/>
      </c>
      <c r="G839" t="str">
        <f>""</f>
        <v/>
      </c>
      <c r="I839" t="str">
        <f>"SCHEDULE OF FINES"</f>
        <v>SCHEDULE OF FINES</v>
      </c>
    </row>
    <row r="840" spans="1:10" x14ac:dyDescent="0.3">
      <c r="A840" t="str">
        <f>""</f>
        <v/>
      </c>
      <c r="F840" t="str">
        <f>""</f>
        <v/>
      </c>
      <c r="G840" t="str">
        <f>""</f>
        <v/>
      </c>
      <c r="I840" t="str">
        <f>"SCHEDULE OF FINES"</f>
        <v>SCHEDULE OF FINES</v>
      </c>
    </row>
    <row r="841" spans="1:10" x14ac:dyDescent="0.3">
      <c r="A841" t="str">
        <f>""</f>
        <v/>
      </c>
      <c r="F841" t="str">
        <f>""</f>
        <v/>
      </c>
      <c r="G841" t="str">
        <f>""</f>
        <v/>
      </c>
      <c r="I841" t="str">
        <f>"SCHEDULE OF FINES"</f>
        <v>SCHEDULE OF FINES</v>
      </c>
    </row>
    <row r="842" spans="1:10" x14ac:dyDescent="0.3">
      <c r="A842" t="str">
        <f>"005068"</f>
        <v>005068</v>
      </c>
      <c r="B842" t="s">
        <v>225</v>
      </c>
      <c r="C842">
        <v>75121</v>
      </c>
      <c r="D842" s="2">
        <v>15</v>
      </c>
      <c r="E842" s="1">
        <v>43143</v>
      </c>
      <c r="F842" t="str">
        <f>"201802018410"</f>
        <v>201802018410</v>
      </c>
      <c r="G842" t="str">
        <f>"FERAL HOGS"</f>
        <v>FERAL HOGS</v>
      </c>
      <c r="H842" s="2">
        <v>15</v>
      </c>
      <c r="I842" t="str">
        <f>"FERAL HOGS"</f>
        <v>FERAL HOGS</v>
      </c>
    </row>
    <row r="843" spans="1:10" x14ac:dyDescent="0.3">
      <c r="A843" t="str">
        <f>"002681"</f>
        <v>002681</v>
      </c>
      <c r="B843" t="s">
        <v>226</v>
      </c>
      <c r="C843">
        <v>75122</v>
      </c>
      <c r="D843" s="2">
        <v>838.4</v>
      </c>
      <c r="E843" s="1">
        <v>43143</v>
      </c>
      <c r="F843" t="str">
        <f>"INV0004666964-IN"</f>
        <v>INV0004666964-IN</v>
      </c>
      <c r="G843" t="str">
        <f>"INV 0004666964-IN"</f>
        <v>INV 0004666964-IN</v>
      </c>
      <c r="H843" s="2">
        <v>838.4</v>
      </c>
      <c r="I843" t="str">
        <f>"INV 0004666964-IN"</f>
        <v>INV 0004666964-IN</v>
      </c>
    </row>
    <row r="844" spans="1:10" x14ac:dyDescent="0.3">
      <c r="A844" t="str">
        <f>"002681"</f>
        <v>002681</v>
      </c>
      <c r="B844" t="s">
        <v>226</v>
      </c>
      <c r="C844">
        <v>75411</v>
      </c>
      <c r="D844" s="2">
        <v>581.25</v>
      </c>
      <c r="E844" s="1">
        <v>43157</v>
      </c>
      <c r="F844" t="str">
        <f>"0004725291-IN"</f>
        <v>0004725291-IN</v>
      </c>
      <c r="G844" t="str">
        <f>"INV 0004725291-IN"</f>
        <v>INV 0004725291-IN</v>
      </c>
      <c r="H844" s="2">
        <v>581.25</v>
      </c>
      <c r="I844" t="str">
        <f>"INV 0004725291-IN"</f>
        <v>INV 0004725291-IN</v>
      </c>
    </row>
    <row r="845" spans="1:10" x14ac:dyDescent="0.3">
      <c r="A845" t="str">
        <f>"004624"</f>
        <v>004624</v>
      </c>
      <c r="B845" t="s">
        <v>227</v>
      </c>
      <c r="C845">
        <v>75123</v>
      </c>
      <c r="D845" s="2">
        <v>100</v>
      </c>
      <c r="E845" s="1">
        <v>43143</v>
      </c>
      <c r="F845" t="s">
        <v>228</v>
      </c>
      <c r="G845" t="s">
        <v>229</v>
      </c>
      <c r="H845" s="2" t="str">
        <f>"RESTITUTION-M. FELTS"</f>
        <v>RESTITUTION-M. FELTS</v>
      </c>
      <c r="I845" t="str">
        <f>"210-0000"</f>
        <v>210-0000</v>
      </c>
      <c r="J845">
        <v>100</v>
      </c>
    </row>
    <row r="846" spans="1:10" x14ac:dyDescent="0.3">
      <c r="A846" t="str">
        <f>"004351"</f>
        <v>004351</v>
      </c>
      <c r="B846" t="s">
        <v>230</v>
      </c>
      <c r="C846">
        <v>75124</v>
      </c>
      <c r="D846" s="2">
        <v>281.10000000000002</v>
      </c>
      <c r="E846" s="1">
        <v>43143</v>
      </c>
      <c r="F846" t="str">
        <f>"201801238195"</f>
        <v>201801238195</v>
      </c>
      <c r="G846" t="str">
        <f>"MILEAGE REIMBURSEMENT"</f>
        <v>MILEAGE REIMBURSEMENT</v>
      </c>
      <c r="H846" s="2">
        <v>176.02</v>
      </c>
      <c r="I846" t="str">
        <f>"MILEAGE REIMBURSEMENT"</f>
        <v>MILEAGE REIMBURSEMENT</v>
      </c>
    </row>
    <row r="847" spans="1:10" x14ac:dyDescent="0.3">
      <c r="A847" t="str">
        <f>""</f>
        <v/>
      </c>
      <c r="F847" t="str">
        <f>"201801238196"</f>
        <v>201801238196</v>
      </c>
      <c r="G847" t="str">
        <f>"MILEAGE REIMBURSEMENT"</f>
        <v>MILEAGE REIMBURSEMENT</v>
      </c>
      <c r="H847" s="2">
        <v>11.24</v>
      </c>
      <c r="I847" t="str">
        <f>"MILEAGE REIMBURSEMENT"</f>
        <v>MILEAGE REIMBURSEMENT</v>
      </c>
    </row>
    <row r="848" spans="1:10" x14ac:dyDescent="0.3">
      <c r="A848" t="str">
        <f>""</f>
        <v/>
      </c>
      <c r="F848" t="str">
        <f>"201801238197"</f>
        <v>201801238197</v>
      </c>
      <c r="G848" t="str">
        <f>"MILEAGE REIMBURSEMENT"</f>
        <v>MILEAGE REIMBURSEMENT</v>
      </c>
      <c r="H848" s="2">
        <v>19.47</v>
      </c>
      <c r="I848" t="str">
        <f>"MILEAGE REIMBURSEMENT"</f>
        <v>MILEAGE REIMBURSEMENT</v>
      </c>
    </row>
    <row r="849" spans="1:9" x14ac:dyDescent="0.3">
      <c r="A849" t="str">
        <f>""</f>
        <v/>
      </c>
      <c r="F849" t="str">
        <f>"201801238198"</f>
        <v>201801238198</v>
      </c>
      <c r="G849" t="str">
        <f>"TRAVEL REIMBURSEMENT"</f>
        <v>TRAVEL REIMBURSEMENT</v>
      </c>
      <c r="H849" s="2">
        <v>74.37</v>
      </c>
      <c r="I849" t="str">
        <f>"TRAVEL REIMBURSEMENT"</f>
        <v>TRAVEL REIMBURSEMENT</v>
      </c>
    </row>
    <row r="850" spans="1:9" x14ac:dyDescent="0.3">
      <c r="A850" t="str">
        <f>"HPC"</f>
        <v>HPC</v>
      </c>
      <c r="B850" t="s">
        <v>231</v>
      </c>
      <c r="C850">
        <v>999999</v>
      </c>
      <c r="D850" s="2">
        <v>650</v>
      </c>
      <c r="E850" s="1">
        <v>43158</v>
      </c>
      <c r="F850" t="str">
        <f>"FEBRUARY PEST CONT"</f>
        <v>FEBRUARY PEST CONT</v>
      </c>
      <c r="G850" t="str">
        <f>"BASCOM L HODGES JR"</f>
        <v>BASCOM L HODGES JR</v>
      </c>
      <c r="H850" s="2">
        <v>650</v>
      </c>
      <c r="I850" t="str">
        <f>""</f>
        <v/>
      </c>
    </row>
    <row r="851" spans="1:9" x14ac:dyDescent="0.3">
      <c r="A851" t="str">
        <f>"ECKEL"</f>
        <v>ECKEL</v>
      </c>
      <c r="B851" t="s">
        <v>232</v>
      </c>
      <c r="C851">
        <v>75125</v>
      </c>
      <c r="D851" s="2">
        <v>1187.5</v>
      </c>
      <c r="E851" s="1">
        <v>43143</v>
      </c>
      <c r="F851" t="str">
        <f>"201801308261"</f>
        <v>201801308261</v>
      </c>
      <c r="G851" t="str">
        <f>"17-18764"</f>
        <v>17-18764</v>
      </c>
      <c r="H851" s="2">
        <v>187.5</v>
      </c>
      <c r="I851" t="str">
        <f>"17-18764"</f>
        <v>17-18764</v>
      </c>
    </row>
    <row r="852" spans="1:9" x14ac:dyDescent="0.3">
      <c r="A852" t="str">
        <f>""</f>
        <v/>
      </c>
      <c r="F852" t="str">
        <f>"201801308262"</f>
        <v>201801308262</v>
      </c>
      <c r="G852" t="str">
        <f>"55 081"</f>
        <v>55 081</v>
      </c>
      <c r="H852" s="2">
        <v>250</v>
      </c>
      <c r="I852" t="str">
        <f>"55 081"</f>
        <v>55 081</v>
      </c>
    </row>
    <row r="853" spans="1:9" x14ac:dyDescent="0.3">
      <c r="A853" t="str">
        <f>""</f>
        <v/>
      </c>
      <c r="F853" t="str">
        <f>"201801308263"</f>
        <v>201801308263</v>
      </c>
      <c r="G853" t="str">
        <f>"55 273"</f>
        <v>55 273</v>
      </c>
      <c r="H853" s="2">
        <v>250</v>
      </c>
      <c r="I853" t="str">
        <f>"55 273"</f>
        <v>55 273</v>
      </c>
    </row>
    <row r="854" spans="1:9" x14ac:dyDescent="0.3">
      <c r="A854" t="str">
        <f>""</f>
        <v/>
      </c>
      <c r="F854" t="str">
        <f>"201802078600"</f>
        <v>201802078600</v>
      </c>
      <c r="G854" t="str">
        <f>"17-18543"</f>
        <v>17-18543</v>
      </c>
      <c r="H854" s="2">
        <v>100</v>
      </c>
      <c r="I854" t="str">
        <f>"17-18543"</f>
        <v>17-18543</v>
      </c>
    </row>
    <row r="855" spans="1:9" x14ac:dyDescent="0.3">
      <c r="A855" t="str">
        <f>""</f>
        <v/>
      </c>
      <c r="F855" t="str">
        <f>"201802078643"</f>
        <v>201802078643</v>
      </c>
      <c r="G855" t="str">
        <f>"18-18814"</f>
        <v>18-18814</v>
      </c>
      <c r="H855" s="2">
        <v>100</v>
      </c>
      <c r="I855" t="str">
        <f>"18-11814"</f>
        <v>18-11814</v>
      </c>
    </row>
    <row r="856" spans="1:9" x14ac:dyDescent="0.3">
      <c r="A856" t="str">
        <f>""</f>
        <v/>
      </c>
      <c r="F856" t="str">
        <f>"201802078644"</f>
        <v>201802078644</v>
      </c>
      <c r="G856" t="str">
        <f>"15-17513"</f>
        <v>15-17513</v>
      </c>
      <c r="H856" s="2">
        <v>100</v>
      </c>
      <c r="I856" t="str">
        <f>"15-17513"</f>
        <v>15-17513</v>
      </c>
    </row>
    <row r="857" spans="1:9" x14ac:dyDescent="0.3">
      <c r="A857" t="str">
        <f>""</f>
        <v/>
      </c>
      <c r="F857" t="str">
        <f>"201802078645"</f>
        <v>201802078645</v>
      </c>
      <c r="G857" t="str">
        <f>"16-18043"</f>
        <v>16-18043</v>
      </c>
      <c r="H857" s="2">
        <v>100</v>
      </c>
      <c r="I857" t="str">
        <f>"16-18043"</f>
        <v>16-18043</v>
      </c>
    </row>
    <row r="858" spans="1:9" x14ac:dyDescent="0.3">
      <c r="A858" t="str">
        <f>""</f>
        <v/>
      </c>
      <c r="F858" t="str">
        <f>"201802078646"</f>
        <v>201802078646</v>
      </c>
      <c r="G858" t="str">
        <f>"17-18764"</f>
        <v>17-18764</v>
      </c>
      <c r="H858" s="2">
        <v>100</v>
      </c>
      <c r="I858" t="str">
        <f>"17-18764"</f>
        <v>17-18764</v>
      </c>
    </row>
    <row r="859" spans="1:9" x14ac:dyDescent="0.3">
      <c r="A859" t="str">
        <f>"ECKEL"</f>
        <v>ECKEL</v>
      </c>
      <c r="B859" t="s">
        <v>232</v>
      </c>
      <c r="C859">
        <v>75412</v>
      </c>
      <c r="D859" s="2">
        <v>700</v>
      </c>
      <c r="E859" s="1">
        <v>43157</v>
      </c>
      <c r="F859" t="str">
        <f>"201802148698"</f>
        <v>201802148698</v>
      </c>
      <c r="G859" t="str">
        <f>"423-702"</f>
        <v>423-702</v>
      </c>
      <c r="H859" s="2">
        <v>175</v>
      </c>
      <c r="I859" t="str">
        <f>"423-702"</f>
        <v>423-702</v>
      </c>
    </row>
    <row r="860" spans="1:9" x14ac:dyDescent="0.3">
      <c r="A860" t="str">
        <f>""</f>
        <v/>
      </c>
      <c r="F860" t="str">
        <f>"201802148728"</f>
        <v>201802148728</v>
      </c>
      <c r="G860" t="str">
        <f>"55 267"</f>
        <v>55 267</v>
      </c>
      <c r="H860" s="2">
        <v>250</v>
      </c>
      <c r="I860" t="str">
        <f>"55 267"</f>
        <v>55 267</v>
      </c>
    </row>
    <row r="861" spans="1:9" x14ac:dyDescent="0.3">
      <c r="A861" t="str">
        <f>""</f>
        <v/>
      </c>
      <c r="F861" t="str">
        <f>"201802218850"</f>
        <v>201802218850</v>
      </c>
      <c r="G861" t="str">
        <f>"09-13438"</f>
        <v>09-13438</v>
      </c>
      <c r="H861" s="2">
        <v>175</v>
      </c>
      <c r="I861" t="str">
        <f>"09-13438"</f>
        <v>09-13438</v>
      </c>
    </row>
    <row r="862" spans="1:9" x14ac:dyDescent="0.3">
      <c r="A862" t="str">
        <f>""</f>
        <v/>
      </c>
      <c r="F862" t="str">
        <f>"201802218851"</f>
        <v>201802218851</v>
      </c>
      <c r="G862" t="str">
        <f>"17-18119"</f>
        <v>17-18119</v>
      </c>
      <c r="H862" s="2">
        <v>100</v>
      </c>
      <c r="I862" t="str">
        <f>"17-18119"</f>
        <v>17-18119</v>
      </c>
    </row>
    <row r="863" spans="1:9" x14ac:dyDescent="0.3">
      <c r="A863" t="str">
        <f>"003159"</f>
        <v>003159</v>
      </c>
      <c r="B863" t="s">
        <v>233</v>
      </c>
      <c r="C863">
        <v>75126</v>
      </c>
      <c r="D863" s="2">
        <v>270.7</v>
      </c>
      <c r="E863" s="1">
        <v>43143</v>
      </c>
      <c r="F863" t="str">
        <f>"LODG/PKING-J BATES"</f>
        <v>LODG/PKING-J BATES</v>
      </c>
      <c r="G863" t="str">
        <f>"LODGING"</f>
        <v>LODGING</v>
      </c>
      <c r="H863" s="2">
        <v>270.7</v>
      </c>
      <c r="I863" t="str">
        <f>"LODGING"</f>
        <v>LODGING</v>
      </c>
    </row>
    <row r="864" spans="1:9" x14ac:dyDescent="0.3">
      <c r="A864" t="str">
        <f>""</f>
        <v/>
      </c>
      <c r="F864" t="str">
        <f>""</f>
        <v/>
      </c>
      <c r="G864" t="str">
        <f>""</f>
        <v/>
      </c>
      <c r="I864" t="str">
        <f>"PARKING"</f>
        <v>PARKING</v>
      </c>
    </row>
    <row r="865" spans="1:9" x14ac:dyDescent="0.3">
      <c r="A865" t="str">
        <f>"HM"</f>
        <v>HM</v>
      </c>
      <c r="B865" t="s">
        <v>234</v>
      </c>
      <c r="C865">
        <v>75127</v>
      </c>
      <c r="D865" s="2">
        <v>95777.4</v>
      </c>
      <c r="E865" s="1">
        <v>43143</v>
      </c>
      <c r="F865" t="str">
        <f>"201801238210"</f>
        <v>201801238210</v>
      </c>
      <c r="G865" t="str">
        <f>"CUST#0129150/PCT#3"</f>
        <v>CUST#0129150/PCT#3</v>
      </c>
      <c r="H865" s="2">
        <v>66.400000000000006</v>
      </c>
      <c r="I865" t="str">
        <f>"CUST#0129150/PCT#3"</f>
        <v>CUST#0129150/PCT#3</v>
      </c>
    </row>
    <row r="866" spans="1:9" x14ac:dyDescent="0.3">
      <c r="A866" t="str">
        <f>""</f>
        <v/>
      </c>
      <c r="F866" t="str">
        <f>"SIMA42810010"</f>
        <v>SIMA42810010</v>
      </c>
      <c r="G866" t="str">
        <f>"Motor Graders"</f>
        <v>Motor Graders</v>
      </c>
      <c r="H866" s="2">
        <v>95034</v>
      </c>
      <c r="I866" t="str">
        <f>"Motor Grader-140M3"</f>
        <v>Motor Grader-140M3</v>
      </c>
    </row>
    <row r="867" spans="1:9" x14ac:dyDescent="0.3">
      <c r="A867" t="str">
        <f>""</f>
        <v/>
      </c>
      <c r="F867" t="str">
        <f>""</f>
        <v/>
      </c>
      <c r="G867" t="str">
        <f>""</f>
        <v/>
      </c>
      <c r="I867" t="str">
        <f>"Motor Grader-140M3"</f>
        <v>Motor Grader-140M3</v>
      </c>
    </row>
    <row r="868" spans="1:9" x14ac:dyDescent="0.3">
      <c r="A868" t="str">
        <f>""</f>
        <v/>
      </c>
      <c r="F868" t="str">
        <f>""</f>
        <v/>
      </c>
      <c r="G868" t="str">
        <f>""</f>
        <v/>
      </c>
      <c r="I868" t="str">
        <f>"RP - N9D00269"</f>
        <v>RP - N9D00269</v>
      </c>
    </row>
    <row r="869" spans="1:9" x14ac:dyDescent="0.3">
      <c r="A869" t="str">
        <f>""</f>
        <v/>
      </c>
      <c r="F869" t="str">
        <f>""</f>
        <v/>
      </c>
      <c r="G869" t="str">
        <f>""</f>
        <v/>
      </c>
      <c r="I869" t="str">
        <f>"RP - N9D00271"</f>
        <v>RP - N9D00271</v>
      </c>
    </row>
    <row r="870" spans="1:9" x14ac:dyDescent="0.3">
      <c r="A870" t="str">
        <f>""</f>
        <v/>
      </c>
      <c r="F870" t="str">
        <f>"WIMA0100897"</f>
        <v>WIMA0100897</v>
      </c>
      <c r="G870" t="str">
        <f>"CUST#0129200/PCT#4"</f>
        <v>CUST#0129200/PCT#4</v>
      </c>
      <c r="H870" s="2">
        <v>677</v>
      </c>
      <c r="I870" t="str">
        <f>"CUST#0129200/PCT#4"</f>
        <v>CUST#0129200/PCT#4</v>
      </c>
    </row>
    <row r="871" spans="1:9" x14ac:dyDescent="0.3">
      <c r="A871" t="str">
        <f>"HM"</f>
        <v>HM</v>
      </c>
      <c r="B871" t="s">
        <v>234</v>
      </c>
      <c r="C871">
        <v>75413</v>
      </c>
      <c r="D871" s="2">
        <v>452.5</v>
      </c>
      <c r="E871" s="1">
        <v>43157</v>
      </c>
      <c r="F871" t="str">
        <f>"WIMA0101563"</f>
        <v>WIMA0101563</v>
      </c>
      <c r="G871" t="str">
        <f>"CUST#0129100/REPAIRS/PCT#2"</f>
        <v>CUST#0129100/REPAIRS/PCT#2</v>
      </c>
      <c r="H871" s="2">
        <v>452.5</v>
      </c>
      <c r="I871" t="str">
        <f>"CUST#0129100/REPAIRS/PCT#2"</f>
        <v>CUST#0129100/REPAIRS/PCT#2</v>
      </c>
    </row>
    <row r="872" spans="1:9" x14ac:dyDescent="0.3">
      <c r="A872" t="str">
        <f>"T8869"</f>
        <v>T8869</v>
      </c>
      <c r="B872" t="s">
        <v>235</v>
      </c>
      <c r="C872">
        <v>75128</v>
      </c>
      <c r="D872" s="2">
        <v>7370.39</v>
      </c>
      <c r="E872" s="1">
        <v>43143</v>
      </c>
      <c r="F872" t="str">
        <f>"ACCT#3780/12/28/18"</f>
        <v>ACCT#3780/12/28/18</v>
      </c>
      <c r="G872" t="str">
        <f>"Acct#3780 Stmt 1.28.2018"</f>
        <v>Acct#3780 Stmt 1.28.2018</v>
      </c>
      <c r="H872" s="2">
        <v>3193.15</v>
      </c>
      <c r="I872" t="str">
        <f>"Inv# 560061"</f>
        <v>Inv# 560061</v>
      </c>
    </row>
    <row r="873" spans="1:9" x14ac:dyDescent="0.3">
      <c r="A873" t="str">
        <f>""</f>
        <v/>
      </c>
      <c r="F873" t="str">
        <f>""</f>
        <v/>
      </c>
      <c r="G873" t="str">
        <f>""</f>
        <v/>
      </c>
      <c r="I873" t="str">
        <f>"Inv# 590860"</f>
        <v>Inv# 590860</v>
      </c>
    </row>
    <row r="874" spans="1:9" x14ac:dyDescent="0.3">
      <c r="A874" t="str">
        <f>""</f>
        <v/>
      </c>
      <c r="F874" t="str">
        <f>""</f>
        <v/>
      </c>
      <c r="G874" t="str">
        <f>""</f>
        <v/>
      </c>
      <c r="I874" t="str">
        <f>"Inv# 1017350"</f>
        <v>Inv# 1017350</v>
      </c>
    </row>
    <row r="875" spans="1:9" x14ac:dyDescent="0.3">
      <c r="A875" t="str">
        <f>""</f>
        <v/>
      </c>
      <c r="F875" t="str">
        <f>""</f>
        <v/>
      </c>
      <c r="G875" t="str">
        <f>""</f>
        <v/>
      </c>
      <c r="I875" t="str">
        <f>"Inv# 6017769"</f>
        <v>Inv# 6017769</v>
      </c>
    </row>
    <row r="876" spans="1:9" x14ac:dyDescent="0.3">
      <c r="A876" t="str">
        <f>""</f>
        <v/>
      </c>
      <c r="F876" t="str">
        <f>""</f>
        <v/>
      </c>
      <c r="G876" t="str">
        <f>""</f>
        <v/>
      </c>
      <c r="I876" t="str">
        <f>"Inv# 3974710"</f>
        <v>Inv# 3974710</v>
      </c>
    </row>
    <row r="877" spans="1:9" x14ac:dyDescent="0.3">
      <c r="A877" t="str">
        <f>""</f>
        <v/>
      </c>
      <c r="F877" t="str">
        <f>""</f>
        <v/>
      </c>
      <c r="G877" t="str">
        <f>""</f>
        <v/>
      </c>
      <c r="I877" t="str">
        <f>"Inv# 18293"</f>
        <v>Inv# 18293</v>
      </c>
    </row>
    <row r="878" spans="1:9" x14ac:dyDescent="0.3">
      <c r="A878" t="str">
        <f>""</f>
        <v/>
      </c>
      <c r="F878" t="str">
        <f>""</f>
        <v/>
      </c>
      <c r="G878" t="str">
        <f>""</f>
        <v/>
      </c>
      <c r="I878" t="str">
        <f>"Inv# 25669"</f>
        <v>Inv# 25669</v>
      </c>
    </row>
    <row r="879" spans="1:9" x14ac:dyDescent="0.3">
      <c r="A879" t="str">
        <f>""</f>
        <v/>
      </c>
      <c r="F879" t="str">
        <f>""</f>
        <v/>
      </c>
      <c r="G879" t="str">
        <f>""</f>
        <v/>
      </c>
      <c r="I879" t="str">
        <f>"Inv# 9025792"</f>
        <v>Inv# 9025792</v>
      </c>
    </row>
    <row r="880" spans="1:9" x14ac:dyDescent="0.3">
      <c r="A880" t="str">
        <f>""</f>
        <v/>
      </c>
      <c r="F880" t="str">
        <f>""</f>
        <v/>
      </c>
      <c r="G880" t="str">
        <f>""</f>
        <v/>
      </c>
      <c r="I880" t="str">
        <f>"Inv# 9025828"</f>
        <v>Inv# 9025828</v>
      </c>
    </row>
    <row r="881" spans="1:9" x14ac:dyDescent="0.3">
      <c r="A881" t="str">
        <f>""</f>
        <v/>
      </c>
      <c r="F881" t="str">
        <f>""</f>
        <v/>
      </c>
      <c r="G881" t="str">
        <f>""</f>
        <v/>
      </c>
      <c r="I881" t="str">
        <f>"Inv# 8025903"</f>
        <v>Inv# 8025903</v>
      </c>
    </row>
    <row r="882" spans="1:9" x14ac:dyDescent="0.3">
      <c r="A882" t="str">
        <f>""</f>
        <v/>
      </c>
      <c r="F882" t="str">
        <f>""</f>
        <v/>
      </c>
      <c r="G882" t="str">
        <f>""</f>
        <v/>
      </c>
      <c r="I882" t="str">
        <f>"Inv# 2974953"</f>
        <v>Inv# 2974953</v>
      </c>
    </row>
    <row r="883" spans="1:9" x14ac:dyDescent="0.3">
      <c r="A883" t="str">
        <f>""</f>
        <v/>
      </c>
      <c r="F883" t="str">
        <f>""</f>
        <v/>
      </c>
      <c r="G883" t="str">
        <f>""</f>
        <v/>
      </c>
      <c r="I883" t="str">
        <f>"Inv# 1110683"</f>
        <v>Inv# 1110683</v>
      </c>
    </row>
    <row r="884" spans="1:9" x14ac:dyDescent="0.3">
      <c r="A884" t="str">
        <f>""</f>
        <v/>
      </c>
      <c r="F884" t="str">
        <f>""</f>
        <v/>
      </c>
      <c r="G884" t="str">
        <f>""</f>
        <v/>
      </c>
      <c r="I884" t="str">
        <f>"Inv# 1922"</f>
        <v>Inv# 1922</v>
      </c>
    </row>
    <row r="885" spans="1:9" x14ac:dyDescent="0.3">
      <c r="A885" t="str">
        <f>""</f>
        <v/>
      </c>
      <c r="F885" t="str">
        <f>""</f>
        <v/>
      </c>
      <c r="G885" t="str">
        <f>""</f>
        <v/>
      </c>
      <c r="I885" t="str">
        <f>"Inv# 9020551"</f>
        <v>Inv# 9020551</v>
      </c>
    </row>
    <row r="886" spans="1:9" x14ac:dyDescent="0.3">
      <c r="A886" t="str">
        <f>""</f>
        <v/>
      </c>
      <c r="F886" t="str">
        <f>""</f>
        <v/>
      </c>
      <c r="G886" t="str">
        <f>""</f>
        <v/>
      </c>
      <c r="I886" t="str">
        <f>"Inv# 3021030"</f>
        <v>Inv# 3021030</v>
      </c>
    </row>
    <row r="887" spans="1:9" x14ac:dyDescent="0.3">
      <c r="A887" t="str">
        <f>""</f>
        <v/>
      </c>
      <c r="F887" t="str">
        <f>""</f>
        <v/>
      </c>
      <c r="G887" t="str">
        <f>""</f>
        <v/>
      </c>
      <c r="I887" t="str">
        <f>"Inv# 3021036"</f>
        <v>Inv# 3021036</v>
      </c>
    </row>
    <row r="888" spans="1:9" x14ac:dyDescent="0.3">
      <c r="A888" t="str">
        <f>""</f>
        <v/>
      </c>
      <c r="F888" t="str">
        <f>""</f>
        <v/>
      </c>
      <c r="G888" t="str">
        <f>""</f>
        <v/>
      </c>
      <c r="I888" t="str">
        <f>"Inv# 2581178"</f>
        <v>Inv# 2581178</v>
      </c>
    </row>
    <row r="889" spans="1:9" x14ac:dyDescent="0.3">
      <c r="A889" t="str">
        <f>""</f>
        <v/>
      </c>
      <c r="F889" t="str">
        <f>""</f>
        <v/>
      </c>
      <c r="G889" t="str">
        <f>""</f>
        <v/>
      </c>
      <c r="I889" t="str">
        <f>"Inv# 9163210"</f>
        <v>Inv# 9163210</v>
      </c>
    </row>
    <row r="890" spans="1:9" x14ac:dyDescent="0.3">
      <c r="A890" t="str">
        <f>""</f>
        <v/>
      </c>
      <c r="F890" t="str">
        <f>""</f>
        <v/>
      </c>
      <c r="G890" t="str">
        <f>""</f>
        <v/>
      </c>
      <c r="I890" t="str">
        <f>"Inv# 21559616"</f>
        <v>Inv# 21559616</v>
      </c>
    </row>
    <row r="891" spans="1:9" x14ac:dyDescent="0.3">
      <c r="A891" t="str">
        <f>""</f>
        <v/>
      </c>
      <c r="F891" t="str">
        <f>""</f>
        <v/>
      </c>
      <c r="G891" t="str">
        <f>""</f>
        <v/>
      </c>
      <c r="I891" t="str">
        <f>"Inv# 1155917"</f>
        <v>Inv# 1155917</v>
      </c>
    </row>
    <row r="892" spans="1:9" x14ac:dyDescent="0.3">
      <c r="A892" t="str">
        <f>""</f>
        <v/>
      </c>
      <c r="F892" t="str">
        <f>""</f>
        <v/>
      </c>
      <c r="G892" t="str">
        <f>""</f>
        <v/>
      </c>
      <c r="I892" t="str">
        <f>"Inv# 115518"</f>
        <v>Inv# 115518</v>
      </c>
    </row>
    <row r="893" spans="1:9" x14ac:dyDescent="0.3">
      <c r="A893" t="str">
        <f>""</f>
        <v/>
      </c>
      <c r="F893" t="str">
        <f>""</f>
        <v/>
      </c>
      <c r="G893" t="str">
        <f>""</f>
        <v/>
      </c>
      <c r="I893" t="str">
        <f>"Inv# 155953"</f>
        <v>Inv# 155953</v>
      </c>
    </row>
    <row r="894" spans="1:9" x14ac:dyDescent="0.3">
      <c r="A894" t="str">
        <f>""</f>
        <v/>
      </c>
      <c r="F894" t="str">
        <f>""</f>
        <v/>
      </c>
      <c r="G894" t="str">
        <f>""</f>
        <v/>
      </c>
      <c r="I894" t="str">
        <f>"Inv# 9017547"</f>
        <v>Inv# 9017547</v>
      </c>
    </row>
    <row r="895" spans="1:9" x14ac:dyDescent="0.3">
      <c r="A895" t="str">
        <f>""</f>
        <v/>
      </c>
      <c r="F895" t="str">
        <f>""</f>
        <v/>
      </c>
      <c r="G895" t="str">
        <f>""</f>
        <v/>
      </c>
      <c r="I895" t="str">
        <f>"Inv# 2970191"</f>
        <v>Inv# 2970191</v>
      </c>
    </row>
    <row r="896" spans="1:9" x14ac:dyDescent="0.3">
      <c r="A896" t="str">
        <f>""</f>
        <v/>
      </c>
      <c r="F896" t="str">
        <f>""</f>
        <v/>
      </c>
      <c r="G896" t="str">
        <f>""</f>
        <v/>
      </c>
      <c r="I896" t="str">
        <f>"Inv# 8560195"</f>
        <v>Inv# 8560195</v>
      </c>
    </row>
    <row r="897" spans="1:9" x14ac:dyDescent="0.3">
      <c r="A897" t="str">
        <f>""</f>
        <v/>
      </c>
      <c r="F897" t="str">
        <f>""</f>
        <v/>
      </c>
      <c r="G897" t="str">
        <f>""</f>
        <v/>
      </c>
      <c r="I897" t="str">
        <f>"Inv# 2561005"</f>
        <v>Inv# 2561005</v>
      </c>
    </row>
    <row r="898" spans="1:9" x14ac:dyDescent="0.3">
      <c r="A898" t="str">
        <f>""</f>
        <v/>
      </c>
      <c r="F898" t="str">
        <f>""</f>
        <v/>
      </c>
      <c r="G898" t="str">
        <f>""</f>
        <v/>
      </c>
      <c r="I898" t="str">
        <f>"Inv# 6180628"</f>
        <v>Inv# 6180628</v>
      </c>
    </row>
    <row r="899" spans="1:9" x14ac:dyDescent="0.3">
      <c r="A899" t="str">
        <f>""</f>
        <v/>
      </c>
      <c r="F899" t="str">
        <f>""</f>
        <v/>
      </c>
      <c r="G899" t="str">
        <f>""</f>
        <v/>
      </c>
      <c r="I899" t="str">
        <f>"Inv# 3560946"</f>
        <v>Inv# 3560946</v>
      </c>
    </row>
    <row r="900" spans="1:9" x14ac:dyDescent="0.3">
      <c r="A900" t="str">
        <f>""</f>
        <v/>
      </c>
      <c r="F900" t="str">
        <f>""</f>
        <v/>
      </c>
      <c r="G900" t="str">
        <f>""</f>
        <v/>
      </c>
      <c r="I900" t="str">
        <f>"Inv# 9018386"</f>
        <v>Inv# 9018386</v>
      </c>
    </row>
    <row r="901" spans="1:9" x14ac:dyDescent="0.3">
      <c r="A901" t="str">
        <f>""</f>
        <v/>
      </c>
      <c r="F901" t="str">
        <f>""</f>
        <v/>
      </c>
      <c r="G901" t="str">
        <f>""</f>
        <v/>
      </c>
      <c r="I901" t="str">
        <f>"Inv# 8025889"</f>
        <v>Inv# 8025889</v>
      </c>
    </row>
    <row r="902" spans="1:9" x14ac:dyDescent="0.3">
      <c r="A902" t="str">
        <f>""</f>
        <v/>
      </c>
      <c r="F902" t="str">
        <f>""</f>
        <v/>
      </c>
      <c r="G902" t="str">
        <f>""</f>
        <v/>
      </c>
      <c r="I902" t="str">
        <f>"Inv# 19207"</f>
        <v>Inv# 19207</v>
      </c>
    </row>
    <row r="903" spans="1:9" x14ac:dyDescent="0.3">
      <c r="A903" t="str">
        <f>""</f>
        <v/>
      </c>
      <c r="F903" t="str">
        <f>""</f>
        <v/>
      </c>
      <c r="G903" t="str">
        <f>""</f>
        <v/>
      </c>
      <c r="I903" t="str">
        <f>"Inv# 41110827"</f>
        <v>Inv# 41110827</v>
      </c>
    </row>
    <row r="904" spans="1:9" x14ac:dyDescent="0.3">
      <c r="A904" t="str">
        <f>""</f>
        <v/>
      </c>
      <c r="F904" t="str">
        <f>""</f>
        <v/>
      </c>
      <c r="G904" t="str">
        <f>""</f>
        <v/>
      </c>
      <c r="I904" t="str">
        <f>"Inv# 3560923"</f>
        <v>Inv# 3560923</v>
      </c>
    </row>
    <row r="905" spans="1:9" x14ac:dyDescent="0.3">
      <c r="A905" t="str">
        <f>""</f>
        <v/>
      </c>
      <c r="F905" t="str">
        <f>""</f>
        <v/>
      </c>
      <c r="G905" t="str">
        <f>""</f>
        <v/>
      </c>
      <c r="I905" t="str">
        <f>"Inv# 2970196"</f>
        <v>Inv# 2970196</v>
      </c>
    </row>
    <row r="906" spans="1:9" x14ac:dyDescent="0.3">
      <c r="A906" t="str">
        <f>""</f>
        <v/>
      </c>
      <c r="F906" t="str">
        <f>"ACCT#3780/ST12/28"</f>
        <v>ACCT#3780/ST12/28</v>
      </c>
      <c r="G906" t="str">
        <f>"Acct#3780 Stmt:12.28.2017"</f>
        <v>Acct#3780 Stmt:12.28.2017</v>
      </c>
      <c r="H906" s="2">
        <v>4177.24</v>
      </c>
      <c r="I906" t="str">
        <f>"Inv# 1014713"</f>
        <v>Inv# 1014713</v>
      </c>
    </row>
    <row r="907" spans="1:9" x14ac:dyDescent="0.3">
      <c r="A907" t="str">
        <f>""</f>
        <v/>
      </c>
      <c r="F907" t="str">
        <f>""</f>
        <v/>
      </c>
      <c r="G907" t="str">
        <f>""</f>
        <v/>
      </c>
      <c r="I907" t="str">
        <f>"Inv# 8022254"</f>
        <v>Inv# 8022254</v>
      </c>
    </row>
    <row r="908" spans="1:9" x14ac:dyDescent="0.3">
      <c r="A908" t="str">
        <f>""</f>
        <v/>
      </c>
      <c r="F908" t="str">
        <f>""</f>
        <v/>
      </c>
      <c r="G908" t="str">
        <f>""</f>
        <v/>
      </c>
      <c r="I908" t="str">
        <f>"Inv# 7015112"</f>
        <v>Inv# 7015112</v>
      </c>
    </row>
    <row r="909" spans="1:9" x14ac:dyDescent="0.3">
      <c r="A909" t="str">
        <f>""</f>
        <v/>
      </c>
      <c r="F909" t="str">
        <f>""</f>
        <v/>
      </c>
      <c r="G909" t="str">
        <f>""</f>
        <v/>
      </c>
      <c r="I909" t="str">
        <f>"Inv# 4015422"</f>
        <v>Inv# 4015422</v>
      </c>
    </row>
    <row r="910" spans="1:9" x14ac:dyDescent="0.3">
      <c r="A910" t="str">
        <f>""</f>
        <v/>
      </c>
      <c r="F910" t="str">
        <f>""</f>
        <v/>
      </c>
      <c r="G910" t="str">
        <f>""</f>
        <v/>
      </c>
      <c r="I910" t="str">
        <f>"Inv# 4022636"</f>
        <v>Inv# 4022636</v>
      </c>
    </row>
    <row r="911" spans="1:9" x14ac:dyDescent="0.3">
      <c r="A911" t="str">
        <f>""</f>
        <v/>
      </c>
      <c r="F911" t="str">
        <f>""</f>
        <v/>
      </c>
      <c r="G911" t="str">
        <f>""</f>
        <v/>
      </c>
      <c r="I911" t="str">
        <f>"Inv# 3015504"</f>
        <v>Inv# 3015504</v>
      </c>
    </row>
    <row r="912" spans="1:9" x14ac:dyDescent="0.3">
      <c r="A912" t="str">
        <f>""</f>
        <v/>
      </c>
      <c r="F912" t="str">
        <f>""</f>
        <v/>
      </c>
      <c r="G912" t="str">
        <f>""</f>
        <v/>
      </c>
      <c r="I912" t="str">
        <f>"Inv# 2161431"</f>
        <v>Inv# 2161431</v>
      </c>
    </row>
    <row r="913" spans="1:9" x14ac:dyDescent="0.3">
      <c r="A913" t="str">
        <f>""</f>
        <v/>
      </c>
      <c r="F913" t="str">
        <f>""</f>
        <v/>
      </c>
      <c r="G913" t="str">
        <f>""</f>
        <v/>
      </c>
      <c r="I913" t="str">
        <f>"Inv# 1015667"</f>
        <v>Inv# 1015667</v>
      </c>
    </row>
    <row r="914" spans="1:9" x14ac:dyDescent="0.3">
      <c r="A914" t="str">
        <f>""</f>
        <v/>
      </c>
      <c r="F914" t="str">
        <f>""</f>
        <v/>
      </c>
      <c r="G914" t="str">
        <f>""</f>
        <v/>
      </c>
      <c r="I914" t="str">
        <f>"Inv# 8015999"</f>
        <v>Inv# 8015999</v>
      </c>
    </row>
    <row r="915" spans="1:9" x14ac:dyDescent="0.3">
      <c r="A915" t="str">
        <f>""</f>
        <v/>
      </c>
      <c r="F915" t="str">
        <f>""</f>
        <v/>
      </c>
      <c r="G915" t="str">
        <f>""</f>
        <v/>
      </c>
      <c r="I915" t="str">
        <f>"Inv# 7211128"</f>
        <v>Inv# 7211128</v>
      </c>
    </row>
    <row r="916" spans="1:9" x14ac:dyDescent="0.3">
      <c r="A916" t="str">
        <f>""</f>
        <v/>
      </c>
      <c r="F916" t="str">
        <f>""</f>
        <v/>
      </c>
      <c r="G916" t="str">
        <f>""</f>
        <v/>
      </c>
      <c r="I916" t="str">
        <f>"Inv# 6570036"</f>
        <v>Inv# 6570036</v>
      </c>
    </row>
    <row r="917" spans="1:9" x14ac:dyDescent="0.3">
      <c r="A917" t="str">
        <f>""</f>
        <v/>
      </c>
      <c r="F917" t="str">
        <f>""</f>
        <v/>
      </c>
      <c r="G917" t="str">
        <f>""</f>
        <v/>
      </c>
      <c r="I917" t="str">
        <f>"Inv# 5023457"</f>
        <v>Inv# 5023457</v>
      </c>
    </row>
    <row r="918" spans="1:9" x14ac:dyDescent="0.3">
      <c r="A918" t="str">
        <f>""</f>
        <v/>
      </c>
      <c r="F918" t="str">
        <f>""</f>
        <v/>
      </c>
      <c r="G918" t="str">
        <f>""</f>
        <v/>
      </c>
      <c r="I918" t="str">
        <f>"Inv# 3016389"</f>
        <v>Inv# 3016389</v>
      </c>
    </row>
    <row r="919" spans="1:9" x14ac:dyDescent="0.3">
      <c r="A919" t="str">
        <f>""</f>
        <v/>
      </c>
      <c r="F919" t="str">
        <f>""</f>
        <v/>
      </c>
      <c r="G919" t="str">
        <f>""</f>
        <v/>
      </c>
      <c r="I919" t="str">
        <f>"Inv# 3016390"</f>
        <v>Inv# 3016390</v>
      </c>
    </row>
    <row r="920" spans="1:9" x14ac:dyDescent="0.3">
      <c r="A920" t="str">
        <f>""</f>
        <v/>
      </c>
      <c r="F920" t="str">
        <f>""</f>
        <v/>
      </c>
      <c r="G920" t="str">
        <f>""</f>
        <v/>
      </c>
      <c r="I920" t="str">
        <f>"Inv# 9200672"</f>
        <v>Inv# 9200672</v>
      </c>
    </row>
    <row r="921" spans="1:9" x14ac:dyDescent="0.3">
      <c r="A921" t="str">
        <f>""</f>
        <v/>
      </c>
      <c r="F921" t="str">
        <f>""</f>
        <v/>
      </c>
      <c r="G921" t="str">
        <f>""</f>
        <v/>
      </c>
      <c r="I921" t="str">
        <f>"Inv# 9989714"</f>
        <v>Inv# 9989714</v>
      </c>
    </row>
    <row r="922" spans="1:9" x14ac:dyDescent="0.3">
      <c r="A922" t="str">
        <f>""</f>
        <v/>
      </c>
      <c r="F922" t="str">
        <f>""</f>
        <v/>
      </c>
      <c r="G922" t="str">
        <f>""</f>
        <v/>
      </c>
      <c r="I922" t="str">
        <f>"Inv# 9989737"</f>
        <v>Inv# 9989737</v>
      </c>
    </row>
    <row r="923" spans="1:9" x14ac:dyDescent="0.3">
      <c r="A923" t="str">
        <f>""</f>
        <v/>
      </c>
      <c r="F923" t="str">
        <f>""</f>
        <v/>
      </c>
      <c r="G923" t="str">
        <f>""</f>
        <v/>
      </c>
      <c r="I923" t="str">
        <f>"Inv# 9989738"</f>
        <v>Inv# 9989738</v>
      </c>
    </row>
    <row r="924" spans="1:9" x14ac:dyDescent="0.3">
      <c r="A924" t="str">
        <f>""</f>
        <v/>
      </c>
      <c r="F924" t="str">
        <f>""</f>
        <v/>
      </c>
      <c r="G924" t="str">
        <f>""</f>
        <v/>
      </c>
      <c r="I924" t="str">
        <f>"Inv# 8024160"</f>
        <v>Inv# 8024160</v>
      </c>
    </row>
    <row r="925" spans="1:9" x14ac:dyDescent="0.3">
      <c r="A925" t="str">
        <f>""</f>
        <v/>
      </c>
      <c r="F925" t="str">
        <f>""</f>
        <v/>
      </c>
      <c r="G925" t="str">
        <f>""</f>
        <v/>
      </c>
      <c r="I925" t="str">
        <f>"Inv# 7024240"</f>
        <v>Inv# 7024240</v>
      </c>
    </row>
    <row r="926" spans="1:9" x14ac:dyDescent="0.3">
      <c r="A926" t="str">
        <f>""</f>
        <v/>
      </c>
      <c r="F926" t="str">
        <f>""</f>
        <v/>
      </c>
      <c r="G926" t="str">
        <f>""</f>
        <v/>
      </c>
      <c r="I926" t="str">
        <f>"Inv# 1974094"</f>
        <v>Inv# 1974094</v>
      </c>
    </row>
    <row r="927" spans="1:9" x14ac:dyDescent="0.3">
      <c r="A927" t="str">
        <f>""</f>
        <v/>
      </c>
      <c r="F927" t="str">
        <f>""</f>
        <v/>
      </c>
      <c r="G927" t="str">
        <f>""</f>
        <v/>
      </c>
      <c r="I927" t="str">
        <f>"Inv# 3015541"</f>
        <v>Inv# 3015541</v>
      </c>
    </row>
    <row r="928" spans="1:9" x14ac:dyDescent="0.3">
      <c r="A928" t="str">
        <f>""</f>
        <v/>
      </c>
      <c r="F928" t="str">
        <f>""</f>
        <v/>
      </c>
      <c r="G928" t="str">
        <f>""</f>
        <v/>
      </c>
      <c r="I928" t="str">
        <f>"Inv# 584033"</f>
        <v>Inv# 584033</v>
      </c>
    </row>
    <row r="929" spans="1:9" x14ac:dyDescent="0.3">
      <c r="A929" t="str">
        <f>""</f>
        <v/>
      </c>
      <c r="F929" t="str">
        <f>""</f>
        <v/>
      </c>
      <c r="G929" t="str">
        <f>""</f>
        <v/>
      </c>
      <c r="I929" t="str">
        <f>"Inv# 6584856"</f>
        <v>Inv# 6584856</v>
      </c>
    </row>
    <row r="930" spans="1:9" x14ac:dyDescent="0.3">
      <c r="A930" t="str">
        <f>""</f>
        <v/>
      </c>
      <c r="F930" t="str">
        <f>""</f>
        <v/>
      </c>
      <c r="G930" t="str">
        <f>""</f>
        <v/>
      </c>
      <c r="I930" t="str">
        <f>"Inv# 1185266"</f>
        <v>Inv# 1185266</v>
      </c>
    </row>
    <row r="931" spans="1:9" x14ac:dyDescent="0.3">
      <c r="A931" t="str">
        <f>""</f>
        <v/>
      </c>
      <c r="F931" t="str">
        <f>""</f>
        <v/>
      </c>
      <c r="G931" t="str">
        <f>""</f>
        <v/>
      </c>
      <c r="I931" t="str">
        <f>"Inv# 1584001"</f>
        <v>Inv# 1584001</v>
      </c>
    </row>
    <row r="932" spans="1:9" x14ac:dyDescent="0.3">
      <c r="A932" t="str">
        <f>""</f>
        <v/>
      </c>
      <c r="F932" t="str">
        <f>""</f>
        <v/>
      </c>
      <c r="G932" t="str">
        <f>""</f>
        <v/>
      </c>
      <c r="I932" t="str">
        <f>"Inv# 124042"</f>
        <v>Inv# 124042</v>
      </c>
    </row>
    <row r="933" spans="1:9" x14ac:dyDescent="0.3">
      <c r="A933" t="str">
        <f>""</f>
        <v/>
      </c>
      <c r="F933" t="str">
        <f>""</f>
        <v/>
      </c>
      <c r="G933" t="str">
        <f>""</f>
        <v/>
      </c>
      <c r="I933" t="str">
        <f>"Inv# 204934"</f>
        <v>Inv# 204934</v>
      </c>
    </row>
    <row r="934" spans="1:9" x14ac:dyDescent="0.3">
      <c r="A934" t="str">
        <f>""</f>
        <v/>
      </c>
      <c r="F934" t="str">
        <f>""</f>
        <v/>
      </c>
      <c r="G934" t="str">
        <f>""</f>
        <v/>
      </c>
      <c r="I934" t="str">
        <f>"Inv# 9021574"</f>
        <v>Inv# 9021574</v>
      </c>
    </row>
    <row r="935" spans="1:9" x14ac:dyDescent="0.3">
      <c r="A935" t="str">
        <f>""</f>
        <v/>
      </c>
      <c r="F935" t="str">
        <f>""</f>
        <v/>
      </c>
      <c r="G935" t="str">
        <f>""</f>
        <v/>
      </c>
      <c r="I935" t="str">
        <f>"Inv# 9180013"</f>
        <v>Inv# 9180013</v>
      </c>
    </row>
    <row r="936" spans="1:9" x14ac:dyDescent="0.3">
      <c r="A936" t="str">
        <f>""</f>
        <v/>
      </c>
      <c r="F936" t="str">
        <f>""</f>
        <v/>
      </c>
      <c r="G936" t="str">
        <f>""</f>
        <v/>
      </c>
      <c r="I936" t="str">
        <f>"Inv# 2015580"</f>
        <v>Inv# 2015580</v>
      </c>
    </row>
    <row r="937" spans="1:9" x14ac:dyDescent="0.3">
      <c r="A937" t="str">
        <f>""</f>
        <v/>
      </c>
      <c r="F937" t="str">
        <f>""</f>
        <v/>
      </c>
      <c r="G937" t="str">
        <f>""</f>
        <v/>
      </c>
      <c r="I937" t="str">
        <f>"Inv# 4563759"</f>
        <v>Inv# 4563759</v>
      </c>
    </row>
    <row r="938" spans="1:9" x14ac:dyDescent="0.3">
      <c r="A938" t="str">
        <f>""</f>
        <v/>
      </c>
      <c r="F938" t="str">
        <f>""</f>
        <v/>
      </c>
      <c r="G938" t="str">
        <f>""</f>
        <v/>
      </c>
      <c r="I938" t="str">
        <f>"Inv# 4154466"</f>
        <v>Inv# 4154466</v>
      </c>
    </row>
    <row r="939" spans="1:9" x14ac:dyDescent="0.3">
      <c r="A939" t="str">
        <f>""</f>
        <v/>
      </c>
      <c r="F939" t="str">
        <f>""</f>
        <v/>
      </c>
      <c r="G939" t="str">
        <f>""</f>
        <v/>
      </c>
      <c r="I939" t="str">
        <f>"Inv# 8563527"</f>
        <v>Inv# 8563527</v>
      </c>
    </row>
    <row r="940" spans="1:9" x14ac:dyDescent="0.3">
      <c r="A940" t="str">
        <f>""</f>
        <v/>
      </c>
      <c r="F940" t="str">
        <f>""</f>
        <v/>
      </c>
      <c r="G940" t="str">
        <f>""</f>
        <v/>
      </c>
      <c r="I940" t="str">
        <f>"Inv# 8563527"</f>
        <v>Inv# 8563527</v>
      </c>
    </row>
    <row r="941" spans="1:9" x14ac:dyDescent="0.3">
      <c r="A941" t="str">
        <f>""</f>
        <v/>
      </c>
      <c r="F941" t="str">
        <f>""</f>
        <v/>
      </c>
      <c r="G941" t="str">
        <f>""</f>
        <v/>
      </c>
      <c r="I941" t="str">
        <f>"Inv# 3592701"</f>
        <v>Inv# 3592701</v>
      </c>
    </row>
    <row r="942" spans="1:9" x14ac:dyDescent="0.3">
      <c r="A942" t="str">
        <f>""</f>
        <v/>
      </c>
      <c r="F942" t="str">
        <f>""</f>
        <v/>
      </c>
      <c r="G942" t="str">
        <f>""</f>
        <v/>
      </c>
      <c r="I942" t="str">
        <f>"Inv# 2015580"</f>
        <v>Inv# 2015580</v>
      </c>
    </row>
    <row r="943" spans="1:9" x14ac:dyDescent="0.3">
      <c r="A943" t="str">
        <f>""</f>
        <v/>
      </c>
      <c r="F943" t="str">
        <f>""</f>
        <v/>
      </c>
      <c r="G943" t="str">
        <f>""</f>
        <v/>
      </c>
      <c r="I943" t="str">
        <f>"Inv# 6023382"</f>
        <v>Inv# 6023382</v>
      </c>
    </row>
    <row r="944" spans="1:9" x14ac:dyDescent="0.3">
      <c r="A944" t="str">
        <f>""</f>
        <v/>
      </c>
      <c r="F944" t="str">
        <f>""</f>
        <v/>
      </c>
      <c r="G944" t="str">
        <f>""</f>
        <v/>
      </c>
      <c r="I944" t="str">
        <f>"Inv# 9564613"</f>
        <v>Inv# 9564613</v>
      </c>
    </row>
    <row r="945" spans="1:9" x14ac:dyDescent="0.3">
      <c r="A945" t="str">
        <f>"004687"</f>
        <v>004687</v>
      </c>
      <c r="B945" t="s">
        <v>236</v>
      </c>
      <c r="C945">
        <v>75129</v>
      </c>
      <c r="D945" s="2">
        <v>90.33</v>
      </c>
      <c r="E945" s="1">
        <v>43143</v>
      </c>
      <c r="F945" t="str">
        <f>"INV716060"</f>
        <v>INV716060</v>
      </c>
      <c r="G945" t="str">
        <f>"INV 716060"</f>
        <v>INV 716060</v>
      </c>
      <c r="H945" s="2">
        <v>90.33</v>
      </c>
      <c r="I945" t="str">
        <f>"INV 716060"</f>
        <v>INV 716060</v>
      </c>
    </row>
    <row r="946" spans="1:9" x14ac:dyDescent="0.3">
      <c r="A946" t="str">
        <f>"004687"</f>
        <v>004687</v>
      </c>
      <c r="B946" t="s">
        <v>236</v>
      </c>
      <c r="C946">
        <v>75414</v>
      </c>
      <c r="D946" s="2">
        <v>127.53</v>
      </c>
      <c r="E946" s="1">
        <v>43157</v>
      </c>
      <c r="F946" t="str">
        <f>"740373"</f>
        <v>740373</v>
      </c>
      <c r="G946" t="str">
        <f>"INV 740373"</f>
        <v>INV 740373</v>
      </c>
      <c r="H946" s="2">
        <v>127.53</v>
      </c>
      <c r="I946" t="str">
        <f>"INV 740373"</f>
        <v>INV 740373</v>
      </c>
    </row>
    <row r="947" spans="1:9" x14ac:dyDescent="0.3">
      <c r="A947" t="str">
        <f>"003653"</f>
        <v>003653</v>
      </c>
      <c r="B947" t="s">
        <v>237</v>
      </c>
      <c r="C947">
        <v>74994</v>
      </c>
      <c r="D947" s="2">
        <v>2096.02</v>
      </c>
      <c r="E947" s="1">
        <v>43139</v>
      </c>
      <c r="F947" t="str">
        <f>"S1802020001-00033"</f>
        <v>S1802020001-00033</v>
      </c>
      <c r="G947" t="str">
        <f>"ACCT# 100402264 / 02022018"</f>
        <v>ACCT# 100402264 / 02022018</v>
      </c>
      <c r="H947" s="2">
        <v>2096.02</v>
      </c>
      <c r="I947" t="str">
        <f>"ACCT# 100402264 / 02022018"</f>
        <v>ACCT# 100402264 / 02022018</v>
      </c>
    </row>
    <row r="948" spans="1:9" x14ac:dyDescent="0.3">
      <c r="A948" t="str">
        <f>""</f>
        <v/>
      </c>
      <c r="F948" t="str">
        <f>""</f>
        <v/>
      </c>
      <c r="G948" t="str">
        <f>""</f>
        <v/>
      </c>
      <c r="I948" t="str">
        <f>"ACCT# 100402264 / 02022018"</f>
        <v>ACCT# 100402264 / 02022018</v>
      </c>
    </row>
    <row r="949" spans="1:9" x14ac:dyDescent="0.3">
      <c r="A949" t="str">
        <f>""</f>
        <v/>
      </c>
      <c r="F949" t="str">
        <f>""</f>
        <v/>
      </c>
      <c r="G949" t="str">
        <f>""</f>
        <v/>
      </c>
      <c r="I949" t="str">
        <f>"ACCT# 100402264 / 02022018"</f>
        <v>ACCT# 100402264 / 02022018</v>
      </c>
    </row>
    <row r="950" spans="1:9" x14ac:dyDescent="0.3">
      <c r="A950" t="str">
        <f>"T6791"</f>
        <v>T6791</v>
      </c>
      <c r="B950" t="s">
        <v>238</v>
      </c>
      <c r="C950">
        <v>75130</v>
      </c>
      <c r="D950" s="2">
        <v>400.43</v>
      </c>
      <c r="E950" s="1">
        <v>43143</v>
      </c>
      <c r="F950" t="str">
        <f>"0203237-IN"</f>
        <v>0203237-IN</v>
      </c>
      <c r="G950" t="str">
        <f>"ACCT#0005960/ORD#0203237"</f>
        <v>ACCT#0005960/ORD#0203237</v>
      </c>
      <c r="H950" s="2">
        <v>400.43</v>
      </c>
      <c r="I950" t="str">
        <f>"ACCT#0005960/ORD#0203237"</f>
        <v>ACCT#0005960/ORD#0203237</v>
      </c>
    </row>
    <row r="951" spans="1:9" x14ac:dyDescent="0.3">
      <c r="A951" t="str">
        <f>"003545"</f>
        <v>003545</v>
      </c>
      <c r="B951" t="s">
        <v>239</v>
      </c>
      <c r="C951">
        <v>75415</v>
      </c>
      <c r="D951" s="2">
        <v>121.46</v>
      </c>
      <c r="E951" s="1">
        <v>43157</v>
      </c>
      <c r="F951" t="str">
        <f>"170878"</f>
        <v>170878</v>
      </c>
      <c r="G951" t="str">
        <f>"COTTON WIRE/PROT WRAP"</f>
        <v>COTTON WIRE/PROT WRAP</v>
      </c>
      <c r="H951" s="2">
        <v>121.46</v>
      </c>
      <c r="I951" t="str">
        <f>"COTTON WIRE/PROT WRAP"</f>
        <v>COTTON WIRE/PROT WRAP</v>
      </c>
    </row>
    <row r="952" spans="1:9" x14ac:dyDescent="0.3">
      <c r="A952" t="str">
        <f>"T11576"</f>
        <v>T11576</v>
      </c>
      <c r="B952" t="s">
        <v>240</v>
      </c>
      <c r="C952">
        <v>999999</v>
      </c>
      <c r="D952" s="2">
        <v>2430</v>
      </c>
      <c r="E952" s="1">
        <v>43144</v>
      </c>
      <c r="F952" t="str">
        <f>"65380"</f>
        <v>65380</v>
      </c>
      <c r="G952" t="str">
        <f>"PROFESSIONAL SVCS-MARCH 2018"</f>
        <v>PROFESSIONAL SVCS-MARCH 2018</v>
      </c>
      <c r="H952" s="2">
        <v>2430</v>
      </c>
      <c r="I952" t="str">
        <f>"PROFESSIONAL SVCS-MARCH 2018"</f>
        <v>PROFESSIONAL SVCS-MARCH 2018</v>
      </c>
    </row>
    <row r="953" spans="1:9" x14ac:dyDescent="0.3">
      <c r="A953" t="str">
        <f>""</f>
        <v/>
      </c>
      <c r="F953" t="str">
        <f>""</f>
        <v/>
      </c>
      <c r="G953" t="str">
        <f>""</f>
        <v/>
      </c>
      <c r="I953" t="str">
        <f>"PROFESSIONAL SVCS-MARCH 2018"</f>
        <v>PROFESSIONAL SVCS-MARCH 2018</v>
      </c>
    </row>
    <row r="954" spans="1:9" x14ac:dyDescent="0.3">
      <c r="A954" t="str">
        <f>"005403"</f>
        <v>005403</v>
      </c>
      <c r="B954" t="s">
        <v>241</v>
      </c>
      <c r="C954">
        <v>75131</v>
      </c>
      <c r="D954" s="2">
        <v>40</v>
      </c>
      <c r="E954" s="1">
        <v>43143</v>
      </c>
      <c r="F954" t="str">
        <f>"MEMBERSHIP-L FOEHR"</f>
        <v>MEMBERSHIP-L FOEHR</v>
      </c>
      <c r="G954" t="str">
        <f>"LES FOEHR MEMBERSHIP FEE"</f>
        <v>LES FOEHR MEMBERSHIP FEE</v>
      </c>
      <c r="H954" s="2">
        <v>40</v>
      </c>
      <c r="I954" t="str">
        <f>"LES FOEHR MEMBERSHIP"</f>
        <v>LES FOEHR MEMBERSHIP</v>
      </c>
    </row>
    <row r="955" spans="1:9" x14ac:dyDescent="0.3">
      <c r="A955" t="str">
        <f>"IRON"</f>
        <v>IRON</v>
      </c>
      <c r="B955" t="s">
        <v>242</v>
      </c>
      <c r="C955">
        <v>75132</v>
      </c>
      <c r="D955" s="2">
        <v>132.24</v>
      </c>
      <c r="E955" s="1">
        <v>43143</v>
      </c>
      <c r="F955" t="str">
        <f>"PPK6160"</f>
        <v>PPK6160</v>
      </c>
      <c r="G955" t="str">
        <f>"CUST ID:AX773/COUNTY CLERK"</f>
        <v>CUST ID:AX773/COUNTY CLERK</v>
      </c>
      <c r="H955" s="2">
        <v>66.12</v>
      </c>
      <c r="I955" t="str">
        <f>"CUST ID:AX773/COUNTY CLERK"</f>
        <v>CUST ID:AX773/COUNTY CLERK</v>
      </c>
    </row>
    <row r="956" spans="1:9" x14ac:dyDescent="0.3">
      <c r="A956" t="str">
        <f>""</f>
        <v/>
      </c>
      <c r="F956" t="str">
        <f>"PTA5016"</f>
        <v>PTA5016</v>
      </c>
      <c r="G956" t="str">
        <f>"CUST#AX773/COUNTY CLERK"</f>
        <v>CUST#AX773/COUNTY CLERK</v>
      </c>
      <c r="H956" s="2">
        <v>66.12</v>
      </c>
      <c r="I956" t="str">
        <f>"CUST#AX773/COUNTY CLERK"</f>
        <v>CUST#AX773/COUNTY CLERK</v>
      </c>
    </row>
    <row r="957" spans="1:9" x14ac:dyDescent="0.3">
      <c r="A957" t="str">
        <f>"T7585"</f>
        <v>T7585</v>
      </c>
      <c r="B957" t="s">
        <v>243</v>
      </c>
      <c r="C957">
        <v>999999</v>
      </c>
      <c r="D957" s="2">
        <v>180</v>
      </c>
      <c r="E957" s="1">
        <v>43144</v>
      </c>
      <c r="F957" t="str">
        <f>"18177"</f>
        <v>18177</v>
      </c>
      <c r="G957" t="str">
        <f>"RENTAL/PCT#4"</f>
        <v>RENTAL/PCT#4</v>
      </c>
      <c r="H957" s="2">
        <v>180</v>
      </c>
      <c r="I957" t="str">
        <f>"RENTAL/PCT#4"</f>
        <v>RENTAL/PCT#4</v>
      </c>
    </row>
    <row r="958" spans="1:9" x14ac:dyDescent="0.3">
      <c r="A958" t="str">
        <f>"T5361"</f>
        <v>T5361</v>
      </c>
      <c r="B958" t="s">
        <v>244</v>
      </c>
      <c r="C958">
        <v>75133</v>
      </c>
      <c r="D958" s="2">
        <v>25</v>
      </c>
      <c r="E958" s="1">
        <v>43143</v>
      </c>
      <c r="F958" t="str">
        <f>"201802018402"</f>
        <v>201802018402</v>
      </c>
      <c r="G958" t="str">
        <f>"FERAL HOGS"</f>
        <v>FERAL HOGS</v>
      </c>
      <c r="H958" s="2">
        <v>25</v>
      </c>
      <c r="I958" t="str">
        <f>"FERAL HOGS"</f>
        <v>FERAL HOGS</v>
      </c>
    </row>
    <row r="959" spans="1:9" x14ac:dyDescent="0.3">
      <c r="A959" t="str">
        <f>"002027"</f>
        <v>002027</v>
      </c>
      <c r="B959" t="s">
        <v>245</v>
      </c>
      <c r="C959">
        <v>75134</v>
      </c>
      <c r="D959" s="2">
        <v>90</v>
      </c>
      <c r="E959" s="1">
        <v>43143</v>
      </c>
      <c r="F959" t="str">
        <f>"PER DIEM"</f>
        <v>PER DIEM</v>
      </c>
      <c r="G959" t="str">
        <f>"PER DIEM"</f>
        <v>PER DIEM</v>
      </c>
      <c r="H959" s="2">
        <v>90</v>
      </c>
      <c r="I959" t="str">
        <f>"PER DIEM"</f>
        <v>PER DIEM</v>
      </c>
    </row>
    <row r="960" spans="1:9" x14ac:dyDescent="0.3">
      <c r="A960" t="str">
        <f>"005135"</f>
        <v>005135</v>
      </c>
      <c r="B960" t="s">
        <v>246</v>
      </c>
      <c r="C960">
        <v>75416</v>
      </c>
      <c r="D960" s="2">
        <v>98.33</v>
      </c>
      <c r="E960" s="1">
        <v>43157</v>
      </c>
      <c r="F960" t="str">
        <f>"201802148690"</f>
        <v>201802148690</v>
      </c>
      <c r="G960" t="str">
        <f>"VISTING JUDGE MILEAGE"</f>
        <v>VISTING JUDGE MILEAGE</v>
      </c>
      <c r="H960" s="2">
        <v>98.33</v>
      </c>
      <c r="I960" t="str">
        <f>"VISTING JUDGE MILEAGE"</f>
        <v>VISTING JUDGE MILEAGE</v>
      </c>
    </row>
    <row r="961" spans="1:9" x14ac:dyDescent="0.3">
      <c r="A961" t="str">
        <f>"JOB"</f>
        <v>JOB</v>
      </c>
      <c r="B961" t="s">
        <v>247</v>
      </c>
      <c r="C961">
        <v>75135</v>
      </c>
      <c r="D961" s="2">
        <v>250</v>
      </c>
      <c r="E961" s="1">
        <v>43143</v>
      </c>
      <c r="F961" t="str">
        <f>"201801308267"</f>
        <v>201801308267</v>
      </c>
      <c r="G961" t="str">
        <f>"55 389"</f>
        <v>55 389</v>
      </c>
      <c r="H961" s="2">
        <v>250</v>
      </c>
      <c r="I961" t="str">
        <f>"55 389"</f>
        <v>55 389</v>
      </c>
    </row>
    <row r="962" spans="1:9" x14ac:dyDescent="0.3">
      <c r="A962" t="str">
        <f>"JOB"</f>
        <v>JOB</v>
      </c>
      <c r="B962" t="s">
        <v>247</v>
      </c>
      <c r="C962">
        <v>75417</v>
      </c>
      <c r="D962" s="2">
        <v>250</v>
      </c>
      <c r="E962" s="1">
        <v>43157</v>
      </c>
      <c r="F962" t="str">
        <f>"201802148729"</f>
        <v>201802148729</v>
      </c>
      <c r="G962" t="str">
        <f>"55 534"</f>
        <v>55 534</v>
      </c>
      <c r="H962" s="2">
        <v>250</v>
      </c>
      <c r="I962" t="str">
        <f>"55 534"</f>
        <v>55 534</v>
      </c>
    </row>
    <row r="963" spans="1:9" x14ac:dyDescent="0.3">
      <c r="A963" t="str">
        <f>"T7860"</f>
        <v>T7860</v>
      </c>
      <c r="B963" t="s">
        <v>248</v>
      </c>
      <c r="C963">
        <v>999999</v>
      </c>
      <c r="D963" s="2">
        <v>1250</v>
      </c>
      <c r="E963" s="1">
        <v>43144</v>
      </c>
      <c r="F963" t="str">
        <f>"12452"</f>
        <v>12452</v>
      </c>
      <c r="G963" t="str">
        <f>"AD LITEM FEE  12/01/2017"</f>
        <v>AD LITEM FEE  12/01/2017</v>
      </c>
      <c r="H963" s="2">
        <v>150</v>
      </c>
      <c r="I963" t="str">
        <f>"AD LITEM FEE  12/01/2017"</f>
        <v>AD LITEM FEE  12/01/2017</v>
      </c>
    </row>
    <row r="964" spans="1:9" x14ac:dyDescent="0.3">
      <c r="A964" t="str">
        <f>""</f>
        <v/>
      </c>
      <c r="F964" t="str">
        <f>"201801308340"</f>
        <v>201801308340</v>
      </c>
      <c r="G964" t="str">
        <f>"55 094"</f>
        <v>55 094</v>
      </c>
      <c r="H964" s="2">
        <v>250</v>
      </c>
      <c r="I964" t="str">
        <f>"55 094"</f>
        <v>55 094</v>
      </c>
    </row>
    <row r="965" spans="1:9" x14ac:dyDescent="0.3">
      <c r="A965" t="str">
        <f>""</f>
        <v/>
      </c>
      <c r="F965" t="str">
        <f>"201801308341"</f>
        <v>201801308341</v>
      </c>
      <c r="G965" t="str">
        <f>"17-18786"</f>
        <v>17-18786</v>
      </c>
      <c r="H965" s="2">
        <v>100</v>
      </c>
      <c r="I965" t="str">
        <f>"17-18786"</f>
        <v>17-18786</v>
      </c>
    </row>
    <row r="966" spans="1:9" x14ac:dyDescent="0.3">
      <c r="A966" t="str">
        <f>""</f>
        <v/>
      </c>
      <c r="F966" t="str">
        <f>"201801308342"</f>
        <v>201801308342</v>
      </c>
      <c r="G966" t="str">
        <f>"J-3108"</f>
        <v>J-3108</v>
      </c>
      <c r="H966" s="2">
        <v>250</v>
      </c>
      <c r="I966" t="str">
        <f>"J-3108"</f>
        <v>J-3108</v>
      </c>
    </row>
    <row r="967" spans="1:9" x14ac:dyDescent="0.3">
      <c r="A967" t="str">
        <f>""</f>
        <v/>
      </c>
      <c r="F967" t="str">
        <f>"201801308343"</f>
        <v>201801308343</v>
      </c>
      <c r="G967" t="str">
        <f>"NA/JUVENILE DET HEARING"</f>
        <v>NA/JUVENILE DET HEARING</v>
      </c>
      <c r="H967" s="2">
        <v>100</v>
      </c>
      <c r="I967" t="str">
        <f>"NA/JUVENILE DET HEARING"</f>
        <v>NA/JUVENILE DET HEARING</v>
      </c>
    </row>
    <row r="968" spans="1:9" x14ac:dyDescent="0.3">
      <c r="A968" t="str">
        <f>""</f>
        <v/>
      </c>
      <c r="F968" t="str">
        <f>"201802028450"</f>
        <v>201802028450</v>
      </c>
      <c r="G968" t="str">
        <f>"N/A-JUVENILE DETENTION HEARING"</f>
        <v>N/A-JUVENILE DETENTION HEARING</v>
      </c>
      <c r="H968" s="2">
        <v>100</v>
      </c>
      <c r="I968" t="str">
        <f>"N/A-JUVENILE DETENTION HEARING"</f>
        <v>N/A-JUVENILE DETENTION HEARING</v>
      </c>
    </row>
    <row r="969" spans="1:9" x14ac:dyDescent="0.3">
      <c r="A969" t="str">
        <f>""</f>
        <v/>
      </c>
      <c r="F969" t="str">
        <f>"201802078624"</f>
        <v>201802078624</v>
      </c>
      <c r="G969" t="str">
        <f>"17-18493"</f>
        <v>17-18493</v>
      </c>
      <c r="H969" s="2">
        <v>100</v>
      </c>
      <c r="I969" t="str">
        <f>"17-18493"</f>
        <v>17-18493</v>
      </c>
    </row>
    <row r="970" spans="1:9" x14ac:dyDescent="0.3">
      <c r="A970" t="str">
        <f>""</f>
        <v/>
      </c>
      <c r="F970" t="str">
        <f>"201802078625"</f>
        <v>201802078625</v>
      </c>
      <c r="G970" t="str">
        <f>"16-18043"</f>
        <v>16-18043</v>
      </c>
      <c r="H970" s="2">
        <v>100</v>
      </c>
      <c r="I970" t="str">
        <f>"16-18043"</f>
        <v>16-18043</v>
      </c>
    </row>
    <row r="971" spans="1:9" x14ac:dyDescent="0.3">
      <c r="A971" t="str">
        <f>""</f>
        <v/>
      </c>
      <c r="F971" t="str">
        <f>"201802078626"</f>
        <v>201802078626</v>
      </c>
      <c r="G971" t="str">
        <f>"17-18754"</f>
        <v>17-18754</v>
      </c>
      <c r="H971" s="2">
        <v>100</v>
      </c>
      <c r="I971" t="str">
        <f>"17-18754"</f>
        <v>17-18754</v>
      </c>
    </row>
    <row r="972" spans="1:9" x14ac:dyDescent="0.3">
      <c r="A972" t="str">
        <f>"T7860"</f>
        <v>T7860</v>
      </c>
      <c r="B972" t="s">
        <v>248</v>
      </c>
      <c r="C972">
        <v>999999</v>
      </c>
      <c r="D972" s="2">
        <v>900</v>
      </c>
      <c r="E972" s="1">
        <v>43158</v>
      </c>
      <c r="F972" t="str">
        <f>"12485"</f>
        <v>12485</v>
      </c>
      <c r="G972" t="str">
        <f>"AD LITEM FEE  12/04/17"</f>
        <v>AD LITEM FEE  12/04/17</v>
      </c>
      <c r="H972" s="2">
        <v>150</v>
      </c>
      <c r="I972" t="str">
        <f>"AD LITEM FEE  12/04/17"</f>
        <v>AD LITEM FEE  12/04/17</v>
      </c>
    </row>
    <row r="973" spans="1:9" x14ac:dyDescent="0.3">
      <c r="A973" t="str">
        <f>""</f>
        <v/>
      </c>
      <c r="F973" t="str">
        <f>"12597"</f>
        <v>12597</v>
      </c>
      <c r="G973" t="str">
        <f>"AD LITEM FEE  12/04/17"</f>
        <v>AD LITEM FEE  12/04/17</v>
      </c>
      <c r="H973" s="2">
        <v>150</v>
      </c>
      <c r="I973" t="str">
        <f>"AD LITEM FEE  12/04/17"</f>
        <v>AD LITEM FEE  12/04/17</v>
      </c>
    </row>
    <row r="974" spans="1:9" x14ac:dyDescent="0.3">
      <c r="A974" t="str">
        <f>""</f>
        <v/>
      </c>
      <c r="F974" t="str">
        <f>"201802148742"</f>
        <v>201802148742</v>
      </c>
      <c r="G974" t="str">
        <f>"N/A/JUVENILE DETENTION HEARING"</f>
        <v>N/A/JUVENILE DETENTION HEARING</v>
      </c>
      <c r="H974" s="2">
        <v>100</v>
      </c>
      <c r="I974" t="str">
        <f>"N/A/JUVENILE DETENTION HEARING"</f>
        <v>N/A/JUVENILE DETENTION HEARING</v>
      </c>
    </row>
    <row r="975" spans="1:9" x14ac:dyDescent="0.3">
      <c r="A975" t="str">
        <f>""</f>
        <v/>
      </c>
      <c r="F975" t="str">
        <f>"201802218838"</f>
        <v>201802218838</v>
      </c>
      <c r="G975" t="str">
        <f>"17-18119"</f>
        <v>17-18119</v>
      </c>
      <c r="H975" s="2">
        <v>100</v>
      </c>
      <c r="I975" t="str">
        <f>"17-18119"</f>
        <v>17-18119</v>
      </c>
    </row>
    <row r="976" spans="1:9" x14ac:dyDescent="0.3">
      <c r="A976" t="str">
        <f>""</f>
        <v/>
      </c>
      <c r="F976" t="str">
        <f>"201802218839"</f>
        <v>201802218839</v>
      </c>
      <c r="G976" t="str">
        <f>"17-18579"</f>
        <v>17-18579</v>
      </c>
      <c r="H976" s="2">
        <v>100</v>
      </c>
      <c r="I976" t="str">
        <f>"17-18579"</f>
        <v>17-18579</v>
      </c>
    </row>
    <row r="977" spans="1:10" x14ac:dyDescent="0.3">
      <c r="A977" t="str">
        <f>""</f>
        <v/>
      </c>
      <c r="F977" t="str">
        <f>"201802218840"</f>
        <v>201802218840</v>
      </c>
      <c r="G977" t="str">
        <f>"18-18867"</f>
        <v>18-18867</v>
      </c>
      <c r="H977" s="2">
        <v>100</v>
      </c>
      <c r="I977" t="str">
        <f>"18-18867"</f>
        <v>18-18867</v>
      </c>
    </row>
    <row r="978" spans="1:10" x14ac:dyDescent="0.3">
      <c r="A978" t="str">
        <f>""</f>
        <v/>
      </c>
      <c r="F978" t="str">
        <f>"201802218844"</f>
        <v>201802218844</v>
      </c>
      <c r="G978" t="str">
        <f>"17-18786"</f>
        <v>17-18786</v>
      </c>
      <c r="H978" s="2">
        <v>100</v>
      </c>
      <c r="I978" t="str">
        <f>"17-18786"</f>
        <v>17-18786</v>
      </c>
    </row>
    <row r="979" spans="1:10" x14ac:dyDescent="0.3">
      <c r="A979" t="str">
        <f>""</f>
        <v/>
      </c>
      <c r="F979" t="str">
        <f>"201802218849"</f>
        <v>201802218849</v>
      </c>
      <c r="G979" t="str">
        <f>"NA-JUVENILE DETENTION HEARING"</f>
        <v>NA-JUVENILE DETENTION HEARING</v>
      </c>
      <c r="H979" s="2">
        <v>100</v>
      </c>
      <c r="I979" t="str">
        <f>"NA-JUVENILE DETENTION HEARING"</f>
        <v>NA-JUVENILE DETENTION HEARING</v>
      </c>
    </row>
    <row r="980" spans="1:10" x14ac:dyDescent="0.3">
      <c r="A980" t="str">
        <f>"004891"</f>
        <v>004891</v>
      </c>
      <c r="B980" t="s">
        <v>249</v>
      </c>
      <c r="C980">
        <v>75136</v>
      </c>
      <c r="D980" s="2">
        <v>50</v>
      </c>
      <c r="E980" s="1">
        <v>43143</v>
      </c>
      <c r="F980" t="s">
        <v>250</v>
      </c>
      <c r="G980" t="s">
        <v>251</v>
      </c>
      <c r="H980" s="2" t="str">
        <f>"RESTITUTION-M. ALMS"</f>
        <v>RESTITUTION-M. ALMS</v>
      </c>
      <c r="I980" t="str">
        <f>"210-0000"</f>
        <v>210-0000</v>
      </c>
      <c r="J980">
        <v>50</v>
      </c>
    </row>
    <row r="981" spans="1:10" x14ac:dyDescent="0.3">
      <c r="A981" t="str">
        <f>"T14062"</f>
        <v>T14062</v>
      </c>
      <c r="B981" t="s">
        <v>252</v>
      </c>
      <c r="C981">
        <v>75137</v>
      </c>
      <c r="D981" s="2">
        <v>300</v>
      </c>
      <c r="E981" s="1">
        <v>43143</v>
      </c>
      <c r="F981" t="str">
        <f>"1041"</f>
        <v>1041</v>
      </c>
      <c r="G981" t="str">
        <f>"INSTALLATION OF EQUIPMENT"</f>
        <v>INSTALLATION OF EQUIPMENT</v>
      </c>
      <c r="H981" s="2">
        <v>300</v>
      </c>
      <c r="I981" t="str">
        <f>"INSTALLATION OF EQUIPMENT"</f>
        <v>INSTALLATION OF EQUIPMENT</v>
      </c>
    </row>
    <row r="982" spans="1:10" x14ac:dyDescent="0.3">
      <c r="A982" t="str">
        <f>"T14062"</f>
        <v>T14062</v>
      </c>
      <c r="B982" t="s">
        <v>252</v>
      </c>
      <c r="C982">
        <v>75418</v>
      </c>
      <c r="D982" s="2">
        <v>1356</v>
      </c>
      <c r="E982" s="1">
        <v>43157</v>
      </c>
      <c r="F982" t="str">
        <f>"1044"</f>
        <v>1044</v>
      </c>
      <c r="G982" t="str">
        <f>"Jest Warning Lights"</f>
        <v>Jest Warning Lights</v>
      </c>
      <c r="H982" s="2">
        <v>1131</v>
      </c>
      <c r="I982" t="str">
        <f>"Typhoon Handheld"</f>
        <v>Typhoon Handheld</v>
      </c>
    </row>
    <row r="983" spans="1:10" x14ac:dyDescent="0.3">
      <c r="A983" t="str">
        <f>""</f>
        <v/>
      </c>
      <c r="F983" t="str">
        <f>""</f>
        <v/>
      </c>
      <c r="G983" t="str">
        <f>""</f>
        <v/>
      </c>
      <c r="I983" t="str">
        <f>"Triton 100 Watt"</f>
        <v>Triton 100 Watt</v>
      </c>
    </row>
    <row r="984" spans="1:10" x14ac:dyDescent="0.3">
      <c r="A984" t="str">
        <f>""</f>
        <v/>
      </c>
      <c r="F984" t="str">
        <f>""</f>
        <v/>
      </c>
      <c r="G984" t="str">
        <f>""</f>
        <v/>
      </c>
      <c r="I984" t="str">
        <f>"Side Bar"</f>
        <v>Side Bar</v>
      </c>
    </row>
    <row r="985" spans="1:10" x14ac:dyDescent="0.3">
      <c r="A985" t="str">
        <f>""</f>
        <v/>
      </c>
      <c r="F985" t="str">
        <f>""</f>
        <v/>
      </c>
      <c r="G985" t="str">
        <f>""</f>
        <v/>
      </c>
      <c r="I985" t="str">
        <f>"Fusion 400"</f>
        <v>Fusion 400</v>
      </c>
    </row>
    <row r="986" spans="1:10" x14ac:dyDescent="0.3">
      <c r="A986" t="str">
        <f>""</f>
        <v/>
      </c>
      <c r="F986" t="str">
        <f>""</f>
        <v/>
      </c>
      <c r="G986" t="str">
        <f>""</f>
        <v/>
      </c>
      <c r="I986" t="str">
        <f>"Installation"</f>
        <v>Installation</v>
      </c>
    </row>
    <row r="987" spans="1:10" x14ac:dyDescent="0.3">
      <c r="A987" t="str">
        <f>""</f>
        <v/>
      </c>
      <c r="F987" t="str">
        <f>"1045"</f>
        <v>1045</v>
      </c>
      <c r="G987" t="str">
        <f>"INV 1045"</f>
        <v>INV 1045</v>
      </c>
      <c r="H987" s="2">
        <v>225</v>
      </c>
      <c r="I987" t="str">
        <f>"INV 1045"</f>
        <v>INV 1045</v>
      </c>
    </row>
    <row r="988" spans="1:10" x14ac:dyDescent="0.3">
      <c r="A988" t="str">
        <f>"005409"</f>
        <v>005409</v>
      </c>
      <c r="B988" t="s">
        <v>253</v>
      </c>
      <c r="C988">
        <v>75138</v>
      </c>
      <c r="D988" s="2">
        <v>75</v>
      </c>
      <c r="E988" s="1">
        <v>43143</v>
      </c>
      <c r="F988" t="str">
        <f>"201802018385"</f>
        <v>201802018385</v>
      </c>
      <c r="G988" t="str">
        <f>"FERAL HOGS"</f>
        <v>FERAL HOGS</v>
      </c>
      <c r="H988" s="2">
        <v>75</v>
      </c>
      <c r="I988" t="str">
        <f>"FERAL HOGS"</f>
        <v>FERAL HOGS</v>
      </c>
    </row>
    <row r="989" spans="1:10" x14ac:dyDescent="0.3">
      <c r="A989" t="str">
        <f>"005418"</f>
        <v>005418</v>
      </c>
      <c r="B989" t="s">
        <v>254</v>
      </c>
      <c r="C989">
        <v>75139</v>
      </c>
      <c r="D989" s="2">
        <v>15</v>
      </c>
      <c r="E989" s="1">
        <v>43143</v>
      </c>
      <c r="F989" t="str">
        <f>"201802018425"</f>
        <v>201802018425</v>
      </c>
      <c r="G989" t="str">
        <f>"FERAL HOGS"</f>
        <v>FERAL HOGS</v>
      </c>
      <c r="H989" s="2">
        <v>15</v>
      </c>
      <c r="I989" t="str">
        <f>"FERAL HOGS"</f>
        <v>FERAL HOGS</v>
      </c>
    </row>
    <row r="990" spans="1:10" x14ac:dyDescent="0.3">
      <c r="A990" t="str">
        <f>"004810"</f>
        <v>004810</v>
      </c>
      <c r="B990" t="s">
        <v>255</v>
      </c>
      <c r="C990">
        <v>75140</v>
      </c>
      <c r="D990" s="2">
        <v>35</v>
      </c>
      <c r="E990" s="1">
        <v>43143</v>
      </c>
      <c r="F990" t="str">
        <f>"201802018406"</f>
        <v>201802018406</v>
      </c>
      <c r="G990" t="str">
        <f>"FERAL HOGS"</f>
        <v>FERAL HOGS</v>
      </c>
      <c r="H990" s="2">
        <v>35</v>
      </c>
      <c r="I990" t="str">
        <f>"FERAL HOGS"</f>
        <v>FERAL HOGS</v>
      </c>
    </row>
    <row r="991" spans="1:10" x14ac:dyDescent="0.3">
      <c r="A991" t="str">
        <f>"002062"</f>
        <v>002062</v>
      </c>
      <c r="B991" t="s">
        <v>256</v>
      </c>
      <c r="C991">
        <v>75419</v>
      </c>
      <c r="D991" s="2">
        <v>26.99</v>
      </c>
      <c r="E991" s="1">
        <v>43157</v>
      </c>
      <c r="F991" t="str">
        <f>"MEDICAL REIMBURSEM"</f>
        <v>MEDICAL REIMBURSEM</v>
      </c>
      <c r="G991" t="str">
        <f>"JULIA DURAN"</f>
        <v>JULIA DURAN</v>
      </c>
      <c r="H991" s="2">
        <v>26.99</v>
      </c>
      <c r="I991" t="str">
        <f>""</f>
        <v/>
      </c>
    </row>
    <row r="992" spans="1:10" x14ac:dyDescent="0.3">
      <c r="A992" t="str">
        <f>"T14548"</f>
        <v>T14548</v>
      </c>
      <c r="B992" t="s">
        <v>257</v>
      </c>
      <c r="C992">
        <v>999999</v>
      </c>
      <c r="D992" s="2">
        <v>5200</v>
      </c>
      <c r="E992" s="1">
        <v>43144</v>
      </c>
      <c r="F992" t="str">
        <f>"201801238213"</f>
        <v>201801238213</v>
      </c>
      <c r="G992" t="str">
        <f>"302232016A  403016-4"</f>
        <v>302232016A  403016-4</v>
      </c>
      <c r="H992" s="2">
        <v>600</v>
      </c>
      <c r="I992" t="str">
        <f>"302232016A  403016-4"</f>
        <v>302232016A  403016-4</v>
      </c>
    </row>
    <row r="993" spans="1:9" x14ac:dyDescent="0.3">
      <c r="A993" t="str">
        <f>""</f>
        <v/>
      </c>
      <c r="F993" t="str">
        <f>"201801308268"</f>
        <v>201801308268</v>
      </c>
      <c r="G993" t="str">
        <f>"16-S-02084"</f>
        <v>16-S-02084</v>
      </c>
      <c r="H993" s="2">
        <v>400</v>
      </c>
      <c r="I993" t="str">
        <f>"16-S-02084"</f>
        <v>16-S-02084</v>
      </c>
    </row>
    <row r="994" spans="1:9" x14ac:dyDescent="0.3">
      <c r="A994" t="str">
        <f>""</f>
        <v/>
      </c>
      <c r="F994" t="str">
        <f>"201801308269"</f>
        <v>201801308269</v>
      </c>
      <c r="G994" t="str">
        <f>"687-335"</f>
        <v>687-335</v>
      </c>
      <c r="H994" s="2">
        <v>100</v>
      </c>
      <c r="I994" t="str">
        <f>"687-335"</f>
        <v>687-335</v>
      </c>
    </row>
    <row r="995" spans="1:9" x14ac:dyDescent="0.3">
      <c r="A995" t="str">
        <f>""</f>
        <v/>
      </c>
      <c r="F995" t="str">
        <f>"201801308270"</f>
        <v>201801308270</v>
      </c>
      <c r="G995" t="str">
        <f>"423-5487/423-5488"</f>
        <v>423-5487/423-5488</v>
      </c>
      <c r="H995" s="2">
        <v>200</v>
      </c>
      <c r="I995" t="str">
        <f>"423-5487/423-5488"</f>
        <v>423-5487/423-5488</v>
      </c>
    </row>
    <row r="996" spans="1:9" x14ac:dyDescent="0.3">
      <c r="A996" t="str">
        <f>""</f>
        <v/>
      </c>
      <c r="F996" t="str">
        <f>"201801308271"</f>
        <v>201801308271</v>
      </c>
      <c r="G996" t="str">
        <f>"AC-2017-1127"</f>
        <v>AC-2017-1127</v>
      </c>
      <c r="H996" s="2">
        <v>400</v>
      </c>
      <c r="I996" t="str">
        <f>"AC-2017-1127"</f>
        <v>AC-2017-1127</v>
      </c>
    </row>
    <row r="997" spans="1:9" x14ac:dyDescent="0.3">
      <c r="A997" t="str">
        <f>""</f>
        <v/>
      </c>
      <c r="F997" t="str">
        <f>"201801308272"</f>
        <v>201801308272</v>
      </c>
      <c r="G997" t="str">
        <f>"547404"</f>
        <v>547404</v>
      </c>
      <c r="H997" s="2">
        <v>250</v>
      </c>
      <c r="I997" t="str">
        <f>"547404"</f>
        <v>547404</v>
      </c>
    </row>
    <row r="998" spans="1:9" x14ac:dyDescent="0.3">
      <c r="A998" t="str">
        <f>""</f>
        <v/>
      </c>
      <c r="F998" t="str">
        <f>"201801308273"</f>
        <v>201801308273</v>
      </c>
      <c r="G998" t="str">
        <f>"55457"</f>
        <v>55457</v>
      </c>
      <c r="H998" s="2">
        <v>250</v>
      </c>
      <c r="I998" t="str">
        <f>"55457"</f>
        <v>55457</v>
      </c>
    </row>
    <row r="999" spans="1:9" x14ac:dyDescent="0.3">
      <c r="A999" t="str">
        <f>""</f>
        <v/>
      </c>
      <c r="F999" t="str">
        <f>"201801308274"</f>
        <v>201801308274</v>
      </c>
      <c r="G999" t="str">
        <f>"55206"</f>
        <v>55206</v>
      </c>
      <c r="H999" s="2">
        <v>250</v>
      </c>
      <c r="I999" t="str">
        <f>"55206"</f>
        <v>55206</v>
      </c>
    </row>
    <row r="1000" spans="1:9" x14ac:dyDescent="0.3">
      <c r="A1000" t="str">
        <f>""</f>
        <v/>
      </c>
      <c r="F1000" t="str">
        <f>"201801308275"</f>
        <v>201801308275</v>
      </c>
      <c r="G1000" t="str">
        <f>"52851"</f>
        <v>52851</v>
      </c>
      <c r="H1000" s="2">
        <v>250</v>
      </c>
      <c r="I1000" t="str">
        <f>"52851"</f>
        <v>52851</v>
      </c>
    </row>
    <row r="1001" spans="1:9" x14ac:dyDescent="0.3">
      <c r="A1001" t="str">
        <f>""</f>
        <v/>
      </c>
      <c r="F1001" t="str">
        <f>"201801308276"</f>
        <v>201801308276</v>
      </c>
      <c r="G1001" t="str">
        <f>"18-18830"</f>
        <v>18-18830</v>
      </c>
      <c r="H1001" s="2">
        <v>100</v>
      </c>
      <c r="I1001" t="str">
        <f>"18-18830"</f>
        <v>18-18830</v>
      </c>
    </row>
    <row r="1002" spans="1:9" x14ac:dyDescent="0.3">
      <c r="A1002" t="str">
        <f>""</f>
        <v/>
      </c>
      <c r="F1002" t="str">
        <f>"201802018441"</f>
        <v>201802018441</v>
      </c>
      <c r="G1002" t="str">
        <f>"423-5477"</f>
        <v>423-5477</v>
      </c>
      <c r="H1002" s="2">
        <v>100</v>
      </c>
      <c r="I1002" t="str">
        <f>"423-5477"</f>
        <v>423-5477</v>
      </c>
    </row>
    <row r="1003" spans="1:9" x14ac:dyDescent="0.3">
      <c r="A1003" t="str">
        <f>""</f>
        <v/>
      </c>
      <c r="F1003" t="str">
        <f>"201802018442"</f>
        <v>201802018442</v>
      </c>
      <c r="G1003" t="str">
        <f>"423-2898"</f>
        <v>423-2898</v>
      </c>
      <c r="H1003" s="2">
        <v>75</v>
      </c>
      <c r="I1003" t="str">
        <f>"423-2898"</f>
        <v>423-2898</v>
      </c>
    </row>
    <row r="1004" spans="1:9" x14ac:dyDescent="0.3">
      <c r="A1004" t="str">
        <f>""</f>
        <v/>
      </c>
      <c r="F1004" t="str">
        <f>"201802018443"</f>
        <v>201802018443</v>
      </c>
      <c r="G1004" t="str">
        <f>"DCPC-17-085"</f>
        <v>DCPC-17-085</v>
      </c>
      <c r="H1004" s="2">
        <v>400</v>
      </c>
      <c r="I1004" t="str">
        <f>"DCPC-17-085"</f>
        <v>DCPC-17-085</v>
      </c>
    </row>
    <row r="1005" spans="1:9" x14ac:dyDescent="0.3">
      <c r="A1005" t="str">
        <f>""</f>
        <v/>
      </c>
      <c r="F1005" t="str">
        <f>"201802018444"</f>
        <v>201802018444</v>
      </c>
      <c r="G1005" t="str">
        <f>"16376"</f>
        <v>16376</v>
      </c>
      <c r="H1005" s="2">
        <v>400</v>
      </c>
      <c r="I1005" t="str">
        <f>"16376"</f>
        <v>16376</v>
      </c>
    </row>
    <row r="1006" spans="1:9" x14ac:dyDescent="0.3">
      <c r="A1006" t="str">
        <f>""</f>
        <v/>
      </c>
      <c r="F1006" t="str">
        <f>"201802078620"</f>
        <v>201802078620</v>
      </c>
      <c r="G1006" t="str">
        <f>"55601"</f>
        <v>55601</v>
      </c>
      <c r="H1006" s="2">
        <v>250</v>
      </c>
      <c r="I1006" t="str">
        <f>"55601"</f>
        <v>55601</v>
      </c>
    </row>
    <row r="1007" spans="1:9" x14ac:dyDescent="0.3">
      <c r="A1007" t="str">
        <f>""</f>
        <v/>
      </c>
      <c r="F1007" t="str">
        <f>"201802078621"</f>
        <v>201802078621</v>
      </c>
      <c r="G1007" t="str">
        <f>"55543"</f>
        <v>55543</v>
      </c>
      <c r="H1007" s="2">
        <v>250</v>
      </c>
      <c r="I1007" t="str">
        <f>"55543"</f>
        <v>55543</v>
      </c>
    </row>
    <row r="1008" spans="1:9" x14ac:dyDescent="0.3">
      <c r="A1008" t="str">
        <f>""</f>
        <v/>
      </c>
      <c r="F1008" t="str">
        <f>"201802078622"</f>
        <v>201802078622</v>
      </c>
      <c r="G1008" t="str">
        <f>"407086-6M/407086-7M"</f>
        <v>407086-6M/407086-7M</v>
      </c>
      <c r="H1008" s="2">
        <v>375</v>
      </c>
      <c r="I1008" t="str">
        <f>"407086-6M/407086-7M"</f>
        <v>407086-6M/407086-7M</v>
      </c>
    </row>
    <row r="1009" spans="1:10" x14ac:dyDescent="0.3">
      <c r="A1009" t="str">
        <f>""</f>
        <v/>
      </c>
      <c r="F1009" t="str">
        <f>"201802078623"</f>
        <v>201802078623</v>
      </c>
      <c r="G1009" t="str">
        <f>"54445"</f>
        <v>54445</v>
      </c>
      <c r="H1009" s="2">
        <v>550</v>
      </c>
      <c r="I1009" t="str">
        <f>"54445"</f>
        <v>54445</v>
      </c>
    </row>
    <row r="1010" spans="1:10" x14ac:dyDescent="0.3">
      <c r="A1010" t="str">
        <f>"T14548"</f>
        <v>T14548</v>
      </c>
      <c r="B1010" t="s">
        <v>257</v>
      </c>
      <c r="C1010">
        <v>999999</v>
      </c>
      <c r="D1010" s="2">
        <v>1300</v>
      </c>
      <c r="E1010" s="1">
        <v>43158</v>
      </c>
      <c r="F1010" t="str">
        <f>"201802148695"</f>
        <v>201802148695</v>
      </c>
      <c r="G1010" t="str">
        <f>"16415"</f>
        <v>16415</v>
      </c>
      <c r="H1010" s="2">
        <v>400</v>
      </c>
      <c r="I1010" t="str">
        <f>"16415"</f>
        <v>16415</v>
      </c>
    </row>
    <row r="1011" spans="1:10" x14ac:dyDescent="0.3">
      <c r="A1011" t="str">
        <f>""</f>
        <v/>
      </c>
      <c r="F1011" t="str">
        <f>"201802158759"</f>
        <v>201802158759</v>
      </c>
      <c r="G1011" t="str">
        <f>"15691"</f>
        <v>15691</v>
      </c>
      <c r="H1011" s="2">
        <v>400</v>
      </c>
      <c r="I1011" t="str">
        <f>"15691"</f>
        <v>15691</v>
      </c>
    </row>
    <row r="1012" spans="1:10" x14ac:dyDescent="0.3">
      <c r="A1012" t="str">
        <f>""</f>
        <v/>
      </c>
      <c r="F1012" t="str">
        <f>"201802158760"</f>
        <v>201802158760</v>
      </c>
      <c r="G1012" t="str">
        <f>"3085052015C"</f>
        <v>3085052015C</v>
      </c>
      <c r="H1012" s="2">
        <v>400</v>
      </c>
      <c r="I1012" t="str">
        <f>"3085052015C"</f>
        <v>3085052015C</v>
      </c>
    </row>
    <row r="1013" spans="1:10" x14ac:dyDescent="0.3">
      <c r="A1013" t="str">
        <f>""</f>
        <v/>
      </c>
      <c r="F1013" t="str">
        <f>"201802158761"</f>
        <v>201802158761</v>
      </c>
      <c r="G1013" t="str">
        <f>"423-5529"</f>
        <v>423-5529</v>
      </c>
      <c r="H1013" s="2">
        <v>100</v>
      </c>
      <c r="I1013" t="str">
        <f>"423-5529"</f>
        <v>423-5529</v>
      </c>
    </row>
    <row r="1014" spans="1:10" x14ac:dyDescent="0.3">
      <c r="A1014" t="str">
        <f>"004892"</f>
        <v>004892</v>
      </c>
      <c r="B1014" t="s">
        <v>258</v>
      </c>
      <c r="C1014">
        <v>75141</v>
      </c>
      <c r="D1014" s="2">
        <v>25</v>
      </c>
      <c r="E1014" s="1">
        <v>43143</v>
      </c>
      <c r="F1014" t="s">
        <v>259</v>
      </c>
      <c r="G1014" t="s">
        <v>260</v>
      </c>
      <c r="H1014" s="2" t="str">
        <f>"RESTITUTION-J. HOFFMAN"</f>
        <v>RESTITUTION-J. HOFFMAN</v>
      </c>
      <c r="I1014" t="str">
        <f>"210-0000"</f>
        <v>210-0000</v>
      </c>
      <c r="J1014">
        <v>25</v>
      </c>
    </row>
    <row r="1015" spans="1:10" x14ac:dyDescent="0.3">
      <c r="A1015" t="str">
        <f>"004410"</f>
        <v>004410</v>
      </c>
      <c r="B1015" t="s">
        <v>261</v>
      </c>
      <c r="C1015">
        <v>75315</v>
      </c>
      <c r="D1015" s="2">
        <v>400</v>
      </c>
      <c r="E1015" s="1">
        <v>43147</v>
      </c>
      <c r="F1015" t="str">
        <f>"BASTROP2018"</f>
        <v>BASTROP2018</v>
      </c>
      <c r="G1015" t="str">
        <f>"CONFERENCE REGISTRATION FEES"</f>
        <v>CONFERENCE REGISTRATION FEES</v>
      </c>
      <c r="H1015" s="2">
        <v>400</v>
      </c>
      <c r="I1015" t="str">
        <f>"CONFERENCE REGISTRATION FEES"</f>
        <v>CONFERENCE REGISTRATION FEES</v>
      </c>
    </row>
    <row r="1016" spans="1:10" x14ac:dyDescent="0.3">
      <c r="A1016" t="str">
        <f>"003677"</f>
        <v>003677</v>
      </c>
      <c r="B1016" t="s">
        <v>262</v>
      </c>
      <c r="C1016">
        <v>75142</v>
      </c>
      <c r="D1016" s="2">
        <v>25</v>
      </c>
      <c r="E1016" s="1">
        <v>43143</v>
      </c>
      <c r="F1016" t="s">
        <v>228</v>
      </c>
      <c r="G1016" t="s">
        <v>263</v>
      </c>
      <c r="H1016" s="2" t="str">
        <f>"RESTITUTION-D. SPURK"</f>
        <v>RESTITUTION-D. SPURK</v>
      </c>
      <c r="I1016" t="str">
        <f>"210-0000"</f>
        <v>210-0000</v>
      </c>
      <c r="J1016">
        <v>25</v>
      </c>
    </row>
    <row r="1017" spans="1:10" x14ac:dyDescent="0.3">
      <c r="A1017" t="str">
        <f>"003760"</f>
        <v>003760</v>
      </c>
      <c r="B1017" t="s">
        <v>264</v>
      </c>
      <c r="C1017">
        <v>75143</v>
      </c>
      <c r="D1017" s="2">
        <v>684</v>
      </c>
      <c r="E1017" s="1">
        <v>43143</v>
      </c>
      <c r="F1017" t="str">
        <f>"201801318360"</f>
        <v>201801318360</v>
      </c>
      <c r="G1017" t="str">
        <f>"LODGING/PER DIEM/AIR FARE"</f>
        <v>LODGING/PER DIEM/AIR FARE</v>
      </c>
      <c r="H1017" s="2">
        <v>684</v>
      </c>
      <c r="I1017" t="str">
        <f>"LODGING/PER DIEM/AIR FARE"</f>
        <v>LODGING/PER DIEM/AIR FARE</v>
      </c>
    </row>
    <row r="1018" spans="1:10" x14ac:dyDescent="0.3">
      <c r="A1018" t="str">
        <f>""</f>
        <v/>
      </c>
      <c r="F1018" t="str">
        <f>""</f>
        <v/>
      </c>
      <c r="G1018" t="str">
        <f>""</f>
        <v/>
      </c>
      <c r="I1018" t="str">
        <f>"LODGING/PER DIEM/AIR FARE"</f>
        <v>LODGING/PER DIEM/AIR FARE</v>
      </c>
    </row>
    <row r="1019" spans="1:10" x14ac:dyDescent="0.3">
      <c r="A1019" t="str">
        <f>"005415"</f>
        <v>005415</v>
      </c>
      <c r="B1019" t="s">
        <v>265</v>
      </c>
      <c r="C1019">
        <v>75144</v>
      </c>
      <c r="D1019" s="2">
        <v>55</v>
      </c>
      <c r="E1019" s="1">
        <v>43143</v>
      </c>
      <c r="F1019" t="str">
        <f>"201802018420"</f>
        <v>201802018420</v>
      </c>
      <c r="G1019" t="str">
        <f>"FERAL HOGS"</f>
        <v>FERAL HOGS</v>
      </c>
      <c r="H1019" s="2">
        <v>55</v>
      </c>
      <c r="I1019" t="str">
        <f>"FERAL HOGS"</f>
        <v>FERAL HOGS</v>
      </c>
    </row>
    <row r="1020" spans="1:10" x14ac:dyDescent="0.3">
      <c r="A1020" t="str">
        <f>"004042"</f>
        <v>004042</v>
      </c>
      <c r="B1020" t="s">
        <v>266</v>
      </c>
      <c r="C1020">
        <v>75145</v>
      </c>
      <c r="D1020" s="2">
        <v>230</v>
      </c>
      <c r="E1020" s="1">
        <v>43143</v>
      </c>
      <c r="F1020" t="str">
        <f>"336530"</f>
        <v>336530</v>
      </c>
      <c r="G1020" t="str">
        <f>"TRASH/MOWING SVCS/PCT#1"</f>
        <v>TRASH/MOWING SVCS/PCT#1</v>
      </c>
      <c r="H1020" s="2">
        <v>230</v>
      </c>
      <c r="I1020" t="str">
        <f>"TRASH/MOWING SVCS/PCT#1"</f>
        <v>TRASH/MOWING SVCS/PCT#1</v>
      </c>
    </row>
    <row r="1021" spans="1:10" x14ac:dyDescent="0.3">
      <c r="A1021" t="str">
        <f>"KBTRI"</f>
        <v>KBTRI</v>
      </c>
      <c r="B1021" t="s">
        <v>267</v>
      </c>
      <c r="C1021">
        <v>75146</v>
      </c>
      <c r="D1021" s="2">
        <v>2617</v>
      </c>
      <c r="E1021" s="1">
        <v>43143</v>
      </c>
      <c r="F1021" t="str">
        <f>"33"</f>
        <v>33</v>
      </c>
      <c r="G1021" t="str">
        <f>"TOWER RENT"</f>
        <v>TOWER RENT</v>
      </c>
      <c r="H1021" s="2">
        <v>2617</v>
      </c>
      <c r="I1021" t="str">
        <f>"TOWER RENT"</f>
        <v>TOWER RENT</v>
      </c>
    </row>
    <row r="1022" spans="1:10" x14ac:dyDescent="0.3">
      <c r="A1022" t="str">
        <f>"KFT"</f>
        <v>KFT</v>
      </c>
      <c r="B1022" t="s">
        <v>268</v>
      </c>
      <c r="C1022">
        <v>75147</v>
      </c>
      <c r="D1022" s="2">
        <v>320.32</v>
      </c>
      <c r="E1022" s="1">
        <v>43143</v>
      </c>
      <c r="F1022" t="str">
        <f>"247596"</f>
        <v>247596</v>
      </c>
      <c r="G1022" t="str">
        <f>"ACCT#BASCO3/PCT#3"</f>
        <v>ACCT#BASCO3/PCT#3</v>
      </c>
      <c r="H1022" s="2">
        <v>17.920000000000002</v>
      </c>
      <c r="I1022" t="str">
        <f>"ACCT#BASCO3/PCT#3"</f>
        <v>ACCT#BASCO3/PCT#3</v>
      </c>
    </row>
    <row r="1023" spans="1:10" x14ac:dyDescent="0.3">
      <c r="A1023" t="str">
        <f>""</f>
        <v/>
      </c>
      <c r="F1023" t="str">
        <f>"247806"</f>
        <v>247806</v>
      </c>
      <c r="G1023" t="str">
        <f>"ACCT#BASCO3/PCT#3"</f>
        <v>ACCT#BASCO3/PCT#3</v>
      </c>
      <c r="H1023" s="2">
        <v>302.39999999999998</v>
      </c>
      <c r="I1023" t="str">
        <f>"ACCT#BASCO3/PCT#3"</f>
        <v>ACCT#BASCO3/PCT#3</v>
      </c>
    </row>
    <row r="1024" spans="1:10" x14ac:dyDescent="0.3">
      <c r="A1024" t="str">
        <f>"001722"</f>
        <v>001722</v>
      </c>
      <c r="B1024" t="s">
        <v>269</v>
      </c>
      <c r="C1024">
        <v>75148</v>
      </c>
      <c r="D1024" s="2">
        <v>3341.57</v>
      </c>
      <c r="E1024" s="1">
        <v>43143</v>
      </c>
      <c r="F1024" t="str">
        <f>"01175592/01244777"</f>
        <v>01175592/01244777</v>
      </c>
      <c r="G1024" t="str">
        <f>"INV 01175592"</f>
        <v>INV 01175592</v>
      </c>
      <c r="H1024" s="2">
        <v>2186.85</v>
      </c>
      <c r="I1024" t="str">
        <f>"INV 01175592"</f>
        <v>INV 01175592</v>
      </c>
    </row>
    <row r="1025" spans="1:9" x14ac:dyDescent="0.3">
      <c r="A1025" t="str">
        <f>""</f>
        <v/>
      </c>
      <c r="F1025" t="str">
        <f>""</f>
        <v/>
      </c>
      <c r="G1025" t="str">
        <f>""</f>
        <v/>
      </c>
      <c r="I1025" t="str">
        <f>"INV 01244777"</f>
        <v>INV 01244777</v>
      </c>
    </row>
    <row r="1026" spans="1:9" x14ac:dyDescent="0.3">
      <c r="A1026" t="str">
        <f>""</f>
        <v/>
      </c>
      <c r="F1026" t="str">
        <f>"INV01313248"</f>
        <v>INV01313248</v>
      </c>
      <c r="G1026" t="str">
        <f>"INV 01313248"</f>
        <v>INV 01313248</v>
      </c>
      <c r="H1026" s="2">
        <v>1154.72</v>
      </c>
      <c r="I1026" t="str">
        <f>"INV 01313248"</f>
        <v>INV 01313248</v>
      </c>
    </row>
    <row r="1027" spans="1:9" x14ac:dyDescent="0.3">
      <c r="A1027" t="str">
        <f>"001722"</f>
        <v>001722</v>
      </c>
      <c r="B1027" t="s">
        <v>269</v>
      </c>
      <c r="C1027">
        <v>75420</v>
      </c>
      <c r="D1027" s="2">
        <v>1908.57</v>
      </c>
      <c r="E1027" s="1">
        <v>43157</v>
      </c>
      <c r="F1027" t="str">
        <f>"02072096/02140744"</f>
        <v>02072096/02140744</v>
      </c>
      <c r="G1027" t="str">
        <f>"INV 02072096"</f>
        <v>INV 02072096</v>
      </c>
      <c r="H1027" s="2">
        <v>1908.57</v>
      </c>
      <c r="I1027" t="str">
        <f>"INV 02072096"</f>
        <v>INV 02072096</v>
      </c>
    </row>
    <row r="1028" spans="1:9" x14ac:dyDescent="0.3">
      <c r="A1028" t="str">
        <f>""</f>
        <v/>
      </c>
      <c r="F1028" t="str">
        <f>""</f>
        <v/>
      </c>
      <c r="G1028" t="str">
        <f>""</f>
        <v/>
      </c>
      <c r="I1028" t="str">
        <f>"INV 02140744"</f>
        <v>INV 02140744</v>
      </c>
    </row>
    <row r="1029" spans="1:9" x14ac:dyDescent="0.3">
      <c r="A1029" t="str">
        <f>"005363"</f>
        <v>005363</v>
      </c>
      <c r="B1029" t="s">
        <v>270</v>
      </c>
      <c r="C1029">
        <v>75149</v>
      </c>
      <c r="D1029" s="2">
        <v>81948.86</v>
      </c>
      <c r="E1029" s="1">
        <v>43143</v>
      </c>
      <c r="F1029" t="str">
        <f>"F47083"</f>
        <v>F47083</v>
      </c>
      <c r="G1029" t="str">
        <f>"LAKE COUNTRY CHEVROLET  INC."</f>
        <v>LAKE COUNTRY CHEVROLET  INC.</v>
      </c>
      <c r="H1029" s="2">
        <v>46580.18</v>
      </c>
      <c r="I1029" t="str">
        <f>"2018 Chevy Tahoe"</f>
        <v>2018 Chevy Tahoe</v>
      </c>
    </row>
    <row r="1030" spans="1:9" x14ac:dyDescent="0.3">
      <c r="A1030" t="str">
        <f>""</f>
        <v/>
      </c>
      <c r="F1030" t="str">
        <f>""</f>
        <v/>
      </c>
      <c r="G1030" t="str">
        <f>""</f>
        <v/>
      </c>
      <c r="I1030" t="str">
        <f>"Goodbuy Fee"</f>
        <v>Goodbuy Fee</v>
      </c>
    </row>
    <row r="1031" spans="1:9" x14ac:dyDescent="0.3">
      <c r="A1031" t="str">
        <f>""</f>
        <v/>
      </c>
      <c r="F1031" t="str">
        <f>"F50588"</f>
        <v>F50588</v>
      </c>
      <c r="G1031" t="str">
        <f>"LAKE COUNTRY CHEVROLET  INC."</f>
        <v>LAKE COUNTRY CHEVROLET  INC.</v>
      </c>
      <c r="H1031" s="2">
        <v>35368.68</v>
      </c>
      <c r="I1031" t="str">
        <f>"Chevy Tahoe"</f>
        <v>Chevy Tahoe</v>
      </c>
    </row>
    <row r="1032" spans="1:9" x14ac:dyDescent="0.3">
      <c r="A1032" t="str">
        <f>""</f>
        <v/>
      </c>
      <c r="F1032" t="str">
        <f>""</f>
        <v/>
      </c>
      <c r="G1032" t="str">
        <f>""</f>
        <v/>
      </c>
      <c r="I1032" t="str">
        <f>"Goodbuy Fee"</f>
        <v>Goodbuy Fee</v>
      </c>
    </row>
    <row r="1033" spans="1:9" x14ac:dyDescent="0.3">
      <c r="A1033" t="str">
        <f>"003580"</f>
        <v>003580</v>
      </c>
      <c r="B1033" t="s">
        <v>271</v>
      </c>
      <c r="C1033">
        <v>75150</v>
      </c>
      <c r="D1033" s="2">
        <v>135</v>
      </c>
      <c r="E1033" s="1">
        <v>43143</v>
      </c>
      <c r="F1033" t="str">
        <f>"201802018403"</f>
        <v>201802018403</v>
      </c>
      <c r="G1033" t="str">
        <f>"FERAL HOGS"</f>
        <v>FERAL HOGS</v>
      </c>
      <c r="H1033" s="2">
        <v>135</v>
      </c>
      <c r="I1033" t="str">
        <f>"FERAL HOGS"</f>
        <v>FERAL HOGS</v>
      </c>
    </row>
    <row r="1034" spans="1:9" x14ac:dyDescent="0.3">
      <c r="A1034" t="str">
        <f>"002420"</f>
        <v>002420</v>
      </c>
      <c r="B1034" t="s">
        <v>272</v>
      </c>
      <c r="C1034">
        <v>999999</v>
      </c>
      <c r="D1034" s="2">
        <v>4705</v>
      </c>
      <c r="E1034" s="1">
        <v>43158</v>
      </c>
      <c r="F1034" t="str">
        <f>"201802218832"</f>
        <v>201802218832</v>
      </c>
      <c r="G1034" t="str">
        <f>"17-18765"</f>
        <v>17-18765</v>
      </c>
      <c r="H1034" s="2">
        <v>572.5</v>
      </c>
      <c r="I1034" t="str">
        <f>"17-18765"</f>
        <v>17-18765</v>
      </c>
    </row>
    <row r="1035" spans="1:9" x14ac:dyDescent="0.3">
      <c r="A1035" t="str">
        <f>""</f>
        <v/>
      </c>
      <c r="F1035" t="str">
        <f>"201802218833"</f>
        <v>201802218833</v>
      </c>
      <c r="G1035" t="str">
        <f>"16-17944"</f>
        <v>16-17944</v>
      </c>
      <c r="H1035" s="2">
        <v>565</v>
      </c>
      <c r="I1035" t="str">
        <f>"16-17944"</f>
        <v>16-17944</v>
      </c>
    </row>
    <row r="1036" spans="1:9" x14ac:dyDescent="0.3">
      <c r="A1036" t="str">
        <f>""</f>
        <v/>
      </c>
      <c r="F1036" t="str">
        <f>"201802218834"</f>
        <v>201802218834</v>
      </c>
      <c r="G1036" t="str">
        <f>"17-18525"</f>
        <v>17-18525</v>
      </c>
      <c r="H1036" s="2">
        <v>782.5</v>
      </c>
      <c r="I1036" t="str">
        <f>"17-18525"</f>
        <v>17-18525</v>
      </c>
    </row>
    <row r="1037" spans="1:9" x14ac:dyDescent="0.3">
      <c r="A1037" t="str">
        <f>""</f>
        <v/>
      </c>
      <c r="F1037" t="str">
        <f>"201802218835"</f>
        <v>201802218835</v>
      </c>
      <c r="G1037" t="str">
        <f>"17-18493"</f>
        <v>17-18493</v>
      </c>
      <c r="H1037" s="2">
        <v>490</v>
      </c>
      <c r="I1037" t="str">
        <f>"17-18493"</f>
        <v>17-18493</v>
      </c>
    </row>
    <row r="1038" spans="1:9" x14ac:dyDescent="0.3">
      <c r="A1038" t="str">
        <f>""</f>
        <v/>
      </c>
      <c r="F1038" t="str">
        <f>"201802218836"</f>
        <v>201802218836</v>
      </c>
      <c r="G1038" t="str">
        <f>"14-16754"</f>
        <v>14-16754</v>
      </c>
      <c r="H1038" s="2">
        <v>1277.5</v>
      </c>
      <c r="I1038" t="str">
        <f>"14-16754"</f>
        <v>14-16754</v>
      </c>
    </row>
    <row r="1039" spans="1:9" x14ac:dyDescent="0.3">
      <c r="A1039" t="str">
        <f>""</f>
        <v/>
      </c>
      <c r="F1039" t="str">
        <f>"201802218855"</f>
        <v>201802218855</v>
      </c>
      <c r="G1039" t="str">
        <f>"18-18824"</f>
        <v>18-18824</v>
      </c>
      <c r="H1039" s="2">
        <v>157.5</v>
      </c>
      <c r="I1039" t="str">
        <f>"18-18824"</f>
        <v>18-18824</v>
      </c>
    </row>
    <row r="1040" spans="1:9" x14ac:dyDescent="0.3">
      <c r="A1040" t="str">
        <f>""</f>
        <v/>
      </c>
      <c r="F1040" t="str">
        <f>"201802218856"</f>
        <v>201802218856</v>
      </c>
      <c r="G1040" t="str">
        <f>"17-18576"</f>
        <v>17-18576</v>
      </c>
      <c r="H1040" s="2">
        <v>112.5</v>
      </c>
      <c r="I1040" t="str">
        <f>"17-18576"</f>
        <v>17-18576</v>
      </c>
    </row>
    <row r="1041" spans="1:9" x14ac:dyDescent="0.3">
      <c r="A1041" t="str">
        <f>""</f>
        <v/>
      </c>
      <c r="F1041" t="str">
        <f>"201802218857"</f>
        <v>201802218857</v>
      </c>
      <c r="G1041" t="str">
        <f>"00-6295"</f>
        <v>00-6295</v>
      </c>
      <c r="H1041" s="2">
        <v>67.5</v>
      </c>
      <c r="I1041" t="str">
        <f>"00-6295"</f>
        <v>00-6295</v>
      </c>
    </row>
    <row r="1042" spans="1:9" x14ac:dyDescent="0.3">
      <c r="A1042" t="str">
        <f>""</f>
        <v/>
      </c>
      <c r="F1042" t="str">
        <f>"201802218858"</f>
        <v>201802218858</v>
      </c>
      <c r="G1042" t="str">
        <f>"12-15233"</f>
        <v>12-15233</v>
      </c>
      <c r="H1042" s="2">
        <v>212.5</v>
      </c>
      <c r="I1042" t="str">
        <f>"12-15233"</f>
        <v>12-15233</v>
      </c>
    </row>
    <row r="1043" spans="1:9" x14ac:dyDescent="0.3">
      <c r="A1043" t="str">
        <f>""</f>
        <v/>
      </c>
      <c r="F1043" t="str">
        <f>"201802218859"</f>
        <v>201802218859</v>
      </c>
      <c r="G1043" t="str">
        <f>"04-9415"</f>
        <v>04-9415</v>
      </c>
      <c r="H1043" s="2">
        <v>30</v>
      </c>
      <c r="I1043" t="str">
        <f>"04-9415"</f>
        <v>04-9415</v>
      </c>
    </row>
    <row r="1044" spans="1:9" x14ac:dyDescent="0.3">
      <c r="A1044" t="str">
        <f>""</f>
        <v/>
      </c>
      <c r="F1044" t="str">
        <f>"201802218860"</f>
        <v>201802218860</v>
      </c>
      <c r="G1044" t="str">
        <f>"17-18250"</f>
        <v>17-18250</v>
      </c>
      <c r="H1044" s="2">
        <v>250</v>
      </c>
      <c r="I1044" t="str">
        <f>"17-18250"</f>
        <v>17-18250</v>
      </c>
    </row>
    <row r="1045" spans="1:9" x14ac:dyDescent="0.3">
      <c r="A1045" t="str">
        <f>""</f>
        <v/>
      </c>
      <c r="F1045" t="str">
        <f>"201802218861"</f>
        <v>201802218861</v>
      </c>
      <c r="G1045" t="str">
        <f>"16-17760"</f>
        <v>16-17760</v>
      </c>
      <c r="H1045" s="2">
        <v>15</v>
      </c>
      <c r="I1045" t="str">
        <f>"16-17760"</f>
        <v>16-17760</v>
      </c>
    </row>
    <row r="1046" spans="1:9" x14ac:dyDescent="0.3">
      <c r="A1046" t="str">
        <f>""</f>
        <v/>
      </c>
      <c r="F1046" t="str">
        <f>"201802218862"</f>
        <v>201802218862</v>
      </c>
      <c r="G1046" t="str">
        <f>"17-18615"</f>
        <v>17-18615</v>
      </c>
      <c r="H1046" s="2">
        <v>172.5</v>
      </c>
      <c r="I1046" t="str">
        <f>"17-18615"</f>
        <v>17-18615</v>
      </c>
    </row>
    <row r="1047" spans="1:9" x14ac:dyDescent="0.3">
      <c r="A1047" t="str">
        <f>"000101"</f>
        <v>000101</v>
      </c>
      <c r="B1047" t="s">
        <v>273</v>
      </c>
      <c r="C1047">
        <v>75151</v>
      </c>
      <c r="D1047" s="2">
        <v>5890</v>
      </c>
      <c r="E1047" s="1">
        <v>43143</v>
      </c>
      <c r="F1047" t="str">
        <f>"243660"</f>
        <v>243660</v>
      </c>
      <c r="G1047" t="str">
        <f>"RENEWAL-SHERIFF'S OFFICE"</f>
        <v>RENEWAL-SHERIFF'S OFFICE</v>
      </c>
      <c r="H1047" s="2">
        <v>5890</v>
      </c>
      <c r="I1047" t="str">
        <f>"RENEWAL-SHERIFF'S OFFICE"</f>
        <v>RENEWAL-SHERIFF'S OFFICE</v>
      </c>
    </row>
    <row r="1048" spans="1:9" x14ac:dyDescent="0.3">
      <c r="A1048" t="str">
        <f>"T11826"</f>
        <v>T11826</v>
      </c>
      <c r="B1048" t="s">
        <v>274</v>
      </c>
      <c r="C1048">
        <v>75421</v>
      </c>
      <c r="D1048" s="2">
        <v>44</v>
      </c>
      <c r="E1048" s="1">
        <v>43157</v>
      </c>
      <c r="F1048" t="str">
        <f>"41295"</f>
        <v>41295</v>
      </c>
      <c r="G1048" t="str">
        <f>"TIRE SVCS/PCT#4"</f>
        <v>TIRE SVCS/PCT#4</v>
      </c>
      <c r="H1048" s="2">
        <v>14</v>
      </c>
      <c r="I1048" t="str">
        <f>"TIRE SVCS/PCT#4"</f>
        <v>TIRE SVCS/PCT#4</v>
      </c>
    </row>
    <row r="1049" spans="1:9" x14ac:dyDescent="0.3">
      <c r="A1049" t="str">
        <f>""</f>
        <v/>
      </c>
      <c r="F1049" t="str">
        <f>"41322"</f>
        <v>41322</v>
      </c>
      <c r="G1049" t="str">
        <f>"TIRE SERVICES/PCT#4"</f>
        <v>TIRE SERVICES/PCT#4</v>
      </c>
      <c r="H1049" s="2">
        <v>30</v>
      </c>
      <c r="I1049" t="str">
        <f>"TIRE SERVICES/PCT#4"</f>
        <v>TIRE SERVICES/PCT#4</v>
      </c>
    </row>
    <row r="1050" spans="1:9" x14ac:dyDescent="0.3">
      <c r="A1050" t="str">
        <f>"T9279"</f>
        <v>T9279</v>
      </c>
      <c r="B1050" t="s">
        <v>275</v>
      </c>
      <c r="C1050">
        <v>74990</v>
      </c>
      <c r="D1050" s="2">
        <v>100.5</v>
      </c>
      <c r="E1050" s="1">
        <v>43132</v>
      </c>
      <c r="F1050" t="str">
        <f>"201802018387"</f>
        <v>201802018387</v>
      </c>
      <c r="G1050" t="str">
        <f>"ACCT#1-09-00072-02 / 01242018"</f>
        <v>ACCT#1-09-00072-02 / 01242018</v>
      </c>
      <c r="H1050" s="2">
        <v>50.25</v>
      </c>
      <c r="I1050" t="str">
        <f>"ACCT#1-09-00072-02 / 01242018"</f>
        <v>ACCT#1-09-00072-02 / 01242018</v>
      </c>
    </row>
    <row r="1051" spans="1:9" x14ac:dyDescent="0.3">
      <c r="A1051" t="str">
        <f>""</f>
        <v/>
      </c>
      <c r="F1051" t="str">
        <f>"201802018388"</f>
        <v>201802018388</v>
      </c>
      <c r="G1051" t="str">
        <f>"ACCT#3-09-00175-03 / 01242018"</f>
        <v>ACCT#3-09-00175-03 / 01242018</v>
      </c>
      <c r="H1051" s="2">
        <v>50.25</v>
      </c>
      <c r="I1051" t="str">
        <f>"ACCT#3-09-00175-03 / 01242018"</f>
        <v>ACCT#3-09-00175-03 / 01242018</v>
      </c>
    </row>
    <row r="1052" spans="1:9" x14ac:dyDescent="0.3">
      <c r="A1052" t="str">
        <f>"T9279"</f>
        <v>T9279</v>
      </c>
      <c r="B1052" t="s">
        <v>275</v>
      </c>
      <c r="C1052">
        <v>75494</v>
      </c>
      <c r="D1052" s="2">
        <v>100.5</v>
      </c>
      <c r="E1052" s="1">
        <v>43159</v>
      </c>
      <c r="F1052" t="str">
        <f>"201802288906"</f>
        <v>201802288906</v>
      </c>
      <c r="G1052" t="str">
        <f>"ACCT#1-09-00072-02 / 02222018"</f>
        <v>ACCT#1-09-00072-02 / 02222018</v>
      </c>
      <c r="H1052" s="2">
        <v>50.25</v>
      </c>
      <c r="I1052" t="str">
        <f>"ACCT#1-09-00072-02 / 02222018"</f>
        <v>ACCT#1-09-00072-02 / 02222018</v>
      </c>
    </row>
    <row r="1053" spans="1:9" x14ac:dyDescent="0.3">
      <c r="A1053" t="str">
        <f>""</f>
        <v/>
      </c>
      <c r="F1053" t="str">
        <f>"201802288907"</f>
        <v>201802288907</v>
      </c>
      <c r="G1053" t="str">
        <f>"ACCT#3-09-00175-03 / 02222018"</f>
        <v>ACCT#3-09-00175-03 / 02222018</v>
      </c>
      <c r="H1053" s="2">
        <v>50.25</v>
      </c>
      <c r="I1053" t="str">
        <f>"ACCT#3-09-00175-03 / 02222018"</f>
        <v>ACCT#3-09-00175-03 / 02222018</v>
      </c>
    </row>
    <row r="1054" spans="1:9" x14ac:dyDescent="0.3">
      <c r="A1054" t="str">
        <f>"002900"</f>
        <v>002900</v>
      </c>
      <c r="B1054" t="s">
        <v>276</v>
      </c>
      <c r="C1054">
        <v>75152</v>
      </c>
      <c r="D1054" s="2">
        <v>11.36</v>
      </c>
      <c r="E1054" s="1">
        <v>43143</v>
      </c>
      <c r="F1054" t="str">
        <f>"INV 553573487"</f>
        <v>INV 553573487</v>
      </c>
      <c r="G1054" t="str">
        <f>"INV 553573487"</f>
        <v>INV 553573487</v>
      </c>
      <c r="H1054" s="2">
        <v>11.36</v>
      </c>
      <c r="I1054" t="str">
        <f>"INV 553573487"</f>
        <v>INV 553573487</v>
      </c>
    </row>
    <row r="1055" spans="1:9" x14ac:dyDescent="0.3">
      <c r="A1055" t="str">
        <f>"001530"</f>
        <v>001530</v>
      </c>
      <c r="B1055" t="s">
        <v>277</v>
      </c>
      <c r="C1055">
        <v>75422</v>
      </c>
      <c r="D1055" s="2">
        <v>496.9</v>
      </c>
      <c r="E1055" s="1">
        <v>43157</v>
      </c>
      <c r="F1055" t="str">
        <f>"1394645-20180131"</f>
        <v>1394645-20180131</v>
      </c>
      <c r="G1055" t="str">
        <f>"BILLING ID#1394645/COUNTY CLER"</f>
        <v>BILLING ID#1394645/COUNTY CLER</v>
      </c>
      <c r="H1055" s="2">
        <v>106.5</v>
      </c>
      <c r="I1055" t="str">
        <f>"BILLING ID#1394645/COUNTY CLER"</f>
        <v>BILLING ID#1394645/COUNTY CLER</v>
      </c>
    </row>
    <row r="1056" spans="1:9" x14ac:dyDescent="0.3">
      <c r="A1056" t="str">
        <f>""</f>
        <v/>
      </c>
      <c r="F1056" t="str">
        <f>""</f>
        <v/>
      </c>
      <c r="G1056" t="str">
        <f>""</f>
        <v/>
      </c>
      <c r="I1056" t="str">
        <f>"BILLING ID#1394645/COUNTY CLER"</f>
        <v>BILLING ID#1394645/COUNTY CLER</v>
      </c>
    </row>
    <row r="1057" spans="1:9" x14ac:dyDescent="0.3">
      <c r="A1057" t="str">
        <f>""</f>
        <v/>
      </c>
      <c r="F1057" t="str">
        <f>"1420944-20180131"</f>
        <v>1420944-20180131</v>
      </c>
      <c r="G1057" t="str">
        <f>"BILLING#1420944/SHERIFF'S OFF"</f>
        <v>BILLING#1420944/SHERIFF'S OFF</v>
      </c>
      <c r="H1057" s="2">
        <v>290.39999999999998</v>
      </c>
      <c r="I1057" t="str">
        <f>"BILLING#1420944/SHERIFF'S OFF"</f>
        <v>BILLING#1420944/SHERIFF'S OFF</v>
      </c>
    </row>
    <row r="1058" spans="1:9" x14ac:dyDescent="0.3">
      <c r="A1058" t="str">
        <f>""</f>
        <v/>
      </c>
      <c r="F1058" t="str">
        <f>"1489870-20180131"</f>
        <v>1489870-20180131</v>
      </c>
      <c r="G1058" t="str">
        <f>"BILLING ID#1489870/DIST CLERK"</f>
        <v>BILLING ID#1489870/DIST CLERK</v>
      </c>
      <c r="H1058" s="2">
        <v>100</v>
      </c>
      <c r="I1058" t="str">
        <f>"BILLING ID#1489870/DIST CLERK"</f>
        <v>BILLING ID#1489870/DIST CLERK</v>
      </c>
    </row>
    <row r="1059" spans="1:9" x14ac:dyDescent="0.3">
      <c r="A1059" t="str">
        <f>"000874"</f>
        <v>000874</v>
      </c>
      <c r="B1059" t="s">
        <v>278</v>
      </c>
      <c r="C1059">
        <v>999999</v>
      </c>
      <c r="D1059" s="2">
        <v>4000</v>
      </c>
      <c r="E1059" s="1">
        <v>43144</v>
      </c>
      <c r="F1059" t="str">
        <f>"28109"</f>
        <v>28109</v>
      </c>
      <c r="G1059" t="str">
        <f>"INV 28109"</f>
        <v>INV 28109</v>
      </c>
      <c r="H1059" s="2">
        <v>4000</v>
      </c>
      <c r="I1059" t="str">
        <f>"INV 28109"</f>
        <v>INV 28109</v>
      </c>
    </row>
    <row r="1060" spans="1:9" x14ac:dyDescent="0.3">
      <c r="A1060" t="str">
        <f>"000684"</f>
        <v>000684</v>
      </c>
      <c r="B1060" t="s">
        <v>279</v>
      </c>
      <c r="C1060">
        <v>75423</v>
      </c>
      <c r="D1060" s="2">
        <v>1400.39</v>
      </c>
      <c r="E1060" s="1">
        <v>43157</v>
      </c>
      <c r="F1060" t="str">
        <f>"1296063"</f>
        <v>1296063</v>
      </c>
      <c r="G1060" t="str">
        <f>"ACCT#15717/ENVIRONMENTAL"</f>
        <v>ACCT#15717/ENVIRONMENTAL</v>
      </c>
      <c r="H1060" s="2">
        <v>1400.39</v>
      </c>
      <c r="I1060" t="str">
        <f>"ACCT#15717/ENVIRONMENTAL"</f>
        <v>ACCT#15717/ENVIRONMENTAL</v>
      </c>
    </row>
    <row r="1061" spans="1:9" x14ac:dyDescent="0.3">
      <c r="A1061" t="str">
        <f>"005401"</f>
        <v>005401</v>
      </c>
      <c r="B1061" t="s">
        <v>280</v>
      </c>
      <c r="C1061">
        <v>75153</v>
      </c>
      <c r="D1061" s="2">
        <v>150</v>
      </c>
      <c r="E1061" s="1">
        <v>43143</v>
      </c>
      <c r="F1061" t="str">
        <f>"201801308344"</f>
        <v>201801308344</v>
      </c>
      <c r="G1061" t="str">
        <f>"REFUND 2018 FOOD PERMIT/DV-29"</f>
        <v>REFUND 2018 FOOD PERMIT/DV-29</v>
      </c>
      <c r="H1061" s="2">
        <v>150</v>
      </c>
      <c r="I1061" t="str">
        <f>"REFUND 2018 FOOD PERMIT/DV-29"</f>
        <v>REFUND 2018 FOOD PERMIT/DV-29</v>
      </c>
    </row>
    <row r="1062" spans="1:9" x14ac:dyDescent="0.3">
      <c r="A1062" t="str">
        <f>"005425"</f>
        <v>005425</v>
      </c>
      <c r="B1062" t="s">
        <v>281</v>
      </c>
      <c r="C1062">
        <v>75154</v>
      </c>
      <c r="D1062" s="2">
        <v>80</v>
      </c>
      <c r="E1062" s="1">
        <v>43143</v>
      </c>
      <c r="F1062" t="str">
        <f>"201802078663"</f>
        <v>201802078663</v>
      </c>
      <c r="G1062" t="str">
        <f>"AC-2018-00181/RECLAIM DATE"</f>
        <v>AC-2018-00181/RECLAIM DATE</v>
      </c>
      <c r="H1062" s="2">
        <v>80</v>
      </c>
      <c r="I1062" t="str">
        <f>"AC-2018-00181/RECLAIM DATE"</f>
        <v>AC-2018-00181/RECLAIM DATE</v>
      </c>
    </row>
    <row r="1063" spans="1:9" x14ac:dyDescent="0.3">
      <c r="A1063" t="str">
        <f>"T11113"</f>
        <v>T11113</v>
      </c>
      <c r="B1063" t="s">
        <v>282</v>
      </c>
      <c r="C1063">
        <v>999999</v>
      </c>
      <c r="D1063" s="2">
        <v>205.5</v>
      </c>
      <c r="E1063" s="1">
        <v>43144</v>
      </c>
      <c r="F1063" t="str">
        <f>"201801238193"</f>
        <v>201801238193</v>
      </c>
      <c r="G1063" t="str">
        <f>"REG.-2003 &amp; 1999 FORD/ENVIRONM"</f>
        <v>REG.-2003 &amp; 1999 FORD/ENVIRONM</v>
      </c>
      <c r="H1063" s="2">
        <v>15</v>
      </c>
      <c r="I1063" t="str">
        <f>"REG.-2003 &amp; 1999 FORD/ENVIRONM"</f>
        <v>REG.-2003 &amp; 1999 FORD/ENVIRONM</v>
      </c>
    </row>
    <row r="1064" spans="1:9" x14ac:dyDescent="0.3">
      <c r="A1064" t="str">
        <f>""</f>
        <v/>
      </c>
      <c r="F1064" t="str">
        <f>"201801248222"</f>
        <v>201801248222</v>
      </c>
      <c r="G1064" t="str">
        <f>"TITLE TRANSFERS-2018 DODGE RAM"</f>
        <v>TITLE TRANSFERS-2018 DODGE RAM</v>
      </c>
      <c r="H1064" s="2">
        <v>15</v>
      </c>
      <c r="I1064" t="str">
        <f>"TITLE TRANSFERS-2018 DODGE RAM"</f>
        <v>TITLE TRANSFERS-2018 DODGE RAM</v>
      </c>
    </row>
    <row r="1065" spans="1:9" x14ac:dyDescent="0.3">
      <c r="A1065" t="str">
        <f>""</f>
        <v/>
      </c>
      <c r="F1065" t="str">
        <f>"201801248223"</f>
        <v>201801248223</v>
      </c>
      <c r="G1065" t="str">
        <f>"VEHICLE REGISTRATION-2003 FORD"</f>
        <v>VEHICLE REGISTRATION-2003 FORD</v>
      </c>
      <c r="H1065" s="2">
        <v>7.5</v>
      </c>
      <c r="I1065" t="str">
        <f>"VEHICLE REGISTRATION-2003 FORD"</f>
        <v>VEHICLE REGISTRATION-2003 FORD</v>
      </c>
    </row>
    <row r="1066" spans="1:9" x14ac:dyDescent="0.3">
      <c r="A1066" t="str">
        <f>""</f>
        <v/>
      </c>
      <c r="F1066" t="str">
        <f>"201801248224"</f>
        <v>201801248224</v>
      </c>
      <c r="G1066" t="str">
        <f>"VEHICLE REGISTRATION-2017 INTL"</f>
        <v>VEHICLE REGISTRATION-2017 INTL</v>
      </c>
      <c r="H1066" s="2">
        <v>7.5</v>
      </c>
      <c r="I1066" t="str">
        <f>"VEHICLE REGISTRATION-2017 INTL"</f>
        <v>VEHICLE REGISTRATION-2017 INTL</v>
      </c>
    </row>
    <row r="1067" spans="1:9" x14ac:dyDescent="0.3">
      <c r="A1067" t="str">
        <f>""</f>
        <v/>
      </c>
      <c r="F1067" t="str">
        <f>"201802018435"</f>
        <v>201802018435</v>
      </c>
      <c r="G1067" t="str">
        <f>"VEH REG-1999 GMC/2013 CHEV"</f>
        <v>VEH REG-1999 GMC/2013 CHEV</v>
      </c>
      <c r="H1067" s="2">
        <v>15</v>
      </c>
      <c r="I1067" t="str">
        <f>"VEH REG-1999 GMC/2013 CHEV"</f>
        <v>VEH REG-1999 GMC/2013 CHEV</v>
      </c>
    </row>
    <row r="1068" spans="1:9" x14ac:dyDescent="0.3">
      <c r="A1068" t="str">
        <f>""</f>
        <v/>
      </c>
      <c r="F1068" t="str">
        <f>"201802018437"</f>
        <v>201802018437</v>
      </c>
      <c r="G1068" t="str">
        <f>"VEH REG-2014 INTL"</f>
        <v>VEH REG-2014 INTL</v>
      </c>
      <c r="H1068" s="2">
        <v>7.5</v>
      </c>
      <c r="I1068" t="str">
        <f>"VEH REG-2014 INTL"</f>
        <v>VEH REG-2014 INTL</v>
      </c>
    </row>
    <row r="1069" spans="1:9" x14ac:dyDescent="0.3">
      <c r="A1069" t="str">
        <f>""</f>
        <v/>
      </c>
      <c r="F1069" t="str">
        <f>"201802058478"</f>
        <v>201802058478</v>
      </c>
      <c r="G1069" t="str">
        <f>"2017 FRHT/PCT#2"</f>
        <v>2017 FRHT/PCT#2</v>
      </c>
      <c r="H1069" s="2">
        <v>22</v>
      </c>
      <c r="I1069" t="str">
        <f>"2017 FRHT/PCT#2"</f>
        <v>2017 FRHT/PCT#2</v>
      </c>
    </row>
    <row r="1070" spans="1:9" x14ac:dyDescent="0.3">
      <c r="A1070" t="str">
        <f>""</f>
        <v/>
      </c>
      <c r="F1070" t="str">
        <f>"201802068566"</f>
        <v>201802068566</v>
      </c>
      <c r="G1070" t="str">
        <f>"2017 FORD/2018 CHEV TITLE TRAN"</f>
        <v>2017 FORD/2018 CHEV TITLE TRAN</v>
      </c>
      <c r="H1070" s="2">
        <v>33.5</v>
      </c>
      <c r="I1070" t="str">
        <f>"2017 FORD/2018 CHEV TITLE TRAN"</f>
        <v>2017 FORD/2018 CHEV TITLE TRAN</v>
      </c>
    </row>
    <row r="1071" spans="1:9" x14ac:dyDescent="0.3">
      <c r="A1071" t="str">
        <f>""</f>
        <v/>
      </c>
      <c r="F1071" t="str">
        <f>"201802078590"</f>
        <v>201802078590</v>
      </c>
      <c r="G1071" t="str">
        <f>"SHERIFF'S OFF VEH REGISTRATION"</f>
        <v>SHERIFF'S OFF VEH REGISTRATION</v>
      </c>
      <c r="H1071" s="2">
        <v>82.5</v>
      </c>
      <c r="I1071" t="str">
        <f>"SHERIFF'S OFF VEH REGISTRATION"</f>
        <v>SHERIFF'S OFF VEH REGISTRATION</v>
      </c>
    </row>
    <row r="1072" spans="1:9" x14ac:dyDescent="0.3">
      <c r="A1072" t="str">
        <f>"T11113"</f>
        <v>T11113</v>
      </c>
      <c r="B1072" t="s">
        <v>282</v>
      </c>
      <c r="C1072">
        <v>999999</v>
      </c>
      <c r="D1072" s="2">
        <v>22</v>
      </c>
      <c r="E1072" s="1">
        <v>43145</v>
      </c>
      <c r="F1072" t="str">
        <f>"201802138689"</f>
        <v>201802138689</v>
      </c>
      <c r="G1072" t="str">
        <f>"VEHICLE REGISTRATION / IT"</f>
        <v>VEHICLE REGISTRATION / IT</v>
      </c>
      <c r="H1072" s="2">
        <v>22</v>
      </c>
      <c r="I1072" t="str">
        <f>"VEHICLE REGISTRATION / IT"</f>
        <v>VEHICLE REGISTRATION / IT</v>
      </c>
    </row>
    <row r="1073" spans="1:9" x14ac:dyDescent="0.3">
      <c r="A1073" t="str">
        <f>"T11113"</f>
        <v>T11113</v>
      </c>
      <c r="B1073" t="s">
        <v>282</v>
      </c>
      <c r="C1073">
        <v>999999</v>
      </c>
      <c r="D1073" s="2">
        <v>46.75</v>
      </c>
      <c r="E1073" s="1">
        <v>43158</v>
      </c>
      <c r="F1073" t="str">
        <f>"201802158776"</f>
        <v>201802158776</v>
      </c>
      <c r="G1073" t="str">
        <f>"2010 FORD REGIST-SIGN SHOP"</f>
        <v>2010 FORD REGIST-SIGN SHOP</v>
      </c>
      <c r="H1073" s="2">
        <v>7.5</v>
      </c>
      <c r="I1073" t="str">
        <f>"2010 FORD REGIST-SIGN SHOP"</f>
        <v>2010 FORD REGIST-SIGN SHOP</v>
      </c>
    </row>
    <row r="1074" spans="1:9" x14ac:dyDescent="0.3">
      <c r="A1074" t="str">
        <f>""</f>
        <v/>
      </c>
      <c r="F1074" t="str">
        <f>"201802158777"</f>
        <v>201802158777</v>
      </c>
      <c r="G1074" t="str">
        <f>"2013 CHEVY REGIST-GENERAL SVCS"</f>
        <v>2013 CHEVY REGIST-GENERAL SVCS</v>
      </c>
      <c r="H1074" s="2">
        <v>7.5</v>
      </c>
      <c r="I1074" t="str">
        <f>"2013 CHEVY REGIST-GENERAL SVCS"</f>
        <v>2013 CHEVY REGIST-GENERAL SVCS</v>
      </c>
    </row>
    <row r="1075" spans="1:9" x14ac:dyDescent="0.3">
      <c r="A1075" t="str">
        <f>""</f>
        <v/>
      </c>
      <c r="F1075" t="str">
        <f>"201802168783"</f>
        <v>201802168783</v>
      </c>
      <c r="G1075" t="str">
        <f>"TITLE TRANSFER-2017 FORD/S/O"</f>
        <v>TITLE TRANSFER-2017 FORD/S/O</v>
      </c>
      <c r="H1075" s="2">
        <v>16.75</v>
      </c>
      <c r="I1075" t="str">
        <f>"TITLE TRANSFER-2017 FORD/S/O"</f>
        <v>TITLE TRANSFER-2017 FORD/S/O</v>
      </c>
    </row>
    <row r="1076" spans="1:9" x14ac:dyDescent="0.3">
      <c r="A1076" t="str">
        <f>""</f>
        <v/>
      </c>
      <c r="F1076" t="str">
        <f>"201802218809"</f>
        <v>201802218809</v>
      </c>
      <c r="G1076" t="str">
        <f>"TITLE TRANSFER-2018 FORD F350"</f>
        <v>TITLE TRANSFER-2018 FORD F350</v>
      </c>
      <c r="H1076" s="2">
        <v>7.5</v>
      </c>
      <c r="I1076" t="str">
        <f>"TITLE TRANSFER-2018 FORD F350"</f>
        <v>TITLE TRANSFER-2018 FORD F350</v>
      </c>
    </row>
    <row r="1077" spans="1:9" x14ac:dyDescent="0.3">
      <c r="A1077" t="str">
        <f>""</f>
        <v/>
      </c>
      <c r="F1077" t="str">
        <f>"201802218830"</f>
        <v>201802218830</v>
      </c>
      <c r="G1077" t="str">
        <f>"REG-'15 FORD F250/ANIMAL SHELT"</f>
        <v>REG-'15 FORD F250/ANIMAL SHELT</v>
      </c>
      <c r="H1077" s="2">
        <v>7.5</v>
      </c>
      <c r="I1077" t="str">
        <f>"REG-'15 FORD F250/ANIMAL SHELT"</f>
        <v>REG-'15 FORD F250/ANIMAL SHELT</v>
      </c>
    </row>
    <row r="1078" spans="1:9" x14ac:dyDescent="0.3">
      <c r="A1078" t="str">
        <f>"005223"</f>
        <v>005223</v>
      </c>
      <c r="B1078" t="s">
        <v>283</v>
      </c>
      <c r="C1078">
        <v>75424</v>
      </c>
      <c r="D1078" s="2">
        <v>105</v>
      </c>
      <c r="E1078" s="1">
        <v>43157</v>
      </c>
      <c r="F1078" t="str">
        <f>"PER DIEM-L.SILVERA"</f>
        <v>PER DIEM-L.SILVERA</v>
      </c>
      <c r="G1078" t="str">
        <f>"PER DIEM"</f>
        <v>PER DIEM</v>
      </c>
      <c r="H1078" s="2">
        <v>105</v>
      </c>
      <c r="I1078" t="str">
        <f>"PER DIEM"</f>
        <v>PER DIEM</v>
      </c>
    </row>
    <row r="1079" spans="1:9" x14ac:dyDescent="0.3">
      <c r="A1079" t="str">
        <f>"T12652"</f>
        <v>T12652</v>
      </c>
      <c r="B1079" t="s">
        <v>284</v>
      </c>
      <c r="C1079">
        <v>75155</v>
      </c>
      <c r="D1079" s="2">
        <v>750</v>
      </c>
      <c r="E1079" s="1">
        <v>43143</v>
      </c>
      <c r="F1079" t="str">
        <f>"201801308297"</f>
        <v>201801308297</v>
      </c>
      <c r="G1079" t="str">
        <f>"50 097"</f>
        <v>50 097</v>
      </c>
      <c r="H1079" s="2">
        <v>250</v>
      </c>
      <c r="I1079" t="str">
        <f>"50 097"</f>
        <v>50 097</v>
      </c>
    </row>
    <row r="1080" spans="1:9" x14ac:dyDescent="0.3">
      <c r="A1080" t="str">
        <f>""</f>
        <v/>
      </c>
      <c r="F1080" t="str">
        <f>"201801308298"</f>
        <v>201801308298</v>
      </c>
      <c r="G1080" t="str">
        <f>"55 284"</f>
        <v>55 284</v>
      </c>
      <c r="H1080" s="2">
        <v>250</v>
      </c>
      <c r="I1080" t="str">
        <f>"55 284"</f>
        <v>55 284</v>
      </c>
    </row>
    <row r="1081" spans="1:9" x14ac:dyDescent="0.3">
      <c r="A1081" t="str">
        <f>""</f>
        <v/>
      </c>
      <c r="F1081" t="str">
        <f>"201801308299"</f>
        <v>201801308299</v>
      </c>
      <c r="G1081" t="str">
        <f>"54 613"</f>
        <v>54 613</v>
      </c>
      <c r="H1081" s="2">
        <v>250</v>
      </c>
      <c r="I1081" t="str">
        <f>"54 613"</f>
        <v>54 613</v>
      </c>
    </row>
    <row r="1082" spans="1:9" x14ac:dyDescent="0.3">
      <c r="A1082" t="str">
        <f>"005253"</f>
        <v>005253</v>
      </c>
      <c r="B1082" t="s">
        <v>285</v>
      </c>
      <c r="C1082">
        <v>75156</v>
      </c>
      <c r="D1082" s="2">
        <v>32.979999999999997</v>
      </c>
      <c r="E1082" s="1">
        <v>43143</v>
      </c>
      <c r="F1082" t="str">
        <f>"201802018431"</f>
        <v>201802018431</v>
      </c>
      <c r="G1082" t="str">
        <f>"REIMBURSEMENT FOR OVERPAYMENT"</f>
        <v>REIMBURSEMENT FOR OVERPAYMENT</v>
      </c>
      <c r="H1082" s="2">
        <v>32.979999999999997</v>
      </c>
      <c r="I1082" t="str">
        <f>"REIMBURSEMENT FOR OVERPAYMENT"</f>
        <v>REIMBURSEMENT FOR OVERPAYMENT</v>
      </c>
    </row>
    <row r="1083" spans="1:9" x14ac:dyDescent="0.3">
      <c r="A1083" t="str">
        <f>"004851"</f>
        <v>004851</v>
      </c>
      <c r="B1083" t="s">
        <v>286</v>
      </c>
      <c r="C1083">
        <v>75157</v>
      </c>
      <c r="D1083" s="2">
        <v>637.1</v>
      </c>
      <c r="E1083" s="1">
        <v>43143</v>
      </c>
      <c r="F1083" t="str">
        <f>"201802078664"</f>
        <v>201802078664</v>
      </c>
      <c r="G1083" t="str">
        <f>"INDIGENT HEALTH"</f>
        <v>INDIGENT HEALTH</v>
      </c>
      <c r="H1083" s="2">
        <v>637.1</v>
      </c>
      <c r="I1083" t="str">
        <f>"INDIGENT HEALTH"</f>
        <v>INDIGENT HEALTH</v>
      </c>
    </row>
    <row r="1084" spans="1:9" x14ac:dyDescent="0.3">
      <c r="A1084" t="str">
        <f>"005432"</f>
        <v>005432</v>
      </c>
      <c r="B1084" t="s">
        <v>287</v>
      </c>
      <c r="C1084">
        <v>75425</v>
      </c>
      <c r="D1084" s="2">
        <v>583.97</v>
      </c>
      <c r="E1084" s="1">
        <v>43157</v>
      </c>
      <c r="F1084" t="str">
        <f>"201802168787"</f>
        <v>201802168787</v>
      </c>
      <c r="G1084" t="str">
        <f>"2-7-2018 423RD"</f>
        <v>2-7-2018 423RD</v>
      </c>
      <c r="H1084" s="2">
        <v>194.28</v>
      </c>
      <c r="I1084" t="str">
        <f>"2-7-2018 423RD"</f>
        <v>2-7-2018 423RD</v>
      </c>
    </row>
    <row r="1085" spans="1:9" x14ac:dyDescent="0.3">
      <c r="A1085" t="str">
        <f>""</f>
        <v/>
      </c>
      <c r="F1085" t="str">
        <f>"201802168788"</f>
        <v>201802168788</v>
      </c>
      <c r="G1085" t="str">
        <f>"15984"</f>
        <v>15984</v>
      </c>
      <c r="H1085" s="2">
        <v>150</v>
      </c>
      <c r="I1085" t="str">
        <f>"15984"</f>
        <v>15984</v>
      </c>
    </row>
    <row r="1086" spans="1:9" x14ac:dyDescent="0.3">
      <c r="A1086" t="str">
        <f>""</f>
        <v/>
      </c>
      <c r="F1086" t="str">
        <f>"201802218854"</f>
        <v>201802218854</v>
      </c>
      <c r="G1086" t="str">
        <f>"17-18250/17-18525"</f>
        <v>17-18250/17-18525</v>
      </c>
      <c r="H1086" s="2">
        <v>239.69</v>
      </c>
      <c r="I1086" t="str">
        <f>"17-18250/17-18525"</f>
        <v>17-18250/17-18525</v>
      </c>
    </row>
    <row r="1087" spans="1:9" x14ac:dyDescent="0.3">
      <c r="A1087" t="str">
        <f>"004109"</f>
        <v>004109</v>
      </c>
      <c r="B1087" t="s">
        <v>288</v>
      </c>
      <c r="C1087">
        <v>75158</v>
      </c>
      <c r="D1087" s="2">
        <v>652.9</v>
      </c>
      <c r="E1087" s="1">
        <v>43143</v>
      </c>
      <c r="F1087" t="str">
        <f>"201802078665"</f>
        <v>201802078665</v>
      </c>
      <c r="G1087" t="str">
        <f>"INDIGENT HEALTH"</f>
        <v>INDIGENT HEALTH</v>
      </c>
      <c r="H1087" s="2">
        <v>466.35</v>
      </c>
      <c r="I1087" t="str">
        <f>"INDIGENT HEALTH"</f>
        <v>INDIGENT HEALTH</v>
      </c>
    </row>
    <row r="1088" spans="1:9" x14ac:dyDescent="0.3">
      <c r="A1088" t="str">
        <f>""</f>
        <v/>
      </c>
      <c r="F1088" t="str">
        <f>""</f>
        <v/>
      </c>
      <c r="G1088" t="str">
        <f>""</f>
        <v/>
      </c>
      <c r="I1088" t="str">
        <f>"INDIGENT HEALTH"</f>
        <v>INDIGENT HEALTH</v>
      </c>
    </row>
    <row r="1089" spans="1:9" x14ac:dyDescent="0.3">
      <c r="A1089" t="str">
        <f>""</f>
        <v/>
      </c>
      <c r="F1089" t="str">
        <f>"4329*104*1"</f>
        <v>4329*104*1</v>
      </c>
      <c r="G1089" t="str">
        <f>"JAIL MEDICAL"</f>
        <v>JAIL MEDICAL</v>
      </c>
      <c r="H1089" s="2">
        <v>186.55</v>
      </c>
      <c r="I1089" t="str">
        <f>"JAIL MEDICAL"</f>
        <v>JAIL MEDICAL</v>
      </c>
    </row>
    <row r="1090" spans="1:9" x14ac:dyDescent="0.3">
      <c r="A1090" t="str">
        <f>"LIE"</f>
        <v>LIE</v>
      </c>
      <c r="B1090" t="s">
        <v>289</v>
      </c>
      <c r="C1090">
        <v>75426</v>
      </c>
      <c r="D1090" s="2">
        <v>696.84</v>
      </c>
      <c r="E1090" s="1">
        <v>43157</v>
      </c>
      <c r="F1090" t="str">
        <f>"315580"</f>
        <v>315580</v>
      </c>
      <c r="G1090" t="str">
        <f>"ACCT#4358/PCT#1"</f>
        <v>ACCT#4358/PCT#1</v>
      </c>
      <c r="H1090" s="2">
        <v>696.84</v>
      </c>
      <c r="I1090" t="str">
        <f>"ACCT#4358/PCT#1"</f>
        <v>ACCT#4358/PCT#1</v>
      </c>
    </row>
    <row r="1091" spans="1:9" x14ac:dyDescent="0.3">
      <c r="A1091" t="str">
        <f>"T13085"</f>
        <v>T13085</v>
      </c>
      <c r="B1091" t="s">
        <v>290</v>
      </c>
      <c r="C1091">
        <v>999999</v>
      </c>
      <c r="D1091" s="2">
        <v>513.9</v>
      </c>
      <c r="E1091" s="1">
        <v>43158</v>
      </c>
      <c r="F1091" t="str">
        <f>"10-0017636"</f>
        <v>10-0017636</v>
      </c>
      <c r="G1091" t="str">
        <f>"CAR WASH/2010 CHEV"</f>
        <v>CAR WASH/2010 CHEV</v>
      </c>
      <c r="H1091" s="2">
        <v>51.9</v>
      </c>
      <c r="I1091" t="str">
        <f>"CAR WASH/2010 CHEV"</f>
        <v>CAR WASH/2010 CHEV</v>
      </c>
    </row>
    <row r="1092" spans="1:9" x14ac:dyDescent="0.3">
      <c r="A1092" t="str">
        <f>""</f>
        <v/>
      </c>
      <c r="F1092" t="str">
        <f>"CAR WASHES-JANUARY"</f>
        <v>CAR WASHES-JANUARY</v>
      </c>
      <c r="G1092" t="str">
        <f>"INV 10-000120"</f>
        <v>INV 10-000120</v>
      </c>
      <c r="H1092" s="2">
        <v>462</v>
      </c>
      <c r="I1092" t="str">
        <f>"INV 10-000120"</f>
        <v>INV 10-000120</v>
      </c>
    </row>
    <row r="1093" spans="1:9" x14ac:dyDescent="0.3">
      <c r="A1093" t="str">
        <f>"005041"</f>
        <v>005041</v>
      </c>
      <c r="B1093" t="s">
        <v>291</v>
      </c>
      <c r="C1093">
        <v>75159</v>
      </c>
      <c r="D1093" s="2">
        <v>1620.19</v>
      </c>
      <c r="E1093" s="1">
        <v>43143</v>
      </c>
      <c r="F1093" t="str">
        <f>"BC-BB552-2"</f>
        <v>BC-BB552-2</v>
      </c>
      <c r="G1093" t="str">
        <f>"2010 FRHT/PCT#3"</f>
        <v>2010 FRHT/PCT#3</v>
      </c>
      <c r="H1093" s="2">
        <v>562.87</v>
      </c>
      <c r="I1093" t="str">
        <f>"2010 FRHT/PCT#3"</f>
        <v>2010 FRHT/PCT#3</v>
      </c>
    </row>
    <row r="1094" spans="1:9" x14ac:dyDescent="0.3">
      <c r="A1094" t="str">
        <f>""</f>
        <v/>
      </c>
      <c r="F1094" t="str">
        <f>"BC-M48657"</f>
        <v>BC-M48657</v>
      </c>
      <c r="G1094" t="str">
        <f>"2003 FRHTREPAIR/PCT#3"</f>
        <v>2003 FRHTREPAIR/PCT#3</v>
      </c>
      <c r="H1094" s="2">
        <v>1057.32</v>
      </c>
      <c r="I1094" t="str">
        <f>"2003 FRHTREPAIR/PCT#3"</f>
        <v>2003 FRHTREPAIR/PCT#3</v>
      </c>
    </row>
    <row r="1095" spans="1:9" x14ac:dyDescent="0.3">
      <c r="A1095" t="str">
        <f>"000888"</f>
        <v>000888</v>
      </c>
      <c r="B1095" t="s">
        <v>292</v>
      </c>
      <c r="C1095">
        <v>75427</v>
      </c>
      <c r="D1095" s="2">
        <v>3175.69</v>
      </c>
      <c r="E1095" s="1">
        <v>43157</v>
      </c>
      <c r="F1095" t="str">
        <f>"99006938692 2/2/18"</f>
        <v>99006938692 2/2/18</v>
      </c>
      <c r="G1095" t="str">
        <f>"Acct# 99006938692"</f>
        <v>Acct# 99006938692</v>
      </c>
      <c r="H1095" s="2">
        <v>3175.69</v>
      </c>
      <c r="I1095" t="str">
        <f>"Inv# 912539"</f>
        <v>Inv# 912539</v>
      </c>
    </row>
    <row r="1096" spans="1:9" x14ac:dyDescent="0.3">
      <c r="A1096" t="str">
        <f>""</f>
        <v/>
      </c>
      <c r="F1096" t="str">
        <f>""</f>
        <v/>
      </c>
      <c r="G1096" t="str">
        <f>""</f>
        <v/>
      </c>
      <c r="I1096" t="str">
        <f>"Inv# 914450"</f>
        <v>Inv# 914450</v>
      </c>
    </row>
    <row r="1097" spans="1:9" x14ac:dyDescent="0.3">
      <c r="A1097" t="str">
        <f>""</f>
        <v/>
      </c>
      <c r="F1097" t="str">
        <f>""</f>
        <v/>
      </c>
      <c r="G1097" t="str">
        <f>""</f>
        <v/>
      </c>
      <c r="I1097" t="str">
        <f>"Inv# 914810"</f>
        <v>Inv# 914810</v>
      </c>
    </row>
    <row r="1098" spans="1:9" x14ac:dyDescent="0.3">
      <c r="A1098" t="str">
        <f>""</f>
        <v/>
      </c>
      <c r="F1098" t="str">
        <f>""</f>
        <v/>
      </c>
      <c r="G1098" t="str">
        <f>""</f>
        <v/>
      </c>
      <c r="I1098" t="str">
        <f>"Inv# 914090"</f>
        <v>Inv# 914090</v>
      </c>
    </row>
    <row r="1099" spans="1:9" x14ac:dyDescent="0.3">
      <c r="A1099" t="str">
        <f>""</f>
        <v/>
      </c>
      <c r="F1099" t="str">
        <f>""</f>
        <v/>
      </c>
      <c r="G1099" t="str">
        <f>""</f>
        <v/>
      </c>
      <c r="I1099" t="str">
        <f>"Inv# 914628"</f>
        <v>Inv# 914628</v>
      </c>
    </row>
    <row r="1100" spans="1:9" x14ac:dyDescent="0.3">
      <c r="A1100" t="str">
        <f>""</f>
        <v/>
      </c>
      <c r="F1100" t="str">
        <f>""</f>
        <v/>
      </c>
      <c r="G1100" t="str">
        <f>""</f>
        <v/>
      </c>
      <c r="I1100" t="str">
        <f>"Inv# 915227"</f>
        <v>Inv# 915227</v>
      </c>
    </row>
    <row r="1101" spans="1:9" x14ac:dyDescent="0.3">
      <c r="A1101" t="str">
        <f>""</f>
        <v/>
      </c>
      <c r="F1101" t="str">
        <f>""</f>
        <v/>
      </c>
      <c r="G1101" t="str">
        <f>""</f>
        <v/>
      </c>
      <c r="I1101" t="str">
        <f>"Inv# 914452"</f>
        <v>Inv# 914452</v>
      </c>
    </row>
    <row r="1102" spans="1:9" x14ac:dyDescent="0.3">
      <c r="A1102" t="str">
        <f>""</f>
        <v/>
      </c>
      <c r="F1102" t="str">
        <f>""</f>
        <v/>
      </c>
      <c r="G1102" t="str">
        <f>""</f>
        <v/>
      </c>
      <c r="I1102" t="str">
        <f>"Inv# 914608"</f>
        <v>Inv# 914608</v>
      </c>
    </row>
    <row r="1103" spans="1:9" x14ac:dyDescent="0.3">
      <c r="A1103" t="str">
        <f>""</f>
        <v/>
      </c>
      <c r="F1103" t="str">
        <f>""</f>
        <v/>
      </c>
      <c r="G1103" t="str">
        <f>""</f>
        <v/>
      </c>
      <c r="I1103" t="str">
        <f>"Inv# 914614"</f>
        <v>Inv# 914614</v>
      </c>
    </row>
    <row r="1104" spans="1:9" x14ac:dyDescent="0.3">
      <c r="A1104" t="str">
        <f>""</f>
        <v/>
      </c>
      <c r="F1104" t="str">
        <f>""</f>
        <v/>
      </c>
      <c r="G1104" t="str">
        <f>""</f>
        <v/>
      </c>
      <c r="I1104" t="str">
        <f>"Inv# 914837"</f>
        <v>Inv# 914837</v>
      </c>
    </row>
    <row r="1105" spans="1:9" x14ac:dyDescent="0.3">
      <c r="A1105" t="str">
        <f>""</f>
        <v/>
      </c>
      <c r="F1105" t="str">
        <f>""</f>
        <v/>
      </c>
      <c r="G1105" t="str">
        <f>""</f>
        <v/>
      </c>
      <c r="I1105" t="str">
        <f>"Inv# 914885"</f>
        <v>Inv# 914885</v>
      </c>
    </row>
    <row r="1106" spans="1:9" x14ac:dyDescent="0.3">
      <c r="A1106" t="str">
        <f>""</f>
        <v/>
      </c>
      <c r="F1106" t="str">
        <f>""</f>
        <v/>
      </c>
      <c r="G1106" t="str">
        <f>""</f>
        <v/>
      </c>
      <c r="I1106" t="str">
        <f>"Inv# 914923"</f>
        <v>Inv# 914923</v>
      </c>
    </row>
    <row r="1107" spans="1:9" x14ac:dyDescent="0.3">
      <c r="A1107" t="str">
        <f>""</f>
        <v/>
      </c>
      <c r="F1107" t="str">
        <f>""</f>
        <v/>
      </c>
      <c r="G1107" t="str">
        <f>""</f>
        <v/>
      </c>
      <c r="I1107" t="str">
        <f>"Inv# 910676"</f>
        <v>Inv# 910676</v>
      </c>
    </row>
    <row r="1108" spans="1:9" x14ac:dyDescent="0.3">
      <c r="A1108" t="str">
        <f>""</f>
        <v/>
      </c>
      <c r="F1108" t="str">
        <f>""</f>
        <v/>
      </c>
      <c r="G1108" t="str">
        <f>""</f>
        <v/>
      </c>
      <c r="I1108" t="str">
        <f>"Inv# 914689"</f>
        <v>Inv# 914689</v>
      </c>
    </row>
    <row r="1109" spans="1:9" x14ac:dyDescent="0.3">
      <c r="A1109" t="str">
        <f>""</f>
        <v/>
      </c>
      <c r="F1109" t="str">
        <f>""</f>
        <v/>
      </c>
      <c r="G1109" t="str">
        <f>""</f>
        <v/>
      </c>
      <c r="I1109" t="str">
        <f>"Inv# 977475"</f>
        <v>Inv# 977475</v>
      </c>
    </row>
    <row r="1110" spans="1:9" x14ac:dyDescent="0.3">
      <c r="A1110" t="str">
        <f>""</f>
        <v/>
      </c>
      <c r="F1110" t="str">
        <f>""</f>
        <v/>
      </c>
      <c r="G1110" t="str">
        <f>""</f>
        <v/>
      </c>
      <c r="I1110" t="str">
        <f>"Inv# 918413"</f>
        <v>Inv# 918413</v>
      </c>
    </row>
    <row r="1111" spans="1:9" x14ac:dyDescent="0.3">
      <c r="A1111" t="str">
        <f>""</f>
        <v/>
      </c>
      <c r="F1111" t="str">
        <f>""</f>
        <v/>
      </c>
      <c r="G1111" t="str">
        <f>""</f>
        <v/>
      </c>
      <c r="I1111" t="str">
        <f>"Inv# 910865"</f>
        <v>Inv# 910865</v>
      </c>
    </row>
    <row r="1112" spans="1:9" x14ac:dyDescent="0.3">
      <c r="A1112" t="str">
        <f>""</f>
        <v/>
      </c>
      <c r="F1112" t="str">
        <f>""</f>
        <v/>
      </c>
      <c r="G1112" t="str">
        <f>""</f>
        <v/>
      </c>
      <c r="I1112" t="str">
        <f>"Inv# 974068"</f>
        <v>Inv# 974068</v>
      </c>
    </row>
    <row r="1113" spans="1:9" x14ac:dyDescent="0.3">
      <c r="A1113" t="str">
        <f>""</f>
        <v/>
      </c>
      <c r="F1113" t="str">
        <f>""</f>
        <v/>
      </c>
      <c r="G1113" t="str">
        <f>""</f>
        <v/>
      </c>
      <c r="I1113" t="str">
        <f>"Finance charge"</f>
        <v>Finance charge</v>
      </c>
    </row>
    <row r="1114" spans="1:9" x14ac:dyDescent="0.3">
      <c r="A1114" t="str">
        <f>""</f>
        <v/>
      </c>
      <c r="F1114" t="str">
        <f>""</f>
        <v/>
      </c>
      <c r="G1114" t="str">
        <f>""</f>
        <v/>
      </c>
      <c r="I1114" t="str">
        <f>"Inv# 910633"</f>
        <v>Inv# 910633</v>
      </c>
    </row>
    <row r="1115" spans="1:9" x14ac:dyDescent="0.3">
      <c r="A1115" t="str">
        <f>""</f>
        <v/>
      </c>
      <c r="F1115" t="str">
        <f>""</f>
        <v/>
      </c>
      <c r="G1115" t="str">
        <f>""</f>
        <v/>
      </c>
      <c r="I1115" t="str">
        <f>"Inv# 921158"</f>
        <v>Inv# 921158</v>
      </c>
    </row>
    <row r="1116" spans="1:9" x14ac:dyDescent="0.3">
      <c r="A1116" t="str">
        <f>""</f>
        <v/>
      </c>
      <c r="F1116" t="str">
        <f>""</f>
        <v/>
      </c>
      <c r="G1116" t="str">
        <f>""</f>
        <v/>
      </c>
      <c r="I1116" t="str">
        <f>"Inv# 910850"</f>
        <v>Inv# 910850</v>
      </c>
    </row>
    <row r="1117" spans="1:9" x14ac:dyDescent="0.3">
      <c r="A1117" t="str">
        <f>"LUSTRE"</f>
        <v>LUSTRE</v>
      </c>
      <c r="B1117" t="s">
        <v>293</v>
      </c>
      <c r="C1117">
        <v>75160</v>
      </c>
      <c r="D1117" s="2">
        <v>759</v>
      </c>
      <c r="E1117" s="1">
        <v>43143</v>
      </c>
      <c r="F1117" t="str">
        <f>"061361"</f>
        <v>061361</v>
      </c>
      <c r="G1117" t="str">
        <f>"Asset Tags 10501-15501"</f>
        <v>Asset Tags 10501-15501</v>
      </c>
      <c r="H1117" s="2">
        <v>759</v>
      </c>
      <c r="I1117" t="str">
        <f>"Qty 5000"</f>
        <v>Qty 5000</v>
      </c>
    </row>
    <row r="1118" spans="1:9" x14ac:dyDescent="0.3">
      <c r="A1118" t="str">
        <f>""</f>
        <v/>
      </c>
      <c r="F1118" t="str">
        <f>""</f>
        <v/>
      </c>
      <c r="G1118" t="str">
        <f>""</f>
        <v/>
      </c>
      <c r="I1118" t="str">
        <f>"Shipping-Ground"</f>
        <v>Shipping-Ground</v>
      </c>
    </row>
    <row r="1119" spans="1:9" x14ac:dyDescent="0.3">
      <c r="A1119" t="str">
        <f>"LYNN"</f>
        <v>LYNN</v>
      </c>
      <c r="B1119" t="s">
        <v>294</v>
      </c>
      <c r="C1119">
        <v>999999</v>
      </c>
      <c r="D1119" s="2">
        <v>2706.4</v>
      </c>
      <c r="E1119" s="1">
        <v>43158</v>
      </c>
      <c r="F1119" t="str">
        <f>"340574/340880"</f>
        <v>340574/340880</v>
      </c>
      <c r="G1119" t="str">
        <f>"INV 340574/340880"</f>
        <v>INV 340574/340880</v>
      </c>
      <c r="H1119" s="2">
        <v>1455.7</v>
      </c>
      <c r="I1119" t="str">
        <f>"INV 340574"</f>
        <v>INV 340574</v>
      </c>
    </row>
    <row r="1120" spans="1:9" x14ac:dyDescent="0.3">
      <c r="A1120" t="str">
        <f>""</f>
        <v/>
      </c>
      <c r="F1120" t="str">
        <f>""</f>
        <v/>
      </c>
      <c r="G1120" t="str">
        <f>""</f>
        <v/>
      </c>
      <c r="I1120" t="str">
        <f>"INV 340880"</f>
        <v>INV 340880</v>
      </c>
    </row>
    <row r="1121" spans="1:9" x14ac:dyDescent="0.3">
      <c r="A1121" t="str">
        <f>""</f>
        <v/>
      </c>
      <c r="F1121" t="str">
        <f>"350575/340734/3411"</f>
        <v>350575/340734/3411</v>
      </c>
      <c r="G1121" t="str">
        <f>"INV 350575/340734/341108"</f>
        <v>INV 350575/340734/341108</v>
      </c>
      <c r="H1121" s="2">
        <v>1250.7</v>
      </c>
      <c r="I1121" t="str">
        <f>"INV 350575"</f>
        <v>INV 350575</v>
      </c>
    </row>
    <row r="1122" spans="1:9" x14ac:dyDescent="0.3">
      <c r="A1122" t="str">
        <f>""</f>
        <v/>
      </c>
      <c r="F1122" t="str">
        <f>""</f>
        <v/>
      </c>
      <c r="G1122" t="str">
        <f>""</f>
        <v/>
      </c>
      <c r="I1122" t="str">
        <f>"INV 340734"</f>
        <v>INV 340734</v>
      </c>
    </row>
    <row r="1123" spans="1:9" x14ac:dyDescent="0.3">
      <c r="A1123" t="str">
        <f>""</f>
        <v/>
      </c>
      <c r="F1123" t="str">
        <f>""</f>
        <v/>
      </c>
      <c r="G1123" t="str">
        <f>""</f>
        <v/>
      </c>
      <c r="I1123" t="str">
        <f>"INV 341108"</f>
        <v>INV 341108</v>
      </c>
    </row>
    <row r="1124" spans="1:9" x14ac:dyDescent="0.3">
      <c r="A1124" t="str">
        <f>"003832"</f>
        <v>003832</v>
      </c>
      <c r="B1124" t="s">
        <v>295</v>
      </c>
      <c r="C1124">
        <v>75161</v>
      </c>
      <c r="D1124" s="2">
        <v>1200</v>
      </c>
      <c r="E1124" s="1">
        <v>43143</v>
      </c>
      <c r="F1124" t="str">
        <f>"201802068584"</f>
        <v>201802068584</v>
      </c>
      <c r="G1124" t="str">
        <f>"FURNISH &amp; INSTALL CERAMIC/PCT4"</f>
        <v>FURNISH &amp; INSTALL CERAMIC/PCT4</v>
      </c>
      <c r="H1124" s="2">
        <v>1200</v>
      </c>
      <c r="I1124" t="str">
        <f>"FURNISH &amp; INSTALL CERAMIC/PCT4"</f>
        <v>FURNISH &amp; INSTALL CERAMIC/PCT4</v>
      </c>
    </row>
    <row r="1125" spans="1:9" x14ac:dyDescent="0.3">
      <c r="A1125" t="str">
        <f>"004036"</f>
        <v>004036</v>
      </c>
      <c r="B1125" t="s">
        <v>296</v>
      </c>
      <c r="C1125">
        <v>75162</v>
      </c>
      <c r="D1125" s="2">
        <v>2558.88</v>
      </c>
      <c r="E1125" s="1">
        <v>43143</v>
      </c>
      <c r="F1125" t="str">
        <f>"10502"</f>
        <v>10502</v>
      </c>
      <c r="G1125" t="str">
        <f>"EXEMPT VCT/CARPET"</f>
        <v>EXEMPT VCT/CARPET</v>
      </c>
      <c r="H1125" s="2">
        <v>1685.5</v>
      </c>
      <c r="I1125" t="str">
        <f>"EXEMPT VCT/CARPET"</f>
        <v>EXEMPT VCT/CARPET</v>
      </c>
    </row>
    <row r="1126" spans="1:9" x14ac:dyDescent="0.3">
      <c r="A1126" t="str">
        <f>""</f>
        <v/>
      </c>
      <c r="F1126" t="str">
        <f>"10849"</f>
        <v>10849</v>
      </c>
      <c r="G1126" t="str">
        <f>"EXEMPT/ADD STAIN RMVL/OEM"</f>
        <v>EXEMPT/ADD STAIN RMVL/OEM</v>
      </c>
      <c r="H1126" s="2">
        <v>387.5</v>
      </c>
      <c r="I1126" t="str">
        <f>"EXEMPT/ADD STAIN RMVL/OEM"</f>
        <v>EXEMPT/ADD STAIN RMVL/OEM</v>
      </c>
    </row>
    <row r="1127" spans="1:9" x14ac:dyDescent="0.3">
      <c r="A1127" t="str">
        <f>""</f>
        <v/>
      </c>
      <c r="F1127" t="str">
        <f>"10988"</f>
        <v>10988</v>
      </c>
      <c r="G1127" t="str">
        <f>"EXEMPT/GEN SVCS"</f>
        <v>EXEMPT/GEN SVCS</v>
      </c>
      <c r="H1127" s="2">
        <v>485.88</v>
      </c>
      <c r="I1127" t="str">
        <f>"EXEMPT/GEN SVCS"</f>
        <v>EXEMPT/GEN SVCS</v>
      </c>
    </row>
    <row r="1128" spans="1:9" x14ac:dyDescent="0.3">
      <c r="A1128" t="str">
        <f>"004036"</f>
        <v>004036</v>
      </c>
      <c r="B1128" t="s">
        <v>296</v>
      </c>
      <c r="C1128">
        <v>75428</v>
      </c>
      <c r="D1128" s="2">
        <v>150</v>
      </c>
      <c r="E1128" s="1">
        <v>43157</v>
      </c>
      <c r="F1128" t="str">
        <f>"11125"</f>
        <v>11125</v>
      </c>
      <c r="G1128" t="str">
        <f>"EXEMPT (3 OFFICE  HALL)/OEM"</f>
        <v>EXEMPT (3 OFFICE  HALL)/OEM</v>
      </c>
      <c r="H1128" s="2">
        <v>150</v>
      </c>
      <c r="I1128" t="str">
        <f>"EXEMPT (3 OFFICE  HALL)/OEM"</f>
        <v>EXEMPT (3 OFFICE  HALL)/OEM</v>
      </c>
    </row>
    <row r="1129" spans="1:9" x14ac:dyDescent="0.3">
      <c r="A1129" t="str">
        <f>"MARIA"</f>
        <v>MARIA</v>
      </c>
      <c r="B1129" t="s">
        <v>297</v>
      </c>
      <c r="C1129">
        <v>999999</v>
      </c>
      <c r="D1129" s="2">
        <v>366.34</v>
      </c>
      <c r="E1129" s="1">
        <v>43144</v>
      </c>
      <c r="F1129" t="str">
        <f>"201801308300"</f>
        <v>201801308300</v>
      </c>
      <c r="G1129" t="str">
        <f>"CRIMINAL CCL  01/18/2018"</f>
        <v>CRIMINAL CCL  01/18/2018</v>
      </c>
      <c r="H1129" s="2">
        <v>183.17</v>
      </c>
      <c r="I1129" t="str">
        <f>"CRIMINAL CCL  01/18/2018"</f>
        <v>CRIMINAL CCL  01/18/2018</v>
      </c>
    </row>
    <row r="1130" spans="1:9" x14ac:dyDescent="0.3">
      <c r="A1130" t="str">
        <f>""</f>
        <v/>
      </c>
      <c r="F1130" t="str">
        <f>"201801308301"</f>
        <v>201801308301</v>
      </c>
      <c r="G1130" t="str">
        <f>"CRIMINAL CCL 01/25/2018"</f>
        <v>CRIMINAL CCL 01/25/2018</v>
      </c>
      <c r="H1130" s="2">
        <v>183.17</v>
      </c>
      <c r="I1130" t="str">
        <f>"CRIMINAL CCL 01/25/2018"</f>
        <v>CRIMINAL CCL 01/25/2018</v>
      </c>
    </row>
    <row r="1131" spans="1:9" x14ac:dyDescent="0.3">
      <c r="A1131" t="str">
        <f>"MARIA"</f>
        <v>MARIA</v>
      </c>
      <c r="B1131" t="s">
        <v>297</v>
      </c>
      <c r="C1131">
        <v>999999</v>
      </c>
      <c r="D1131" s="2">
        <v>293.17</v>
      </c>
      <c r="E1131" s="1">
        <v>43158</v>
      </c>
      <c r="F1131" t="str">
        <f>"201802158757"</f>
        <v>201802158757</v>
      </c>
      <c r="G1131" t="str">
        <f>"CRIMINAL DC 02/14/18"</f>
        <v>CRIMINAL DC 02/14/18</v>
      </c>
      <c r="H1131" s="2">
        <v>293.17</v>
      </c>
      <c r="I1131" t="str">
        <f>"CRIMINAL DC 02/14/18"</f>
        <v>CRIMINAL DC 02/14/18</v>
      </c>
    </row>
    <row r="1132" spans="1:9" x14ac:dyDescent="0.3">
      <c r="A1132" t="str">
        <f>"004909"</f>
        <v>004909</v>
      </c>
      <c r="B1132" t="s">
        <v>298</v>
      </c>
      <c r="C1132">
        <v>999999</v>
      </c>
      <c r="D1132" s="2">
        <v>250</v>
      </c>
      <c r="E1132" s="1">
        <v>43144</v>
      </c>
      <c r="F1132" t="str">
        <f>"201802058476"</f>
        <v>201802058476</v>
      </c>
      <c r="G1132" t="str">
        <f>"REIMBURSE COUNTY COMM SCHOOL"</f>
        <v>REIMBURSE COUNTY COMM SCHOOL</v>
      </c>
      <c r="H1132" s="2">
        <v>250</v>
      </c>
      <c r="I1132" t="str">
        <f>"REIMBURSE COUNTY COMM SCHOOL"</f>
        <v>REIMBURSE COUNTY COMM SCHOOL</v>
      </c>
    </row>
    <row r="1133" spans="1:9" x14ac:dyDescent="0.3">
      <c r="A1133" t="str">
        <f>"T13936"</f>
        <v>T13936</v>
      </c>
      <c r="B1133" t="s">
        <v>299</v>
      </c>
      <c r="C1133">
        <v>75163</v>
      </c>
      <c r="D1133" s="2">
        <v>2012.65</v>
      </c>
      <c r="E1133" s="1">
        <v>43143</v>
      </c>
      <c r="F1133" t="str">
        <f>"201802078667"</f>
        <v>201802078667</v>
      </c>
      <c r="G1133" t="str">
        <f>"INDIGENT HEALTH"</f>
        <v>INDIGENT HEALTH</v>
      </c>
      <c r="H1133" s="2">
        <v>2012.65</v>
      </c>
      <c r="I1133" t="str">
        <f>"INDIGENT HEALTH"</f>
        <v>INDIGENT HEALTH</v>
      </c>
    </row>
    <row r="1134" spans="1:9" x14ac:dyDescent="0.3">
      <c r="A1134" t="str">
        <f>""</f>
        <v/>
      </c>
      <c r="F1134" t="str">
        <f>""</f>
        <v/>
      </c>
      <c r="G1134" t="str">
        <f>""</f>
        <v/>
      </c>
      <c r="I1134" t="str">
        <f>"INDIGENT HEALTH"</f>
        <v>INDIGENT HEALTH</v>
      </c>
    </row>
    <row r="1135" spans="1:9" x14ac:dyDescent="0.3">
      <c r="A1135" t="str">
        <f>"T12624"</f>
        <v>T12624</v>
      </c>
      <c r="B1135" t="s">
        <v>300</v>
      </c>
      <c r="C1135">
        <v>75164</v>
      </c>
      <c r="D1135" s="2">
        <v>377.44</v>
      </c>
      <c r="E1135" s="1">
        <v>43143</v>
      </c>
      <c r="F1135" t="str">
        <f>"INV001679870"</f>
        <v>INV001679870</v>
      </c>
      <c r="G1135" t="str">
        <f>"INV INV001679870"</f>
        <v>INV INV001679870</v>
      </c>
      <c r="H1135" s="2">
        <v>377.44</v>
      </c>
      <c r="I1135" t="str">
        <f>"INV INV001679870"</f>
        <v>INV INV001679870</v>
      </c>
    </row>
    <row r="1136" spans="1:9" x14ac:dyDescent="0.3">
      <c r="A1136" t="str">
        <f>"004144"</f>
        <v>004144</v>
      </c>
      <c r="B1136" t="s">
        <v>301</v>
      </c>
      <c r="C1136">
        <v>999999</v>
      </c>
      <c r="D1136" s="2">
        <v>2022.5</v>
      </c>
      <c r="E1136" s="1">
        <v>43144</v>
      </c>
      <c r="F1136" t="str">
        <f>"201801308302"</f>
        <v>201801308302</v>
      </c>
      <c r="G1136" t="str">
        <f>"20170303/925346 0830/SPD201703"</f>
        <v>20170303/925346 0830/SPD201703</v>
      </c>
      <c r="H1136" s="2">
        <v>250</v>
      </c>
      <c r="I1136" t="str">
        <f>"20170303/925346 0830/SPD201703"</f>
        <v>20170303/925346 0830/SPD201703</v>
      </c>
    </row>
    <row r="1137" spans="1:10" x14ac:dyDescent="0.3">
      <c r="A1137" t="str">
        <f>""</f>
        <v/>
      </c>
      <c r="F1137" t="str">
        <f>"201801308303"</f>
        <v>201801308303</v>
      </c>
      <c r="G1137" t="str">
        <f>"408156-1/925-342-8538/16-S-048"</f>
        <v>408156-1/925-342-8538/16-S-048</v>
      </c>
      <c r="H1137" s="2">
        <v>125</v>
      </c>
      <c r="I1137" t="str">
        <f>"408156-1/925-342-8538/16-S-048"</f>
        <v>408156-1/925-342-8538/16-S-048</v>
      </c>
    </row>
    <row r="1138" spans="1:10" x14ac:dyDescent="0.3">
      <c r="A1138" t="str">
        <f>""</f>
        <v/>
      </c>
      <c r="F1138" t="str">
        <f>"201801308304"</f>
        <v>201801308304</v>
      </c>
      <c r="G1138" t="str">
        <f>"55 365"</f>
        <v>55 365</v>
      </c>
      <c r="H1138" s="2">
        <v>250</v>
      </c>
      <c r="I1138" t="str">
        <f>"55 365"</f>
        <v>55 365</v>
      </c>
    </row>
    <row r="1139" spans="1:10" x14ac:dyDescent="0.3">
      <c r="A1139" t="str">
        <f>""</f>
        <v/>
      </c>
      <c r="F1139" t="str">
        <f>"201801308305"</f>
        <v>201801308305</v>
      </c>
      <c r="G1139" t="str">
        <f>"55 388"</f>
        <v>55 388</v>
      </c>
      <c r="H1139" s="2">
        <v>250</v>
      </c>
      <c r="I1139" t="str">
        <f>"55 388"</f>
        <v>55 388</v>
      </c>
    </row>
    <row r="1140" spans="1:10" x14ac:dyDescent="0.3">
      <c r="A1140" t="str">
        <f>""</f>
        <v/>
      </c>
      <c r="F1140" t="str">
        <f>"201801308306"</f>
        <v>201801308306</v>
      </c>
      <c r="G1140" t="str">
        <f>"55 441"</f>
        <v>55 441</v>
      </c>
      <c r="H1140" s="2">
        <v>250</v>
      </c>
      <c r="I1140" t="str">
        <f>"55 441"</f>
        <v>55 441</v>
      </c>
    </row>
    <row r="1141" spans="1:10" x14ac:dyDescent="0.3">
      <c r="A1141" t="str">
        <f>""</f>
        <v/>
      </c>
      <c r="F1141" t="str">
        <f>"201801308307"</f>
        <v>201801308307</v>
      </c>
      <c r="G1141" t="str">
        <f>"17-18786"</f>
        <v>17-18786</v>
      </c>
      <c r="H1141" s="2">
        <v>897.5</v>
      </c>
      <c r="I1141" t="str">
        <f>"17-18786"</f>
        <v>17-18786</v>
      </c>
    </row>
    <row r="1142" spans="1:10" x14ac:dyDescent="0.3">
      <c r="A1142" t="str">
        <f>"004144"</f>
        <v>004144</v>
      </c>
      <c r="B1142" t="s">
        <v>301</v>
      </c>
      <c r="C1142">
        <v>999999</v>
      </c>
      <c r="D1142" s="2">
        <v>250</v>
      </c>
      <c r="E1142" s="1">
        <v>43158</v>
      </c>
      <c r="F1142" t="str">
        <f>"201802148738"</f>
        <v>201802148738</v>
      </c>
      <c r="G1142" t="str">
        <f>"55 452"</f>
        <v>55 452</v>
      </c>
      <c r="H1142" s="2">
        <v>250</v>
      </c>
      <c r="I1142" t="str">
        <f>"55 452"</f>
        <v>55 452</v>
      </c>
    </row>
    <row r="1143" spans="1:10" x14ac:dyDescent="0.3">
      <c r="A1143" t="str">
        <f>"TRIGA"</f>
        <v>TRIGA</v>
      </c>
      <c r="B1143" t="s">
        <v>302</v>
      </c>
      <c r="C1143">
        <v>75429</v>
      </c>
      <c r="D1143" s="2">
        <v>240.81</v>
      </c>
      <c r="E1143" s="1">
        <v>43157</v>
      </c>
      <c r="F1143" t="str">
        <f>"16952807"</f>
        <v>16952807</v>
      </c>
      <c r="G1143" t="str">
        <f>"ACCT#41472/RENTAL"</f>
        <v>ACCT#41472/RENTAL</v>
      </c>
      <c r="H1143" s="2">
        <v>22.23</v>
      </c>
      <c r="I1143" t="str">
        <f>"ACCT#41472/RENTAL"</f>
        <v>ACCT#41472/RENTAL</v>
      </c>
    </row>
    <row r="1144" spans="1:10" x14ac:dyDescent="0.3">
      <c r="A1144" t="str">
        <f>""</f>
        <v/>
      </c>
      <c r="F1144" t="str">
        <f>"16952979"</f>
        <v>16952979</v>
      </c>
      <c r="G1144" t="str">
        <f>"INV 16952979"</f>
        <v>INV 16952979</v>
      </c>
      <c r="H1144" s="2">
        <v>49.12</v>
      </c>
      <c r="I1144" t="str">
        <f>"INV 16952979"</f>
        <v>INV 16952979</v>
      </c>
    </row>
    <row r="1145" spans="1:10" x14ac:dyDescent="0.3">
      <c r="A1145" t="str">
        <f>""</f>
        <v/>
      </c>
      <c r="F1145" t="str">
        <f>"201802148752"</f>
        <v>201802148752</v>
      </c>
      <c r="G1145" t="str">
        <f>"CUST#S9547/PCT#1"</f>
        <v>CUST#S9547/PCT#1</v>
      </c>
      <c r="H1145" s="2">
        <v>90</v>
      </c>
      <c r="I1145" t="str">
        <f>"CUST#S9547/PCT#1"</f>
        <v>CUST#S9547/PCT#1</v>
      </c>
    </row>
    <row r="1146" spans="1:10" x14ac:dyDescent="0.3">
      <c r="A1146" t="str">
        <f>""</f>
        <v/>
      </c>
      <c r="F1146" t="str">
        <f>"201802148754"</f>
        <v>201802148754</v>
      </c>
      <c r="G1146" t="str">
        <f>"16596627/16952912/PCT#4"</f>
        <v>16596627/16952912/PCT#4</v>
      </c>
      <c r="H1146" s="2">
        <v>79.459999999999994</v>
      </c>
      <c r="I1146" t="str">
        <f>"16596627/16952912/PCT#4"</f>
        <v>16596627/16952912/PCT#4</v>
      </c>
    </row>
    <row r="1147" spans="1:10" x14ac:dyDescent="0.3">
      <c r="A1147" t="str">
        <f>"MC COY"</f>
        <v>MC COY</v>
      </c>
      <c r="B1147" t="s">
        <v>303</v>
      </c>
      <c r="C1147">
        <v>999999</v>
      </c>
      <c r="D1147" s="2">
        <v>27.28</v>
      </c>
      <c r="E1147" s="1">
        <v>43158</v>
      </c>
      <c r="F1147" t="str">
        <f>"650695"</f>
        <v>650695</v>
      </c>
      <c r="G1147" t="str">
        <f>"PARTS FOR SIGN SHOP"</f>
        <v>PARTS FOR SIGN SHOP</v>
      </c>
      <c r="H1147" s="2">
        <v>27.28</v>
      </c>
      <c r="I1147" t="str">
        <f>"PARTS FOR SIGN SHOP"</f>
        <v>PARTS FOR SIGN SHOP</v>
      </c>
    </row>
    <row r="1148" spans="1:10" x14ac:dyDescent="0.3">
      <c r="A1148" t="str">
        <f>"MC CRE"</f>
        <v>MC CRE</v>
      </c>
      <c r="B1148" t="s">
        <v>304</v>
      </c>
      <c r="C1148">
        <v>75165</v>
      </c>
      <c r="D1148" s="2">
        <v>13470.82</v>
      </c>
      <c r="E1148" s="1">
        <v>43143</v>
      </c>
      <c r="F1148" t="s">
        <v>60</v>
      </c>
      <c r="G1148" t="s">
        <v>305</v>
      </c>
      <c r="H1148" s="2" t="str">
        <f>"ABST FEE  11/28/17"</f>
        <v>ABST FEE  11/28/17</v>
      </c>
      <c r="I1148" t="str">
        <f>"995-4110"</f>
        <v>995-4110</v>
      </c>
      <c r="J1148">
        <v>150</v>
      </c>
    </row>
    <row r="1149" spans="1:10" x14ac:dyDescent="0.3">
      <c r="A1149" t="str">
        <f>""</f>
        <v/>
      </c>
      <c r="F1149" t="s">
        <v>60</v>
      </c>
      <c r="G1149" t="s">
        <v>306</v>
      </c>
      <c r="H1149" s="2" t="str">
        <f>"PRINTER FEE  11/27/17"</f>
        <v>PRINTER FEE  11/27/17</v>
      </c>
      <c r="I1149" t="str">
        <f>"995-4110"</f>
        <v>995-4110</v>
      </c>
      <c r="J1149">
        <v>313.2</v>
      </c>
    </row>
    <row r="1150" spans="1:10" x14ac:dyDescent="0.3">
      <c r="A1150" t="str">
        <f>""</f>
        <v/>
      </c>
      <c r="F1150" t="str">
        <f>"11652"</f>
        <v>11652</v>
      </c>
      <c r="G1150" t="str">
        <f>"SERVICE  11/27/17"</f>
        <v>SERVICE  11/27/17</v>
      </c>
      <c r="H1150" s="2">
        <v>240</v>
      </c>
      <c r="I1150" t="str">
        <f>"SERVICE  11/27/17"</f>
        <v>SERVICE  11/27/17</v>
      </c>
    </row>
    <row r="1151" spans="1:10" x14ac:dyDescent="0.3">
      <c r="A1151" t="str">
        <f>""</f>
        <v/>
      </c>
      <c r="F1151" t="str">
        <f>"12452"</f>
        <v>12452</v>
      </c>
      <c r="G1151" t="str">
        <f>"ABST FEE  12/01/2017"</f>
        <v>ABST FEE  12/01/2017</v>
      </c>
      <c r="H1151" s="2">
        <v>175</v>
      </c>
      <c r="I1151" t="str">
        <f>"ABST FEE  12/01/2017"</f>
        <v>ABST FEE  12/01/2017</v>
      </c>
    </row>
    <row r="1152" spans="1:10" x14ac:dyDescent="0.3">
      <c r="A1152" t="str">
        <f>""</f>
        <v/>
      </c>
      <c r="F1152" t="str">
        <f>"12623"</f>
        <v>12623</v>
      </c>
      <c r="G1152" t="str">
        <f>"ABST FEE  11/29/2017"</f>
        <v>ABST FEE  11/29/2017</v>
      </c>
      <c r="H1152" s="2">
        <v>225</v>
      </c>
      <c r="I1152" t="str">
        <f>"ABST FEE  11/29/2017"</f>
        <v>ABST FEE  11/29/2017</v>
      </c>
    </row>
    <row r="1153" spans="1:10" x14ac:dyDescent="0.3">
      <c r="A1153" t="str">
        <f>""</f>
        <v/>
      </c>
      <c r="F1153" t="str">
        <f>"12731"</f>
        <v>12731</v>
      </c>
      <c r="G1153" t="str">
        <f>"ABST FEE  11/29/2017"</f>
        <v>ABST FEE  11/29/2017</v>
      </c>
      <c r="H1153" s="2">
        <v>225</v>
      </c>
      <c r="I1153" t="str">
        <f>"ABST FEE  11/29/2017"</f>
        <v>ABST FEE  11/29/2017</v>
      </c>
    </row>
    <row r="1154" spans="1:10" x14ac:dyDescent="0.3">
      <c r="A1154" t="str">
        <f>""</f>
        <v/>
      </c>
      <c r="F1154" t="str">
        <f>"201802058475"</f>
        <v>201802058475</v>
      </c>
      <c r="G1154" t="str">
        <f>"ATTORNEY FEES/JANUARY 2018"</f>
        <v>ATTORNEY FEES/JANUARY 2018</v>
      </c>
      <c r="H1154" s="2">
        <v>12142.62</v>
      </c>
      <c r="I1154" t="str">
        <f>"ATTORNEY FEES/JANUARY 2018"</f>
        <v>ATTORNEY FEES/JANUARY 2018</v>
      </c>
    </row>
    <row r="1155" spans="1:10" x14ac:dyDescent="0.3">
      <c r="A1155" t="str">
        <f>"MC CRE"</f>
        <v>MC CRE</v>
      </c>
      <c r="B1155" t="s">
        <v>304</v>
      </c>
      <c r="C1155">
        <v>75430</v>
      </c>
      <c r="D1155" s="2">
        <v>975</v>
      </c>
      <c r="E1155" s="1">
        <v>43157</v>
      </c>
      <c r="F1155" t="str">
        <f>"12485"</f>
        <v>12485</v>
      </c>
      <c r="G1155" t="str">
        <f>"ABST FEE  12/04/17"</f>
        <v>ABST FEE  12/04/17</v>
      </c>
      <c r="H1155" s="2">
        <v>175</v>
      </c>
      <c r="I1155" t="str">
        <f>"ABST FEE  12/04/17"</f>
        <v>ABST FEE  12/04/17</v>
      </c>
    </row>
    <row r="1156" spans="1:10" x14ac:dyDescent="0.3">
      <c r="A1156" t="str">
        <f>""</f>
        <v/>
      </c>
      <c r="F1156" t="str">
        <f>"12597"</f>
        <v>12597</v>
      </c>
      <c r="G1156" t="str">
        <f>"ABST FEE  12/04/17"</f>
        <v>ABST FEE  12/04/17</v>
      </c>
      <c r="H1156" s="2">
        <v>175</v>
      </c>
      <c r="I1156" t="str">
        <f>"ABST FEE"</f>
        <v>ABST FEE</v>
      </c>
    </row>
    <row r="1157" spans="1:10" x14ac:dyDescent="0.3">
      <c r="A1157" t="str">
        <f>""</f>
        <v/>
      </c>
      <c r="F1157" t="str">
        <f>"12619"</f>
        <v>12619</v>
      </c>
      <c r="G1157" t="str">
        <f>"ABST FEE 12/04/17"</f>
        <v>ABST FEE 12/04/17</v>
      </c>
      <c r="H1157" s="2">
        <v>175</v>
      </c>
      <c r="I1157" t="str">
        <f>"ABST FEE 12/04/17"</f>
        <v>ABST FEE 12/04/17</v>
      </c>
    </row>
    <row r="1158" spans="1:10" x14ac:dyDescent="0.3">
      <c r="A1158" t="str">
        <f>""</f>
        <v/>
      </c>
      <c r="F1158" t="str">
        <f>"12702"</f>
        <v>12702</v>
      </c>
      <c r="G1158" t="str">
        <f>"ABST FEE 12/04/17"</f>
        <v>ABST FEE 12/04/17</v>
      </c>
      <c r="H1158" s="2">
        <v>225</v>
      </c>
      <c r="I1158" t="str">
        <f>"ABST FEE 12/04/17"</f>
        <v>ABST FEE 12/04/17</v>
      </c>
    </row>
    <row r="1159" spans="1:10" x14ac:dyDescent="0.3">
      <c r="A1159" t="str">
        <f>""</f>
        <v/>
      </c>
      <c r="F1159" t="str">
        <f>"12707"</f>
        <v>12707</v>
      </c>
      <c r="G1159" t="str">
        <f>"ABST FEE 12/04/17"</f>
        <v>ABST FEE 12/04/17</v>
      </c>
      <c r="H1159" s="2">
        <v>225</v>
      </c>
      <c r="I1159" t="str">
        <f>"ABST FEE 12/04/17"</f>
        <v>ABST FEE 12/04/17</v>
      </c>
    </row>
    <row r="1160" spans="1:10" x14ac:dyDescent="0.3">
      <c r="A1160" t="str">
        <f>"003624"</f>
        <v>003624</v>
      </c>
      <c r="B1160" t="s">
        <v>307</v>
      </c>
      <c r="C1160">
        <v>75166</v>
      </c>
      <c r="D1160" s="2">
        <v>313.93</v>
      </c>
      <c r="E1160" s="1">
        <v>43143</v>
      </c>
      <c r="F1160" t="str">
        <f>"INV 3254961-IN"</f>
        <v>INV 3254961-IN</v>
      </c>
      <c r="G1160" t="str">
        <f>"INV 3254961-IN"</f>
        <v>INV 3254961-IN</v>
      </c>
      <c r="H1160" s="2">
        <v>313.93</v>
      </c>
      <c r="I1160" t="str">
        <f>"INV 3254961-IN"</f>
        <v>INV 3254961-IN</v>
      </c>
    </row>
    <row r="1161" spans="1:10" x14ac:dyDescent="0.3">
      <c r="A1161" t="str">
        <f>"002271"</f>
        <v>002271</v>
      </c>
      <c r="B1161" t="s">
        <v>308</v>
      </c>
      <c r="C1161">
        <v>75167</v>
      </c>
      <c r="D1161" s="2">
        <v>3417.35</v>
      </c>
      <c r="E1161" s="1">
        <v>43143</v>
      </c>
      <c r="F1161" t="str">
        <f>"201802078641"</f>
        <v>201802078641</v>
      </c>
      <c r="G1161" t="str">
        <f>"INDIGENT HEALTH"</f>
        <v>INDIGENT HEALTH</v>
      </c>
      <c r="H1161" s="2">
        <v>3417.35</v>
      </c>
      <c r="I1161" t="str">
        <f>"INDIGENT HEALTH"</f>
        <v>INDIGENT HEALTH</v>
      </c>
    </row>
    <row r="1162" spans="1:10" x14ac:dyDescent="0.3">
      <c r="A1162" t="str">
        <f>"004930"</f>
        <v>004930</v>
      </c>
      <c r="B1162" t="s">
        <v>309</v>
      </c>
      <c r="C1162">
        <v>999999</v>
      </c>
      <c r="D1162" s="2">
        <v>230</v>
      </c>
      <c r="E1162" s="1">
        <v>43144</v>
      </c>
      <c r="F1162" t="str">
        <f>"20180111000004"</f>
        <v>20180111000004</v>
      </c>
      <c r="G1162" t="str">
        <f>"REIMBURSE COMM COURT SCHOOL"</f>
        <v>REIMBURSE COMM COURT SCHOOL</v>
      </c>
      <c r="H1162" s="2">
        <v>230</v>
      </c>
      <c r="I1162" t="str">
        <f>"REIMBURSE COMM COURT SCHOOL"</f>
        <v>REIMBURSE COMM COURT SCHOOL</v>
      </c>
    </row>
    <row r="1163" spans="1:10" x14ac:dyDescent="0.3">
      <c r="A1163" t="str">
        <f>"003745"</f>
        <v>003745</v>
      </c>
      <c r="B1163" t="s">
        <v>310</v>
      </c>
      <c r="C1163">
        <v>75168</v>
      </c>
      <c r="D1163" s="2">
        <v>25</v>
      </c>
      <c r="E1163" s="1">
        <v>43143</v>
      </c>
      <c r="F1163" t="s">
        <v>228</v>
      </c>
      <c r="G1163" t="s">
        <v>263</v>
      </c>
      <c r="H1163" s="2" t="str">
        <f>"RESTITUTION-D. SPURK"</f>
        <v>RESTITUTION-D. SPURK</v>
      </c>
      <c r="I1163" t="str">
        <f>"210-0000"</f>
        <v>210-0000</v>
      </c>
      <c r="J1163">
        <v>25</v>
      </c>
    </row>
    <row r="1164" spans="1:10" x14ac:dyDescent="0.3">
      <c r="A1164" t="str">
        <f>"002934"</f>
        <v>002934</v>
      </c>
      <c r="B1164" t="s">
        <v>311</v>
      </c>
      <c r="C1164">
        <v>75169</v>
      </c>
      <c r="D1164" s="2">
        <v>38.950000000000003</v>
      </c>
      <c r="E1164" s="1">
        <v>43143</v>
      </c>
      <c r="F1164" t="str">
        <f>"REIMBURSEMENT-PART"</f>
        <v>REIMBURSEMENT-PART</v>
      </c>
      <c r="G1164" t="str">
        <f>"reimbursement"</f>
        <v>reimbursement</v>
      </c>
      <c r="H1164" s="2">
        <v>38.950000000000003</v>
      </c>
      <c r="I1164" t="str">
        <f>"reimbursement"</f>
        <v>reimbursement</v>
      </c>
    </row>
    <row r="1165" spans="1:10" x14ac:dyDescent="0.3">
      <c r="A1165" t="str">
        <f>"005025"</f>
        <v>005025</v>
      </c>
      <c r="B1165" t="s">
        <v>312</v>
      </c>
      <c r="C1165">
        <v>75170</v>
      </c>
      <c r="D1165" s="2">
        <v>475</v>
      </c>
      <c r="E1165" s="1">
        <v>43143</v>
      </c>
      <c r="F1165" t="str">
        <f>"201802028464"</f>
        <v>201802028464</v>
      </c>
      <c r="G1165" t="str">
        <f>"MEDIATION SVCS/CAUSE#16-17944"</f>
        <v>MEDIATION SVCS/CAUSE#16-17944</v>
      </c>
      <c r="H1165" s="2">
        <v>475</v>
      </c>
      <c r="I1165" t="str">
        <f>"MEDIATION SVCS/CAUSE#16-17944"</f>
        <v>MEDIATION SVCS/CAUSE#16-17944</v>
      </c>
    </row>
    <row r="1166" spans="1:10" x14ac:dyDescent="0.3">
      <c r="A1166" t="str">
        <f>"005025"</f>
        <v>005025</v>
      </c>
      <c r="B1166" t="s">
        <v>312</v>
      </c>
      <c r="C1166">
        <v>75431</v>
      </c>
      <c r="D1166" s="2">
        <v>600</v>
      </c>
      <c r="E1166" s="1">
        <v>43157</v>
      </c>
      <c r="F1166" t="str">
        <f>"201802218813"</f>
        <v>201802218813</v>
      </c>
      <c r="G1166" t="str">
        <f>"MEDIATION 16-17713"</f>
        <v>MEDIATION 16-17713</v>
      </c>
      <c r="H1166" s="2">
        <v>600</v>
      </c>
      <c r="I1166" t="str">
        <f>"MEDIATION 16-17713"</f>
        <v>MEDIATION 16-17713</v>
      </c>
    </row>
    <row r="1167" spans="1:10" x14ac:dyDescent="0.3">
      <c r="A1167" t="str">
        <f>"MF"</f>
        <v>MF</v>
      </c>
      <c r="B1167" t="s">
        <v>313</v>
      </c>
      <c r="C1167">
        <v>999999</v>
      </c>
      <c r="D1167" s="2">
        <v>507</v>
      </c>
      <c r="E1167" s="1">
        <v>43144</v>
      </c>
      <c r="F1167" t="str">
        <f>"18-004"</f>
        <v>18-004</v>
      </c>
      <c r="G1167" t="str">
        <f>"COURT REPORTING SVCS"</f>
        <v>COURT REPORTING SVCS</v>
      </c>
      <c r="H1167" s="2">
        <v>258.5</v>
      </c>
      <c r="I1167" t="str">
        <f>"COURT REPORTING SVCS"</f>
        <v>COURT REPORTING SVCS</v>
      </c>
    </row>
    <row r="1168" spans="1:10" x14ac:dyDescent="0.3">
      <c r="A1168" t="str">
        <f>""</f>
        <v/>
      </c>
      <c r="F1168" t="str">
        <f>"18-008"</f>
        <v>18-008</v>
      </c>
      <c r="G1168" t="str">
        <f>"COURT REPORTER SVCS/16 373"</f>
        <v>COURT REPORTER SVCS/16 373</v>
      </c>
      <c r="H1168" s="2">
        <v>100</v>
      </c>
      <c r="I1168" t="str">
        <f>"COURT REPORTER SVCS/16 373"</f>
        <v>COURT REPORTER SVCS/16 373</v>
      </c>
    </row>
    <row r="1169" spans="1:9" x14ac:dyDescent="0.3">
      <c r="A1169" t="str">
        <f>""</f>
        <v/>
      </c>
      <c r="F1169" t="str">
        <f>"18-010"</f>
        <v>18-010</v>
      </c>
      <c r="G1169" t="str">
        <f>"423-2157/COURT REP SVCS"</f>
        <v>423-2157/COURT REP SVCS</v>
      </c>
      <c r="H1169" s="2">
        <v>148.5</v>
      </c>
      <c r="I1169" t="str">
        <f>"423-2157/COURT REP SVCS"</f>
        <v>423-2157/COURT REP SVCS</v>
      </c>
    </row>
    <row r="1170" spans="1:9" x14ac:dyDescent="0.3">
      <c r="A1170" t="str">
        <f>"003828"</f>
        <v>003828</v>
      </c>
      <c r="B1170" t="s">
        <v>314</v>
      </c>
      <c r="C1170">
        <v>75171</v>
      </c>
      <c r="D1170" s="2">
        <v>170</v>
      </c>
      <c r="E1170" s="1">
        <v>43143</v>
      </c>
      <c r="F1170" t="str">
        <f>"201802018412"</f>
        <v>201802018412</v>
      </c>
      <c r="G1170" t="str">
        <f>"FERAL HOGS"</f>
        <v>FERAL HOGS</v>
      </c>
      <c r="H1170" s="2">
        <v>170</v>
      </c>
      <c r="I1170" t="str">
        <f>"FERAL HOGS"</f>
        <v>FERAL HOGS</v>
      </c>
    </row>
    <row r="1171" spans="1:9" x14ac:dyDescent="0.3">
      <c r="A1171" t="str">
        <f>"002312"</f>
        <v>002312</v>
      </c>
      <c r="B1171" t="s">
        <v>315</v>
      </c>
      <c r="C1171">
        <v>75172</v>
      </c>
      <c r="D1171" s="2">
        <v>42290.85</v>
      </c>
      <c r="E1171" s="1">
        <v>43143</v>
      </c>
      <c r="F1171" t="str">
        <f>"16142"</f>
        <v>16142</v>
      </c>
      <c r="G1171" t="str">
        <f>"FREIGHT SALES/REC BASE/PCT#2"</f>
        <v>FREIGHT SALES/REC BASE/PCT#2</v>
      </c>
      <c r="H1171" s="2">
        <v>4746.6400000000003</v>
      </c>
      <c r="I1171" t="str">
        <f>"FREIGHT SALES/REC BASE/PCT#2"</f>
        <v>FREIGHT SALES/REC BASE/PCT#2</v>
      </c>
    </row>
    <row r="1172" spans="1:9" x14ac:dyDescent="0.3">
      <c r="A1172" t="str">
        <f>""</f>
        <v/>
      </c>
      <c r="F1172" t="str">
        <f>"16161"</f>
        <v>16161</v>
      </c>
      <c r="G1172" t="str">
        <f>"FREIGHT SALES/BASE/PCT#2"</f>
        <v>FREIGHT SALES/BASE/PCT#2</v>
      </c>
      <c r="H1172" s="2">
        <v>1510.16</v>
      </c>
      <c r="I1172" t="str">
        <f>"FREIGHT SALES/BASE/PCT#2"</f>
        <v>FREIGHT SALES/BASE/PCT#2</v>
      </c>
    </row>
    <row r="1173" spans="1:9" x14ac:dyDescent="0.3">
      <c r="A1173" t="str">
        <f>""</f>
        <v/>
      </c>
      <c r="F1173" t="str">
        <f>"16168"</f>
        <v>16168</v>
      </c>
      <c r="G1173" t="str">
        <f>"FREIGHT SALES/REC BASE/PCT#2"</f>
        <v>FREIGHT SALES/REC BASE/PCT#2</v>
      </c>
      <c r="H1173" s="2">
        <v>381.12</v>
      </c>
      <c r="I1173" t="str">
        <f>"FREIGHT SALES/REC BASE/PCT#2"</f>
        <v>FREIGHT SALES/REC BASE/PCT#2</v>
      </c>
    </row>
    <row r="1174" spans="1:9" x14ac:dyDescent="0.3">
      <c r="A1174" t="str">
        <f>""</f>
        <v/>
      </c>
      <c r="F1174" t="str">
        <f>"16202"</f>
        <v>16202</v>
      </c>
      <c r="G1174" t="str">
        <f>"FREIGHT SALES/PCT#2"</f>
        <v>FREIGHT SALES/PCT#2</v>
      </c>
      <c r="H1174" s="2">
        <v>9532.64</v>
      </c>
      <c r="I1174" t="str">
        <f>"FREIGHT SALES/PCT#2"</f>
        <v>FREIGHT SALES/PCT#2</v>
      </c>
    </row>
    <row r="1175" spans="1:9" x14ac:dyDescent="0.3">
      <c r="A1175" t="str">
        <f>""</f>
        <v/>
      </c>
      <c r="F1175" t="str">
        <f>"16206"</f>
        <v>16206</v>
      </c>
      <c r="G1175" t="str">
        <f>"FREIGHT SALES/PCT#2"</f>
        <v>FREIGHT SALES/PCT#2</v>
      </c>
      <c r="H1175" s="2">
        <v>4941.6000000000004</v>
      </c>
      <c r="I1175" t="str">
        <f>"FREIGHT SALES/PCT#2"</f>
        <v>FREIGHT SALES/PCT#2</v>
      </c>
    </row>
    <row r="1176" spans="1:9" x14ac:dyDescent="0.3">
      <c r="A1176" t="str">
        <f>""</f>
        <v/>
      </c>
      <c r="F1176" t="str">
        <f>"16250"</f>
        <v>16250</v>
      </c>
      <c r="G1176" t="str">
        <f>"FREIGHT SALES/ PCT#2"</f>
        <v>FREIGHT SALES/ PCT#2</v>
      </c>
      <c r="H1176" s="2">
        <v>9231.2800000000007</v>
      </c>
      <c r="I1176" t="str">
        <f>"FREIGHT SALES/ PCT#2"</f>
        <v>FREIGHT SALES/ PCT#2</v>
      </c>
    </row>
    <row r="1177" spans="1:9" x14ac:dyDescent="0.3">
      <c r="A1177" t="str">
        <f>""</f>
        <v/>
      </c>
      <c r="F1177" t="str">
        <f>"16300"</f>
        <v>16300</v>
      </c>
      <c r="G1177" t="str">
        <f t="shared" ref="G1177:G1182" si="6">"FREIGHT SALES/PCT#2"</f>
        <v>FREIGHT SALES/PCT#2</v>
      </c>
      <c r="H1177" s="2">
        <v>6009.92</v>
      </c>
      <c r="I1177" t="str">
        <f t="shared" ref="I1177:I1182" si="7">"FREIGHT SALES/PCT#2"</f>
        <v>FREIGHT SALES/PCT#2</v>
      </c>
    </row>
    <row r="1178" spans="1:9" x14ac:dyDescent="0.3">
      <c r="A1178" t="str">
        <f>""</f>
        <v/>
      </c>
      <c r="F1178" t="str">
        <f>"16301"</f>
        <v>16301</v>
      </c>
      <c r="G1178" t="str">
        <f t="shared" si="6"/>
        <v>FREIGHT SALES/PCT#2</v>
      </c>
      <c r="H1178" s="2">
        <v>5937.49</v>
      </c>
      <c r="I1178" t="str">
        <f t="shared" si="7"/>
        <v>FREIGHT SALES/PCT#2</v>
      </c>
    </row>
    <row r="1179" spans="1:9" x14ac:dyDescent="0.3">
      <c r="A1179" t="str">
        <f>"002312"</f>
        <v>002312</v>
      </c>
      <c r="B1179" t="s">
        <v>315</v>
      </c>
      <c r="C1179">
        <v>75432</v>
      </c>
      <c r="D1179" s="2">
        <v>13195.2</v>
      </c>
      <c r="E1179" s="1">
        <v>43157</v>
      </c>
      <c r="F1179" t="str">
        <f>"16361"</f>
        <v>16361</v>
      </c>
      <c r="G1179" t="str">
        <f t="shared" si="6"/>
        <v>FREIGHT SALES/PCT#2</v>
      </c>
      <c r="H1179" s="2">
        <v>3164.56</v>
      </c>
      <c r="I1179" t="str">
        <f t="shared" si="7"/>
        <v>FREIGHT SALES/PCT#2</v>
      </c>
    </row>
    <row r="1180" spans="1:9" x14ac:dyDescent="0.3">
      <c r="A1180" t="str">
        <f>""</f>
        <v/>
      </c>
      <c r="F1180" t="str">
        <f>"16362"</f>
        <v>16362</v>
      </c>
      <c r="G1180" t="str">
        <f t="shared" si="6"/>
        <v>FREIGHT SALES/PCT#2</v>
      </c>
      <c r="H1180" s="2">
        <v>9104.4</v>
      </c>
      <c r="I1180" t="str">
        <f t="shared" si="7"/>
        <v>FREIGHT SALES/PCT#2</v>
      </c>
    </row>
    <row r="1181" spans="1:9" x14ac:dyDescent="0.3">
      <c r="A1181" t="str">
        <f>""</f>
        <v/>
      </c>
      <c r="F1181" t="str">
        <f>"16363"</f>
        <v>16363</v>
      </c>
      <c r="G1181" t="str">
        <f t="shared" si="6"/>
        <v>FREIGHT SALES/PCT#2</v>
      </c>
      <c r="H1181" s="2">
        <v>621.80999999999995</v>
      </c>
      <c r="I1181" t="str">
        <f t="shared" si="7"/>
        <v>FREIGHT SALES/PCT#2</v>
      </c>
    </row>
    <row r="1182" spans="1:9" x14ac:dyDescent="0.3">
      <c r="A1182" t="str">
        <f>""</f>
        <v/>
      </c>
      <c r="F1182" t="str">
        <f>"16364"</f>
        <v>16364</v>
      </c>
      <c r="G1182" t="str">
        <f t="shared" si="6"/>
        <v>FREIGHT SALES/PCT#2</v>
      </c>
      <c r="H1182" s="2">
        <v>304.43</v>
      </c>
      <c r="I1182" t="str">
        <f t="shared" si="7"/>
        <v>FREIGHT SALES/PCT#2</v>
      </c>
    </row>
    <row r="1183" spans="1:9" x14ac:dyDescent="0.3">
      <c r="A1183" t="str">
        <f>"MU&amp;E"</f>
        <v>MU&amp;E</v>
      </c>
      <c r="B1183" t="s">
        <v>316</v>
      </c>
      <c r="C1183">
        <v>999999</v>
      </c>
      <c r="D1183" s="2">
        <v>500</v>
      </c>
      <c r="E1183" s="1">
        <v>43144</v>
      </c>
      <c r="F1183" t="str">
        <f>"INV92743/95081"</f>
        <v>INV92743/95081</v>
      </c>
      <c r="G1183" t="str">
        <f>"INV 92743/95081"</f>
        <v>INV 92743/95081</v>
      </c>
      <c r="H1183" s="2">
        <v>193</v>
      </c>
      <c r="I1183" t="str">
        <f>"INV 92743/95081"</f>
        <v>INV 92743/95081</v>
      </c>
    </row>
    <row r="1184" spans="1:9" x14ac:dyDescent="0.3">
      <c r="A1184" t="str">
        <f>""</f>
        <v/>
      </c>
      <c r="F1184" t="str">
        <f>"INV93334"</f>
        <v>INV93334</v>
      </c>
      <c r="G1184" t="str">
        <f>"INV 93334"</f>
        <v>INV 93334</v>
      </c>
      <c r="H1184" s="2">
        <v>307</v>
      </c>
      <c r="I1184" t="str">
        <f>"INV 93334"</f>
        <v>INV 93334</v>
      </c>
    </row>
    <row r="1185" spans="1:10" x14ac:dyDescent="0.3">
      <c r="A1185" t="str">
        <f t="shared" ref="A1185:A1196" si="8">"1"</f>
        <v>1</v>
      </c>
      <c r="B1185" t="s">
        <v>317</v>
      </c>
      <c r="C1185">
        <v>75318</v>
      </c>
      <c r="D1185" s="2">
        <v>40</v>
      </c>
      <c r="E1185" s="1">
        <v>43147</v>
      </c>
      <c r="F1185" t="str">
        <f>"201802168789"</f>
        <v>201802168789</v>
      </c>
      <c r="G1185" t="str">
        <f>"Miscellan"</f>
        <v>Miscellan</v>
      </c>
      <c r="H1185" s="2">
        <v>40</v>
      </c>
      <c r="I1185" t="str">
        <f>"JANA HOFFMAN MOORE"</f>
        <v>JANA HOFFMAN MOORE</v>
      </c>
    </row>
    <row r="1186" spans="1:10" x14ac:dyDescent="0.3">
      <c r="A1186" t="str">
        <f t="shared" si="8"/>
        <v>1</v>
      </c>
      <c r="B1186" t="s">
        <v>318</v>
      </c>
      <c r="C1186">
        <v>75319</v>
      </c>
      <c r="D1186" s="2">
        <v>40</v>
      </c>
      <c r="E1186" s="1">
        <v>43147</v>
      </c>
      <c r="F1186" t="str">
        <f>"201802168790"</f>
        <v>201802168790</v>
      </c>
      <c r="G1186" t="str">
        <f>"Miscellaneous"</f>
        <v>Miscellaneous</v>
      </c>
      <c r="H1186" s="2">
        <v>40</v>
      </c>
      <c r="I1186" t="str">
        <f>"SCOTT A SHIKE"</f>
        <v>SCOTT A SHIKE</v>
      </c>
    </row>
    <row r="1187" spans="1:10" x14ac:dyDescent="0.3">
      <c r="A1187" t="str">
        <f t="shared" si="8"/>
        <v>1</v>
      </c>
      <c r="B1187" t="s">
        <v>319</v>
      </c>
      <c r="C1187">
        <v>75320</v>
      </c>
      <c r="D1187" s="2">
        <v>40</v>
      </c>
      <c r="E1187" s="1">
        <v>43147</v>
      </c>
      <c r="F1187" t="str">
        <f>"201802168791"</f>
        <v>201802168791</v>
      </c>
      <c r="G1187" t="str">
        <f>"Miscell"</f>
        <v>Miscell</v>
      </c>
      <c r="H1187" s="2">
        <v>40</v>
      </c>
      <c r="I1187" t="str">
        <f>"TIMOTHY EUGENE BROWN"</f>
        <v>TIMOTHY EUGENE BROWN</v>
      </c>
    </row>
    <row r="1188" spans="1:10" x14ac:dyDescent="0.3">
      <c r="A1188" t="str">
        <f t="shared" si="8"/>
        <v>1</v>
      </c>
      <c r="B1188" t="s">
        <v>320</v>
      </c>
      <c r="C1188">
        <v>75321</v>
      </c>
      <c r="D1188" s="2">
        <v>40</v>
      </c>
      <c r="E1188" s="1">
        <v>43147</v>
      </c>
      <c r="F1188" t="str">
        <f>"201802168792"</f>
        <v>201802168792</v>
      </c>
      <c r="G1188" t="str">
        <f>"Miscellan"</f>
        <v>Miscellan</v>
      </c>
      <c r="H1188" s="2">
        <v>40</v>
      </c>
      <c r="I1188" t="str">
        <f>"BRUCE ROBERT ALLYN"</f>
        <v>BRUCE ROBERT ALLYN</v>
      </c>
    </row>
    <row r="1189" spans="1:10" x14ac:dyDescent="0.3">
      <c r="A1189" t="str">
        <f t="shared" si="8"/>
        <v>1</v>
      </c>
      <c r="B1189" t="s">
        <v>321</v>
      </c>
      <c r="C1189">
        <v>75322</v>
      </c>
      <c r="D1189" s="2">
        <v>40</v>
      </c>
      <c r="E1189" s="1">
        <v>43147</v>
      </c>
      <c r="F1189" t="str">
        <f>"201802168793"</f>
        <v>201802168793</v>
      </c>
      <c r="G1189" t="str">
        <f>"Miscella"</f>
        <v>Miscella</v>
      </c>
      <c r="H1189" s="2">
        <v>40</v>
      </c>
      <c r="I1189" t="str">
        <f>"DAVID KYLE BRUMMITT"</f>
        <v>DAVID KYLE BRUMMITT</v>
      </c>
    </row>
    <row r="1190" spans="1:10" x14ac:dyDescent="0.3">
      <c r="A1190" t="str">
        <f t="shared" si="8"/>
        <v>1</v>
      </c>
      <c r="B1190" t="s">
        <v>322</v>
      </c>
      <c r="C1190">
        <v>75323</v>
      </c>
      <c r="D1190" s="2">
        <v>40</v>
      </c>
      <c r="E1190" s="1">
        <v>43147</v>
      </c>
      <c r="F1190" t="str">
        <f>"201802168794"</f>
        <v>201802168794</v>
      </c>
      <c r="G1190" t="str">
        <f>"Miscellan"</f>
        <v>Miscellan</v>
      </c>
      <c r="H1190" s="2">
        <v>40</v>
      </c>
      <c r="I1190" t="str">
        <f>"LAUREN N SCHECKTER"</f>
        <v>LAUREN N SCHECKTER</v>
      </c>
    </row>
    <row r="1191" spans="1:10" x14ac:dyDescent="0.3">
      <c r="A1191" t="str">
        <f t="shared" si="8"/>
        <v>1</v>
      </c>
      <c r="B1191" t="s">
        <v>323</v>
      </c>
      <c r="C1191">
        <v>75324</v>
      </c>
      <c r="D1191" s="2">
        <v>40</v>
      </c>
      <c r="E1191" s="1">
        <v>43147</v>
      </c>
      <c r="F1191" t="str">
        <f>"201802168795"</f>
        <v>201802168795</v>
      </c>
      <c r="G1191" t="str">
        <f>"Miscell"</f>
        <v>Miscell</v>
      </c>
      <c r="H1191" s="2">
        <v>40</v>
      </c>
      <c r="I1191" t="str">
        <f>"JOSE ADRION FIGUEROA"</f>
        <v>JOSE ADRION FIGUEROA</v>
      </c>
    </row>
    <row r="1192" spans="1:10" x14ac:dyDescent="0.3">
      <c r="A1192" t="str">
        <f t="shared" si="8"/>
        <v>1</v>
      </c>
      <c r="B1192" t="s">
        <v>324</v>
      </c>
      <c r="C1192">
        <v>75325</v>
      </c>
      <c r="D1192" s="2">
        <v>40</v>
      </c>
      <c r="E1192" s="1">
        <v>43147</v>
      </c>
      <c r="F1192" t="str">
        <f>"201802168796"</f>
        <v>201802168796</v>
      </c>
      <c r="G1192" t="str">
        <f>"M"</f>
        <v>M</v>
      </c>
      <c r="H1192" s="2">
        <v>40</v>
      </c>
      <c r="I1192" t="str">
        <f>"SARAH ELIZABETH-ANN EDSALL"</f>
        <v>SARAH ELIZABETH-ANN EDSALL</v>
      </c>
    </row>
    <row r="1193" spans="1:10" x14ac:dyDescent="0.3">
      <c r="A1193" t="str">
        <f t="shared" si="8"/>
        <v>1</v>
      </c>
      <c r="B1193" t="s">
        <v>325</v>
      </c>
      <c r="C1193">
        <v>75326</v>
      </c>
      <c r="D1193" s="2">
        <v>40</v>
      </c>
      <c r="E1193" s="1">
        <v>43147</v>
      </c>
      <c r="F1193" t="str">
        <f>"201802168797"</f>
        <v>201802168797</v>
      </c>
      <c r="G1193" t="str">
        <f>"Misce"</f>
        <v>Misce</v>
      </c>
      <c r="H1193" s="2">
        <v>40</v>
      </c>
      <c r="I1193" t="str">
        <f>"SYLVIA GONZALEZ WATSON"</f>
        <v>SYLVIA GONZALEZ WATSON</v>
      </c>
    </row>
    <row r="1194" spans="1:10" x14ac:dyDescent="0.3">
      <c r="A1194" t="str">
        <f t="shared" si="8"/>
        <v>1</v>
      </c>
      <c r="B1194" t="s">
        <v>326</v>
      </c>
      <c r="C1194">
        <v>75327</v>
      </c>
      <c r="D1194" s="2">
        <v>40</v>
      </c>
      <c r="E1194" s="1">
        <v>43147</v>
      </c>
      <c r="F1194" t="str">
        <f>"201802168798"</f>
        <v>201802168798</v>
      </c>
      <c r="G1194" t="str">
        <f>"Miscellane"</f>
        <v>Miscellane</v>
      </c>
      <c r="H1194" s="2">
        <v>40</v>
      </c>
      <c r="I1194" t="str">
        <f>"LARRY GENE HANSEN"</f>
        <v>LARRY GENE HANSEN</v>
      </c>
    </row>
    <row r="1195" spans="1:10" x14ac:dyDescent="0.3">
      <c r="A1195" t="str">
        <f t="shared" si="8"/>
        <v>1</v>
      </c>
      <c r="B1195" t="s">
        <v>327</v>
      </c>
      <c r="C1195">
        <v>75328</v>
      </c>
      <c r="D1195" s="2">
        <v>40</v>
      </c>
      <c r="E1195" s="1">
        <v>43147</v>
      </c>
      <c r="F1195" t="str">
        <f>"201802168799"</f>
        <v>201802168799</v>
      </c>
      <c r="G1195" t="str">
        <f>"Miscel"</f>
        <v>Miscel</v>
      </c>
      <c r="H1195" s="2">
        <v>40</v>
      </c>
      <c r="I1195" t="str">
        <f>"ANTHONY MARK BONTEMPO"</f>
        <v>ANTHONY MARK BONTEMPO</v>
      </c>
    </row>
    <row r="1196" spans="1:10" x14ac:dyDescent="0.3">
      <c r="A1196" t="str">
        <f t="shared" si="8"/>
        <v>1</v>
      </c>
      <c r="B1196" t="s">
        <v>328</v>
      </c>
      <c r="C1196">
        <v>75329</v>
      </c>
      <c r="D1196" s="2">
        <v>40</v>
      </c>
      <c r="E1196" s="1">
        <v>43147</v>
      </c>
      <c r="F1196" t="str">
        <f>"201802168800"</f>
        <v>201802168800</v>
      </c>
      <c r="G1196" t="str">
        <f>"Miscellan"</f>
        <v>Miscellan</v>
      </c>
      <c r="H1196" s="2">
        <v>40</v>
      </c>
      <c r="I1196" t="str">
        <f>"BETHANY RENEE COOK"</f>
        <v>BETHANY RENEE COOK</v>
      </c>
    </row>
    <row r="1197" spans="1:10" x14ac:dyDescent="0.3">
      <c r="A1197" t="str">
        <f>"004280"</f>
        <v>004280</v>
      </c>
      <c r="B1197" t="s">
        <v>329</v>
      </c>
      <c r="C1197">
        <v>75173</v>
      </c>
      <c r="D1197" s="2">
        <v>50</v>
      </c>
      <c r="E1197" s="1">
        <v>43143</v>
      </c>
      <c r="F1197" t="s">
        <v>330</v>
      </c>
      <c r="G1197" t="s">
        <v>331</v>
      </c>
      <c r="H1197" s="2" t="str">
        <f>"RESTITUTION-O. CABALLERO"</f>
        <v>RESTITUTION-O. CABALLERO</v>
      </c>
      <c r="I1197" t="str">
        <f>"210-0000"</f>
        <v>210-0000</v>
      </c>
      <c r="J1197">
        <v>50</v>
      </c>
    </row>
    <row r="1198" spans="1:10" x14ac:dyDescent="0.3">
      <c r="A1198" t="str">
        <f>"005326"</f>
        <v>005326</v>
      </c>
      <c r="B1198" t="s">
        <v>332</v>
      </c>
      <c r="C1198">
        <v>75174</v>
      </c>
      <c r="D1198" s="2">
        <v>145</v>
      </c>
      <c r="E1198" s="1">
        <v>43143</v>
      </c>
      <c r="F1198" t="str">
        <f>"13082"</f>
        <v>13082</v>
      </c>
      <c r="G1198" t="str">
        <f>"FEB DUMPSTER RENTAL/GEN SVCS"</f>
        <v>FEB DUMPSTER RENTAL/GEN SVCS</v>
      </c>
      <c r="H1198" s="2">
        <v>145</v>
      </c>
      <c r="I1198" t="str">
        <f>"FEB DUMPSTER RENTAL/GEN SVCS"</f>
        <v>FEB DUMPSTER RENTAL/GEN SVCS</v>
      </c>
    </row>
    <row r="1199" spans="1:10" x14ac:dyDescent="0.3">
      <c r="A1199" t="str">
        <f>"MOORE"</f>
        <v>MOORE</v>
      </c>
      <c r="B1199" t="s">
        <v>333</v>
      </c>
      <c r="C1199">
        <v>75175</v>
      </c>
      <c r="D1199" s="2">
        <v>1755.26</v>
      </c>
      <c r="E1199" s="1">
        <v>43143</v>
      </c>
      <c r="F1199" t="str">
        <f>"83465794/83464176"</f>
        <v>83465794/83464176</v>
      </c>
      <c r="G1199" t="str">
        <f>"INV 83465794/83464176"</f>
        <v>INV 83465794/83464176</v>
      </c>
      <c r="H1199" s="2">
        <v>1755.26</v>
      </c>
      <c r="I1199" t="str">
        <f>"INV 83465794"</f>
        <v>INV 83465794</v>
      </c>
    </row>
    <row r="1200" spans="1:10" x14ac:dyDescent="0.3">
      <c r="A1200" t="str">
        <f>""</f>
        <v/>
      </c>
      <c r="F1200" t="str">
        <f>""</f>
        <v/>
      </c>
      <c r="G1200" t="str">
        <f>""</f>
        <v/>
      </c>
      <c r="I1200" t="str">
        <f>"INV 83464176"</f>
        <v>INV 83464176</v>
      </c>
    </row>
    <row r="1201" spans="1:9" x14ac:dyDescent="0.3">
      <c r="A1201" t="str">
        <f>"189"</f>
        <v>189</v>
      </c>
      <c r="B1201" t="s">
        <v>334</v>
      </c>
      <c r="C1201">
        <v>75176</v>
      </c>
      <c r="D1201" s="2">
        <v>45664</v>
      </c>
      <c r="E1201" s="1">
        <v>43143</v>
      </c>
      <c r="F1201" t="str">
        <f>"41245890"</f>
        <v>41245890</v>
      </c>
      <c r="G1201" t="str">
        <f>"Inv# 41245890"</f>
        <v>Inv# 41245890</v>
      </c>
      <c r="H1201" s="2">
        <v>45664</v>
      </c>
      <c r="I1201" t="str">
        <f>"Equipment"</f>
        <v>Equipment</v>
      </c>
    </row>
    <row r="1202" spans="1:9" x14ac:dyDescent="0.3">
      <c r="A1202" t="str">
        <f>""</f>
        <v/>
      </c>
      <c r="F1202" t="str">
        <f>""</f>
        <v/>
      </c>
      <c r="G1202" t="str">
        <f>""</f>
        <v/>
      </c>
      <c r="I1202" t="str">
        <f>"Services"</f>
        <v>Services</v>
      </c>
    </row>
    <row r="1203" spans="1:9" x14ac:dyDescent="0.3">
      <c r="A1203" t="str">
        <f>"189"</f>
        <v>189</v>
      </c>
      <c r="B1203" t="s">
        <v>334</v>
      </c>
      <c r="C1203">
        <v>75433</v>
      </c>
      <c r="D1203" s="2">
        <v>20462.349999999999</v>
      </c>
      <c r="E1203" s="1">
        <v>43157</v>
      </c>
      <c r="F1203" t="str">
        <f>"201802218816"</f>
        <v>201802218816</v>
      </c>
      <c r="G1203" t="str">
        <f>"RADIO SERVICE AGREEMENT-FEB18"</f>
        <v>RADIO SERVICE AGREEMENT-FEB18</v>
      </c>
      <c r="H1203" s="2">
        <v>20462.349999999999</v>
      </c>
      <c r="I1203" t="str">
        <f>"RADIO SERVICE AGREEMENT"</f>
        <v>RADIO SERVICE AGREEMENT</v>
      </c>
    </row>
    <row r="1204" spans="1:9" x14ac:dyDescent="0.3">
      <c r="A1204" t="str">
        <f>"004694"</f>
        <v>004694</v>
      </c>
      <c r="B1204" t="s">
        <v>335</v>
      </c>
      <c r="C1204">
        <v>75177</v>
      </c>
      <c r="D1204" s="2">
        <v>795</v>
      </c>
      <c r="E1204" s="1">
        <v>43143</v>
      </c>
      <c r="F1204" t="str">
        <f>"86418087"</f>
        <v>86418087</v>
      </c>
      <c r="G1204" t="str">
        <f>"WATER TREATMENT SVCS/GEN SVCS"</f>
        <v>WATER TREATMENT SVCS/GEN SVCS</v>
      </c>
      <c r="H1204" s="2">
        <v>795</v>
      </c>
      <c r="I1204" t="str">
        <f>"WATER TREATMENT SVCS/GEN SVCS"</f>
        <v>WATER TREATMENT SVCS/GEN SVCS</v>
      </c>
    </row>
    <row r="1205" spans="1:9" x14ac:dyDescent="0.3">
      <c r="A1205" t="str">
        <f>"004694"</f>
        <v>004694</v>
      </c>
      <c r="B1205" t="s">
        <v>335</v>
      </c>
      <c r="C1205">
        <v>75434</v>
      </c>
      <c r="D1205" s="2">
        <v>795</v>
      </c>
      <c r="E1205" s="1">
        <v>43157</v>
      </c>
      <c r="F1205" t="str">
        <f>"86432701"</f>
        <v>86432701</v>
      </c>
      <c r="G1205" t="str">
        <f>"AGREEMENT#9195371/SVC 2/1-2/28"</f>
        <v>AGREEMENT#9195371/SVC 2/1-2/28</v>
      </c>
      <c r="H1205" s="2">
        <v>795</v>
      </c>
      <c r="I1205" t="str">
        <f>"AGREEMENT#9195371/SVC 2/1-2/28"</f>
        <v>AGREEMENT#9195371/SVC 2/1-2/28</v>
      </c>
    </row>
    <row r="1206" spans="1:9" x14ac:dyDescent="0.3">
      <c r="A1206" t="str">
        <f>"002766"</f>
        <v>002766</v>
      </c>
      <c r="B1206" t="s">
        <v>336</v>
      </c>
      <c r="C1206">
        <v>75435</v>
      </c>
      <c r="D1206" s="2">
        <v>25</v>
      </c>
      <c r="E1206" s="1">
        <v>43157</v>
      </c>
      <c r="F1206" t="str">
        <f>"201802158774"</f>
        <v>201802158774</v>
      </c>
      <c r="G1206" t="str">
        <f>"DRIVEWAY PERMIT FEE REFUND"</f>
        <v>DRIVEWAY PERMIT FEE REFUND</v>
      </c>
      <c r="H1206" s="2">
        <v>25</v>
      </c>
      <c r="I1206" t="str">
        <f>"DRIVEWAY PERMIT FEE REFUND"</f>
        <v>DRIVEWAY PERMIT FEE REFUND</v>
      </c>
    </row>
    <row r="1207" spans="1:9" x14ac:dyDescent="0.3">
      <c r="A1207" t="str">
        <f>"T11101"</f>
        <v>T11101</v>
      </c>
      <c r="B1207" t="s">
        <v>337</v>
      </c>
      <c r="C1207">
        <v>75436</v>
      </c>
      <c r="D1207" s="2">
        <v>195</v>
      </c>
      <c r="E1207" s="1">
        <v>43157</v>
      </c>
      <c r="F1207" t="str">
        <f>"2018-05-1"</f>
        <v>2018-05-1</v>
      </c>
      <c r="G1207" t="str">
        <f>"SUBSTITUTE COURT REPORTING"</f>
        <v>SUBSTITUTE COURT REPORTING</v>
      </c>
      <c r="H1207" s="2">
        <v>195</v>
      </c>
      <c r="I1207" t="str">
        <f>"SUBSTITUTE COURT REPORTING"</f>
        <v>SUBSTITUTE COURT REPORTING</v>
      </c>
    </row>
    <row r="1208" spans="1:9" x14ac:dyDescent="0.3">
      <c r="A1208" t="str">
        <f>"000562"</f>
        <v>000562</v>
      </c>
      <c r="B1208" t="s">
        <v>338</v>
      </c>
      <c r="C1208">
        <v>999999</v>
      </c>
      <c r="D1208" s="2">
        <v>18436.419999999998</v>
      </c>
      <c r="E1208" s="1">
        <v>43144</v>
      </c>
      <c r="F1208" t="str">
        <f>"IN0795540"</f>
        <v>IN0795540</v>
      </c>
      <c r="G1208" t="str">
        <f>"INV IN0795540"</f>
        <v>INV IN0795540</v>
      </c>
      <c r="H1208" s="2">
        <v>3192</v>
      </c>
      <c r="I1208" t="str">
        <f>"INV IN0795540"</f>
        <v>INV IN0795540</v>
      </c>
    </row>
    <row r="1209" spans="1:9" x14ac:dyDescent="0.3">
      <c r="A1209" t="str">
        <f>""</f>
        <v/>
      </c>
      <c r="F1209" t="str">
        <f>"IN0796160"</f>
        <v>IN0796160</v>
      </c>
      <c r="G1209" t="str">
        <f>"INV IN0796160"</f>
        <v>INV IN0796160</v>
      </c>
      <c r="H1209" s="2">
        <v>4291.7</v>
      </c>
      <c r="I1209" t="str">
        <f>"INV IN0796160"</f>
        <v>INV IN0796160</v>
      </c>
    </row>
    <row r="1210" spans="1:9" x14ac:dyDescent="0.3">
      <c r="A1210" t="str">
        <f>""</f>
        <v/>
      </c>
      <c r="F1210" t="str">
        <f>"IN0796795/IN079730"</f>
        <v>IN0796795/IN079730</v>
      </c>
      <c r="G1210" t="str">
        <f>"INV IN0796795"</f>
        <v>INV IN0796795</v>
      </c>
      <c r="H1210" s="2">
        <v>4386.09</v>
      </c>
      <c r="I1210" t="str">
        <f>"INV IN0796795"</f>
        <v>INV IN0796795</v>
      </c>
    </row>
    <row r="1211" spans="1:9" x14ac:dyDescent="0.3">
      <c r="A1211" t="str">
        <f>""</f>
        <v/>
      </c>
      <c r="F1211" t="str">
        <f>""</f>
        <v/>
      </c>
      <c r="G1211" t="str">
        <f>""</f>
        <v/>
      </c>
      <c r="I1211" t="str">
        <f>"INV IN0797300"</f>
        <v>INV IN0797300</v>
      </c>
    </row>
    <row r="1212" spans="1:9" x14ac:dyDescent="0.3">
      <c r="A1212" t="str">
        <f>""</f>
        <v/>
      </c>
      <c r="F1212" t="str">
        <f>"IN0796868/CM090703"</f>
        <v>IN0796868/CM090703</v>
      </c>
      <c r="G1212" t="str">
        <f>"INV IN0796868"</f>
        <v>INV IN0796868</v>
      </c>
      <c r="H1212" s="2">
        <v>2122.5</v>
      </c>
      <c r="I1212" t="str">
        <f>"INV IN0796868"</f>
        <v>INV IN0796868</v>
      </c>
    </row>
    <row r="1213" spans="1:9" x14ac:dyDescent="0.3">
      <c r="A1213" t="str">
        <f>""</f>
        <v/>
      </c>
      <c r="F1213" t="str">
        <f>""</f>
        <v/>
      </c>
      <c r="G1213" t="str">
        <f>""</f>
        <v/>
      </c>
      <c r="I1213" t="str">
        <f>"INV CM0907036"</f>
        <v>INV CM0907036</v>
      </c>
    </row>
    <row r="1214" spans="1:9" x14ac:dyDescent="0.3">
      <c r="A1214" t="str">
        <f>""</f>
        <v/>
      </c>
      <c r="F1214" t="str">
        <f>""</f>
        <v/>
      </c>
      <c r="G1214" t="str">
        <f>""</f>
        <v/>
      </c>
      <c r="I1214" t="str">
        <f>"INV IN0796103R"</f>
        <v>INV IN0796103R</v>
      </c>
    </row>
    <row r="1215" spans="1:9" x14ac:dyDescent="0.3">
      <c r="A1215" t="str">
        <f>""</f>
        <v/>
      </c>
      <c r="F1215" t="str">
        <f>"IN0796996"</f>
        <v>IN0796996</v>
      </c>
      <c r="G1215" t="str">
        <f>"INV IN0796996"</f>
        <v>INV IN0796996</v>
      </c>
      <c r="H1215" s="2">
        <v>4444.13</v>
      </c>
      <c r="I1215" t="str">
        <f>"INV IN0796996"</f>
        <v>INV IN0796996</v>
      </c>
    </row>
    <row r="1216" spans="1:9" x14ac:dyDescent="0.3">
      <c r="A1216" t="str">
        <f>"000562"</f>
        <v>000562</v>
      </c>
      <c r="B1216" t="s">
        <v>338</v>
      </c>
      <c r="C1216">
        <v>999999</v>
      </c>
      <c r="D1216" s="2">
        <v>7933.74</v>
      </c>
      <c r="E1216" s="1">
        <v>43158</v>
      </c>
      <c r="F1216" t="str">
        <f>"IN0797234/797394"</f>
        <v>IN0797234/797394</v>
      </c>
      <c r="G1216" t="str">
        <f>"INV IN0797234"</f>
        <v>INV IN0797234</v>
      </c>
      <c r="H1216" s="2">
        <v>4573.74</v>
      </c>
      <c r="I1216" t="str">
        <f>"INV IN0797234"</f>
        <v>INV IN0797234</v>
      </c>
    </row>
    <row r="1217" spans="1:9" x14ac:dyDescent="0.3">
      <c r="A1217" t="str">
        <f>""</f>
        <v/>
      </c>
      <c r="F1217" t="str">
        <f>""</f>
        <v/>
      </c>
      <c r="G1217" t="str">
        <f>""</f>
        <v/>
      </c>
      <c r="I1217" t="str">
        <f>"INV CM0907090"</f>
        <v>INV CM0907090</v>
      </c>
    </row>
    <row r="1218" spans="1:9" x14ac:dyDescent="0.3">
      <c r="A1218" t="str">
        <f>""</f>
        <v/>
      </c>
      <c r="F1218" t="str">
        <f>""</f>
        <v/>
      </c>
      <c r="G1218" t="str">
        <f>""</f>
        <v/>
      </c>
      <c r="I1218" t="str">
        <f>"INV IN0797394"</f>
        <v>INV IN0797394</v>
      </c>
    </row>
    <row r="1219" spans="1:9" x14ac:dyDescent="0.3">
      <c r="A1219" t="str">
        <f>""</f>
        <v/>
      </c>
      <c r="F1219" t="str">
        <f>""</f>
        <v/>
      </c>
      <c r="G1219" t="str">
        <f>""</f>
        <v/>
      </c>
      <c r="I1219" t="str">
        <f>"INV CM0907116"</f>
        <v>INV CM0907116</v>
      </c>
    </row>
    <row r="1220" spans="1:9" x14ac:dyDescent="0.3">
      <c r="A1220" t="str">
        <f>""</f>
        <v/>
      </c>
      <c r="F1220" t="str">
        <f>"IN0797395/0797332"</f>
        <v>IN0797395/0797332</v>
      </c>
      <c r="G1220" t="str">
        <f>"INV IN0797395"</f>
        <v>INV IN0797395</v>
      </c>
      <c r="H1220" s="2">
        <v>3360</v>
      </c>
      <c r="I1220" t="str">
        <f>"INV IN0797395"</f>
        <v>INV IN0797395</v>
      </c>
    </row>
    <row r="1221" spans="1:9" x14ac:dyDescent="0.3">
      <c r="A1221" t="str">
        <f>""</f>
        <v/>
      </c>
      <c r="F1221" t="str">
        <f>""</f>
        <v/>
      </c>
      <c r="G1221" t="str">
        <f>""</f>
        <v/>
      </c>
      <c r="I1221" t="str">
        <f>"INV IN0797332"</f>
        <v>INV IN0797332</v>
      </c>
    </row>
    <row r="1222" spans="1:9" x14ac:dyDescent="0.3">
      <c r="A1222" t="str">
        <f>"T7524"</f>
        <v>T7524</v>
      </c>
      <c r="B1222" t="s">
        <v>339</v>
      </c>
      <c r="C1222">
        <v>75178</v>
      </c>
      <c r="D1222" s="2">
        <v>150</v>
      </c>
      <c r="E1222" s="1">
        <v>43143</v>
      </c>
      <c r="F1222" t="str">
        <f>"201801238194"</f>
        <v>201801238194</v>
      </c>
      <c r="G1222" t="str">
        <f>"NEAFCS DUES-HILLARY LONG"</f>
        <v>NEAFCS DUES-HILLARY LONG</v>
      </c>
      <c r="H1222" s="2">
        <v>150</v>
      </c>
      <c r="I1222" t="str">
        <f>"NEAFCS DUES-HILLARY LONG"</f>
        <v>NEAFCS DUES-HILLARY LONG</v>
      </c>
    </row>
    <row r="1223" spans="1:9" x14ac:dyDescent="0.3">
      <c r="A1223" t="str">
        <f>"003327"</f>
        <v>003327</v>
      </c>
      <c r="B1223" t="s">
        <v>340</v>
      </c>
      <c r="C1223">
        <v>75179</v>
      </c>
      <c r="D1223" s="2">
        <v>2502</v>
      </c>
      <c r="E1223" s="1">
        <v>43143</v>
      </c>
      <c r="F1223" t="str">
        <f>"8008"</f>
        <v>8008</v>
      </c>
      <c r="G1223" t="str">
        <f>"EXTENDED WARRANTY/TAX OFFICE"</f>
        <v>EXTENDED WARRANTY/TAX OFFICE</v>
      </c>
      <c r="H1223" s="2">
        <v>2502</v>
      </c>
      <c r="I1223" t="str">
        <f>"EXTENDED WARRANTY/TAX OFFICE"</f>
        <v>EXTENDED WARRANTY/TAX OFFICE</v>
      </c>
    </row>
    <row r="1224" spans="1:9" x14ac:dyDescent="0.3">
      <c r="A1224" t="str">
        <f>"003026"</f>
        <v>003026</v>
      </c>
      <c r="B1224" t="s">
        <v>341</v>
      </c>
      <c r="C1224">
        <v>75180</v>
      </c>
      <c r="D1224" s="2">
        <v>1974</v>
      </c>
      <c r="E1224" s="1">
        <v>43143</v>
      </c>
      <c r="F1224" t="str">
        <f>"Q-132241-1"</f>
        <v>Q-132241-1</v>
      </c>
      <c r="G1224" t="str">
        <f>"ACCT#00100000005E1LB"</f>
        <v>ACCT#00100000005E1LB</v>
      </c>
      <c r="H1224" s="2">
        <v>1377</v>
      </c>
      <c r="I1224" t="str">
        <f>"ACCT#00100000005E1LB"</f>
        <v>ACCT#00100000005E1LB</v>
      </c>
    </row>
    <row r="1225" spans="1:9" x14ac:dyDescent="0.3">
      <c r="A1225" t="str">
        <f>""</f>
        <v/>
      </c>
      <c r="F1225" t="str">
        <f>"Q-132242-1"</f>
        <v>Q-132242-1</v>
      </c>
      <c r="G1225" t="str">
        <f>"ACCT#00100000005E1LB"</f>
        <v>ACCT#00100000005E1LB</v>
      </c>
      <c r="H1225" s="2">
        <v>597</v>
      </c>
      <c r="I1225" t="str">
        <f>"ACCT#00100000005E1LB"</f>
        <v>ACCT#00100000005E1LB</v>
      </c>
    </row>
    <row r="1226" spans="1:9" x14ac:dyDescent="0.3">
      <c r="A1226" t="str">
        <f>"000668"</f>
        <v>000668</v>
      </c>
      <c r="B1226" t="s">
        <v>342</v>
      </c>
      <c r="C1226">
        <v>75181</v>
      </c>
      <c r="D1226" s="2">
        <v>900</v>
      </c>
      <c r="E1226" s="1">
        <v>43143</v>
      </c>
      <c r="F1226" t="str">
        <f>"ESTRAY HAY"</f>
        <v>ESTRAY HAY</v>
      </c>
      <c r="G1226" t="str">
        <f>"HAY"</f>
        <v>HAY</v>
      </c>
      <c r="H1226" s="2">
        <v>900</v>
      </c>
      <c r="I1226" t="str">
        <f>"HAY"</f>
        <v>HAY</v>
      </c>
    </row>
    <row r="1227" spans="1:9" x14ac:dyDescent="0.3">
      <c r="A1227" t="str">
        <f>"T6614"</f>
        <v>T6614</v>
      </c>
      <c r="B1227" t="s">
        <v>343</v>
      </c>
      <c r="C1227">
        <v>999999</v>
      </c>
      <c r="D1227" s="2">
        <v>221.38</v>
      </c>
      <c r="E1227" s="1">
        <v>43144</v>
      </c>
      <c r="F1227" t="str">
        <f>"0581329851"</f>
        <v>0581329851</v>
      </c>
      <c r="G1227" t="str">
        <f>"CUST#198406/TRANS#0581329851"</f>
        <v>CUST#198406/TRANS#0581329851</v>
      </c>
      <c r="H1227" s="2">
        <v>6.88</v>
      </c>
      <c r="I1227" t="str">
        <f>"CUST#198406/TRANS#0581329851"</f>
        <v>CUST#198406/TRANS#0581329851</v>
      </c>
    </row>
    <row r="1228" spans="1:9" x14ac:dyDescent="0.3">
      <c r="A1228" t="str">
        <f>""</f>
        <v/>
      </c>
      <c r="F1228" t="str">
        <f>"201802078651"</f>
        <v>201802078651</v>
      </c>
      <c r="G1228" t="str">
        <f>"CUST#99088/PARTS/PCT#4"</f>
        <v>CUST#99088/PARTS/PCT#4</v>
      </c>
      <c r="H1228" s="2">
        <v>214.5</v>
      </c>
      <c r="I1228" t="str">
        <f>"CUST#99088/PARTS/PCT#4"</f>
        <v>CUST#99088/PARTS/PCT#4</v>
      </c>
    </row>
    <row r="1229" spans="1:9" x14ac:dyDescent="0.3">
      <c r="A1229" t="str">
        <f>"001015"</f>
        <v>001015</v>
      </c>
      <c r="B1229" t="s">
        <v>344</v>
      </c>
      <c r="C1229">
        <v>75182</v>
      </c>
      <c r="D1229" s="2">
        <v>1578.5</v>
      </c>
      <c r="E1229" s="1">
        <v>43143</v>
      </c>
      <c r="F1229" t="str">
        <f>"1104675/1109166/11"</f>
        <v>1104675/1109166/11</v>
      </c>
      <c r="G1229" t="str">
        <f>"INV 1104675"</f>
        <v>INV 1104675</v>
      </c>
      <c r="H1229" s="2">
        <v>885.5</v>
      </c>
      <c r="I1229" t="str">
        <f>"INV 1104675"</f>
        <v>INV 1104675</v>
      </c>
    </row>
    <row r="1230" spans="1:9" x14ac:dyDescent="0.3">
      <c r="A1230" t="str">
        <f>""</f>
        <v/>
      </c>
      <c r="F1230" t="str">
        <f>""</f>
        <v/>
      </c>
      <c r="G1230" t="str">
        <f>""</f>
        <v/>
      </c>
      <c r="I1230" t="str">
        <f>"INV 1109166"</f>
        <v>INV 1109166</v>
      </c>
    </row>
    <row r="1231" spans="1:9" x14ac:dyDescent="0.3">
      <c r="A1231" t="str">
        <f>""</f>
        <v/>
      </c>
      <c r="F1231" t="str">
        <f>""</f>
        <v/>
      </c>
      <c r="G1231" t="str">
        <f>""</f>
        <v/>
      </c>
      <c r="I1231" t="str">
        <f>"INV 1112551"</f>
        <v>INV 1112551</v>
      </c>
    </row>
    <row r="1232" spans="1:9" x14ac:dyDescent="0.3">
      <c r="A1232" t="str">
        <f>""</f>
        <v/>
      </c>
      <c r="F1232" t="str">
        <f>""</f>
        <v/>
      </c>
      <c r="G1232" t="str">
        <f>""</f>
        <v/>
      </c>
      <c r="I1232" t="str">
        <f>"INV 122001492"</f>
        <v>INV 122001492</v>
      </c>
    </row>
    <row r="1233" spans="1:9" x14ac:dyDescent="0.3">
      <c r="A1233" t="str">
        <f>""</f>
        <v/>
      </c>
      <c r="F1233" t="str">
        <f>""</f>
        <v/>
      </c>
      <c r="G1233" t="str">
        <f>""</f>
        <v/>
      </c>
      <c r="I1233" t="str">
        <f>"CREDIT ON ACCOUNT"</f>
        <v>CREDIT ON ACCOUNT</v>
      </c>
    </row>
    <row r="1234" spans="1:9" x14ac:dyDescent="0.3">
      <c r="A1234" t="str">
        <f>""</f>
        <v/>
      </c>
      <c r="F1234" t="str">
        <f>"1120826/6105/9436"</f>
        <v>1120826/6105/9436</v>
      </c>
      <c r="G1234" t="str">
        <f>"INV 1120826"</f>
        <v>INV 1120826</v>
      </c>
      <c r="H1234" s="2">
        <v>693</v>
      </c>
      <c r="I1234" t="str">
        <f>"INV 1120826"</f>
        <v>INV 1120826</v>
      </c>
    </row>
    <row r="1235" spans="1:9" x14ac:dyDescent="0.3">
      <c r="A1235" t="str">
        <f>""</f>
        <v/>
      </c>
      <c r="F1235" t="str">
        <f>""</f>
        <v/>
      </c>
      <c r="G1235" t="str">
        <f>""</f>
        <v/>
      </c>
      <c r="I1235" t="str">
        <f>"INV 1126105"</f>
        <v>INV 1126105</v>
      </c>
    </row>
    <row r="1236" spans="1:9" x14ac:dyDescent="0.3">
      <c r="A1236" t="str">
        <f>""</f>
        <v/>
      </c>
      <c r="F1236" t="str">
        <f>""</f>
        <v/>
      </c>
      <c r="G1236" t="str">
        <f>""</f>
        <v/>
      </c>
      <c r="I1236" t="str">
        <f>"INV 1129436"</f>
        <v>INV 1129436</v>
      </c>
    </row>
    <row r="1237" spans="1:9" x14ac:dyDescent="0.3">
      <c r="A1237" t="str">
        <f>"001015"</f>
        <v>001015</v>
      </c>
      <c r="B1237" t="s">
        <v>344</v>
      </c>
      <c r="C1237">
        <v>75437</v>
      </c>
      <c r="D1237" s="2">
        <v>792</v>
      </c>
      <c r="E1237" s="1">
        <v>43157</v>
      </c>
      <c r="F1237" t="str">
        <f>"1137773/1142922"</f>
        <v>1137773/1142922</v>
      </c>
      <c r="G1237" t="str">
        <f>"INV 1134467"</f>
        <v>INV 1134467</v>
      </c>
      <c r="H1237" s="2">
        <v>792</v>
      </c>
      <c r="I1237" t="str">
        <f>"MILK"</f>
        <v>MILK</v>
      </c>
    </row>
    <row r="1238" spans="1:9" x14ac:dyDescent="0.3">
      <c r="A1238" t="str">
        <f>""</f>
        <v/>
      </c>
      <c r="F1238" t="str">
        <f>""</f>
        <v/>
      </c>
      <c r="G1238" t="str">
        <f>""</f>
        <v/>
      </c>
      <c r="I1238" t="str">
        <f>"INV 1137773"</f>
        <v>INV 1137773</v>
      </c>
    </row>
    <row r="1239" spans="1:9" x14ac:dyDescent="0.3">
      <c r="A1239" t="str">
        <f>""</f>
        <v/>
      </c>
      <c r="F1239" t="str">
        <f>""</f>
        <v/>
      </c>
      <c r="G1239" t="str">
        <f>""</f>
        <v/>
      </c>
      <c r="I1239" t="str">
        <f>"INV 1142922"</f>
        <v>INV 1142922</v>
      </c>
    </row>
    <row r="1240" spans="1:9" x14ac:dyDescent="0.3">
      <c r="A1240" t="str">
        <f>"005412"</f>
        <v>005412</v>
      </c>
      <c r="B1240" t="s">
        <v>345</v>
      </c>
      <c r="C1240">
        <v>75183</v>
      </c>
      <c r="D1240" s="2">
        <v>10</v>
      </c>
      <c r="E1240" s="1">
        <v>43143</v>
      </c>
      <c r="F1240" t="str">
        <f>"201802018414"</f>
        <v>201802018414</v>
      </c>
      <c r="G1240" t="str">
        <f>"FERAL HOGS"</f>
        <v>FERAL HOGS</v>
      </c>
      <c r="H1240" s="2">
        <v>10</v>
      </c>
      <c r="I1240" t="str">
        <f>"FERAL HOGS"</f>
        <v>FERAL HOGS</v>
      </c>
    </row>
    <row r="1241" spans="1:9" x14ac:dyDescent="0.3">
      <c r="A1241" t="str">
        <f>"T5769"</f>
        <v>T5769</v>
      </c>
      <c r="B1241" t="s">
        <v>346</v>
      </c>
      <c r="C1241">
        <v>75184</v>
      </c>
      <c r="D1241" s="2">
        <v>4215.62</v>
      </c>
      <c r="E1241" s="1">
        <v>43143</v>
      </c>
      <c r="F1241" t="str">
        <f>"9019150"</f>
        <v>9019150</v>
      </c>
      <c r="G1241" t="str">
        <f>"Bill# 9019150"</f>
        <v>Bill# 9019150</v>
      </c>
      <c r="H1241" s="2">
        <v>3222.53</v>
      </c>
      <c r="I1241" t="str">
        <f>"Ord# 999088154001"</f>
        <v>Ord# 999088154001</v>
      </c>
    </row>
    <row r="1242" spans="1:9" x14ac:dyDescent="0.3">
      <c r="A1242" t="str">
        <f>""</f>
        <v/>
      </c>
      <c r="F1242" t="str">
        <f>""</f>
        <v/>
      </c>
      <c r="G1242" t="str">
        <f>""</f>
        <v/>
      </c>
      <c r="I1242" t="str">
        <f>"Ord# 999092204001"</f>
        <v>Ord# 999092204001</v>
      </c>
    </row>
    <row r="1243" spans="1:9" x14ac:dyDescent="0.3">
      <c r="A1243" t="str">
        <f>""</f>
        <v/>
      </c>
      <c r="F1243" t="str">
        <f>""</f>
        <v/>
      </c>
      <c r="G1243" t="str">
        <f>""</f>
        <v/>
      </c>
      <c r="I1243" t="str">
        <f>"Ord# 999092205002"</f>
        <v>Ord# 999092205002</v>
      </c>
    </row>
    <row r="1244" spans="1:9" x14ac:dyDescent="0.3">
      <c r="A1244" t="str">
        <f>""</f>
        <v/>
      </c>
      <c r="F1244" t="str">
        <f>""</f>
        <v/>
      </c>
      <c r="G1244" t="str">
        <f>""</f>
        <v/>
      </c>
      <c r="I1244" t="str">
        <f>"Ord# 994717549001"</f>
        <v>Ord# 994717549001</v>
      </c>
    </row>
    <row r="1245" spans="1:9" x14ac:dyDescent="0.3">
      <c r="A1245" t="str">
        <f>""</f>
        <v/>
      </c>
      <c r="F1245" t="str">
        <f>""</f>
        <v/>
      </c>
      <c r="G1245" t="str">
        <f>""</f>
        <v/>
      </c>
      <c r="I1245" t="str">
        <f>"Ord# 994717955001"</f>
        <v>Ord# 994717955001</v>
      </c>
    </row>
    <row r="1246" spans="1:9" x14ac:dyDescent="0.3">
      <c r="A1246" t="str">
        <f>""</f>
        <v/>
      </c>
      <c r="F1246" t="str">
        <f>""</f>
        <v/>
      </c>
      <c r="G1246" t="str">
        <f>""</f>
        <v/>
      </c>
      <c r="I1246" t="str">
        <f>"Ord# 996247454001"</f>
        <v>Ord# 996247454001</v>
      </c>
    </row>
    <row r="1247" spans="1:9" x14ac:dyDescent="0.3">
      <c r="A1247" t="str">
        <f>""</f>
        <v/>
      </c>
      <c r="F1247" t="str">
        <f>""</f>
        <v/>
      </c>
      <c r="G1247" t="str">
        <f>""</f>
        <v/>
      </c>
      <c r="I1247" t="str">
        <f>"Ord# 996248555001"</f>
        <v>Ord# 996248555001</v>
      </c>
    </row>
    <row r="1248" spans="1:9" x14ac:dyDescent="0.3">
      <c r="A1248" t="str">
        <f>""</f>
        <v/>
      </c>
      <c r="F1248" t="str">
        <f>""</f>
        <v/>
      </c>
      <c r="G1248" t="str">
        <f>""</f>
        <v/>
      </c>
      <c r="I1248" t="str">
        <f>"Ord# 995769163001"</f>
        <v>Ord# 995769163001</v>
      </c>
    </row>
    <row r="1249" spans="1:9" x14ac:dyDescent="0.3">
      <c r="A1249" t="str">
        <f>""</f>
        <v/>
      </c>
      <c r="F1249" t="str">
        <f>""</f>
        <v/>
      </c>
      <c r="G1249" t="str">
        <f>""</f>
        <v/>
      </c>
      <c r="I1249" t="str">
        <f>"Ord# 995771615001"</f>
        <v>Ord# 995771615001</v>
      </c>
    </row>
    <row r="1250" spans="1:9" x14ac:dyDescent="0.3">
      <c r="A1250" t="str">
        <f>""</f>
        <v/>
      </c>
      <c r="F1250" t="str">
        <f>""</f>
        <v/>
      </c>
      <c r="G1250" t="str">
        <f>""</f>
        <v/>
      </c>
      <c r="I1250" t="str">
        <f>"Ord# 996010017001"</f>
        <v>Ord# 996010017001</v>
      </c>
    </row>
    <row r="1251" spans="1:9" x14ac:dyDescent="0.3">
      <c r="A1251" t="str">
        <f>""</f>
        <v/>
      </c>
      <c r="F1251" t="str">
        <f>""</f>
        <v/>
      </c>
      <c r="G1251" t="str">
        <f>""</f>
        <v/>
      </c>
      <c r="I1251" t="str">
        <f>"Ord# 996059470001"</f>
        <v>Ord# 996059470001</v>
      </c>
    </row>
    <row r="1252" spans="1:9" x14ac:dyDescent="0.3">
      <c r="A1252" t="str">
        <f>""</f>
        <v/>
      </c>
      <c r="F1252" t="str">
        <f>""</f>
        <v/>
      </c>
      <c r="G1252" t="str">
        <f>""</f>
        <v/>
      </c>
      <c r="I1252" t="str">
        <f>"Ord# 996491216001"</f>
        <v>Ord# 996491216001</v>
      </c>
    </row>
    <row r="1253" spans="1:9" x14ac:dyDescent="0.3">
      <c r="A1253" t="str">
        <f>""</f>
        <v/>
      </c>
      <c r="F1253" t="str">
        <f>""</f>
        <v/>
      </c>
      <c r="G1253" t="str">
        <f>""</f>
        <v/>
      </c>
      <c r="I1253" t="str">
        <f>"Ord# 996495724001"</f>
        <v>Ord# 996495724001</v>
      </c>
    </row>
    <row r="1254" spans="1:9" x14ac:dyDescent="0.3">
      <c r="A1254" t="str">
        <f>""</f>
        <v/>
      </c>
      <c r="F1254" t="str">
        <f>""</f>
        <v/>
      </c>
      <c r="G1254" t="str">
        <f>""</f>
        <v/>
      </c>
      <c r="I1254" t="str">
        <f>"Ord# 996710090001"</f>
        <v>Ord# 996710090001</v>
      </c>
    </row>
    <row r="1255" spans="1:9" x14ac:dyDescent="0.3">
      <c r="A1255" t="str">
        <f>""</f>
        <v/>
      </c>
      <c r="F1255" t="str">
        <f>""</f>
        <v/>
      </c>
      <c r="G1255" t="str">
        <f>""</f>
        <v/>
      </c>
      <c r="I1255" t="str">
        <f>"Ord# 998590868001"</f>
        <v>Ord# 998590868001</v>
      </c>
    </row>
    <row r="1256" spans="1:9" x14ac:dyDescent="0.3">
      <c r="A1256" t="str">
        <f>""</f>
        <v/>
      </c>
      <c r="F1256" t="str">
        <f>""</f>
        <v/>
      </c>
      <c r="G1256" t="str">
        <f>""</f>
        <v/>
      </c>
      <c r="I1256" t="str">
        <f>"Ord# 997497389001"</f>
        <v>Ord# 997497389001</v>
      </c>
    </row>
    <row r="1257" spans="1:9" x14ac:dyDescent="0.3">
      <c r="A1257" t="str">
        <f>""</f>
        <v/>
      </c>
      <c r="F1257" t="str">
        <f>""</f>
        <v/>
      </c>
      <c r="G1257" t="str">
        <f>""</f>
        <v/>
      </c>
      <c r="I1257" t="str">
        <f>"Ord# 997498826001"</f>
        <v>Ord# 997498826001</v>
      </c>
    </row>
    <row r="1258" spans="1:9" x14ac:dyDescent="0.3">
      <c r="A1258" t="str">
        <f>""</f>
        <v/>
      </c>
      <c r="F1258" t="str">
        <f>""</f>
        <v/>
      </c>
      <c r="G1258" t="str">
        <f>""</f>
        <v/>
      </c>
      <c r="I1258" t="str">
        <f>"Ord# 997498827001"</f>
        <v>Ord# 997498827001</v>
      </c>
    </row>
    <row r="1259" spans="1:9" x14ac:dyDescent="0.3">
      <c r="A1259" t="str">
        <f>""</f>
        <v/>
      </c>
      <c r="F1259" t="str">
        <f>""</f>
        <v/>
      </c>
      <c r="G1259" t="str">
        <f>""</f>
        <v/>
      </c>
      <c r="I1259" t="str">
        <f>"Ord# 994332041001"</f>
        <v>Ord# 994332041001</v>
      </c>
    </row>
    <row r="1260" spans="1:9" x14ac:dyDescent="0.3">
      <c r="A1260" t="str">
        <f>""</f>
        <v/>
      </c>
      <c r="F1260" t="str">
        <f>""</f>
        <v/>
      </c>
      <c r="G1260" t="str">
        <f>""</f>
        <v/>
      </c>
      <c r="I1260" t="str">
        <f>"Ord# 994369221001"</f>
        <v>Ord# 994369221001</v>
      </c>
    </row>
    <row r="1261" spans="1:9" x14ac:dyDescent="0.3">
      <c r="A1261" t="str">
        <f>""</f>
        <v/>
      </c>
      <c r="F1261" t="str">
        <f>""</f>
        <v/>
      </c>
      <c r="G1261" t="str">
        <f>""</f>
        <v/>
      </c>
      <c r="I1261" t="str">
        <f>"Ord# 999092204001"</f>
        <v>Ord# 999092204001</v>
      </c>
    </row>
    <row r="1262" spans="1:9" x14ac:dyDescent="0.3">
      <c r="A1262" t="str">
        <f>""</f>
        <v/>
      </c>
      <c r="F1262" t="str">
        <f>""</f>
        <v/>
      </c>
      <c r="G1262" t="str">
        <f>""</f>
        <v/>
      </c>
      <c r="I1262" t="str">
        <f>"Ord# 998672221001"</f>
        <v>Ord# 998672221001</v>
      </c>
    </row>
    <row r="1263" spans="1:9" x14ac:dyDescent="0.3">
      <c r="A1263" t="str">
        <f>""</f>
        <v/>
      </c>
      <c r="F1263" t="str">
        <f>""</f>
        <v/>
      </c>
      <c r="G1263" t="str">
        <f>""</f>
        <v/>
      </c>
      <c r="I1263" t="str">
        <f>"Ord# 998676710001"</f>
        <v>Ord# 998676710001</v>
      </c>
    </row>
    <row r="1264" spans="1:9" x14ac:dyDescent="0.3">
      <c r="A1264" t="str">
        <f>""</f>
        <v/>
      </c>
      <c r="F1264" t="str">
        <f>"9110629"</f>
        <v>9110629</v>
      </c>
      <c r="G1264" t="str">
        <f>"Bill# 9110629"</f>
        <v>Bill# 9110629</v>
      </c>
      <c r="H1264" s="2">
        <v>993.09</v>
      </c>
      <c r="I1264" t="str">
        <f>"Ord# 100963234001"</f>
        <v>Ord# 100963234001</v>
      </c>
    </row>
    <row r="1265" spans="1:9" x14ac:dyDescent="0.3">
      <c r="A1265" t="str">
        <f>""</f>
        <v/>
      </c>
      <c r="F1265" t="str">
        <f>""</f>
        <v/>
      </c>
      <c r="G1265" t="str">
        <f>""</f>
        <v/>
      </c>
      <c r="I1265" t="str">
        <f>"Ord# 100963854001"</f>
        <v>Ord# 100963854001</v>
      </c>
    </row>
    <row r="1266" spans="1:9" x14ac:dyDescent="0.3">
      <c r="A1266" t="str">
        <f>""</f>
        <v/>
      </c>
      <c r="F1266" t="str">
        <f>""</f>
        <v/>
      </c>
      <c r="G1266" t="str">
        <f>""</f>
        <v/>
      </c>
      <c r="I1266" t="str">
        <f>"Ord# 10134954001"</f>
        <v>Ord# 10134954001</v>
      </c>
    </row>
    <row r="1267" spans="1:9" x14ac:dyDescent="0.3">
      <c r="A1267" t="str">
        <f>""</f>
        <v/>
      </c>
      <c r="F1267" t="str">
        <f>""</f>
        <v/>
      </c>
      <c r="G1267" t="str">
        <f>""</f>
        <v/>
      </c>
      <c r="I1267" t="str">
        <f>"Ord# 103922020001"</f>
        <v>Ord# 103922020001</v>
      </c>
    </row>
    <row r="1268" spans="1:9" x14ac:dyDescent="0.3">
      <c r="A1268" t="str">
        <f>""</f>
        <v/>
      </c>
      <c r="F1268" t="str">
        <f>""</f>
        <v/>
      </c>
      <c r="G1268" t="str">
        <f>""</f>
        <v/>
      </c>
      <c r="I1268" t="str">
        <f>"Ord# 104043019001"</f>
        <v>Ord# 104043019001</v>
      </c>
    </row>
    <row r="1269" spans="1:9" x14ac:dyDescent="0.3">
      <c r="A1269" t="str">
        <f>""</f>
        <v/>
      </c>
      <c r="F1269" t="str">
        <f>""</f>
        <v/>
      </c>
      <c r="G1269" t="str">
        <f>""</f>
        <v/>
      </c>
      <c r="I1269" t="str">
        <f>"Ord# 103412659001"</f>
        <v>Ord# 103412659001</v>
      </c>
    </row>
    <row r="1270" spans="1:9" x14ac:dyDescent="0.3">
      <c r="A1270" t="str">
        <f>""</f>
        <v/>
      </c>
      <c r="F1270" t="str">
        <f>""</f>
        <v/>
      </c>
      <c r="G1270" t="str">
        <f>""</f>
        <v/>
      </c>
      <c r="I1270" t="str">
        <f>"Ord# 103440486001"</f>
        <v>Ord# 103440486001</v>
      </c>
    </row>
    <row r="1271" spans="1:9" x14ac:dyDescent="0.3">
      <c r="A1271" t="str">
        <f>""</f>
        <v/>
      </c>
      <c r="F1271" t="str">
        <f>""</f>
        <v/>
      </c>
      <c r="G1271" t="str">
        <f>""</f>
        <v/>
      </c>
      <c r="I1271" t="str">
        <f>"Ord# 103441454001"</f>
        <v>Ord# 103441454001</v>
      </c>
    </row>
    <row r="1272" spans="1:9" x14ac:dyDescent="0.3">
      <c r="A1272" t="str">
        <f>""</f>
        <v/>
      </c>
      <c r="F1272" t="str">
        <f>""</f>
        <v/>
      </c>
      <c r="G1272" t="str">
        <f>""</f>
        <v/>
      </c>
      <c r="I1272" t="str">
        <f>"Ord# 10283561001"</f>
        <v>Ord# 10283561001</v>
      </c>
    </row>
    <row r="1273" spans="1:9" x14ac:dyDescent="0.3">
      <c r="A1273" t="str">
        <f>""</f>
        <v/>
      </c>
      <c r="F1273" t="str">
        <f>""</f>
        <v/>
      </c>
      <c r="G1273" t="str">
        <f>""</f>
        <v/>
      </c>
      <c r="I1273" t="str">
        <f>"Ord# 102844054001"</f>
        <v>Ord# 102844054001</v>
      </c>
    </row>
    <row r="1274" spans="1:9" x14ac:dyDescent="0.3">
      <c r="A1274" t="str">
        <f>""</f>
        <v/>
      </c>
      <c r="F1274" t="str">
        <f>""</f>
        <v/>
      </c>
      <c r="G1274" t="str">
        <f>""</f>
        <v/>
      </c>
      <c r="I1274" t="str">
        <f>"Ord# 102834671001"</f>
        <v>Ord# 102834671001</v>
      </c>
    </row>
    <row r="1275" spans="1:9" x14ac:dyDescent="0.3">
      <c r="A1275" t="str">
        <f>""</f>
        <v/>
      </c>
      <c r="F1275" t="str">
        <f>""</f>
        <v/>
      </c>
      <c r="G1275" t="str">
        <f>""</f>
        <v/>
      </c>
      <c r="I1275" t="str">
        <f>"Ord# 102836053001"</f>
        <v>Ord# 102836053001</v>
      </c>
    </row>
    <row r="1276" spans="1:9" x14ac:dyDescent="0.3">
      <c r="A1276" t="str">
        <f>"T5769"</f>
        <v>T5769</v>
      </c>
      <c r="B1276" t="s">
        <v>346</v>
      </c>
      <c r="C1276">
        <v>75438</v>
      </c>
      <c r="D1276" s="2">
        <v>4378.47</v>
      </c>
      <c r="E1276" s="1">
        <v>43157</v>
      </c>
      <c r="F1276" t="str">
        <f>"9154050"</f>
        <v>9154050</v>
      </c>
      <c r="G1276" t="str">
        <f>"Bill# 9154050"</f>
        <v>Bill# 9154050</v>
      </c>
      <c r="H1276" s="2">
        <v>4378.47</v>
      </c>
      <c r="I1276" t="str">
        <f>"Ord# 106189832001"</f>
        <v>Ord# 106189832001</v>
      </c>
    </row>
    <row r="1277" spans="1:9" x14ac:dyDescent="0.3">
      <c r="A1277" t="str">
        <f>""</f>
        <v/>
      </c>
      <c r="F1277" t="str">
        <f>""</f>
        <v/>
      </c>
      <c r="G1277" t="str">
        <f>""</f>
        <v/>
      </c>
      <c r="I1277" t="str">
        <f>"Ord# 106190746001"</f>
        <v>Ord# 106190746001</v>
      </c>
    </row>
    <row r="1278" spans="1:9" x14ac:dyDescent="0.3">
      <c r="A1278" t="str">
        <f>""</f>
        <v/>
      </c>
      <c r="F1278" t="str">
        <f>""</f>
        <v/>
      </c>
      <c r="G1278" t="str">
        <f>""</f>
        <v/>
      </c>
      <c r="I1278" t="str">
        <f>"Ord# 106190747002"</f>
        <v>Ord# 106190747002</v>
      </c>
    </row>
    <row r="1279" spans="1:9" x14ac:dyDescent="0.3">
      <c r="A1279" t="str">
        <f>""</f>
        <v/>
      </c>
      <c r="F1279" t="str">
        <f>""</f>
        <v/>
      </c>
      <c r="G1279" t="str">
        <f>""</f>
        <v/>
      </c>
      <c r="I1279" t="str">
        <f>"Ord# 108365651001"</f>
        <v>Ord# 108365651001</v>
      </c>
    </row>
    <row r="1280" spans="1:9" x14ac:dyDescent="0.3">
      <c r="A1280" t="str">
        <f>""</f>
        <v/>
      </c>
      <c r="F1280" t="str">
        <f>""</f>
        <v/>
      </c>
      <c r="G1280" t="str">
        <f>""</f>
        <v/>
      </c>
      <c r="I1280" t="str">
        <f>"Ord# 108366019001"</f>
        <v>Ord# 108366019001</v>
      </c>
    </row>
    <row r="1281" spans="1:9" x14ac:dyDescent="0.3">
      <c r="A1281" t="str">
        <f>""</f>
        <v/>
      </c>
      <c r="F1281" t="str">
        <f>""</f>
        <v/>
      </c>
      <c r="G1281" t="str">
        <f>""</f>
        <v/>
      </c>
      <c r="I1281" t="str">
        <f>"Ord# 105493522001"</f>
        <v>Ord# 105493522001</v>
      </c>
    </row>
    <row r="1282" spans="1:9" x14ac:dyDescent="0.3">
      <c r="A1282" t="str">
        <f>""</f>
        <v/>
      </c>
      <c r="F1282" t="str">
        <f>""</f>
        <v/>
      </c>
      <c r="G1282" t="str">
        <f>""</f>
        <v/>
      </c>
      <c r="I1282" t="str">
        <f>"Ord# 105565548001"</f>
        <v>Ord# 105565548001</v>
      </c>
    </row>
    <row r="1283" spans="1:9" x14ac:dyDescent="0.3">
      <c r="A1283" t="str">
        <f>""</f>
        <v/>
      </c>
      <c r="F1283" t="str">
        <f>""</f>
        <v/>
      </c>
      <c r="G1283" t="str">
        <f>""</f>
        <v/>
      </c>
      <c r="I1283" t="str">
        <f>"Ord# 105566322001"</f>
        <v>Ord# 105566322001</v>
      </c>
    </row>
    <row r="1284" spans="1:9" x14ac:dyDescent="0.3">
      <c r="A1284" t="str">
        <f>""</f>
        <v/>
      </c>
      <c r="F1284" t="str">
        <f>""</f>
        <v/>
      </c>
      <c r="G1284" t="str">
        <f>""</f>
        <v/>
      </c>
      <c r="I1284" t="str">
        <f>"Ord# 105566322002"</f>
        <v>Ord# 105566322002</v>
      </c>
    </row>
    <row r="1285" spans="1:9" x14ac:dyDescent="0.3">
      <c r="A1285" t="str">
        <f>""</f>
        <v/>
      </c>
      <c r="F1285" t="str">
        <f>""</f>
        <v/>
      </c>
      <c r="G1285" t="str">
        <f>""</f>
        <v/>
      </c>
      <c r="I1285" t="str">
        <f>"Ord# 108466986001"</f>
        <v>Ord# 108466986001</v>
      </c>
    </row>
    <row r="1286" spans="1:9" x14ac:dyDescent="0.3">
      <c r="A1286" t="str">
        <f>""</f>
        <v/>
      </c>
      <c r="F1286" t="str">
        <f>""</f>
        <v/>
      </c>
      <c r="G1286" t="str">
        <f>""</f>
        <v/>
      </c>
      <c r="I1286" t="str">
        <f>"Ord# 108467108001"</f>
        <v>Ord# 108467108001</v>
      </c>
    </row>
    <row r="1287" spans="1:9" x14ac:dyDescent="0.3">
      <c r="A1287" t="str">
        <f>""</f>
        <v/>
      </c>
      <c r="F1287" t="str">
        <f>""</f>
        <v/>
      </c>
      <c r="G1287" t="str">
        <f>""</f>
        <v/>
      </c>
      <c r="I1287" t="str">
        <f>"Ord# 10405529001"</f>
        <v>Ord# 10405529001</v>
      </c>
    </row>
    <row r="1288" spans="1:9" x14ac:dyDescent="0.3">
      <c r="A1288" t="str">
        <f>""</f>
        <v/>
      </c>
      <c r="F1288" t="str">
        <f>""</f>
        <v/>
      </c>
      <c r="G1288" t="str">
        <f>""</f>
        <v/>
      </c>
      <c r="I1288" t="str">
        <f>"Ord# 106136244001"</f>
        <v>Ord# 106136244001</v>
      </c>
    </row>
    <row r="1289" spans="1:9" x14ac:dyDescent="0.3">
      <c r="A1289" t="str">
        <f>""</f>
        <v/>
      </c>
      <c r="F1289" t="str">
        <f>""</f>
        <v/>
      </c>
      <c r="G1289" t="str">
        <f>""</f>
        <v/>
      </c>
      <c r="I1289" t="str">
        <f>"Ord# 106136633001"</f>
        <v>Ord# 106136633001</v>
      </c>
    </row>
    <row r="1290" spans="1:9" x14ac:dyDescent="0.3">
      <c r="A1290" t="str">
        <f>""</f>
        <v/>
      </c>
      <c r="F1290" t="str">
        <f>""</f>
        <v/>
      </c>
      <c r="G1290" t="str">
        <f>""</f>
        <v/>
      </c>
      <c r="I1290" t="str">
        <f>"Ord# 104310371001"</f>
        <v>Ord# 104310371001</v>
      </c>
    </row>
    <row r="1291" spans="1:9" x14ac:dyDescent="0.3">
      <c r="A1291" t="str">
        <f>""</f>
        <v/>
      </c>
      <c r="F1291" t="str">
        <f>""</f>
        <v/>
      </c>
      <c r="G1291" t="str">
        <f>""</f>
        <v/>
      </c>
      <c r="I1291" t="str">
        <f>"Ord# 105053774001"</f>
        <v>Ord# 105053774001</v>
      </c>
    </row>
    <row r="1292" spans="1:9" x14ac:dyDescent="0.3">
      <c r="A1292" t="str">
        <f>""</f>
        <v/>
      </c>
      <c r="F1292" t="str">
        <f>""</f>
        <v/>
      </c>
      <c r="G1292" t="str">
        <f>""</f>
        <v/>
      </c>
      <c r="I1292" t="str">
        <f>"Ord# 105055063001"</f>
        <v>Ord# 105055063001</v>
      </c>
    </row>
    <row r="1293" spans="1:9" x14ac:dyDescent="0.3">
      <c r="A1293" t="str">
        <f>""</f>
        <v/>
      </c>
      <c r="F1293" t="str">
        <f>""</f>
        <v/>
      </c>
      <c r="G1293" t="str">
        <f>""</f>
        <v/>
      </c>
      <c r="I1293" t="str">
        <f>"Ord# 107556093001"</f>
        <v>Ord# 107556093001</v>
      </c>
    </row>
    <row r="1294" spans="1:9" x14ac:dyDescent="0.3">
      <c r="A1294" t="str">
        <f>""</f>
        <v/>
      </c>
      <c r="F1294" t="str">
        <f>""</f>
        <v/>
      </c>
      <c r="G1294" t="str">
        <f>""</f>
        <v/>
      </c>
      <c r="I1294" t="str">
        <f>"Ord# 106740119001"</f>
        <v>Ord# 106740119001</v>
      </c>
    </row>
    <row r="1295" spans="1:9" x14ac:dyDescent="0.3">
      <c r="A1295" t="str">
        <f>""</f>
        <v/>
      </c>
      <c r="F1295" t="str">
        <f>""</f>
        <v/>
      </c>
      <c r="G1295" t="str">
        <f>""</f>
        <v/>
      </c>
      <c r="I1295" t="str">
        <f>"Ord# 106740205001"</f>
        <v>Ord# 106740205001</v>
      </c>
    </row>
    <row r="1296" spans="1:9" x14ac:dyDescent="0.3">
      <c r="A1296" t="str">
        <f>""</f>
        <v/>
      </c>
      <c r="F1296" t="str">
        <f>""</f>
        <v/>
      </c>
      <c r="G1296" t="str">
        <f>""</f>
        <v/>
      </c>
      <c r="I1296" t="str">
        <f>"Ord# 107556601001"</f>
        <v>Ord# 107556601001</v>
      </c>
    </row>
    <row r="1297" spans="1:9" x14ac:dyDescent="0.3">
      <c r="A1297" t="str">
        <f>""</f>
        <v/>
      </c>
      <c r="F1297" t="str">
        <f>""</f>
        <v/>
      </c>
      <c r="G1297" t="str">
        <f>""</f>
        <v/>
      </c>
      <c r="I1297" t="str">
        <f>"Ord# 108377985001"</f>
        <v>Ord# 108377985001</v>
      </c>
    </row>
    <row r="1298" spans="1:9" x14ac:dyDescent="0.3">
      <c r="A1298" t="str">
        <f>""</f>
        <v/>
      </c>
      <c r="F1298" t="str">
        <f>""</f>
        <v/>
      </c>
      <c r="G1298" t="str">
        <f>""</f>
        <v/>
      </c>
      <c r="I1298" t="str">
        <f>"Ord# 108378395001"</f>
        <v>Ord# 108378395001</v>
      </c>
    </row>
    <row r="1299" spans="1:9" x14ac:dyDescent="0.3">
      <c r="A1299" t="str">
        <f>""</f>
        <v/>
      </c>
      <c r="F1299" t="str">
        <f>""</f>
        <v/>
      </c>
      <c r="G1299" t="str">
        <f>""</f>
        <v/>
      </c>
      <c r="I1299" t="str">
        <f>"Ord# 108378396001"</f>
        <v>Ord# 108378396001</v>
      </c>
    </row>
    <row r="1300" spans="1:9" x14ac:dyDescent="0.3">
      <c r="A1300" t="str">
        <f>""</f>
        <v/>
      </c>
      <c r="F1300" t="str">
        <f>""</f>
        <v/>
      </c>
      <c r="G1300" t="str">
        <f>""</f>
        <v/>
      </c>
      <c r="I1300" t="str">
        <f>"Ord# 108025778001"</f>
        <v>Ord# 108025778001</v>
      </c>
    </row>
    <row r="1301" spans="1:9" x14ac:dyDescent="0.3">
      <c r="A1301" t="str">
        <f>""</f>
        <v/>
      </c>
      <c r="F1301" t="str">
        <f>""</f>
        <v/>
      </c>
      <c r="G1301" t="str">
        <f>""</f>
        <v/>
      </c>
      <c r="I1301" t="str">
        <f>"Ord# 108024434001"</f>
        <v>Ord# 108024434001</v>
      </c>
    </row>
    <row r="1302" spans="1:9" x14ac:dyDescent="0.3">
      <c r="A1302" t="str">
        <f>""</f>
        <v/>
      </c>
      <c r="F1302" t="str">
        <f>""</f>
        <v/>
      </c>
      <c r="G1302" t="str">
        <f>""</f>
        <v/>
      </c>
      <c r="I1302" t="str">
        <f>"Ord# 108536632001"</f>
        <v>Ord# 108536632001</v>
      </c>
    </row>
    <row r="1303" spans="1:9" x14ac:dyDescent="0.3">
      <c r="A1303" t="str">
        <f>"004879"</f>
        <v>004879</v>
      </c>
      <c r="B1303" t="s">
        <v>347</v>
      </c>
      <c r="C1303">
        <v>75185</v>
      </c>
      <c r="D1303" s="2">
        <v>4012.96</v>
      </c>
      <c r="E1303" s="1">
        <v>43143</v>
      </c>
      <c r="F1303" t="str">
        <f>"200633442"</f>
        <v>200633442</v>
      </c>
      <c r="G1303" t="str">
        <f>"CUST#255120/MAINT CONTRACT/P2"</f>
        <v>CUST#255120/MAINT CONTRACT/P2</v>
      </c>
      <c r="H1303" s="2">
        <v>4012.96</v>
      </c>
      <c r="I1303" t="str">
        <f>"CUST#255120/MAINT CONTRACT/P2"</f>
        <v>CUST#255120/MAINT CONTRACT/P2</v>
      </c>
    </row>
    <row r="1304" spans="1:9" x14ac:dyDescent="0.3">
      <c r="A1304" t="str">
        <f>"004879"</f>
        <v>004879</v>
      </c>
      <c r="B1304" t="s">
        <v>347</v>
      </c>
      <c r="C1304">
        <v>75439</v>
      </c>
      <c r="D1304" s="2">
        <v>7659.68</v>
      </c>
      <c r="E1304" s="1">
        <v>43157</v>
      </c>
      <c r="F1304" t="str">
        <f>"200647562"</f>
        <v>200647562</v>
      </c>
      <c r="G1304" t="str">
        <f>"CUST#255120/COLD MIX/PCT#2"</f>
        <v>CUST#255120/COLD MIX/PCT#2</v>
      </c>
      <c r="H1304" s="2">
        <v>7659.68</v>
      </c>
      <c r="I1304" t="str">
        <f>"CUST#255120/COLD MIX/PCT#2"</f>
        <v>CUST#255120/COLD MIX/PCT#2</v>
      </c>
    </row>
    <row r="1305" spans="1:9" x14ac:dyDescent="0.3">
      <c r="A1305" t="str">
        <f>"000877"</f>
        <v>000877</v>
      </c>
      <c r="B1305" t="s">
        <v>348</v>
      </c>
      <c r="C1305">
        <v>75440</v>
      </c>
      <c r="D1305" s="2">
        <v>710</v>
      </c>
      <c r="E1305" s="1">
        <v>43157</v>
      </c>
      <c r="F1305" t="str">
        <f>" 283815"</f>
        <v xml:space="preserve"> 283815</v>
      </c>
      <c r="G1305" t="str">
        <f>"CUST ID#BASCOU/DRUG SCREEN/P1"</f>
        <v>CUST ID#BASCOU/DRUG SCREEN/P1</v>
      </c>
      <c r="H1305" s="2">
        <v>120</v>
      </c>
      <c r="I1305" t="str">
        <f>"CUST ID#BASCOU/DRUG SCREEN/P1"</f>
        <v>CUST ID#BASCOU/DRUG SCREEN/P1</v>
      </c>
    </row>
    <row r="1306" spans="1:9" x14ac:dyDescent="0.3">
      <c r="A1306" t="str">
        <f>""</f>
        <v/>
      </c>
      <c r="F1306" t="str">
        <f>"283815"</f>
        <v>283815</v>
      </c>
      <c r="G1306" t="str">
        <f>"CUST ID#BASCOU/DRUG SCREENING"</f>
        <v>CUST ID#BASCOU/DRUG SCREENING</v>
      </c>
      <c r="H1306" s="2">
        <v>80</v>
      </c>
      <c r="I1306" t="str">
        <f>"CUST ID#BASCOU/DRUG SCREENING"</f>
        <v>CUST ID#BASCOU/DRUG SCREENING</v>
      </c>
    </row>
    <row r="1307" spans="1:9" x14ac:dyDescent="0.3">
      <c r="A1307" t="str">
        <f>""</f>
        <v/>
      </c>
      <c r="F1307" t="str">
        <f>""</f>
        <v/>
      </c>
      <c r="G1307" t="str">
        <f>""</f>
        <v/>
      </c>
      <c r="I1307" t="str">
        <f>"CUST ID#BASCOU/DRUG SCREENING"</f>
        <v>CUST ID#BASCOU/DRUG SCREENING</v>
      </c>
    </row>
    <row r="1308" spans="1:9" x14ac:dyDescent="0.3">
      <c r="A1308" t="str">
        <f>""</f>
        <v/>
      </c>
      <c r="F1308" t="str">
        <f>"283815 1"</f>
        <v>283815 1</v>
      </c>
      <c r="G1308" t="str">
        <f>"CUST ID#BASCOU/DRUG SCREEN/P4"</f>
        <v>CUST ID#BASCOU/DRUG SCREEN/P4</v>
      </c>
      <c r="H1308" s="2">
        <v>165</v>
      </c>
      <c r="I1308" t="str">
        <f>"CUST ID#BASCOU/DRUG SCREEN/P4"</f>
        <v>CUST ID#BASCOU/DRUG SCREEN/P4</v>
      </c>
    </row>
    <row r="1309" spans="1:9" x14ac:dyDescent="0.3">
      <c r="A1309" t="str">
        <f>""</f>
        <v/>
      </c>
      <c r="F1309" t="str">
        <f>"283815 2"</f>
        <v>283815 2</v>
      </c>
      <c r="G1309" t="str">
        <f>"CUST ID#BASCOU/DRUG SCREEN/P2"</f>
        <v>CUST ID#BASCOU/DRUG SCREEN/P2</v>
      </c>
      <c r="H1309" s="2">
        <v>165</v>
      </c>
      <c r="I1309" t="str">
        <f>"CUST ID#BASCOU/DRUG SCREEN/P2"</f>
        <v>CUST ID#BASCOU/DRUG SCREEN/P2</v>
      </c>
    </row>
    <row r="1310" spans="1:9" x14ac:dyDescent="0.3">
      <c r="A1310" t="str">
        <f>""</f>
        <v/>
      </c>
      <c r="F1310" t="str">
        <f>"283815 3"</f>
        <v>283815 3</v>
      </c>
      <c r="G1310" t="str">
        <f>"CUST ID#BASCOU/DRUG SCREEN/P3"</f>
        <v>CUST ID#BASCOU/DRUG SCREEN/P3</v>
      </c>
      <c r="H1310" s="2">
        <v>90</v>
      </c>
      <c r="I1310" t="str">
        <f>"CUST ID#BASCOU/DRUG SCREEN/P3"</f>
        <v>CUST ID#BASCOU/DRUG SCREEN/P3</v>
      </c>
    </row>
    <row r="1311" spans="1:9" x14ac:dyDescent="0.3">
      <c r="A1311" t="str">
        <f>""</f>
        <v/>
      </c>
      <c r="F1311" t="str">
        <f>"283979"</f>
        <v>283979</v>
      </c>
      <c r="G1311" t="str">
        <f>"CUST ID#BASCOU/DRUG SCREENING"</f>
        <v>CUST ID#BASCOU/DRUG SCREENING</v>
      </c>
      <c r="H1311" s="2">
        <v>60</v>
      </c>
      <c r="I1311" t="str">
        <f>"CUST ID#BASCOU/DRUG SCREENING"</f>
        <v>CUST ID#BASCOU/DRUG SCREENING</v>
      </c>
    </row>
    <row r="1312" spans="1:9" x14ac:dyDescent="0.3">
      <c r="A1312" t="str">
        <f>""</f>
        <v/>
      </c>
      <c r="F1312" t="str">
        <f>""</f>
        <v/>
      </c>
      <c r="G1312" t="str">
        <f>""</f>
        <v/>
      </c>
      <c r="I1312" t="str">
        <f>"CUST ID#BASCOU/DRUG SCREENING"</f>
        <v>CUST ID#BASCOU/DRUG SCREENING</v>
      </c>
    </row>
    <row r="1313" spans="1:9" x14ac:dyDescent="0.3">
      <c r="A1313" t="str">
        <f>""</f>
        <v/>
      </c>
      <c r="F1313" t="str">
        <f>""</f>
        <v/>
      </c>
      <c r="G1313" t="str">
        <f>""</f>
        <v/>
      </c>
      <c r="I1313" t="str">
        <f>"CUST ID#BASCOU/DRUG SCREENING"</f>
        <v>CUST ID#BASCOU/DRUG SCREENING</v>
      </c>
    </row>
    <row r="1314" spans="1:9" x14ac:dyDescent="0.3">
      <c r="A1314" t="str">
        <f>""</f>
        <v/>
      </c>
      <c r="F1314" t="str">
        <f>"283979 2"</f>
        <v>283979 2</v>
      </c>
      <c r="G1314" t="str">
        <f>"CUST ID#BASCOU/DRUG SCREEN/P3"</f>
        <v>CUST ID#BASCOU/DRUG SCREEN/P3</v>
      </c>
      <c r="H1314" s="2">
        <v>30</v>
      </c>
      <c r="I1314" t="str">
        <f>"CUST ID#BASCOU/DRUG SCREEN/P3"</f>
        <v>CUST ID#BASCOU/DRUG SCREEN/P3</v>
      </c>
    </row>
    <row r="1315" spans="1:9" x14ac:dyDescent="0.3">
      <c r="A1315" t="str">
        <f>"OP"</f>
        <v>OP</v>
      </c>
      <c r="B1315" t="s">
        <v>349</v>
      </c>
      <c r="C1315">
        <v>75186</v>
      </c>
      <c r="D1315" s="2">
        <v>565</v>
      </c>
      <c r="E1315" s="1">
        <v>43143</v>
      </c>
      <c r="F1315" t="str">
        <f>"17096"</f>
        <v>17096</v>
      </c>
      <c r="G1315" t="str">
        <f>"REPLACE BROKEN TOILET/BOOTCAMP"</f>
        <v>REPLACE BROKEN TOILET/BOOTCAMP</v>
      </c>
      <c r="H1315" s="2">
        <v>565</v>
      </c>
      <c r="I1315" t="str">
        <f>"REPLACE BROKEN TOILET/BOOTCAMP"</f>
        <v>REPLACE BROKEN TOILET/BOOTCAMP</v>
      </c>
    </row>
    <row r="1316" spans="1:9" x14ac:dyDescent="0.3">
      <c r="A1316" t="str">
        <f>"005152"</f>
        <v>005152</v>
      </c>
      <c r="B1316" t="s">
        <v>350</v>
      </c>
      <c r="C1316">
        <v>75441</v>
      </c>
      <c r="D1316" s="2">
        <v>189</v>
      </c>
      <c r="E1316" s="1">
        <v>43157</v>
      </c>
      <c r="F1316" t="str">
        <f>"248613"</f>
        <v>248613</v>
      </c>
      <c r="G1316" t="str">
        <f>"Reflective White"</f>
        <v>Reflective White</v>
      </c>
      <c r="H1316" s="2">
        <v>189</v>
      </c>
      <c r="I1316" t="str">
        <f>"Reflective White"</f>
        <v>Reflective White</v>
      </c>
    </row>
    <row r="1317" spans="1:9" x14ac:dyDescent="0.3">
      <c r="A1317" t="str">
        <f>"004003"</f>
        <v>004003</v>
      </c>
      <c r="B1317" t="s">
        <v>351</v>
      </c>
      <c r="C1317">
        <v>75187</v>
      </c>
      <c r="D1317" s="2">
        <v>35</v>
      </c>
      <c r="E1317" s="1">
        <v>43143</v>
      </c>
      <c r="F1317" t="str">
        <f>"201802018419"</f>
        <v>201802018419</v>
      </c>
      <c r="G1317" t="str">
        <f>"FERAL HOGS"</f>
        <v>FERAL HOGS</v>
      </c>
      <c r="H1317" s="2">
        <v>35</v>
      </c>
      <c r="I1317" t="str">
        <f>"FERAL HOGS"</f>
        <v>FERAL HOGS</v>
      </c>
    </row>
    <row r="1318" spans="1:9" x14ac:dyDescent="0.3">
      <c r="A1318" t="str">
        <f>"002968"</f>
        <v>002968</v>
      </c>
      <c r="B1318" t="s">
        <v>352</v>
      </c>
      <c r="C1318">
        <v>75188</v>
      </c>
      <c r="D1318" s="2">
        <v>523</v>
      </c>
      <c r="E1318" s="1">
        <v>43143</v>
      </c>
      <c r="F1318" t="str">
        <f>"INV19100693"</f>
        <v>INV19100693</v>
      </c>
      <c r="G1318" t="str">
        <f>"INV 19100693"</f>
        <v>INV 19100693</v>
      </c>
      <c r="H1318" s="2">
        <v>523</v>
      </c>
      <c r="I1318" t="str">
        <f>"INV 19100693"</f>
        <v>INV 19100693</v>
      </c>
    </row>
    <row r="1319" spans="1:9" x14ac:dyDescent="0.3">
      <c r="A1319" t="str">
        <f>"005143"</f>
        <v>005143</v>
      </c>
      <c r="B1319" t="s">
        <v>353</v>
      </c>
      <c r="C1319">
        <v>75189</v>
      </c>
      <c r="D1319" s="2">
        <v>2000</v>
      </c>
      <c r="E1319" s="1">
        <v>43143</v>
      </c>
      <c r="F1319" t="str">
        <f>"TRAINING-C. SMITH"</f>
        <v>TRAINING-C. SMITH</v>
      </c>
      <c r="G1319" t="str">
        <f>"TRAINING"</f>
        <v>TRAINING</v>
      </c>
      <c r="H1319" s="2">
        <v>2000</v>
      </c>
      <c r="I1319" t="str">
        <f>"TRAINING"</f>
        <v>TRAINING</v>
      </c>
    </row>
    <row r="1320" spans="1:9" x14ac:dyDescent="0.3">
      <c r="A1320" t="str">
        <f>"003566"</f>
        <v>003566</v>
      </c>
      <c r="B1320" t="s">
        <v>354</v>
      </c>
      <c r="C1320">
        <v>75190</v>
      </c>
      <c r="D1320" s="2">
        <v>325.08</v>
      </c>
      <c r="E1320" s="1">
        <v>43143</v>
      </c>
      <c r="F1320" t="str">
        <f>"201802068583"</f>
        <v>201802068583</v>
      </c>
      <c r="G1320" t="str">
        <f>"ACCT#1137/PCT#4"</f>
        <v>ACCT#1137/PCT#4</v>
      </c>
      <c r="H1320" s="2">
        <v>325.08</v>
      </c>
      <c r="I1320" t="str">
        <f>"ACCT#1137/PCT#4"</f>
        <v>ACCT#1137/PCT#4</v>
      </c>
    </row>
    <row r="1321" spans="1:9" x14ac:dyDescent="0.3">
      <c r="A1321" t="str">
        <f>"T5411"</f>
        <v>T5411</v>
      </c>
      <c r="B1321" t="s">
        <v>355</v>
      </c>
      <c r="C1321">
        <v>75191</v>
      </c>
      <c r="D1321" s="2">
        <v>2384</v>
      </c>
      <c r="E1321" s="1">
        <v>43143</v>
      </c>
      <c r="F1321" t="str">
        <f>"025892"</f>
        <v>025892</v>
      </c>
      <c r="G1321" t="str">
        <f>"U-Channel"</f>
        <v>U-Channel</v>
      </c>
      <c r="H1321" s="2">
        <v>2384</v>
      </c>
      <c r="I1321" t="str">
        <f>"U-Channel"</f>
        <v>U-Channel</v>
      </c>
    </row>
    <row r="1322" spans="1:9" x14ac:dyDescent="0.3">
      <c r="A1322" t="str">
        <f>"005405"</f>
        <v>005405</v>
      </c>
      <c r="B1322" t="s">
        <v>356</v>
      </c>
      <c r="C1322">
        <v>75192</v>
      </c>
      <c r="D1322" s="2">
        <v>74.28</v>
      </c>
      <c r="E1322" s="1">
        <v>43143</v>
      </c>
      <c r="F1322" t="str">
        <f>"201801318365"</f>
        <v>201801318365</v>
      </c>
      <c r="G1322" t="str">
        <f>"MEAL REIMBURSEMENT"</f>
        <v>MEAL REIMBURSEMENT</v>
      </c>
      <c r="H1322" s="2">
        <v>74.28</v>
      </c>
      <c r="I1322" t="str">
        <f>"MEAL REIMBURSEMENT"</f>
        <v>MEAL REIMBURSEMENT</v>
      </c>
    </row>
    <row r="1323" spans="1:9" x14ac:dyDescent="0.3">
      <c r="A1323" t="str">
        <f>"002370"</f>
        <v>002370</v>
      </c>
      <c r="B1323" t="s">
        <v>357</v>
      </c>
      <c r="C1323">
        <v>75193</v>
      </c>
      <c r="D1323" s="2">
        <v>1972.8</v>
      </c>
      <c r="E1323" s="1">
        <v>43143</v>
      </c>
      <c r="F1323" t="str">
        <f>"2008314"</f>
        <v>2008314</v>
      </c>
      <c r="G1323" t="str">
        <f>"REPLACE MAIN BREAKER/GEN SVCS"</f>
        <v>REPLACE MAIN BREAKER/GEN SVCS</v>
      </c>
      <c r="H1323" s="2">
        <v>677.9</v>
      </c>
      <c r="I1323" t="str">
        <f>"REPLACE MAIN BREAKER/GEN SVCS"</f>
        <v>REPLACE MAIN BREAKER/GEN SVCS</v>
      </c>
    </row>
    <row r="1324" spans="1:9" x14ac:dyDescent="0.3">
      <c r="A1324" t="str">
        <f>""</f>
        <v/>
      </c>
      <c r="F1324" t="str">
        <f>"2008317"</f>
        <v>2008317</v>
      </c>
      <c r="G1324" t="str">
        <f>"SEP LIGHTS/OEM OFFICE/GEN SVCS"</f>
        <v>SEP LIGHTS/OEM OFFICE/GEN SVCS</v>
      </c>
      <c r="H1324" s="2">
        <v>763.75</v>
      </c>
      <c r="I1324" t="str">
        <f>"SEP LIGHTS/OEM OFFICE/GEN SVCS"</f>
        <v>SEP LIGHTS/OEM OFFICE/GEN SVCS</v>
      </c>
    </row>
    <row r="1325" spans="1:9" x14ac:dyDescent="0.3">
      <c r="A1325" t="str">
        <f>""</f>
        <v/>
      </c>
      <c r="F1325" t="str">
        <f>"2008319"</f>
        <v>2008319</v>
      </c>
      <c r="G1325" t="str">
        <f>"TROUBLESHOOT/OLD JAIL/GEN SVCS"</f>
        <v>TROUBLESHOOT/OLD JAIL/GEN SVCS</v>
      </c>
      <c r="H1325" s="2">
        <v>531.15</v>
      </c>
      <c r="I1325" t="str">
        <f>"TROUBLESHOOT/OLD JAIL/GEN SVCS"</f>
        <v>TROUBLESHOOT/OLD JAIL/GEN SVCS</v>
      </c>
    </row>
    <row r="1326" spans="1:9" x14ac:dyDescent="0.3">
      <c r="A1326" t="str">
        <f>"WEBSTE"</f>
        <v>WEBSTE</v>
      </c>
      <c r="B1326" t="s">
        <v>358</v>
      </c>
      <c r="C1326">
        <v>75194</v>
      </c>
      <c r="D1326" s="2">
        <v>3431.73</v>
      </c>
      <c r="E1326" s="1">
        <v>43143</v>
      </c>
      <c r="F1326" t="str">
        <f>"201802058488"</f>
        <v>201802058488</v>
      </c>
      <c r="G1326" t="str">
        <f>"ACCT#0200140783/ANIMAL SVCS"</f>
        <v>ACCT#0200140783/ANIMAL SVCS</v>
      </c>
      <c r="H1326" s="2">
        <v>3431.73</v>
      </c>
      <c r="I1326" t="str">
        <f>"ACCT#0200140783/ANIMAL SVCS"</f>
        <v>ACCT#0200140783/ANIMAL SVCS</v>
      </c>
    </row>
    <row r="1327" spans="1:9" x14ac:dyDescent="0.3">
      <c r="A1327" t="str">
        <f>"002471"</f>
        <v>002471</v>
      </c>
      <c r="B1327" t="s">
        <v>359</v>
      </c>
      <c r="C1327">
        <v>75442</v>
      </c>
      <c r="D1327" s="2">
        <v>28000</v>
      </c>
      <c r="E1327" s="1">
        <v>43157</v>
      </c>
      <c r="F1327" t="str">
        <f>"384517"</f>
        <v>384517</v>
      </c>
      <c r="G1327" t="str">
        <f>"CLIENT#20442/INTERIM BILLING"</f>
        <v>CLIENT#20442/INTERIM BILLING</v>
      </c>
      <c r="H1327" s="2">
        <v>28000</v>
      </c>
      <c r="I1327" t="str">
        <f>"CLIENT#20442/INTERIM BILLING"</f>
        <v>CLIENT#20442/INTERIM BILLING</v>
      </c>
    </row>
    <row r="1328" spans="1:9" x14ac:dyDescent="0.3">
      <c r="A1328" t="str">
        <f>"001854"</f>
        <v>001854</v>
      </c>
      <c r="B1328" t="s">
        <v>360</v>
      </c>
      <c r="C1328">
        <v>75195</v>
      </c>
      <c r="D1328" s="2">
        <v>669.5</v>
      </c>
      <c r="E1328" s="1">
        <v>43143</v>
      </c>
      <c r="F1328" t="str">
        <f>"201802058481"</f>
        <v>201802058481</v>
      </c>
      <c r="G1328" t="str">
        <f>"TRASH REMOVAL/2/1-2/8/PCT#4"</f>
        <v>TRASH REMOVAL/2/1-2/8/PCT#4</v>
      </c>
      <c r="H1328" s="2">
        <v>279.5</v>
      </c>
      <c r="I1328" t="str">
        <f>"TRASH REMOVAL/2/1-2/8/PCT#4"</f>
        <v>TRASH REMOVAL/2/1-2/8/PCT#4</v>
      </c>
    </row>
    <row r="1329" spans="1:9" x14ac:dyDescent="0.3">
      <c r="A1329" t="str">
        <f>""</f>
        <v/>
      </c>
      <c r="F1329" t="str">
        <f>"201802058482"</f>
        <v>201802058482</v>
      </c>
      <c r="G1329" t="str">
        <f>"TRASH REMOVAL/1/22-1/30/PCT#4"</f>
        <v>TRASH REMOVAL/1/22-1/30/PCT#4</v>
      </c>
      <c r="H1329" s="2">
        <v>390</v>
      </c>
      <c r="I1329" t="str">
        <f>"TRASH REMOVAL/1/22-1/30/PCT#4"</f>
        <v>TRASH REMOVAL/1/22-1/30/PCT#4</v>
      </c>
    </row>
    <row r="1330" spans="1:9" x14ac:dyDescent="0.3">
      <c r="A1330" t="str">
        <f>"002782"</f>
        <v>002782</v>
      </c>
      <c r="B1330" t="s">
        <v>361</v>
      </c>
      <c r="C1330">
        <v>75196</v>
      </c>
      <c r="D1330" s="2">
        <v>118</v>
      </c>
      <c r="E1330" s="1">
        <v>43143</v>
      </c>
      <c r="F1330" t="str">
        <f>"134130"</f>
        <v>134130</v>
      </c>
      <c r="G1330" t="str">
        <f>"INV 134130"</f>
        <v>INV 134130</v>
      </c>
      <c r="H1330" s="2">
        <v>118</v>
      </c>
      <c r="I1330" t="str">
        <f>"INV 134130"</f>
        <v>INV 134130</v>
      </c>
    </row>
    <row r="1331" spans="1:9" x14ac:dyDescent="0.3">
      <c r="A1331" t="str">
        <f>"005400"</f>
        <v>005400</v>
      </c>
      <c r="B1331" t="s">
        <v>362</v>
      </c>
      <c r="C1331">
        <v>75197</v>
      </c>
      <c r="D1331" s="2">
        <v>757.11</v>
      </c>
      <c r="E1331" s="1">
        <v>43143</v>
      </c>
      <c r="F1331" t="str">
        <f>"B06710540101"</f>
        <v>B06710540101</v>
      </c>
      <c r="G1331" t="str">
        <f>"PCMG  INC."</f>
        <v>PCMG  INC.</v>
      </c>
      <c r="H1331" s="2">
        <v>757.11</v>
      </c>
      <c r="I1331" t="str">
        <f>"Power Supplies"</f>
        <v>Power Supplies</v>
      </c>
    </row>
    <row r="1332" spans="1:9" x14ac:dyDescent="0.3">
      <c r="A1332" t="str">
        <f>""</f>
        <v/>
      </c>
      <c r="F1332" t="str">
        <f>""</f>
        <v/>
      </c>
      <c r="G1332" t="str">
        <f>""</f>
        <v/>
      </c>
      <c r="I1332" t="str">
        <f>"Shipping"</f>
        <v>Shipping</v>
      </c>
    </row>
    <row r="1333" spans="1:9" x14ac:dyDescent="0.3">
      <c r="A1333" t="str">
        <f>"003795"</f>
        <v>003795</v>
      </c>
      <c r="B1333" t="s">
        <v>363</v>
      </c>
      <c r="C1333">
        <v>75198</v>
      </c>
      <c r="D1333" s="2">
        <v>35033.32</v>
      </c>
      <c r="E1333" s="1">
        <v>43143</v>
      </c>
      <c r="F1333" t="str">
        <f>"IVC00038603"</f>
        <v>IVC00038603</v>
      </c>
      <c r="G1333" t="str">
        <f>"ATTORNEY FEES10/01/17-12/31/17"</f>
        <v>ATTORNEY FEES10/01/17-12/31/17</v>
      </c>
      <c r="H1333" s="2">
        <v>3122.28</v>
      </c>
      <c r="I1333" t="str">
        <f>"ATTORNEY FEES10/01/17-12/31/17"</f>
        <v>ATTORNEY FEES10/01/17-12/31/17</v>
      </c>
    </row>
    <row r="1334" spans="1:9" x14ac:dyDescent="0.3">
      <c r="A1334" t="str">
        <f>""</f>
        <v/>
      </c>
      <c r="F1334" t="str">
        <f>"IVC00038604"</f>
        <v>IVC00038604</v>
      </c>
      <c r="G1334" t="str">
        <f>"ATTORNEY FEE/10/01/17-12/31/17"</f>
        <v>ATTORNEY FEE/10/01/17-12/31/17</v>
      </c>
      <c r="H1334" s="2">
        <v>13025.6</v>
      </c>
      <c r="I1334" t="str">
        <f>"ATTORNEY FEE/10/01/17-12/31/17"</f>
        <v>ATTORNEY FEE/10/01/17-12/31/17</v>
      </c>
    </row>
    <row r="1335" spans="1:9" x14ac:dyDescent="0.3">
      <c r="A1335" t="str">
        <f>""</f>
        <v/>
      </c>
      <c r="F1335" t="str">
        <f>"IVC00038605"</f>
        <v>IVC00038605</v>
      </c>
      <c r="G1335" t="str">
        <f>"ATTORNEY FEES-OCT-DEC 2017"</f>
        <v>ATTORNEY FEES-OCT-DEC 2017</v>
      </c>
      <c r="H1335" s="2">
        <v>6968.38</v>
      </c>
      <c r="I1335" t="str">
        <f>"ATTORNEY FEES-OCT-DEC 2017"</f>
        <v>ATTORNEY FEES-OCT-DEC 2017</v>
      </c>
    </row>
    <row r="1336" spans="1:9" x14ac:dyDescent="0.3">
      <c r="A1336" t="str">
        <f>""</f>
        <v/>
      </c>
      <c r="F1336" t="str">
        <f>"IVC00038606"</f>
        <v>IVC00038606</v>
      </c>
      <c r="G1336" t="str">
        <f>"ATTORNEY FEES-OCT-DEC 2017"</f>
        <v>ATTORNEY FEES-OCT-DEC 2017</v>
      </c>
      <c r="H1336" s="2">
        <v>11917.06</v>
      </c>
      <c r="I1336" t="str">
        <f>"ATTORNEY FEES-OCT-DEC 2017"</f>
        <v>ATTORNEY FEES-OCT-DEC 2017</v>
      </c>
    </row>
    <row r="1337" spans="1:9" x14ac:dyDescent="0.3">
      <c r="A1337" t="str">
        <f>"PET"</f>
        <v>PET</v>
      </c>
      <c r="B1337" t="s">
        <v>364</v>
      </c>
      <c r="C1337">
        <v>75443</v>
      </c>
      <c r="D1337" s="2">
        <v>33.950000000000003</v>
      </c>
      <c r="E1337" s="1">
        <v>43157</v>
      </c>
      <c r="F1337" t="str">
        <f>"SIUN11262870"</f>
        <v>SIUN11262870</v>
      </c>
      <c r="G1337" t="str">
        <f>"CUST#CUN000000233/ADOPTION"</f>
        <v>CUST#CUN000000233/ADOPTION</v>
      </c>
      <c r="H1337" s="2">
        <v>33.950000000000003</v>
      </c>
      <c r="I1337" t="str">
        <f>"CUST#CUN000000233/ADOPTION"</f>
        <v>CUST#CUN000000233/ADOPTION</v>
      </c>
    </row>
    <row r="1338" spans="1:9" x14ac:dyDescent="0.3">
      <c r="A1338" t="str">
        <f>"PRD"</f>
        <v>PRD</v>
      </c>
      <c r="B1338" t="s">
        <v>365</v>
      </c>
      <c r="C1338">
        <v>999999</v>
      </c>
      <c r="D1338" s="2">
        <v>2098</v>
      </c>
      <c r="E1338" s="1">
        <v>43144</v>
      </c>
      <c r="F1338" t="str">
        <f>"201801308309"</f>
        <v>201801308309</v>
      </c>
      <c r="G1338" t="str">
        <f>"UNFILED"</f>
        <v>UNFILED</v>
      </c>
      <c r="H1338" s="2">
        <v>100</v>
      </c>
      <c r="I1338" t="str">
        <f>"UNFILED"</f>
        <v>UNFILED</v>
      </c>
    </row>
    <row r="1339" spans="1:9" x14ac:dyDescent="0.3">
      <c r="A1339" t="str">
        <f>""</f>
        <v/>
      </c>
      <c r="F1339" t="str">
        <f>"201801308310"</f>
        <v>201801308310</v>
      </c>
      <c r="G1339" t="str">
        <f>"BCSO17502099"</f>
        <v>BCSO17502099</v>
      </c>
      <c r="H1339" s="2">
        <v>250</v>
      </c>
      <c r="I1339" t="str">
        <f>"BCSO17502099"</f>
        <v>BCSO17502099</v>
      </c>
    </row>
    <row r="1340" spans="1:9" x14ac:dyDescent="0.3">
      <c r="A1340" t="str">
        <f>""</f>
        <v/>
      </c>
      <c r="F1340" t="str">
        <f>"201802028455"</f>
        <v>201802028455</v>
      </c>
      <c r="G1340" t="str">
        <f>"17-18718"</f>
        <v>17-18718</v>
      </c>
      <c r="H1340" s="2">
        <v>535</v>
      </c>
      <c r="I1340" t="str">
        <f>"17-18718"</f>
        <v>17-18718</v>
      </c>
    </row>
    <row r="1341" spans="1:9" x14ac:dyDescent="0.3">
      <c r="A1341" t="str">
        <f>""</f>
        <v/>
      </c>
      <c r="F1341" t="str">
        <f>"201802028457"</f>
        <v>201802028457</v>
      </c>
      <c r="G1341" t="str">
        <f>"J-3113"</f>
        <v>J-3113</v>
      </c>
      <c r="H1341" s="2">
        <v>250</v>
      </c>
      <c r="I1341" t="str">
        <f>"J-3113"</f>
        <v>J-3113</v>
      </c>
    </row>
    <row r="1342" spans="1:9" x14ac:dyDescent="0.3">
      <c r="A1342" t="str">
        <f>""</f>
        <v/>
      </c>
      <c r="F1342" t="str">
        <f>"201802028458"</f>
        <v>201802028458</v>
      </c>
      <c r="G1342" t="str">
        <f>"J-3112"</f>
        <v>J-3112</v>
      </c>
      <c r="H1342" s="2">
        <v>250</v>
      </c>
      <c r="I1342" t="str">
        <f>"J-3112"</f>
        <v>J-3112</v>
      </c>
    </row>
    <row r="1343" spans="1:9" x14ac:dyDescent="0.3">
      <c r="A1343" t="str">
        <f>""</f>
        <v/>
      </c>
      <c r="F1343" t="str">
        <f>"201802078635"</f>
        <v>201802078635</v>
      </c>
      <c r="G1343" t="str">
        <f>"15-17189"</f>
        <v>15-17189</v>
      </c>
      <c r="H1343" s="2">
        <v>205</v>
      </c>
      <c r="I1343" t="str">
        <f>"15-17189"</f>
        <v>15-17189</v>
      </c>
    </row>
    <row r="1344" spans="1:9" x14ac:dyDescent="0.3">
      <c r="A1344" t="str">
        <f>""</f>
        <v/>
      </c>
      <c r="F1344" t="str">
        <f>"201802078636"</f>
        <v>201802078636</v>
      </c>
      <c r="G1344" t="str">
        <f>"UNFILED"</f>
        <v>UNFILED</v>
      </c>
      <c r="H1344" s="2">
        <v>100</v>
      </c>
      <c r="I1344" t="str">
        <f>"UNFILED"</f>
        <v>UNFILED</v>
      </c>
    </row>
    <row r="1345" spans="1:9" x14ac:dyDescent="0.3">
      <c r="A1345" t="str">
        <f>""</f>
        <v/>
      </c>
      <c r="F1345" t="str">
        <f>"201802078637"</f>
        <v>201802078637</v>
      </c>
      <c r="G1345" t="str">
        <f>"17-18493"</f>
        <v>17-18493</v>
      </c>
      <c r="H1345" s="2">
        <v>408</v>
      </c>
      <c r="I1345" t="str">
        <f>"17-18493"</f>
        <v>17-18493</v>
      </c>
    </row>
    <row r="1346" spans="1:9" x14ac:dyDescent="0.3">
      <c r="A1346" t="str">
        <f>"PRD"</f>
        <v>PRD</v>
      </c>
      <c r="B1346" t="s">
        <v>365</v>
      </c>
      <c r="C1346">
        <v>999999</v>
      </c>
      <c r="D1346" s="2">
        <v>851</v>
      </c>
      <c r="E1346" s="1">
        <v>43158</v>
      </c>
      <c r="F1346" t="str">
        <f>"201802218842"</f>
        <v>201802218842</v>
      </c>
      <c r="G1346" t="str">
        <f>"17-18119"</f>
        <v>17-18119</v>
      </c>
      <c r="H1346" s="2">
        <v>243</v>
      </c>
      <c r="I1346" t="str">
        <f>"17-18119"</f>
        <v>17-18119</v>
      </c>
    </row>
    <row r="1347" spans="1:9" x14ac:dyDescent="0.3">
      <c r="A1347" t="str">
        <f>""</f>
        <v/>
      </c>
      <c r="F1347" t="str">
        <f>"201802218843"</f>
        <v>201802218843</v>
      </c>
      <c r="G1347" t="str">
        <f>"16-18062"</f>
        <v>16-18062</v>
      </c>
      <c r="H1347" s="2">
        <v>150</v>
      </c>
      <c r="I1347" t="str">
        <f>"16-18062"</f>
        <v>16-18062</v>
      </c>
    </row>
    <row r="1348" spans="1:9" x14ac:dyDescent="0.3">
      <c r="A1348" t="str">
        <f>""</f>
        <v/>
      </c>
      <c r="F1348" t="str">
        <f>"201802218864"</f>
        <v>201802218864</v>
      </c>
      <c r="G1348" t="str">
        <f>"18-18819"</f>
        <v>18-18819</v>
      </c>
      <c r="H1348" s="2">
        <v>458</v>
      </c>
      <c r="I1348" t="str">
        <f>"18-18819"</f>
        <v>18-18819</v>
      </c>
    </row>
    <row r="1349" spans="1:9" x14ac:dyDescent="0.3">
      <c r="A1349" t="str">
        <f>"PCAS"</f>
        <v>PCAS</v>
      </c>
      <c r="B1349" t="s">
        <v>366</v>
      </c>
      <c r="C1349">
        <v>75199</v>
      </c>
      <c r="D1349" s="2">
        <v>221</v>
      </c>
      <c r="E1349" s="1">
        <v>43143</v>
      </c>
      <c r="F1349" t="str">
        <f>"003130"</f>
        <v>003130</v>
      </c>
      <c r="G1349" t="str">
        <f>"INSPECTIONS/PCT#3"</f>
        <v>INSPECTIONS/PCT#3</v>
      </c>
      <c r="H1349" s="2">
        <v>214</v>
      </c>
      <c r="I1349" t="str">
        <f>"INSPECTIONS/PCT#3"</f>
        <v>INSPECTIONS/PCT#3</v>
      </c>
    </row>
    <row r="1350" spans="1:9" x14ac:dyDescent="0.3">
      <c r="A1350" t="str">
        <f>""</f>
        <v/>
      </c>
      <c r="F1350" t="str">
        <f>"003130A"</f>
        <v>003130A</v>
      </c>
      <c r="G1350" t="str">
        <f>"VEHICLE INSPECTIONS/PCT#4"</f>
        <v>VEHICLE INSPECTIONS/PCT#4</v>
      </c>
      <c r="H1350" s="2">
        <v>7</v>
      </c>
      <c r="I1350" t="str">
        <f>"VEHICLE INSPECTIONS/PCT#4"</f>
        <v>VEHICLE INSPECTIONS/PCT#4</v>
      </c>
    </row>
    <row r="1351" spans="1:9" x14ac:dyDescent="0.3">
      <c r="A1351" t="str">
        <f>"003293"</f>
        <v>003293</v>
      </c>
      <c r="B1351" t="s">
        <v>367</v>
      </c>
      <c r="C1351">
        <v>75200</v>
      </c>
      <c r="D1351" s="2">
        <v>5562.5</v>
      </c>
      <c r="E1351" s="1">
        <v>43143</v>
      </c>
      <c r="F1351" t="str">
        <f>"201801308311"</f>
        <v>201801308311</v>
      </c>
      <c r="G1351" t="str">
        <f>"16-17626"</f>
        <v>16-17626</v>
      </c>
      <c r="H1351" s="2">
        <v>30</v>
      </c>
      <c r="I1351" t="str">
        <f>"16-17626"</f>
        <v>16-17626</v>
      </c>
    </row>
    <row r="1352" spans="1:9" x14ac:dyDescent="0.3">
      <c r="A1352" t="str">
        <f>""</f>
        <v/>
      </c>
      <c r="F1352" t="str">
        <f>"201801308312"</f>
        <v>201801308312</v>
      </c>
      <c r="G1352" t="str">
        <f>"1617969"</f>
        <v>1617969</v>
      </c>
      <c r="H1352" s="2">
        <v>172.5</v>
      </c>
      <c r="I1352" t="str">
        <f>"1617969"</f>
        <v>1617969</v>
      </c>
    </row>
    <row r="1353" spans="1:9" x14ac:dyDescent="0.3">
      <c r="A1353" t="str">
        <f>""</f>
        <v/>
      </c>
      <c r="F1353" t="str">
        <f>"201801308313"</f>
        <v>201801308313</v>
      </c>
      <c r="G1353" t="str">
        <f>"17-18120"</f>
        <v>17-18120</v>
      </c>
      <c r="H1353" s="2">
        <v>75</v>
      </c>
      <c r="I1353" t="str">
        <f>"17-18120"</f>
        <v>17-18120</v>
      </c>
    </row>
    <row r="1354" spans="1:9" x14ac:dyDescent="0.3">
      <c r="A1354" t="str">
        <f>""</f>
        <v/>
      </c>
      <c r="F1354" t="str">
        <f>"201801308314"</f>
        <v>201801308314</v>
      </c>
      <c r="G1354" t="str">
        <f>"15-17189"</f>
        <v>15-17189</v>
      </c>
      <c r="H1354" s="2">
        <v>150</v>
      </c>
      <c r="I1354" t="str">
        <f>"15-17189"</f>
        <v>15-17189</v>
      </c>
    </row>
    <row r="1355" spans="1:9" x14ac:dyDescent="0.3">
      <c r="A1355" t="str">
        <f>""</f>
        <v/>
      </c>
      <c r="F1355" t="str">
        <f>"201801308315"</f>
        <v>201801308315</v>
      </c>
      <c r="G1355" t="str">
        <f>"16-17760"</f>
        <v>16-17760</v>
      </c>
      <c r="H1355" s="2">
        <v>206.25</v>
      </c>
      <c r="I1355" t="str">
        <f>"16-17760"</f>
        <v>16-17760</v>
      </c>
    </row>
    <row r="1356" spans="1:9" x14ac:dyDescent="0.3">
      <c r="A1356" t="str">
        <f>""</f>
        <v/>
      </c>
      <c r="F1356" t="str">
        <f>"201801308316"</f>
        <v>201801308316</v>
      </c>
      <c r="G1356" t="str">
        <f>"17-18229"</f>
        <v>17-18229</v>
      </c>
      <c r="H1356" s="2">
        <v>393.75</v>
      </c>
      <c r="I1356" t="str">
        <f>"17-18229"</f>
        <v>17-18229</v>
      </c>
    </row>
    <row r="1357" spans="1:9" x14ac:dyDescent="0.3">
      <c r="A1357" t="str">
        <f>""</f>
        <v/>
      </c>
      <c r="F1357" t="str">
        <f>"201801308317"</f>
        <v>201801308317</v>
      </c>
      <c r="G1357" t="str">
        <f>"16-17909"</f>
        <v>16-17909</v>
      </c>
      <c r="H1357" s="2">
        <v>90</v>
      </c>
      <c r="I1357" t="str">
        <f>"16-17909"</f>
        <v>16-17909</v>
      </c>
    </row>
    <row r="1358" spans="1:9" x14ac:dyDescent="0.3">
      <c r="A1358" t="str">
        <f>""</f>
        <v/>
      </c>
      <c r="F1358" t="str">
        <f>"201801308318"</f>
        <v>201801308318</v>
      </c>
      <c r="G1358" t="str">
        <f>"16-17765"</f>
        <v>16-17765</v>
      </c>
      <c r="H1358" s="2">
        <v>67.5</v>
      </c>
      <c r="I1358" t="str">
        <f>"16-17765"</f>
        <v>16-17765</v>
      </c>
    </row>
    <row r="1359" spans="1:9" x14ac:dyDescent="0.3">
      <c r="A1359" t="str">
        <f>""</f>
        <v/>
      </c>
      <c r="F1359" t="str">
        <f>"201801308319"</f>
        <v>201801308319</v>
      </c>
      <c r="G1359" t="str">
        <f>"17-18527"</f>
        <v>17-18527</v>
      </c>
      <c r="H1359" s="2">
        <v>378.75</v>
      </c>
      <c r="I1359" t="str">
        <f>"17-18527"</f>
        <v>17-18527</v>
      </c>
    </row>
    <row r="1360" spans="1:9" x14ac:dyDescent="0.3">
      <c r="A1360" t="str">
        <f>""</f>
        <v/>
      </c>
      <c r="F1360" t="str">
        <f>"201801308320"</f>
        <v>201801308320</v>
      </c>
      <c r="G1360" t="str">
        <f>"17-18229"</f>
        <v>17-18229</v>
      </c>
      <c r="H1360" s="2">
        <v>250</v>
      </c>
      <c r="I1360" t="str">
        <f>"17-18229"</f>
        <v>17-18229</v>
      </c>
    </row>
    <row r="1361" spans="1:9" x14ac:dyDescent="0.3">
      <c r="A1361" t="str">
        <f>""</f>
        <v/>
      </c>
      <c r="F1361" t="str">
        <f>"201801308321"</f>
        <v>201801308321</v>
      </c>
      <c r="G1361" t="str">
        <f>"17-18615"</f>
        <v>17-18615</v>
      </c>
      <c r="H1361" s="2">
        <v>268.75</v>
      </c>
      <c r="I1361" t="str">
        <f>"17-18615"</f>
        <v>17-18615</v>
      </c>
    </row>
    <row r="1362" spans="1:9" x14ac:dyDescent="0.3">
      <c r="A1362" t="str">
        <f>""</f>
        <v/>
      </c>
      <c r="F1362" t="str">
        <f>"201801308322"</f>
        <v>201801308322</v>
      </c>
      <c r="G1362" t="str">
        <f>"17-18120"</f>
        <v>17-18120</v>
      </c>
      <c r="H1362" s="2">
        <v>131.25</v>
      </c>
      <c r="I1362" t="str">
        <f>"17-18120"</f>
        <v>17-18120</v>
      </c>
    </row>
    <row r="1363" spans="1:9" x14ac:dyDescent="0.3">
      <c r="A1363" t="str">
        <f>""</f>
        <v/>
      </c>
      <c r="F1363" t="str">
        <f>"201801308323"</f>
        <v>201801308323</v>
      </c>
      <c r="G1363" t="str">
        <f>"16-17894"</f>
        <v>16-17894</v>
      </c>
      <c r="H1363" s="2">
        <v>265</v>
      </c>
      <c r="I1363" t="str">
        <f>"16-17894"</f>
        <v>16-17894</v>
      </c>
    </row>
    <row r="1364" spans="1:9" x14ac:dyDescent="0.3">
      <c r="A1364" t="str">
        <f>""</f>
        <v/>
      </c>
      <c r="F1364" t="str">
        <f>"201801308324"</f>
        <v>201801308324</v>
      </c>
      <c r="G1364" t="str">
        <f>"17-18578"</f>
        <v>17-18578</v>
      </c>
      <c r="H1364" s="2">
        <v>445</v>
      </c>
      <c r="I1364" t="str">
        <f>"17-18578"</f>
        <v>17-18578</v>
      </c>
    </row>
    <row r="1365" spans="1:9" x14ac:dyDescent="0.3">
      <c r="A1365" t="str">
        <f>""</f>
        <v/>
      </c>
      <c r="F1365" t="str">
        <f>"201801308325"</f>
        <v>201801308325</v>
      </c>
      <c r="G1365" t="str">
        <f>"16-17944"</f>
        <v>16-17944</v>
      </c>
      <c r="H1365" s="2">
        <v>610</v>
      </c>
      <c r="I1365" t="str">
        <f>"16-17944"</f>
        <v>16-17944</v>
      </c>
    </row>
    <row r="1366" spans="1:9" x14ac:dyDescent="0.3">
      <c r="A1366" t="str">
        <f>""</f>
        <v/>
      </c>
      <c r="F1366" t="str">
        <f>"201801308326"</f>
        <v>201801308326</v>
      </c>
      <c r="G1366" t="str">
        <f>"16-17760"</f>
        <v>16-17760</v>
      </c>
      <c r="H1366" s="2">
        <v>462.5</v>
      </c>
      <c r="I1366" t="str">
        <f>"16-17760"</f>
        <v>16-17760</v>
      </c>
    </row>
    <row r="1367" spans="1:9" x14ac:dyDescent="0.3">
      <c r="A1367" t="str">
        <f>""</f>
        <v/>
      </c>
      <c r="F1367" t="str">
        <f>"201801308327"</f>
        <v>201801308327</v>
      </c>
      <c r="G1367" t="str">
        <f>"16-17944"</f>
        <v>16-17944</v>
      </c>
      <c r="H1367" s="2">
        <v>427.5</v>
      </c>
      <c r="I1367" t="str">
        <f>"16-17944"</f>
        <v>16-17944</v>
      </c>
    </row>
    <row r="1368" spans="1:9" x14ac:dyDescent="0.3">
      <c r="A1368" t="str">
        <f>""</f>
        <v/>
      </c>
      <c r="F1368" t="str">
        <f>"201801308329"</f>
        <v>201801308329</v>
      </c>
      <c r="G1368" t="str">
        <f>"167969"</f>
        <v>167969</v>
      </c>
      <c r="H1368" s="2">
        <v>450</v>
      </c>
      <c r="I1368" t="str">
        <f>"167969"</f>
        <v>167969</v>
      </c>
    </row>
    <row r="1369" spans="1:9" x14ac:dyDescent="0.3">
      <c r="A1369" t="str">
        <f>""</f>
        <v/>
      </c>
      <c r="F1369" t="str">
        <f>"201801308330"</f>
        <v>201801308330</v>
      </c>
      <c r="G1369" t="str">
        <f>"16-17765"</f>
        <v>16-17765</v>
      </c>
      <c r="H1369" s="2">
        <v>438.75</v>
      </c>
      <c r="I1369" t="str">
        <f>"16-17765"</f>
        <v>16-17765</v>
      </c>
    </row>
    <row r="1370" spans="1:9" x14ac:dyDescent="0.3">
      <c r="A1370" t="str">
        <f>""</f>
        <v/>
      </c>
      <c r="F1370" t="str">
        <f>"201801308331"</f>
        <v>201801308331</v>
      </c>
      <c r="G1370" t="str">
        <f>"55 105"</f>
        <v>55 105</v>
      </c>
      <c r="H1370" s="2">
        <v>250</v>
      </c>
      <c r="I1370" t="str">
        <f>"55 105"</f>
        <v>55 105</v>
      </c>
    </row>
    <row r="1371" spans="1:9" x14ac:dyDescent="0.3">
      <c r="A1371" t="str">
        <f>"003293"</f>
        <v>003293</v>
      </c>
      <c r="B1371" t="s">
        <v>367</v>
      </c>
      <c r="C1371">
        <v>75444</v>
      </c>
      <c r="D1371" s="2">
        <v>250</v>
      </c>
      <c r="E1371" s="1">
        <v>43157</v>
      </c>
      <c r="F1371" t="str">
        <f>"201802148739"</f>
        <v>201802148739</v>
      </c>
      <c r="G1371" t="str">
        <f>"55 624"</f>
        <v>55 624</v>
      </c>
      <c r="H1371" s="2">
        <v>250</v>
      </c>
      <c r="I1371" t="str">
        <f>"55 624"</f>
        <v>55 624</v>
      </c>
    </row>
    <row r="1372" spans="1:9" x14ac:dyDescent="0.3">
      <c r="A1372" t="str">
        <f>"PM"</f>
        <v>PM</v>
      </c>
      <c r="B1372" t="s">
        <v>368</v>
      </c>
      <c r="C1372">
        <v>75445</v>
      </c>
      <c r="D1372" s="2">
        <v>42</v>
      </c>
      <c r="E1372" s="1">
        <v>43157</v>
      </c>
      <c r="F1372" t="str">
        <f>"201802148747"</f>
        <v>201802148747</v>
      </c>
      <c r="G1372" t="str">
        <f>"POST OFFICE BOX FEE-JP#2"</f>
        <v>POST OFFICE BOX FEE-JP#2</v>
      </c>
      <c r="H1372" s="2">
        <v>42</v>
      </c>
      <c r="I1372" t="str">
        <f>"POST OFFICE BOX FEE-JP#2"</f>
        <v>POST OFFICE BOX FEE-JP#2</v>
      </c>
    </row>
    <row r="1373" spans="1:9" x14ac:dyDescent="0.3">
      <c r="A1373" t="str">
        <f>"T14077"</f>
        <v>T14077</v>
      </c>
      <c r="B1373" t="s">
        <v>369</v>
      </c>
      <c r="C1373">
        <v>75446</v>
      </c>
      <c r="D1373" s="2">
        <v>300</v>
      </c>
      <c r="E1373" s="1">
        <v>43157</v>
      </c>
      <c r="F1373" t="str">
        <f>"BAIL BOND COURSE"</f>
        <v>BAIL BOND COURSE</v>
      </c>
      <c r="G1373" t="str">
        <f>"TRAINING"</f>
        <v>TRAINING</v>
      </c>
      <c r="H1373" s="2">
        <v>300</v>
      </c>
      <c r="I1373" t="str">
        <f>"AMANDA GRAYSON"</f>
        <v>AMANDA GRAYSON</v>
      </c>
    </row>
    <row r="1374" spans="1:9" x14ac:dyDescent="0.3">
      <c r="A1374" t="str">
        <f>""</f>
        <v/>
      </c>
      <c r="F1374" t="str">
        <f>""</f>
        <v/>
      </c>
      <c r="G1374" t="str">
        <f>""</f>
        <v/>
      </c>
      <c r="I1374" t="str">
        <f>"LOREN SPENCER"</f>
        <v>LOREN SPENCER</v>
      </c>
    </row>
    <row r="1375" spans="1:9" x14ac:dyDescent="0.3">
      <c r="A1375" t="str">
        <f>"002297"</f>
        <v>002297</v>
      </c>
      <c r="B1375" t="s">
        <v>370</v>
      </c>
      <c r="C1375">
        <v>75201</v>
      </c>
      <c r="D1375" s="2">
        <v>1680</v>
      </c>
      <c r="E1375" s="1">
        <v>43143</v>
      </c>
      <c r="F1375" t="str">
        <f>"2017121"</f>
        <v>2017121</v>
      </c>
      <c r="G1375" t="str">
        <f>"TRANSPORT-M. CACHO"</f>
        <v>TRANSPORT-M. CACHO</v>
      </c>
      <c r="H1375" s="2">
        <v>385</v>
      </c>
      <c r="I1375" t="str">
        <f>"TRANSPORT-M. CACHO"</f>
        <v>TRANSPORT-M. CACHO</v>
      </c>
    </row>
    <row r="1376" spans="1:9" x14ac:dyDescent="0.3">
      <c r="A1376" t="str">
        <f>""</f>
        <v/>
      </c>
      <c r="F1376" t="str">
        <f>"2017125"</f>
        <v>2017125</v>
      </c>
      <c r="G1376" t="str">
        <f>"TRANSPORT-C.SIMMS"</f>
        <v>TRANSPORT-C.SIMMS</v>
      </c>
      <c r="H1376" s="2">
        <v>295</v>
      </c>
      <c r="I1376" t="str">
        <f>"TRANSPORT-C.SIMMS"</f>
        <v>TRANSPORT-C.SIMMS</v>
      </c>
    </row>
    <row r="1377" spans="1:9" x14ac:dyDescent="0.3">
      <c r="A1377" t="str">
        <f>""</f>
        <v/>
      </c>
      <c r="F1377" t="str">
        <f>"2017132"</f>
        <v>2017132</v>
      </c>
      <c r="G1377" t="str">
        <f>"TRANSPORT-R. SNYDER"</f>
        <v>TRANSPORT-R. SNYDER</v>
      </c>
      <c r="H1377" s="2">
        <v>1000</v>
      </c>
      <c r="I1377" t="str">
        <f>"TRANSPORT-R. SNYDER"</f>
        <v>TRANSPORT-R. SNYDER</v>
      </c>
    </row>
    <row r="1378" spans="1:9" x14ac:dyDescent="0.3">
      <c r="A1378" t="str">
        <f>"004709"</f>
        <v>004709</v>
      </c>
      <c r="B1378" t="s">
        <v>371</v>
      </c>
      <c r="C1378">
        <v>75202</v>
      </c>
      <c r="D1378" s="2">
        <v>820</v>
      </c>
      <c r="E1378" s="1">
        <v>43143</v>
      </c>
      <c r="F1378" t="str">
        <f>"TRAINING-J. BATES"</f>
        <v>TRAINING-J. BATES</v>
      </c>
      <c r="G1378" t="str">
        <f>"J. BATES - SEMINAR 15064"</f>
        <v>J. BATES - SEMINAR 15064</v>
      </c>
      <c r="H1378" s="2">
        <v>325</v>
      </c>
      <c r="I1378" t="str">
        <f>"J. BATES - SEMINAR 15064"</f>
        <v>J. BATES - SEMINAR 15064</v>
      </c>
    </row>
    <row r="1379" spans="1:9" x14ac:dyDescent="0.3">
      <c r="A1379" t="str">
        <f>""</f>
        <v/>
      </c>
      <c r="F1379" t="str">
        <f>"TRAINING-M.PLOCICA"</f>
        <v>TRAINING-M.PLOCICA</v>
      </c>
      <c r="G1379" t="str">
        <f>"M. PLOCICA; SEMINAR 15274"</f>
        <v>M. PLOCICA; SEMINAR 15274</v>
      </c>
      <c r="H1379" s="2">
        <v>495</v>
      </c>
      <c r="I1379" t="str">
        <f>"M. PLOCICA; SEMINAR 15274"</f>
        <v>M. PLOCICA; SEMINAR 15274</v>
      </c>
    </row>
    <row r="1380" spans="1:9" x14ac:dyDescent="0.3">
      <c r="A1380" t="str">
        <f>"T11156"</f>
        <v>T11156</v>
      </c>
      <c r="B1380" t="s">
        <v>372</v>
      </c>
      <c r="C1380">
        <v>75203</v>
      </c>
      <c r="D1380" s="2">
        <v>84.3</v>
      </c>
      <c r="E1380" s="1">
        <v>43143</v>
      </c>
      <c r="F1380" t="str">
        <f>"201802078669"</f>
        <v>201802078669</v>
      </c>
      <c r="G1380" t="str">
        <f>"INDIGENT HEALTH"</f>
        <v>INDIGENT HEALTH</v>
      </c>
      <c r="H1380" s="2">
        <v>84.3</v>
      </c>
      <c r="I1380" t="str">
        <f>"INDIGENT HEALTH"</f>
        <v>INDIGENT HEALTH</v>
      </c>
    </row>
    <row r="1381" spans="1:9" x14ac:dyDescent="0.3">
      <c r="A1381" t="str">
        <f>"T3233"</f>
        <v>T3233</v>
      </c>
      <c r="B1381" t="s">
        <v>373</v>
      </c>
      <c r="C1381">
        <v>75204</v>
      </c>
      <c r="D1381" s="2">
        <v>588</v>
      </c>
      <c r="E1381" s="1">
        <v>43143</v>
      </c>
      <c r="F1381" t="str">
        <f>"4161984/4163279/41"</f>
        <v>4161984/4163279/41</v>
      </c>
      <c r="G1381" t="str">
        <f>"4161984  4163279  4188496"</f>
        <v>4161984  4163279  4188496</v>
      </c>
      <c r="H1381" s="2">
        <v>339.49</v>
      </c>
      <c r="I1381" t="str">
        <f>"Inv# 4161984"</f>
        <v>Inv# 4161984</v>
      </c>
    </row>
    <row r="1382" spans="1:9" x14ac:dyDescent="0.3">
      <c r="A1382" t="str">
        <f>""</f>
        <v/>
      </c>
      <c r="F1382" t="str">
        <f>""</f>
        <v/>
      </c>
      <c r="G1382" t="str">
        <f>""</f>
        <v/>
      </c>
      <c r="I1382" t="str">
        <f>"Inv# 4163279"</f>
        <v>Inv# 4163279</v>
      </c>
    </row>
    <row r="1383" spans="1:9" x14ac:dyDescent="0.3">
      <c r="A1383" t="str">
        <f>""</f>
        <v/>
      </c>
      <c r="F1383" t="str">
        <f>""</f>
        <v/>
      </c>
      <c r="G1383" t="str">
        <f>""</f>
        <v/>
      </c>
      <c r="I1383" t="str">
        <f>"Inv# 4188496"</f>
        <v>Inv# 4188496</v>
      </c>
    </row>
    <row r="1384" spans="1:9" x14ac:dyDescent="0.3">
      <c r="A1384" t="str">
        <f>""</f>
        <v/>
      </c>
      <c r="F1384" t="str">
        <f>"4243631"</f>
        <v>4243631</v>
      </c>
      <c r="G1384" t="str">
        <f>"Inv# 4243631"</f>
        <v>Inv# 4243631</v>
      </c>
      <c r="H1384" s="2">
        <v>248.51</v>
      </c>
      <c r="I1384" t="str">
        <f>"Inv# 4243631"</f>
        <v>Inv# 4243631</v>
      </c>
    </row>
    <row r="1385" spans="1:9" x14ac:dyDescent="0.3">
      <c r="A1385" t="str">
        <f>"005391"</f>
        <v>005391</v>
      </c>
      <c r="B1385" t="s">
        <v>374</v>
      </c>
      <c r="C1385">
        <v>75205</v>
      </c>
      <c r="D1385" s="2">
        <v>600</v>
      </c>
      <c r="E1385" s="1">
        <v>43143</v>
      </c>
      <c r="F1385" t="str">
        <f>"002"</f>
        <v>002</v>
      </c>
      <c r="G1385" t="str">
        <f>"PHYSICIAN HOURLY RATE"</f>
        <v>PHYSICIAN HOURLY RATE</v>
      </c>
      <c r="H1385" s="2">
        <v>600</v>
      </c>
      <c r="I1385" t="str">
        <f>"PHYSICIAN HOURLY RATE"</f>
        <v>PHYSICIAN HOURLY RATE</v>
      </c>
    </row>
    <row r="1386" spans="1:9" x14ac:dyDescent="0.3">
      <c r="A1386" t="str">
        <f>"T12173"</f>
        <v>T12173</v>
      </c>
      <c r="B1386" t="s">
        <v>375</v>
      </c>
      <c r="C1386">
        <v>75206</v>
      </c>
      <c r="D1386" s="2">
        <v>39.57</v>
      </c>
      <c r="E1386" s="1">
        <v>43143</v>
      </c>
      <c r="F1386" t="str">
        <f>"RO016668"</f>
        <v>RO016668</v>
      </c>
      <c r="G1386" t="str">
        <f>"ORDER RO016668"</f>
        <v>ORDER RO016668</v>
      </c>
      <c r="H1386" s="2">
        <v>39.57</v>
      </c>
      <c r="I1386" t="str">
        <f>"ORDER RO016668"</f>
        <v>ORDER RO016668</v>
      </c>
    </row>
    <row r="1387" spans="1:9" x14ac:dyDescent="0.3">
      <c r="A1387" t="str">
        <f>"T12173"</f>
        <v>T12173</v>
      </c>
      <c r="B1387" t="s">
        <v>375</v>
      </c>
      <c r="C1387">
        <v>75447</v>
      </c>
      <c r="D1387" s="2">
        <v>67.42</v>
      </c>
      <c r="E1387" s="1">
        <v>43157</v>
      </c>
      <c r="F1387" t="str">
        <f>"RINV057283"</f>
        <v>RINV057283</v>
      </c>
      <c r="G1387" t="str">
        <f>"INV RINV057283"</f>
        <v>INV RINV057283</v>
      </c>
      <c r="H1387" s="2">
        <v>67.42</v>
      </c>
      <c r="I1387" t="str">
        <f>"INV RINV057283"</f>
        <v>INV RINV057283</v>
      </c>
    </row>
    <row r="1388" spans="1:9" x14ac:dyDescent="0.3">
      <c r="A1388" t="str">
        <f>"000591"</f>
        <v>000591</v>
      </c>
      <c r="B1388" t="s">
        <v>376</v>
      </c>
      <c r="C1388">
        <v>999999</v>
      </c>
      <c r="D1388" s="2">
        <v>52.84</v>
      </c>
      <c r="E1388" s="1">
        <v>43144</v>
      </c>
      <c r="F1388" t="str">
        <f>"08A0121569859"</f>
        <v>08A0121569859</v>
      </c>
      <c r="G1388" t="str">
        <f>"ACCT#0121569859/JP#4"</f>
        <v>ACCT#0121569859/JP#4</v>
      </c>
      <c r="H1388" s="2">
        <v>28.93</v>
      </c>
      <c r="I1388" t="str">
        <f>"ACCT#0121569859/JP#4"</f>
        <v>ACCT#0121569859/JP#4</v>
      </c>
    </row>
    <row r="1389" spans="1:9" x14ac:dyDescent="0.3">
      <c r="A1389" t="str">
        <f>""</f>
        <v/>
      </c>
      <c r="F1389" t="str">
        <f>"08A0121587851"</f>
        <v>08A0121587851</v>
      </c>
      <c r="G1389" t="str">
        <f>"ACCT#0121587851/PCT#4"</f>
        <v>ACCT#0121587851/PCT#4</v>
      </c>
      <c r="H1389" s="2">
        <v>23.91</v>
      </c>
      <c r="I1389" t="str">
        <f>"ACCT#0121587851/PCT#4"</f>
        <v>ACCT#0121587851/PCT#4</v>
      </c>
    </row>
    <row r="1390" spans="1:9" x14ac:dyDescent="0.3">
      <c r="A1390" t="str">
        <f>"003847"</f>
        <v>003847</v>
      </c>
      <c r="B1390" t="s">
        <v>377</v>
      </c>
      <c r="C1390">
        <v>75207</v>
      </c>
      <c r="D1390" s="2">
        <v>450</v>
      </c>
      <c r="E1390" s="1">
        <v>43143</v>
      </c>
      <c r="F1390" t="str">
        <f>"003-18"</f>
        <v>003-18</v>
      </c>
      <c r="G1390" t="str">
        <f>"APPRAISAL REPORT-1118 FM 20"</f>
        <v>APPRAISAL REPORT-1118 FM 20</v>
      </c>
      <c r="H1390" s="2">
        <v>450</v>
      </c>
      <c r="I1390" t="str">
        <f>"APPRAISAL REPORT-1118 FM 20"</f>
        <v>APPRAISAL REPORT-1118 FM 20</v>
      </c>
    </row>
    <row r="1391" spans="1:9" x14ac:dyDescent="0.3">
      <c r="A1391" t="str">
        <f>"T13964"</f>
        <v>T13964</v>
      </c>
      <c r="B1391" t="s">
        <v>378</v>
      </c>
      <c r="C1391">
        <v>75208</v>
      </c>
      <c r="D1391" s="2">
        <v>1689</v>
      </c>
      <c r="E1391" s="1">
        <v>43143</v>
      </c>
      <c r="F1391" t="str">
        <f>"20180110019610"</f>
        <v>20180110019610</v>
      </c>
      <c r="G1391" t="str">
        <f>"CUST#19610"</f>
        <v>CUST#19610</v>
      </c>
      <c r="H1391" s="2">
        <v>1463.76</v>
      </c>
      <c r="I1391" t="str">
        <f>"CUST#19610"</f>
        <v>CUST#19610</v>
      </c>
    </row>
    <row r="1392" spans="1:9" x14ac:dyDescent="0.3">
      <c r="A1392" t="str">
        <f>""</f>
        <v/>
      </c>
      <c r="F1392" t="str">
        <f>"20180110019610 A"</f>
        <v>20180110019610 A</v>
      </c>
      <c r="G1392" t="str">
        <f>"CUST#19610/PCT#4"</f>
        <v>CUST#19610/PCT#4</v>
      </c>
      <c r="H1392" s="2">
        <v>225.24</v>
      </c>
      <c r="I1392" t="str">
        <f>"CUST#19610/PCT#4"</f>
        <v>CUST#19610/PCT#4</v>
      </c>
    </row>
    <row r="1393" spans="1:9" x14ac:dyDescent="0.3">
      <c r="A1393" t="str">
        <f>"T13964"</f>
        <v>T13964</v>
      </c>
      <c r="B1393" t="s">
        <v>378</v>
      </c>
      <c r="C1393">
        <v>75448</v>
      </c>
      <c r="D1393" s="2">
        <v>2144.86</v>
      </c>
      <c r="E1393" s="1">
        <v>43157</v>
      </c>
      <c r="F1393" t="str">
        <f>"20180210019610"</f>
        <v>20180210019610</v>
      </c>
      <c r="G1393" t="str">
        <f>"CUST#19610/PCT#3"</f>
        <v>CUST#19610/PCT#3</v>
      </c>
      <c r="H1393" s="2">
        <v>1967.38</v>
      </c>
      <c r="I1393" t="str">
        <f>"CUST#19610/PCT#3"</f>
        <v>CUST#19610/PCT#3</v>
      </c>
    </row>
    <row r="1394" spans="1:9" x14ac:dyDescent="0.3">
      <c r="A1394" t="str">
        <f>""</f>
        <v/>
      </c>
      <c r="F1394" t="str">
        <f>"61-1-36866"</f>
        <v>61-1-36866</v>
      </c>
      <c r="G1394" t="str">
        <f>"CUST#19610/REF#20180210019610"</f>
        <v>CUST#19610/REF#20180210019610</v>
      </c>
      <c r="H1394" s="2">
        <v>177.48</v>
      </c>
      <c r="I1394" t="str">
        <f>"CUST#19610/REF#20180210019610"</f>
        <v>CUST#19610/REF#20180210019610</v>
      </c>
    </row>
    <row r="1395" spans="1:9" x14ac:dyDescent="0.3">
      <c r="A1395" t="str">
        <f>"003737"</f>
        <v>003737</v>
      </c>
      <c r="B1395" t="s">
        <v>379</v>
      </c>
      <c r="C1395">
        <v>75209</v>
      </c>
      <c r="D1395" s="2">
        <v>332.9</v>
      </c>
      <c r="E1395" s="1">
        <v>43143</v>
      </c>
      <c r="F1395" t="str">
        <f>"0843-001425868"</f>
        <v>0843-001425868</v>
      </c>
      <c r="G1395" t="str">
        <f>"ACCT#3-0843-1269216/ANIMAL SVC"</f>
        <v>ACCT#3-0843-1269216/ANIMAL SVC</v>
      </c>
      <c r="H1395" s="2">
        <v>332.9</v>
      </c>
      <c r="I1395" t="str">
        <f>"ACCT#3-0843-1269216/ANIMAL SVC"</f>
        <v>ACCT#3-0843-1269216/ANIMAL SVC</v>
      </c>
    </row>
    <row r="1396" spans="1:9" x14ac:dyDescent="0.3">
      <c r="A1396" t="str">
        <f>"003737"</f>
        <v>003737</v>
      </c>
      <c r="B1396" t="s">
        <v>379</v>
      </c>
      <c r="C1396">
        <v>75311</v>
      </c>
      <c r="D1396" s="2">
        <v>2124.7199999999998</v>
      </c>
      <c r="E1396" s="1">
        <v>43146</v>
      </c>
      <c r="F1396" t="str">
        <f>"0843-001427141"</f>
        <v>0843-001427141</v>
      </c>
      <c r="G1396" t="str">
        <f>"ACCT#3-0843-0017094 / 01/31/18"</f>
        <v>ACCT#3-0843-0017094 / 01/31/18</v>
      </c>
      <c r="H1396" s="2">
        <v>2124.7199999999998</v>
      </c>
      <c r="I1396" t="str">
        <f>"ACCT#3-0843-0017094 / 01/31/18"</f>
        <v>ACCT#3-0843-0017094 / 01/31/18</v>
      </c>
    </row>
    <row r="1397" spans="1:9" x14ac:dyDescent="0.3">
      <c r="A1397" t="str">
        <f>"004822"</f>
        <v>004822</v>
      </c>
      <c r="B1397" t="s">
        <v>380</v>
      </c>
      <c r="C1397">
        <v>75210</v>
      </c>
      <c r="D1397" s="2">
        <v>2104.92</v>
      </c>
      <c r="E1397" s="1">
        <v>43143</v>
      </c>
      <c r="F1397" t="str">
        <f>"0000009252"</f>
        <v>0000009252</v>
      </c>
      <c r="G1397" t="str">
        <f>"WK ORD#0000010164/PCT#4"</f>
        <v>WK ORD#0000010164/PCT#4</v>
      </c>
      <c r="H1397" s="2">
        <v>2104.92</v>
      </c>
      <c r="I1397" t="str">
        <f>"WK ORD#0000010164/PCT#4"</f>
        <v>WK ORD#0000010164/PCT#4</v>
      </c>
    </row>
    <row r="1398" spans="1:9" x14ac:dyDescent="0.3">
      <c r="A1398" t="str">
        <f>"004822"</f>
        <v>004822</v>
      </c>
      <c r="B1398" t="s">
        <v>380</v>
      </c>
      <c r="C1398">
        <v>75449</v>
      </c>
      <c r="D1398" s="2">
        <v>6101.97</v>
      </c>
      <c r="E1398" s="1">
        <v>43157</v>
      </c>
      <c r="F1398" t="str">
        <f>"0000009370"</f>
        <v>0000009370</v>
      </c>
      <c r="G1398" t="str">
        <f>"WK ORD#0000009414/PCT#4"</f>
        <v>WK ORD#0000009414/PCT#4</v>
      </c>
      <c r="H1398" s="2">
        <v>6101.97</v>
      </c>
      <c r="I1398" t="str">
        <f>"WK ORD#0000009414/PCT#4"</f>
        <v>WK ORD#0000009414/PCT#4</v>
      </c>
    </row>
    <row r="1399" spans="1:9" x14ac:dyDescent="0.3">
      <c r="A1399" t="str">
        <f>"RESERV"</f>
        <v>RESERV</v>
      </c>
      <c r="B1399" t="s">
        <v>381</v>
      </c>
      <c r="C1399">
        <v>75211</v>
      </c>
      <c r="D1399" s="2">
        <v>9000</v>
      </c>
      <c r="E1399" s="1">
        <v>43143</v>
      </c>
      <c r="F1399" t="str">
        <f>"201801318363"</f>
        <v>201801318363</v>
      </c>
      <c r="G1399" t="str">
        <f>"ACCT#34549337/POSTAGE"</f>
        <v>ACCT#34549337/POSTAGE</v>
      </c>
      <c r="H1399" s="2">
        <v>9000</v>
      </c>
      <c r="I1399" t="str">
        <f>"ACCT#34549337/POSTAGE"</f>
        <v>ACCT#34549337/POSTAGE</v>
      </c>
    </row>
    <row r="1400" spans="1:9" x14ac:dyDescent="0.3">
      <c r="A1400" t="str">
        <f>"T11385"</f>
        <v>T11385</v>
      </c>
      <c r="B1400" t="s">
        <v>382</v>
      </c>
      <c r="C1400">
        <v>999999</v>
      </c>
      <c r="D1400" s="2">
        <v>1750</v>
      </c>
      <c r="E1400" s="1">
        <v>43144</v>
      </c>
      <c r="F1400" t="str">
        <f>"201801308240"</f>
        <v>201801308240</v>
      </c>
      <c r="G1400" t="str">
        <f>"CH20171021-A/CH20171022-A"</f>
        <v>CH20171021-A/CH20171022-A</v>
      </c>
      <c r="H1400" s="2">
        <v>375</v>
      </c>
      <c r="I1400" t="str">
        <f>"CH20171021-A/CH20171022-A"</f>
        <v>CH20171021-A/CH20171022-A</v>
      </c>
    </row>
    <row r="1401" spans="1:9" x14ac:dyDescent="0.3">
      <c r="A1401" t="str">
        <f>""</f>
        <v/>
      </c>
      <c r="F1401" t="str">
        <f>"201801308241"</f>
        <v>201801308241</v>
      </c>
      <c r="G1401" t="str">
        <f>"20170128"</f>
        <v>20170128</v>
      </c>
      <c r="H1401" s="2">
        <v>250</v>
      </c>
      <c r="I1401" t="str">
        <f>"20170128"</f>
        <v>20170128</v>
      </c>
    </row>
    <row r="1402" spans="1:9" x14ac:dyDescent="0.3">
      <c r="A1402" t="str">
        <f>""</f>
        <v/>
      </c>
      <c r="F1402" t="str">
        <f>"201801308242"</f>
        <v>201801308242</v>
      </c>
      <c r="G1402" t="str">
        <f>"20151226-A/20151226-B"</f>
        <v>20151226-A/20151226-B</v>
      </c>
      <c r="H1402" s="2">
        <v>375</v>
      </c>
      <c r="I1402" t="str">
        <f>"20151226-A/20151226-B"</f>
        <v>20151226-A/20151226-B</v>
      </c>
    </row>
    <row r="1403" spans="1:9" x14ac:dyDescent="0.3">
      <c r="A1403" t="str">
        <f>""</f>
        <v/>
      </c>
      <c r="F1403" t="str">
        <f>"201801308243"</f>
        <v>201801308243</v>
      </c>
      <c r="G1403" t="str">
        <f>"407107-1"</f>
        <v>407107-1</v>
      </c>
      <c r="H1403" s="2">
        <v>250</v>
      </c>
      <c r="I1403" t="str">
        <f>"407107-1"</f>
        <v>407107-1</v>
      </c>
    </row>
    <row r="1404" spans="1:9" x14ac:dyDescent="0.3">
      <c r="A1404" t="str">
        <f>""</f>
        <v/>
      </c>
      <c r="F1404" t="str">
        <f>"201801308244"</f>
        <v>201801308244</v>
      </c>
      <c r="G1404" t="str">
        <f>"311052016C"</f>
        <v>311052016C</v>
      </c>
      <c r="H1404" s="2">
        <v>250</v>
      </c>
      <c r="I1404" t="str">
        <f>"311052016C"</f>
        <v>311052016C</v>
      </c>
    </row>
    <row r="1405" spans="1:9" x14ac:dyDescent="0.3">
      <c r="A1405" t="str">
        <f>""</f>
        <v/>
      </c>
      <c r="F1405" t="str">
        <f>"201801308245"</f>
        <v>201801308245</v>
      </c>
      <c r="G1405" t="str">
        <f>"401017-6"</f>
        <v>401017-6</v>
      </c>
      <c r="H1405" s="2">
        <v>250</v>
      </c>
      <c r="I1405" t="str">
        <f>"401017-6"</f>
        <v>401017-6</v>
      </c>
    </row>
    <row r="1406" spans="1:9" x14ac:dyDescent="0.3">
      <c r="A1406" t="str">
        <f>"T11385"</f>
        <v>T11385</v>
      </c>
      <c r="B1406" t="s">
        <v>382</v>
      </c>
      <c r="C1406">
        <v>999999</v>
      </c>
      <c r="D1406" s="2">
        <v>1200</v>
      </c>
      <c r="E1406" s="1">
        <v>43158</v>
      </c>
      <c r="F1406" t="str">
        <f>"201802148710"</f>
        <v>201802148710</v>
      </c>
      <c r="G1406" t="str">
        <f>"20170025A/20170025B"</f>
        <v>20170025A/20170025B</v>
      </c>
      <c r="H1406" s="2">
        <v>250</v>
      </c>
      <c r="I1406" t="str">
        <f>"20170025A/20170025B"</f>
        <v>20170025A/20170025B</v>
      </c>
    </row>
    <row r="1407" spans="1:9" x14ac:dyDescent="0.3">
      <c r="A1407" t="str">
        <f>""</f>
        <v/>
      </c>
      <c r="F1407" t="str">
        <f>"201802148711"</f>
        <v>201802148711</v>
      </c>
      <c r="G1407" t="str">
        <f>"AC-2017-0404"</f>
        <v>AC-2017-0404</v>
      </c>
      <c r="H1407" s="2">
        <v>250</v>
      </c>
      <c r="I1407" t="str">
        <f>"AC-2017-0404"</f>
        <v>AC-2017-0404</v>
      </c>
    </row>
    <row r="1408" spans="1:9" x14ac:dyDescent="0.3">
      <c r="A1408" t="str">
        <f>""</f>
        <v/>
      </c>
      <c r="F1408" t="str">
        <f>"201802148712"</f>
        <v>201802148712</v>
      </c>
      <c r="G1408" t="str">
        <f>"18-18856"</f>
        <v>18-18856</v>
      </c>
      <c r="H1408" s="2">
        <v>100</v>
      </c>
      <c r="I1408" t="str">
        <f>"18-18856"</f>
        <v>18-18856</v>
      </c>
    </row>
    <row r="1409" spans="1:9" x14ac:dyDescent="0.3">
      <c r="A1409" t="str">
        <f>""</f>
        <v/>
      </c>
      <c r="F1409" t="str">
        <f>"201802148713"</f>
        <v>201802148713</v>
      </c>
      <c r="G1409" t="str">
        <f>"18-18855"</f>
        <v>18-18855</v>
      </c>
      <c r="H1409" s="2">
        <v>100</v>
      </c>
      <c r="I1409" t="str">
        <f>"18-18855"</f>
        <v>18-18855</v>
      </c>
    </row>
    <row r="1410" spans="1:9" x14ac:dyDescent="0.3">
      <c r="A1410" t="str">
        <f>""</f>
        <v/>
      </c>
      <c r="F1410" t="str">
        <f>"201802148714"</f>
        <v>201802148714</v>
      </c>
      <c r="G1410" t="str">
        <f>"411225-3M/55 440"</f>
        <v>411225-3M/55 440</v>
      </c>
      <c r="H1410" s="2">
        <v>250</v>
      </c>
      <c r="I1410" t="str">
        <f>"411225-3M/55 440"</f>
        <v>411225-3M/55 440</v>
      </c>
    </row>
    <row r="1411" spans="1:9" x14ac:dyDescent="0.3">
      <c r="A1411" t="str">
        <f>""</f>
        <v/>
      </c>
      <c r="F1411" t="str">
        <f>"201802168785"</f>
        <v>201802168785</v>
      </c>
      <c r="G1411" t="str">
        <f>"C17-0031"</f>
        <v>C17-0031</v>
      </c>
      <c r="H1411" s="2">
        <v>250</v>
      </c>
      <c r="I1411" t="str">
        <f>"C17-0031"</f>
        <v>C17-0031</v>
      </c>
    </row>
    <row r="1412" spans="1:9" x14ac:dyDescent="0.3">
      <c r="A1412" t="str">
        <f>"T9868"</f>
        <v>T9868</v>
      </c>
      <c r="B1412" t="s">
        <v>383</v>
      </c>
      <c r="C1412">
        <v>75212</v>
      </c>
      <c r="D1412" s="2">
        <v>2600</v>
      </c>
      <c r="E1412" s="1">
        <v>43143</v>
      </c>
      <c r="F1412" t="str">
        <f>"201802068572"</f>
        <v>201802068572</v>
      </c>
      <c r="G1412" t="str">
        <f>"16 219"</f>
        <v>16 219</v>
      </c>
      <c r="H1412" s="2">
        <v>1100</v>
      </c>
      <c r="I1412" t="str">
        <f>"16 219"</f>
        <v>16 219</v>
      </c>
    </row>
    <row r="1413" spans="1:9" x14ac:dyDescent="0.3">
      <c r="A1413" t="str">
        <f>""</f>
        <v/>
      </c>
      <c r="F1413" t="str">
        <f>"201802068573"</f>
        <v>201802068573</v>
      </c>
      <c r="G1413" t="str">
        <f>"16 019"</f>
        <v>16 019</v>
      </c>
      <c r="H1413" s="2">
        <v>1500</v>
      </c>
      <c r="I1413" t="str">
        <f>"16 019"</f>
        <v>16 019</v>
      </c>
    </row>
    <row r="1414" spans="1:9" x14ac:dyDescent="0.3">
      <c r="A1414" t="str">
        <f>"001322"</f>
        <v>001322</v>
      </c>
      <c r="B1414" t="s">
        <v>384</v>
      </c>
      <c r="C1414">
        <v>999999</v>
      </c>
      <c r="D1414" s="2">
        <v>1137.92</v>
      </c>
      <c r="E1414" s="1">
        <v>43144</v>
      </c>
      <c r="F1414" t="str">
        <f>" 5052167805"</f>
        <v xml:space="preserve"> 5052167805</v>
      </c>
      <c r="G1414" t="str">
        <f>"CONTRACT#4457471/COPIER SVCS"</f>
        <v>CONTRACT#4457471/COPIER SVCS</v>
      </c>
      <c r="H1414" s="2">
        <v>1044.54</v>
      </c>
      <c r="I1414" t="str">
        <f t="shared" ref="I1414:I1439" si="9">"CONTRACT#4457471/COPIER SVCS"</f>
        <v>CONTRACT#4457471/COPIER SVCS</v>
      </c>
    </row>
    <row r="1415" spans="1:9" x14ac:dyDescent="0.3">
      <c r="A1415" t="str">
        <f>""</f>
        <v/>
      </c>
      <c r="F1415" t="str">
        <f>""</f>
        <v/>
      </c>
      <c r="G1415" t="str">
        <f>""</f>
        <v/>
      </c>
      <c r="I1415" t="str">
        <f t="shared" si="9"/>
        <v>CONTRACT#4457471/COPIER SVCS</v>
      </c>
    </row>
    <row r="1416" spans="1:9" x14ac:dyDescent="0.3">
      <c r="A1416" t="str">
        <f>""</f>
        <v/>
      </c>
      <c r="F1416" t="str">
        <f>""</f>
        <v/>
      </c>
      <c r="G1416" t="str">
        <f>""</f>
        <v/>
      </c>
      <c r="I1416" t="str">
        <f t="shared" si="9"/>
        <v>CONTRACT#4457471/COPIER SVCS</v>
      </c>
    </row>
    <row r="1417" spans="1:9" x14ac:dyDescent="0.3">
      <c r="A1417" t="str">
        <f>""</f>
        <v/>
      </c>
      <c r="F1417" t="str">
        <f>""</f>
        <v/>
      </c>
      <c r="G1417" t="str">
        <f>""</f>
        <v/>
      </c>
      <c r="I1417" t="str">
        <f t="shared" si="9"/>
        <v>CONTRACT#4457471/COPIER SVCS</v>
      </c>
    </row>
    <row r="1418" spans="1:9" x14ac:dyDescent="0.3">
      <c r="A1418" t="str">
        <f>""</f>
        <v/>
      </c>
      <c r="F1418" t="str">
        <f>""</f>
        <v/>
      </c>
      <c r="G1418" t="str">
        <f>""</f>
        <v/>
      </c>
      <c r="I1418" t="str">
        <f t="shared" si="9"/>
        <v>CONTRACT#4457471/COPIER SVCS</v>
      </c>
    </row>
    <row r="1419" spans="1:9" x14ac:dyDescent="0.3">
      <c r="A1419" t="str">
        <f>""</f>
        <v/>
      </c>
      <c r="F1419" t="str">
        <f>""</f>
        <v/>
      </c>
      <c r="G1419" t="str">
        <f>""</f>
        <v/>
      </c>
      <c r="I1419" t="str">
        <f t="shared" si="9"/>
        <v>CONTRACT#4457471/COPIER SVCS</v>
      </c>
    </row>
    <row r="1420" spans="1:9" x14ac:dyDescent="0.3">
      <c r="A1420" t="str">
        <f>""</f>
        <v/>
      </c>
      <c r="F1420" t="str">
        <f>""</f>
        <v/>
      </c>
      <c r="G1420" t="str">
        <f>""</f>
        <v/>
      </c>
      <c r="I1420" t="str">
        <f t="shared" si="9"/>
        <v>CONTRACT#4457471/COPIER SVCS</v>
      </c>
    </row>
    <row r="1421" spans="1:9" x14ac:dyDescent="0.3">
      <c r="A1421" t="str">
        <f>""</f>
        <v/>
      </c>
      <c r="F1421" t="str">
        <f>""</f>
        <v/>
      </c>
      <c r="G1421" t="str">
        <f>""</f>
        <v/>
      </c>
      <c r="I1421" t="str">
        <f t="shared" si="9"/>
        <v>CONTRACT#4457471/COPIER SVCS</v>
      </c>
    </row>
    <row r="1422" spans="1:9" x14ac:dyDescent="0.3">
      <c r="A1422" t="str">
        <f>""</f>
        <v/>
      </c>
      <c r="F1422" t="str">
        <f>""</f>
        <v/>
      </c>
      <c r="G1422" t="str">
        <f>""</f>
        <v/>
      </c>
      <c r="I1422" t="str">
        <f t="shared" si="9"/>
        <v>CONTRACT#4457471/COPIER SVCS</v>
      </c>
    </row>
    <row r="1423" spans="1:9" x14ac:dyDescent="0.3">
      <c r="A1423" t="str">
        <f>""</f>
        <v/>
      </c>
      <c r="F1423" t="str">
        <f>""</f>
        <v/>
      </c>
      <c r="G1423" t="str">
        <f>""</f>
        <v/>
      </c>
      <c r="I1423" t="str">
        <f t="shared" si="9"/>
        <v>CONTRACT#4457471/COPIER SVCS</v>
      </c>
    </row>
    <row r="1424" spans="1:9" x14ac:dyDescent="0.3">
      <c r="A1424" t="str">
        <f>""</f>
        <v/>
      </c>
      <c r="F1424" t="str">
        <f>""</f>
        <v/>
      </c>
      <c r="G1424" t="str">
        <f>""</f>
        <v/>
      </c>
      <c r="I1424" t="str">
        <f t="shared" si="9"/>
        <v>CONTRACT#4457471/COPIER SVCS</v>
      </c>
    </row>
    <row r="1425" spans="1:9" x14ac:dyDescent="0.3">
      <c r="A1425" t="str">
        <f>""</f>
        <v/>
      </c>
      <c r="F1425" t="str">
        <f>""</f>
        <v/>
      </c>
      <c r="G1425" t="str">
        <f>""</f>
        <v/>
      </c>
      <c r="I1425" t="str">
        <f t="shared" si="9"/>
        <v>CONTRACT#4457471/COPIER SVCS</v>
      </c>
    </row>
    <row r="1426" spans="1:9" x14ac:dyDescent="0.3">
      <c r="A1426" t="str">
        <f>""</f>
        <v/>
      </c>
      <c r="F1426" t="str">
        <f>""</f>
        <v/>
      </c>
      <c r="G1426" t="str">
        <f>""</f>
        <v/>
      </c>
      <c r="I1426" t="str">
        <f t="shared" si="9"/>
        <v>CONTRACT#4457471/COPIER SVCS</v>
      </c>
    </row>
    <row r="1427" spans="1:9" x14ac:dyDescent="0.3">
      <c r="A1427" t="str">
        <f>""</f>
        <v/>
      </c>
      <c r="F1427" t="str">
        <f>""</f>
        <v/>
      </c>
      <c r="G1427" t="str">
        <f>""</f>
        <v/>
      </c>
      <c r="I1427" t="str">
        <f t="shared" si="9"/>
        <v>CONTRACT#4457471/COPIER SVCS</v>
      </c>
    </row>
    <row r="1428" spans="1:9" x14ac:dyDescent="0.3">
      <c r="A1428" t="str">
        <f>""</f>
        <v/>
      </c>
      <c r="F1428" t="str">
        <f>""</f>
        <v/>
      </c>
      <c r="G1428" t="str">
        <f>""</f>
        <v/>
      </c>
      <c r="I1428" t="str">
        <f t="shared" si="9"/>
        <v>CONTRACT#4457471/COPIER SVCS</v>
      </c>
    </row>
    <row r="1429" spans="1:9" x14ac:dyDescent="0.3">
      <c r="A1429" t="str">
        <f>""</f>
        <v/>
      </c>
      <c r="F1429" t="str">
        <f>""</f>
        <v/>
      </c>
      <c r="G1429" t="str">
        <f>""</f>
        <v/>
      </c>
      <c r="I1429" t="str">
        <f t="shared" si="9"/>
        <v>CONTRACT#4457471/COPIER SVCS</v>
      </c>
    </row>
    <row r="1430" spans="1:9" x14ac:dyDescent="0.3">
      <c r="A1430" t="str">
        <f>""</f>
        <v/>
      </c>
      <c r="F1430" t="str">
        <f>""</f>
        <v/>
      </c>
      <c r="G1430" t="str">
        <f>""</f>
        <v/>
      </c>
      <c r="I1430" t="str">
        <f t="shared" si="9"/>
        <v>CONTRACT#4457471/COPIER SVCS</v>
      </c>
    </row>
    <row r="1431" spans="1:9" x14ac:dyDescent="0.3">
      <c r="A1431" t="str">
        <f>""</f>
        <v/>
      </c>
      <c r="F1431" t="str">
        <f>""</f>
        <v/>
      </c>
      <c r="G1431" t="str">
        <f>""</f>
        <v/>
      </c>
      <c r="I1431" t="str">
        <f t="shared" si="9"/>
        <v>CONTRACT#4457471/COPIER SVCS</v>
      </c>
    </row>
    <row r="1432" spans="1:9" x14ac:dyDescent="0.3">
      <c r="A1432" t="str">
        <f>""</f>
        <v/>
      </c>
      <c r="F1432" t="str">
        <f>""</f>
        <v/>
      </c>
      <c r="G1432" t="str">
        <f>""</f>
        <v/>
      </c>
      <c r="I1432" t="str">
        <f t="shared" si="9"/>
        <v>CONTRACT#4457471/COPIER SVCS</v>
      </c>
    </row>
    <row r="1433" spans="1:9" x14ac:dyDescent="0.3">
      <c r="A1433" t="str">
        <f>""</f>
        <v/>
      </c>
      <c r="F1433" t="str">
        <f>""</f>
        <v/>
      </c>
      <c r="G1433" t="str">
        <f>""</f>
        <v/>
      </c>
      <c r="I1433" t="str">
        <f t="shared" si="9"/>
        <v>CONTRACT#4457471/COPIER SVCS</v>
      </c>
    </row>
    <row r="1434" spans="1:9" x14ac:dyDescent="0.3">
      <c r="A1434" t="str">
        <f>""</f>
        <v/>
      </c>
      <c r="F1434" t="str">
        <f>""</f>
        <v/>
      </c>
      <c r="G1434" t="str">
        <f>""</f>
        <v/>
      </c>
      <c r="I1434" t="str">
        <f t="shared" si="9"/>
        <v>CONTRACT#4457471/COPIER SVCS</v>
      </c>
    </row>
    <row r="1435" spans="1:9" x14ac:dyDescent="0.3">
      <c r="A1435" t="str">
        <f>""</f>
        <v/>
      </c>
      <c r="F1435" t="str">
        <f>""</f>
        <v/>
      </c>
      <c r="G1435" t="str">
        <f>""</f>
        <v/>
      </c>
      <c r="I1435" t="str">
        <f t="shared" si="9"/>
        <v>CONTRACT#4457471/COPIER SVCS</v>
      </c>
    </row>
    <row r="1436" spans="1:9" x14ac:dyDescent="0.3">
      <c r="A1436" t="str">
        <f>""</f>
        <v/>
      </c>
      <c r="F1436" t="str">
        <f>""</f>
        <v/>
      </c>
      <c r="G1436" t="str">
        <f>""</f>
        <v/>
      </c>
      <c r="I1436" t="str">
        <f t="shared" si="9"/>
        <v>CONTRACT#4457471/COPIER SVCS</v>
      </c>
    </row>
    <row r="1437" spans="1:9" x14ac:dyDescent="0.3">
      <c r="A1437" t="str">
        <f>""</f>
        <v/>
      </c>
      <c r="F1437" t="str">
        <f>""</f>
        <v/>
      </c>
      <c r="G1437" t="str">
        <f>""</f>
        <v/>
      </c>
      <c r="I1437" t="str">
        <f t="shared" si="9"/>
        <v>CONTRACT#4457471/COPIER SVCS</v>
      </c>
    </row>
    <row r="1438" spans="1:9" x14ac:dyDescent="0.3">
      <c r="A1438" t="str">
        <f>""</f>
        <v/>
      </c>
      <c r="F1438" t="str">
        <f>""</f>
        <v/>
      </c>
      <c r="G1438" t="str">
        <f>""</f>
        <v/>
      </c>
      <c r="I1438" t="str">
        <f t="shared" si="9"/>
        <v>CONTRACT#4457471/COPIER SVCS</v>
      </c>
    </row>
    <row r="1439" spans="1:9" x14ac:dyDescent="0.3">
      <c r="A1439" t="str">
        <f>""</f>
        <v/>
      </c>
      <c r="F1439" t="str">
        <f>""</f>
        <v/>
      </c>
      <c r="G1439" t="str">
        <f>""</f>
        <v/>
      </c>
      <c r="I1439" t="str">
        <f t="shared" si="9"/>
        <v>CONTRACT#4457471/COPIER SVCS</v>
      </c>
    </row>
    <row r="1440" spans="1:9" x14ac:dyDescent="0.3">
      <c r="A1440" t="str">
        <f>""</f>
        <v/>
      </c>
      <c r="F1440" t="str">
        <f>"5052167805"</f>
        <v>5052167805</v>
      </c>
      <c r="G1440" t="str">
        <f>"CONTRACT#4457471/PCT#2"</f>
        <v>CONTRACT#4457471/PCT#2</v>
      </c>
      <c r="H1440" s="2">
        <v>93.38</v>
      </c>
      <c r="I1440" t="str">
        <f>"CONTRACT#4457471/PCT#2"</f>
        <v>CONTRACT#4457471/PCT#2</v>
      </c>
    </row>
    <row r="1441" spans="1:9" x14ac:dyDescent="0.3">
      <c r="A1441" t="str">
        <f>"000972"</f>
        <v>000972</v>
      </c>
      <c r="B1441" t="s">
        <v>385</v>
      </c>
      <c r="C1441">
        <v>75213</v>
      </c>
      <c r="D1441" s="2">
        <v>7305.88</v>
      </c>
      <c r="E1441" s="1">
        <v>43143</v>
      </c>
      <c r="F1441" t="str">
        <f>"31411745"</f>
        <v>31411745</v>
      </c>
      <c r="G1441" t="str">
        <f>"CUST#2000172616/COPIER"</f>
        <v>CUST#2000172616/COPIER</v>
      </c>
      <c r="H1441" s="2">
        <v>7305.88</v>
      </c>
      <c r="I1441" t="str">
        <f t="shared" ref="I1441:I1463" si="10">"CUST#2000172616/COPIER"</f>
        <v>CUST#2000172616/COPIER</v>
      </c>
    </row>
    <row r="1442" spans="1:9" x14ac:dyDescent="0.3">
      <c r="A1442" t="str">
        <f>""</f>
        <v/>
      </c>
      <c r="F1442" t="str">
        <f>""</f>
        <v/>
      </c>
      <c r="G1442" t="str">
        <f>""</f>
        <v/>
      </c>
      <c r="I1442" t="str">
        <f t="shared" si="10"/>
        <v>CUST#2000172616/COPIER</v>
      </c>
    </row>
    <row r="1443" spans="1:9" x14ac:dyDescent="0.3">
      <c r="A1443" t="str">
        <f>""</f>
        <v/>
      </c>
      <c r="F1443" t="str">
        <f>""</f>
        <v/>
      </c>
      <c r="G1443" t="str">
        <f>""</f>
        <v/>
      </c>
      <c r="I1443" t="str">
        <f t="shared" si="10"/>
        <v>CUST#2000172616/COPIER</v>
      </c>
    </row>
    <row r="1444" spans="1:9" x14ac:dyDescent="0.3">
      <c r="A1444" t="str">
        <f>""</f>
        <v/>
      </c>
      <c r="F1444" t="str">
        <f>""</f>
        <v/>
      </c>
      <c r="G1444" t="str">
        <f>""</f>
        <v/>
      </c>
      <c r="I1444" t="str">
        <f t="shared" si="10"/>
        <v>CUST#2000172616/COPIER</v>
      </c>
    </row>
    <row r="1445" spans="1:9" x14ac:dyDescent="0.3">
      <c r="A1445" t="str">
        <f>""</f>
        <v/>
      </c>
      <c r="F1445" t="str">
        <f>""</f>
        <v/>
      </c>
      <c r="G1445" t="str">
        <f>""</f>
        <v/>
      </c>
      <c r="I1445" t="str">
        <f t="shared" si="10"/>
        <v>CUST#2000172616/COPIER</v>
      </c>
    </row>
    <row r="1446" spans="1:9" x14ac:dyDescent="0.3">
      <c r="A1446" t="str">
        <f>""</f>
        <v/>
      </c>
      <c r="F1446" t="str">
        <f>""</f>
        <v/>
      </c>
      <c r="G1446" t="str">
        <f>""</f>
        <v/>
      </c>
      <c r="I1446" t="str">
        <f t="shared" si="10"/>
        <v>CUST#2000172616/COPIER</v>
      </c>
    </row>
    <row r="1447" spans="1:9" x14ac:dyDescent="0.3">
      <c r="A1447" t="str">
        <f>""</f>
        <v/>
      </c>
      <c r="F1447" t="str">
        <f>""</f>
        <v/>
      </c>
      <c r="G1447" t="str">
        <f>""</f>
        <v/>
      </c>
      <c r="I1447" t="str">
        <f t="shared" si="10"/>
        <v>CUST#2000172616/COPIER</v>
      </c>
    </row>
    <row r="1448" spans="1:9" x14ac:dyDescent="0.3">
      <c r="A1448" t="str">
        <f>""</f>
        <v/>
      </c>
      <c r="F1448" t="str">
        <f>""</f>
        <v/>
      </c>
      <c r="G1448" t="str">
        <f>""</f>
        <v/>
      </c>
      <c r="I1448" t="str">
        <f t="shared" si="10"/>
        <v>CUST#2000172616/COPIER</v>
      </c>
    </row>
    <row r="1449" spans="1:9" x14ac:dyDescent="0.3">
      <c r="A1449" t="str">
        <f>""</f>
        <v/>
      </c>
      <c r="F1449" t="str">
        <f>""</f>
        <v/>
      </c>
      <c r="G1449" t="str">
        <f>""</f>
        <v/>
      </c>
      <c r="I1449" t="str">
        <f t="shared" si="10"/>
        <v>CUST#2000172616/COPIER</v>
      </c>
    </row>
    <row r="1450" spans="1:9" x14ac:dyDescent="0.3">
      <c r="A1450" t="str">
        <f>""</f>
        <v/>
      </c>
      <c r="F1450" t="str">
        <f>""</f>
        <v/>
      </c>
      <c r="G1450" t="str">
        <f>""</f>
        <v/>
      </c>
      <c r="I1450" t="str">
        <f t="shared" si="10"/>
        <v>CUST#2000172616/COPIER</v>
      </c>
    </row>
    <row r="1451" spans="1:9" x14ac:dyDescent="0.3">
      <c r="A1451" t="str">
        <f>""</f>
        <v/>
      </c>
      <c r="F1451" t="str">
        <f>""</f>
        <v/>
      </c>
      <c r="G1451" t="str">
        <f>""</f>
        <v/>
      </c>
      <c r="I1451" t="str">
        <f t="shared" si="10"/>
        <v>CUST#2000172616/COPIER</v>
      </c>
    </row>
    <row r="1452" spans="1:9" x14ac:dyDescent="0.3">
      <c r="A1452" t="str">
        <f>""</f>
        <v/>
      </c>
      <c r="F1452" t="str">
        <f>""</f>
        <v/>
      </c>
      <c r="G1452" t="str">
        <f>""</f>
        <v/>
      </c>
      <c r="I1452" t="str">
        <f t="shared" si="10"/>
        <v>CUST#2000172616/COPIER</v>
      </c>
    </row>
    <row r="1453" spans="1:9" x14ac:dyDescent="0.3">
      <c r="A1453" t="str">
        <f>""</f>
        <v/>
      </c>
      <c r="F1453" t="str">
        <f>""</f>
        <v/>
      </c>
      <c r="G1453" t="str">
        <f>""</f>
        <v/>
      </c>
      <c r="I1453" t="str">
        <f t="shared" si="10"/>
        <v>CUST#2000172616/COPIER</v>
      </c>
    </row>
    <row r="1454" spans="1:9" x14ac:dyDescent="0.3">
      <c r="A1454" t="str">
        <f>""</f>
        <v/>
      </c>
      <c r="F1454" t="str">
        <f>""</f>
        <v/>
      </c>
      <c r="G1454" t="str">
        <f>""</f>
        <v/>
      </c>
      <c r="I1454" t="str">
        <f t="shared" si="10"/>
        <v>CUST#2000172616/COPIER</v>
      </c>
    </row>
    <row r="1455" spans="1:9" x14ac:dyDescent="0.3">
      <c r="A1455" t="str">
        <f>""</f>
        <v/>
      </c>
      <c r="F1455" t="str">
        <f>""</f>
        <v/>
      </c>
      <c r="G1455" t="str">
        <f>""</f>
        <v/>
      </c>
      <c r="I1455" t="str">
        <f t="shared" si="10"/>
        <v>CUST#2000172616/COPIER</v>
      </c>
    </row>
    <row r="1456" spans="1:9" x14ac:dyDescent="0.3">
      <c r="A1456" t="str">
        <f>""</f>
        <v/>
      </c>
      <c r="F1456" t="str">
        <f>""</f>
        <v/>
      </c>
      <c r="G1456" t="str">
        <f>""</f>
        <v/>
      </c>
      <c r="I1456" t="str">
        <f t="shared" si="10"/>
        <v>CUST#2000172616/COPIER</v>
      </c>
    </row>
    <row r="1457" spans="1:9" x14ac:dyDescent="0.3">
      <c r="A1457" t="str">
        <f>""</f>
        <v/>
      </c>
      <c r="F1457" t="str">
        <f>""</f>
        <v/>
      </c>
      <c r="G1457" t="str">
        <f>""</f>
        <v/>
      </c>
      <c r="I1457" t="str">
        <f t="shared" si="10"/>
        <v>CUST#2000172616/COPIER</v>
      </c>
    </row>
    <row r="1458" spans="1:9" x14ac:dyDescent="0.3">
      <c r="A1458" t="str">
        <f>""</f>
        <v/>
      </c>
      <c r="F1458" t="str">
        <f>""</f>
        <v/>
      </c>
      <c r="G1458" t="str">
        <f>""</f>
        <v/>
      </c>
      <c r="I1458" t="str">
        <f t="shared" si="10"/>
        <v>CUST#2000172616/COPIER</v>
      </c>
    </row>
    <row r="1459" spans="1:9" x14ac:dyDescent="0.3">
      <c r="A1459" t="str">
        <f>""</f>
        <v/>
      </c>
      <c r="F1459" t="str">
        <f>""</f>
        <v/>
      </c>
      <c r="G1459" t="str">
        <f>""</f>
        <v/>
      </c>
      <c r="I1459" t="str">
        <f t="shared" si="10"/>
        <v>CUST#2000172616/COPIER</v>
      </c>
    </row>
    <row r="1460" spans="1:9" x14ac:dyDescent="0.3">
      <c r="A1460" t="str">
        <f>""</f>
        <v/>
      </c>
      <c r="F1460" t="str">
        <f>""</f>
        <v/>
      </c>
      <c r="G1460" t="str">
        <f>""</f>
        <v/>
      </c>
      <c r="I1460" t="str">
        <f t="shared" si="10"/>
        <v>CUST#2000172616/COPIER</v>
      </c>
    </row>
    <row r="1461" spans="1:9" x14ac:dyDescent="0.3">
      <c r="A1461" t="str">
        <f>""</f>
        <v/>
      </c>
      <c r="F1461" t="str">
        <f>""</f>
        <v/>
      </c>
      <c r="G1461" t="str">
        <f>""</f>
        <v/>
      </c>
      <c r="I1461" t="str">
        <f t="shared" si="10"/>
        <v>CUST#2000172616/COPIER</v>
      </c>
    </row>
    <row r="1462" spans="1:9" x14ac:dyDescent="0.3">
      <c r="A1462" t="str">
        <f>""</f>
        <v/>
      </c>
      <c r="F1462" t="str">
        <f>""</f>
        <v/>
      </c>
      <c r="G1462" t="str">
        <f>""</f>
        <v/>
      </c>
      <c r="I1462" t="str">
        <f t="shared" si="10"/>
        <v>CUST#2000172616/COPIER</v>
      </c>
    </row>
    <row r="1463" spans="1:9" x14ac:dyDescent="0.3">
      <c r="A1463" t="str">
        <f>""</f>
        <v/>
      </c>
      <c r="F1463" t="str">
        <f>""</f>
        <v/>
      </c>
      <c r="G1463" t="str">
        <f>""</f>
        <v/>
      </c>
      <c r="I1463" t="str">
        <f t="shared" si="10"/>
        <v>CUST#2000172616/COPIER</v>
      </c>
    </row>
    <row r="1464" spans="1:9" x14ac:dyDescent="0.3">
      <c r="A1464" t="str">
        <f>"000374"</f>
        <v>000374</v>
      </c>
      <c r="B1464" t="s">
        <v>386</v>
      </c>
      <c r="C1464">
        <v>75214</v>
      </c>
      <c r="D1464" s="2">
        <v>513.99</v>
      </c>
      <c r="E1464" s="1">
        <v>43143</v>
      </c>
      <c r="F1464" t="str">
        <f>"I011669"</f>
        <v>I011669</v>
      </c>
      <c r="G1464" t="str">
        <f>"WO#W011018/LABOR/PCT#3"</f>
        <v>WO#W011018/LABOR/PCT#3</v>
      </c>
      <c r="H1464" s="2">
        <v>350</v>
      </c>
      <c r="I1464" t="str">
        <f>"WO#W011018/LABOR/PCT#3"</f>
        <v>WO#W011018/LABOR/PCT#3</v>
      </c>
    </row>
    <row r="1465" spans="1:9" x14ac:dyDescent="0.3">
      <c r="A1465" t="str">
        <f>""</f>
        <v/>
      </c>
      <c r="F1465" t="str">
        <f>"I011707"</f>
        <v>I011707</v>
      </c>
      <c r="G1465" t="s">
        <v>387</v>
      </c>
      <c r="H1465" s="2">
        <v>163.99</v>
      </c>
      <c r="I1465" t="s">
        <v>387</v>
      </c>
    </row>
    <row r="1466" spans="1:9" x14ac:dyDescent="0.3">
      <c r="A1466" t="str">
        <f>"004417"</f>
        <v>004417</v>
      </c>
      <c r="B1466" t="s">
        <v>388</v>
      </c>
      <c r="C1466">
        <v>999999</v>
      </c>
      <c r="D1466" s="2">
        <v>450</v>
      </c>
      <c r="E1466" s="1">
        <v>43158</v>
      </c>
      <c r="F1466" t="str">
        <f>"BCSOJAN18"</f>
        <v>BCSOJAN18</v>
      </c>
      <c r="G1466" t="str">
        <f>"INV BCSOJAN18"</f>
        <v>INV BCSOJAN18</v>
      </c>
      <c r="H1466" s="2">
        <v>450</v>
      </c>
      <c r="I1466" t="str">
        <f>"INV BCSOJAN18"</f>
        <v>INV BCSOJAN18</v>
      </c>
    </row>
    <row r="1467" spans="1:9" x14ac:dyDescent="0.3">
      <c r="A1467" t="str">
        <f>"MADDEN"</f>
        <v>MADDEN</v>
      </c>
      <c r="B1467" t="s">
        <v>389</v>
      </c>
      <c r="C1467">
        <v>75215</v>
      </c>
      <c r="D1467" s="2">
        <v>623.4</v>
      </c>
      <c r="E1467" s="1">
        <v>43143</v>
      </c>
      <c r="F1467" t="str">
        <f>"INV 4176069"</f>
        <v>INV 4176069</v>
      </c>
      <c r="G1467" t="str">
        <f>"INV 4176069"</f>
        <v>INV 4176069</v>
      </c>
      <c r="H1467" s="2">
        <v>623.4</v>
      </c>
      <c r="I1467" t="str">
        <f>"INV 4176069"</f>
        <v>INV 4176069</v>
      </c>
    </row>
    <row r="1468" spans="1:9" x14ac:dyDescent="0.3">
      <c r="A1468" t="str">
        <f>"MADDEN"</f>
        <v>MADDEN</v>
      </c>
      <c r="B1468" t="s">
        <v>389</v>
      </c>
      <c r="C1468">
        <v>75450</v>
      </c>
      <c r="D1468" s="2">
        <v>34.340000000000003</v>
      </c>
      <c r="E1468" s="1">
        <v>43157</v>
      </c>
      <c r="F1468" t="str">
        <f>"4188315"</f>
        <v>4188315</v>
      </c>
      <c r="G1468" t="str">
        <f>"INV 4188315"</f>
        <v>INV 4188315</v>
      </c>
      <c r="H1468" s="2">
        <v>14.34</v>
      </c>
      <c r="I1468" t="str">
        <f>"INV 4188315"</f>
        <v>INV 4188315</v>
      </c>
    </row>
    <row r="1469" spans="1:9" x14ac:dyDescent="0.3">
      <c r="A1469" t="str">
        <f>""</f>
        <v/>
      </c>
      <c r="F1469" t="str">
        <f>"4189501"</f>
        <v>4189501</v>
      </c>
      <c r="G1469" t="str">
        <f>"CUST#90564/SLIDE RULE"</f>
        <v>CUST#90564/SLIDE RULE</v>
      </c>
      <c r="H1469" s="2">
        <v>20</v>
      </c>
      <c r="I1469" t="str">
        <f>"CUST#90564/SLIDE RULE"</f>
        <v>CUST#90564/SLIDE RULE</v>
      </c>
    </row>
    <row r="1470" spans="1:9" x14ac:dyDescent="0.3">
      <c r="A1470" t="str">
        <f>"005427"</f>
        <v>005427</v>
      </c>
      <c r="B1470" t="s">
        <v>390</v>
      </c>
      <c r="C1470">
        <v>75451</v>
      </c>
      <c r="D1470" s="2">
        <v>105</v>
      </c>
      <c r="E1470" s="1">
        <v>43157</v>
      </c>
      <c r="F1470" t="str">
        <f>"PER DIEM-R.RUYLE"</f>
        <v>PER DIEM-R.RUYLE</v>
      </c>
      <c r="G1470" t="str">
        <f>"PER DIEM"</f>
        <v>PER DIEM</v>
      </c>
      <c r="H1470" s="2">
        <v>105</v>
      </c>
      <c r="I1470" t="str">
        <f>"PER DIEM"</f>
        <v>PER DIEM</v>
      </c>
    </row>
    <row r="1471" spans="1:9" x14ac:dyDescent="0.3">
      <c r="A1471" t="str">
        <f>"003619"</f>
        <v>003619</v>
      </c>
      <c r="B1471" t="s">
        <v>391</v>
      </c>
      <c r="C1471">
        <v>75452</v>
      </c>
      <c r="D1471" s="2">
        <v>57</v>
      </c>
      <c r="E1471" s="1">
        <v>43157</v>
      </c>
      <c r="F1471" t="str">
        <f>"180208-2"</f>
        <v>180208-2</v>
      </c>
      <c r="G1471" t="str">
        <f>"ROCKY ROAD PRINTING"</f>
        <v>ROCKY ROAD PRINTING</v>
      </c>
      <c r="H1471" s="2">
        <v>57</v>
      </c>
      <c r="I1471" t="str">
        <f>"Men's Med SS"</f>
        <v>Men's Med SS</v>
      </c>
    </row>
    <row r="1472" spans="1:9" x14ac:dyDescent="0.3">
      <c r="A1472" t="str">
        <f>""</f>
        <v/>
      </c>
      <c r="F1472" t="str">
        <f>""</f>
        <v/>
      </c>
      <c r="G1472" t="str">
        <f>""</f>
        <v/>
      </c>
      <c r="I1472" t="str">
        <f>"Med Hoodie"</f>
        <v>Med Hoodie</v>
      </c>
    </row>
    <row r="1473" spans="1:9" x14ac:dyDescent="0.3">
      <c r="A1473" t="str">
        <f>""</f>
        <v/>
      </c>
      <c r="F1473" t="str">
        <f>""</f>
        <v/>
      </c>
      <c r="G1473" t="str">
        <f>""</f>
        <v/>
      </c>
      <c r="I1473" t="str">
        <f>"XL Hoodie"</f>
        <v>XL Hoodie</v>
      </c>
    </row>
    <row r="1474" spans="1:9" x14ac:dyDescent="0.3">
      <c r="A1474" t="str">
        <f>"004360"</f>
        <v>004360</v>
      </c>
      <c r="B1474" t="s">
        <v>392</v>
      </c>
      <c r="C1474">
        <v>75216</v>
      </c>
      <c r="D1474" s="2">
        <v>65</v>
      </c>
      <c r="E1474" s="1">
        <v>43143</v>
      </c>
      <c r="F1474" t="str">
        <f>"201802018422"</f>
        <v>201802018422</v>
      </c>
      <c r="G1474" t="str">
        <f>"FERAL HOGS"</f>
        <v>FERAL HOGS</v>
      </c>
      <c r="H1474" s="2">
        <v>65</v>
      </c>
      <c r="I1474" t="str">
        <f>"FERAL HOGS"</f>
        <v>FERAL HOGS</v>
      </c>
    </row>
    <row r="1475" spans="1:9" x14ac:dyDescent="0.3">
      <c r="A1475" t="str">
        <f>"004991"</f>
        <v>004991</v>
      </c>
      <c r="B1475" t="s">
        <v>393</v>
      </c>
      <c r="C1475">
        <v>75217</v>
      </c>
      <c r="D1475" s="2">
        <v>314</v>
      </c>
      <c r="E1475" s="1">
        <v>43143</v>
      </c>
      <c r="F1475" t="str">
        <f>"201802068589"</f>
        <v>201802068589</v>
      </c>
      <c r="G1475" t="str">
        <f>"LPHCP RECORDING FEES"</f>
        <v>LPHCP RECORDING FEES</v>
      </c>
      <c r="H1475" s="2">
        <v>314</v>
      </c>
      <c r="I1475" t="str">
        <f>"LPHCP RECORDING FEES"</f>
        <v>LPHCP RECORDING FEES</v>
      </c>
    </row>
    <row r="1476" spans="1:9" x14ac:dyDescent="0.3">
      <c r="A1476" t="str">
        <f>"RP-CC"</f>
        <v>RP-CC</v>
      </c>
      <c r="B1476" t="s">
        <v>393</v>
      </c>
      <c r="C1476">
        <v>75218</v>
      </c>
      <c r="D1476" s="2">
        <v>305</v>
      </c>
      <c r="E1476" s="1">
        <v>43143</v>
      </c>
      <c r="F1476" t="str">
        <f>"201802078612"</f>
        <v>201802078612</v>
      </c>
      <c r="G1476" t="str">
        <f>"DEVELOPMENT SERVICES RECORDING"</f>
        <v>DEVELOPMENT SERVICES RECORDING</v>
      </c>
      <c r="H1476" s="2">
        <v>305</v>
      </c>
      <c r="I1476" t="str">
        <f>"DEVELOPMENT SERVICES RECORDING"</f>
        <v>DEVELOPMENT SERVICES RECORDING</v>
      </c>
    </row>
    <row r="1477" spans="1:9" x14ac:dyDescent="0.3">
      <c r="A1477" t="str">
        <f>"004991"</f>
        <v>004991</v>
      </c>
      <c r="B1477" t="s">
        <v>393</v>
      </c>
      <c r="C1477">
        <v>75453</v>
      </c>
      <c r="D1477" s="2">
        <v>718</v>
      </c>
      <c r="E1477" s="1">
        <v>43157</v>
      </c>
      <c r="F1477" t="str">
        <f>"201802208805"</f>
        <v>201802208805</v>
      </c>
      <c r="G1477" t="str">
        <f>"LPHCP RECORDING FEES"</f>
        <v>LPHCP RECORDING FEES</v>
      </c>
      <c r="H1477" s="2">
        <v>718</v>
      </c>
      <c r="I1477" t="str">
        <f>"LPHCP RECORDING FEES"</f>
        <v>LPHCP RECORDING FEES</v>
      </c>
    </row>
    <row r="1478" spans="1:9" x14ac:dyDescent="0.3">
      <c r="A1478" t="str">
        <f>"RP-CC"</f>
        <v>RP-CC</v>
      </c>
      <c r="B1478" t="s">
        <v>393</v>
      </c>
      <c r="C1478">
        <v>75454</v>
      </c>
      <c r="D1478" s="2">
        <v>244</v>
      </c>
      <c r="E1478" s="1">
        <v>43157</v>
      </c>
      <c r="F1478" t="str">
        <f>"201802218823"</f>
        <v>201802218823</v>
      </c>
      <c r="G1478" t="str">
        <f>"DEVELOPMENT SVCS RECORDING FEE"</f>
        <v>DEVELOPMENT SVCS RECORDING FEE</v>
      </c>
      <c r="H1478" s="2">
        <v>244</v>
      </c>
      <c r="I1478" t="str">
        <f>"DEVELOPMENT SVCS RECORDING FEE"</f>
        <v>DEVELOPMENT SVCS RECORDING FEE</v>
      </c>
    </row>
    <row r="1479" spans="1:9" x14ac:dyDescent="0.3">
      <c r="A1479" t="str">
        <f>"002112"</f>
        <v>002112</v>
      </c>
      <c r="B1479" t="s">
        <v>394</v>
      </c>
      <c r="C1479">
        <v>75219</v>
      </c>
      <c r="D1479" s="2">
        <v>348.56</v>
      </c>
      <c r="E1479" s="1">
        <v>43143</v>
      </c>
      <c r="F1479" t="str">
        <f>"201802078670"</f>
        <v>201802078670</v>
      </c>
      <c r="G1479" t="str">
        <f>"INDIGENT HEALTH"</f>
        <v>INDIGENT HEALTH</v>
      </c>
      <c r="H1479" s="2">
        <v>348.56</v>
      </c>
      <c r="I1479" t="str">
        <f>"INDIGENT HEALTH"</f>
        <v>INDIGENT HEALTH</v>
      </c>
    </row>
    <row r="1480" spans="1:9" x14ac:dyDescent="0.3">
      <c r="A1480" t="str">
        <f>"002971"</f>
        <v>002971</v>
      </c>
      <c r="B1480" t="s">
        <v>395</v>
      </c>
      <c r="C1480">
        <v>75220</v>
      </c>
      <c r="D1480" s="2">
        <v>400</v>
      </c>
      <c r="E1480" s="1">
        <v>43143</v>
      </c>
      <c r="F1480" t="str">
        <f>"2852"</f>
        <v>2852</v>
      </c>
      <c r="G1480" t="str">
        <f>"CUS ID#102/HEALTH &amp; SANITATION"</f>
        <v>CUS ID#102/HEALTH &amp; SANITATION</v>
      </c>
      <c r="H1480" s="2">
        <v>400</v>
      </c>
      <c r="I1480" t="str">
        <f>"CUS ID#102/HEALTH &amp; SANITATION"</f>
        <v>CUS ID#102/HEALTH &amp; SANITATION</v>
      </c>
    </row>
    <row r="1481" spans="1:9" x14ac:dyDescent="0.3">
      <c r="A1481" t="str">
        <f>"003697"</f>
        <v>003697</v>
      </c>
      <c r="B1481" t="s">
        <v>396</v>
      </c>
      <c r="C1481">
        <v>75221</v>
      </c>
      <c r="D1481" s="2">
        <v>103.43</v>
      </c>
      <c r="E1481" s="1">
        <v>43143</v>
      </c>
      <c r="F1481" t="str">
        <f>"218339/218340/2179"</f>
        <v>218339/218340/2179</v>
      </c>
      <c r="G1481" t="str">
        <f>"Inv# 218339 218340 217926"</f>
        <v>Inv# 218339 218340 217926</v>
      </c>
      <c r="H1481" s="2">
        <v>103.43</v>
      </c>
      <c r="I1481" t="str">
        <f>"Inv# 218339 218340 217926"</f>
        <v>Inv# 218339 218340 217926</v>
      </c>
    </row>
    <row r="1482" spans="1:9" x14ac:dyDescent="0.3">
      <c r="A1482" t="str">
        <f>"003697"</f>
        <v>003697</v>
      </c>
      <c r="B1482" t="s">
        <v>396</v>
      </c>
      <c r="C1482">
        <v>75455</v>
      </c>
      <c r="D1482" s="2">
        <v>60.53</v>
      </c>
      <c r="E1482" s="1">
        <v>43157</v>
      </c>
      <c r="F1482" t="str">
        <f>"24100"</f>
        <v>24100</v>
      </c>
      <c r="G1482" t="str">
        <f>"ORD#020118/PART FOR SIGN SHOP"</f>
        <v>ORD#020118/PART FOR SIGN SHOP</v>
      </c>
      <c r="H1482" s="2">
        <v>60.53</v>
      </c>
      <c r="I1482" t="str">
        <f>"ORD#020118/PART FOR SIGN SHOP"</f>
        <v>ORD#020118/PART FOR SIGN SHOP</v>
      </c>
    </row>
    <row r="1483" spans="1:9" x14ac:dyDescent="0.3">
      <c r="A1483" t="str">
        <f>"T11973"</f>
        <v>T11973</v>
      </c>
      <c r="B1483" t="s">
        <v>397</v>
      </c>
      <c r="C1483">
        <v>999999</v>
      </c>
      <c r="D1483" s="2">
        <v>1012.74</v>
      </c>
      <c r="E1483" s="1">
        <v>43144</v>
      </c>
      <c r="F1483" t="str">
        <f>"201802078662"</f>
        <v>201802078662</v>
      </c>
      <c r="G1483" t="str">
        <f>"INDIGENT HEALTH"</f>
        <v>INDIGENT HEALTH</v>
      </c>
      <c r="H1483" s="2">
        <v>1012.74</v>
      </c>
      <c r="I1483" t="str">
        <f>"INDIGENT HEALTH"</f>
        <v>INDIGENT HEALTH</v>
      </c>
    </row>
    <row r="1484" spans="1:9" x14ac:dyDescent="0.3">
      <c r="A1484" t="str">
        <f>""</f>
        <v/>
      </c>
      <c r="F1484" t="str">
        <f>""</f>
        <v/>
      </c>
      <c r="G1484" t="str">
        <f>""</f>
        <v/>
      </c>
      <c r="I1484" t="str">
        <f>"INDIGENT HEALTH"</f>
        <v>INDIGENT HEALTH</v>
      </c>
    </row>
    <row r="1485" spans="1:9" x14ac:dyDescent="0.3">
      <c r="A1485" t="str">
        <f>"005410"</f>
        <v>005410</v>
      </c>
      <c r="B1485" t="s">
        <v>398</v>
      </c>
      <c r="C1485">
        <v>75222</v>
      </c>
      <c r="D1485" s="2">
        <v>85</v>
      </c>
      <c r="E1485" s="1">
        <v>43143</v>
      </c>
      <c r="F1485" t="str">
        <f>"201802018409"</f>
        <v>201802018409</v>
      </c>
      <c r="G1485" t="str">
        <f>"FERAL HOGS"</f>
        <v>FERAL HOGS</v>
      </c>
      <c r="H1485" s="2">
        <v>85</v>
      </c>
      <c r="I1485" t="str">
        <f>"FERAL HOGS"</f>
        <v>FERAL HOGS</v>
      </c>
    </row>
    <row r="1486" spans="1:9" x14ac:dyDescent="0.3">
      <c r="A1486" t="str">
        <f>"003194"</f>
        <v>003194</v>
      </c>
      <c r="B1486" t="s">
        <v>399</v>
      </c>
      <c r="C1486">
        <v>999999</v>
      </c>
      <c r="D1486" s="2">
        <v>1177</v>
      </c>
      <c r="E1486" s="1">
        <v>43144</v>
      </c>
      <c r="F1486" t="str">
        <f>"PPDINV0009276"</f>
        <v>PPDINV0009276</v>
      </c>
      <c r="G1486" t="str">
        <f>"INV PPDINV0009276"</f>
        <v>INV PPDINV0009276</v>
      </c>
      <c r="H1486" s="2">
        <v>1177</v>
      </c>
      <c r="I1486" t="str">
        <f>"INV PPDINV0009276"</f>
        <v>INV PPDINV0009276</v>
      </c>
    </row>
    <row r="1487" spans="1:9" x14ac:dyDescent="0.3">
      <c r="A1487" t="str">
        <f>"003194"</f>
        <v>003194</v>
      </c>
      <c r="B1487" t="s">
        <v>399</v>
      </c>
      <c r="C1487">
        <v>999999</v>
      </c>
      <c r="D1487" s="2">
        <v>6987</v>
      </c>
      <c r="E1487" s="1">
        <v>43158</v>
      </c>
      <c r="F1487" t="str">
        <f>"PPDINV0009510/9513"</f>
        <v>PPDINV0009510/9513</v>
      </c>
      <c r="G1487" t="str">
        <f>"INV PPDINV0009510"</f>
        <v>INV PPDINV0009510</v>
      </c>
      <c r="H1487" s="2">
        <v>6987</v>
      </c>
      <c r="I1487" t="str">
        <f>"INV PPDINV0009510"</f>
        <v>INV PPDINV0009510</v>
      </c>
    </row>
    <row r="1488" spans="1:9" x14ac:dyDescent="0.3">
      <c r="A1488" t="str">
        <f>""</f>
        <v/>
      </c>
      <c r="F1488" t="str">
        <f>""</f>
        <v/>
      </c>
      <c r="G1488" t="str">
        <f>""</f>
        <v/>
      </c>
      <c r="I1488" t="str">
        <f>"INV PPDINV0009513"</f>
        <v>INV PPDINV0009513</v>
      </c>
    </row>
    <row r="1489" spans="1:10" x14ac:dyDescent="0.3">
      <c r="A1489" t="str">
        <f>"005387"</f>
        <v>005387</v>
      </c>
      <c r="B1489" t="s">
        <v>400</v>
      </c>
      <c r="C1489">
        <v>75223</v>
      </c>
      <c r="D1489" s="2">
        <v>485</v>
      </c>
      <c r="E1489" s="1">
        <v>43143</v>
      </c>
      <c r="F1489" t="str">
        <f>"66501"</f>
        <v>66501</v>
      </c>
      <c r="G1489" t="str">
        <f>"SENTINEL HOLDINGS  INC"</f>
        <v>SENTINEL HOLDINGS  INC</v>
      </c>
      <c r="H1489" s="2">
        <v>485</v>
      </c>
      <c r="I1489" t="str">
        <f>"RJ45 Connectors"</f>
        <v>RJ45 Connectors</v>
      </c>
    </row>
    <row r="1490" spans="1:10" x14ac:dyDescent="0.3">
      <c r="A1490" t="str">
        <f>""</f>
        <v/>
      </c>
      <c r="F1490" t="str">
        <f>""</f>
        <v/>
      </c>
      <c r="G1490" t="str">
        <f>""</f>
        <v/>
      </c>
      <c r="I1490" t="str">
        <f>"Crimpers"</f>
        <v>Crimpers</v>
      </c>
    </row>
    <row r="1491" spans="1:10" x14ac:dyDescent="0.3">
      <c r="A1491" t="str">
        <f>"003131"</f>
        <v>003131</v>
      </c>
      <c r="B1491" t="s">
        <v>401</v>
      </c>
      <c r="C1491">
        <v>75224</v>
      </c>
      <c r="D1491" s="2">
        <v>3333</v>
      </c>
      <c r="E1491" s="1">
        <v>43143</v>
      </c>
      <c r="F1491" t="str">
        <f>"201802068581"</f>
        <v>201802068581</v>
      </c>
      <c r="G1491" t="str">
        <f>"PRESCRIPTION ASSISTANCE"</f>
        <v>PRESCRIPTION ASSISTANCE</v>
      </c>
      <c r="H1491" s="2">
        <v>3333</v>
      </c>
      <c r="I1491" t="str">
        <f>"PRESCRIPTION ASSISTANCE"</f>
        <v>PRESCRIPTION ASSISTANCE</v>
      </c>
    </row>
    <row r="1492" spans="1:10" x14ac:dyDescent="0.3">
      <c r="A1492" t="str">
        <f>"003086"</f>
        <v>003086</v>
      </c>
      <c r="B1492" t="s">
        <v>402</v>
      </c>
      <c r="C1492">
        <v>75225</v>
      </c>
      <c r="D1492" s="2">
        <v>26192.99</v>
      </c>
      <c r="E1492" s="1">
        <v>43143</v>
      </c>
      <c r="F1492" t="str">
        <f>"201802078671"</f>
        <v>201802078671</v>
      </c>
      <c r="G1492" t="str">
        <f>"INDIGENT HEALTH"</f>
        <v>INDIGENT HEALTH</v>
      </c>
      <c r="H1492" s="2">
        <v>26192.99</v>
      </c>
      <c r="I1492" t="str">
        <f>"INDIGENT HEALTH"</f>
        <v>INDIGENT HEALTH</v>
      </c>
    </row>
    <row r="1493" spans="1:10" x14ac:dyDescent="0.3">
      <c r="A1493" t="str">
        <f>""</f>
        <v/>
      </c>
      <c r="F1493" t="str">
        <f>""</f>
        <v/>
      </c>
      <c r="G1493" t="str">
        <f>""</f>
        <v/>
      </c>
      <c r="I1493" t="str">
        <f>"INDIGENT HEALTH"</f>
        <v>INDIGENT HEALTH</v>
      </c>
    </row>
    <row r="1494" spans="1:10" x14ac:dyDescent="0.3">
      <c r="A1494" t="str">
        <f>""</f>
        <v/>
      </c>
      <c r="F1494" t="str">
        <f>""</f>
        <v/>
      </c>
      <c r="G1494" t="str">
        <f>""</f>
        <v/>
      </c>
      <c r="I1494" t="str">
        <f>"INDIGENT HEALTH"</f>
        <v>INDIGENT HEALTH</v>
      </c>
    </row>
    <row r="1495" spans="1:10" x14ac:dyDescent="0.3">
      <c r="A1495" t="str">
        <f>"004521"</f>
        <v>004521</v>
      </c>
      <c r="B1495" t="s">
        <v>403</v>
      </c>
      <c r="C1495">
        <v>75226</v>
      </c>
      <c r="D1495" s="2">
        <v>60</v>
      </c>
      <c r="E1495" s="1">
        <v>43143</v>
      </c>
      <c r="F1495" t="s">
        <v>250</v>
      </c>
      <c r="G1495" t="s">
        <v>404</v>
      </c>
      <c r="H1495" s="2" t="str">
        <f>"RESTITUTION-D. MCCOMB"</f>
        <v>RESTITUTION-D. MCCOMB</v>
      </c>
      <c r="I1495" t="str">
        <f>"210-0000"</f>
        <v>210-0000</v>
      </c>
      <c r="J1495">
        <v>60</v>
      </c>
    </row>
    <row r="1496" spans="1:10" x14ac:dyDescent="0.3">
      <c r="A1496" t="str">
        <f>"005081"</f>
        <v>005081</v>
      </c>
      <c r="B1496" t="s">
        <v>405</v>
      </c>
      <c r="C1496">
        <v>75227</v>
      </c>
      <c r="D1496" s="2">
        <v>130.35</v>
      </c>
      <c r="E1496" s="1">
        <v>43143</v>
      </c>
      <c r="F1496" t="str">
        <f>"201802078647"</f>
        <v>201802078647</v>
      </c>
      <c r="G1496" t="str">
        <f>"ACCT#20150 / 01/20/2018"</f>
        <v>ACCT#20150 / 01/20/2018</v>
      </c>
      <c r="H1496" s="2">
        <v>-312.58</v>
      </c>
      <c r="I1496" t="str">
        <f>"ACCT#20150 / 01/20/2018"</f>
        <v>ACCT#20150 / 01/20/2018</v>
      </c>
    </row>
    <row r="1497" spans="1:10" x14ac:dyDescent="0.3">
      <c r="A1497" t="str">
        <f>""</f>
        <v/>
      </c>
      <c r="F1497" t="str">
        <f>"201801308351"</f>
        <v>201801308351</v>
      </c>
      <c r="G1497" t="str">
        <f>"ACCT#20150"</f>
        <v>ACCT#20150</v>
      </c>
      <c r="H1497" s="2">
        <v>442.93</v>
      </c>
      <c r="I1497" t="str">
        <f>"ACCT#20150"</f>
        <v>ACCT#20150</v>
      </c>
    </row>
    <row r="1498" spans="1:10" x14ac:dyDescent="0.3">
      <c r="A1498" t="str">
        <f>"003852"</f>
        <v>003852</v>
      </c>
      <c r="B1498" t="s">
        <v>406</v>
      </c>
      <c r="C1498">
        <v>75316</v>
      </c>
      <c r="D1498" s="2">
        <v>115</v>
      </c>
      <c r="E1498" s="1">
        <v>43147</v>
      </c>
      <c r="F1498" t="str">
        <f>"201802158782"</f>
        <v>201802158782</v>
      </c>
      <c r="G1498" t="str">
        <f>"PER DIEM - 02/25-28/18"</f>
        <v>PER DIEM - 02/25-28/18</v>
      </c>
      <c r="H1498" s="2">
        <v>115</v>
      </c>
      <c r="I1498" t="str">
        <f>"PER DIEM - 02/25-28/18"</f>
        <v>PER DIEM - 02/25-28/18</v>
      </c>
    </row>
    <row r="1499" spans="1:10" x14ac:dyDescent="0.3">
      <c r="A1499" t="str">
        <f>"000291"</f>
        <v>000291</v>
      </c>
      <c r="B1499" t="s">
        <v>407</v>
      </c>
      <c r="C1499">
        <v>75228</v>
      </c>
      <c r="D1499" s="2">
        <v>136.63</v>
      </c>
      <c r="E1499" s="1">
        <v>43143</v>
      </c>
      <c r="F1499" t="str">
        <f>"3662-8"</f>
        <v>3662-8</v>
      </c>
      <c r="G1499" t="str">
        <f>"ACCT#4220-2556-9/GEN SVCS"</f>
        <v>ACCT#4220-2556-9/GEN SVCS</v>
      </c>
      <c r="H1499" s="2">
        <v>21.52</v>
      </c>
      <c r="I1499" t="str">
        <f>"ACCT#4220-2556-9/GEN SVCS"</f>
        <v>ACCT#4220-2556-9/GEN SVCS</v>
      </c>
    </row>
    <row r="1500" spans="1:10" x14ac:dyDescent="0.3">
      <c r="A1500" t="str">
        <f>""</f>
        <v/>
      </c>
      <c r="F1500" t="str">
        <f>"8612-9"</f>
        <v>8612-9</v>
      </c>
      <c r="G1500" t="str">
        <f>"ACCT#4220-2556-9/BAST COUNTY"</f>
        <v>ACCT#4220-2556-9/BAST COUNTY</v>
      </c>
      <c r="H1500" s="2">
        <v>115.11</v>
      </c>
      <c r="I1500" t="str">
        <f>"ACCT#4220-2556-9/BAST COUNTY"</f>
        <v>ACCT#4220-2556-9/BAST COUNTY</v>
      </c>
    </row>
    <row r="1501" spans="1:10" x14ac:dyDescent="0.3">
      <c r="A1501" t="str">
        <f>"000291"</f>
        <v>000291</v>
      </c>
      <c r="B1501" t="s">
        <v>407</v>
      </c>
      <c r="C1501">
        <v>75456</v>
      </c>
      <c r="D1501" s="2">
        <v>15.58</v>
      </c>
      <c r="E1501" s="1">
        <v>43157</v>
      </c>
      <c r="F1501" t="str">
        <f>"7004-0"</f>
        <v>7004-0</v>
      </c>
      <c r="G1501" t="str">
        <f>"ACCT#4220-2556-9/PAINT"</f>
        <v>ACCT#4220-2556-9/PAINT</v>
      </c>
      <c r="H1501" s="2">
        <v>15.58</v>
      </c>
      <c r="I1501" t="str">
        <f>"ACCT#4220-2556-9/PAINT"</f>
        <v>ACCT#4220-2556-9/PAINT</v>
      </c>
    </row>
    <row r="1502" spans="1:10" x14ac:dyDescent="0.3">
      <c r="A1502" t="str">
        <f>"T10195"</f>
        <v>T10195</v>
      </c>
      <c r="B1502" t="s">
        <v>408</v>
      </c>
      <c r="C1502">
        <v>75229</v>
      </c>
      <c r="D1502" s="2">
        <v>16370.7</v>
      </c>
      <c r="E1502" s="1">
        <v>43143</v>
      </c>
      <c r="F1502" t="str">
        <f>"GB00268164"</f>
        <v>GB00268164</v>
      </c>
      <c r="G1502" t="str">
        <f>"CommVault Renewal"</f>
        <v>CommVault Renewal</v>
      </c>
      <c r="H1502" s="2">
        <v>16370.7</v>
      </c>
      <c r="I1502" t="str">
        <f>"CommVault Renewal"</f>
        <v>CommVault Renewal</v>
      </c>
    </row>
    <row r="1503" spans="1:10" x14ac:dyDescent="0.3">
      <c r="A1503" t="str">
        <f>"T10195"</f>
        <v>T10195</v>
      </c>
      <c r="B1503" t="s">
        <v>408</v>
      </c>
      <c r="C1503">
        <v>75457</v>
      </c>
      <c r="D1503" s="2">
        <v>7036.98</v>
      </c>
      <c r="E1503" s="1">
        <v>43157</v>
      </c>
      <c r="F1503" t="str">
        <f>"GB00269504"</f>
        <v>GB00269504</v>
      </c>
      <c r="G1503" t="str">
        <f>"Surveillance Camera-Annex"</f>
        <v>Surveillance Camera-Annex</v>
      </c>
      <c r="H1503" s="2">
        <v>7036.98</v>
      </c>
      <c r="I1503" t="str">
        <f>"Part# 01058-001"</f>
        <v>Part# 01058-001</v>
      </c>
    </row>
    <row r="1504" spans="1:10" x14ac:dyDescent="0.3">
      <c r="A1504" t="str">
        <f>""</f>
        <v/>
      </c>
      <c r="F1504" t="str">
        <f>""</f>
        <v/>
      </c>
      <c r="G1504" t="str">
        <f>""</f>
        <v/>
      </c>
      <c r="I1504" t="str">
        <f>"Part# 01063-001"</f>
        <v>Part# 01063-001</v>
      </c>
    </row>
    <row r="1505" spans="1:9" x14ac:dyDescent="0.3">
      <c r="A1505" t="str">
        <f>""</f>
        <v/>
      </c>
      <c r="F1505" t="str">
        <f>""</f>
        <v/>
      </c>
      <c r="G1505" t="str">
        <f>""</f>
        <v/>
      </c>
      <c r="I1505" t="str">
        <f>"Part# 0929-001"</f>
        <v>Part# 0929-001</v>
      </c>
    </row>
    <row r="1506" spans="1:9" x14ac:dyDescent="0.3">
      <c r="A1506" t="str">
        <f>"004840"</f>
        <v>004840</v>
      </c>
      <c r="B1506" t="s">
        <v>409</v>
      </c>
      <c r="C1506">
        <v>75458</v>
      </c>
      <c r="D1506" s="2">
        <v>105.87</v>
      </c>
      <c r="E1506" s="1">
        <v>43157</v>
      </c>
      <c r="F1506" t="str">
        <f>"791671"</f>
        <v>791671</v>
      </c>
      <c r="G1506" t="str">
        <f>"ACCT#550615/PARTS/GEN SVCS"</f>
        <v>ACCT#550615/PARTS/GEN SVCS</v>
      </c>
      <c r="H1506" s="2">
        <v>105.87</v>
      </c>
      <c r="I1506" t="str">
        <f>"ACCT#550615/PARTS/GEN SVCS"</f>
        <v>ACCT#550615/PARTS/GEN SVCS</v>
      </c>
    </row>
    <row r="1507" spans="1:9" x14ac:dyDescent="0.3">
      <c r="A1507" t="str">
        <f>"001260"</f>
        <v>001260</v>
      </c>
      <c r="B1507" t="s">
        <v>410</v>
      </c>
      <c r="C1507">
        <v>75230</v>
      </c>
      <c r="D1507" s="2">
        <v>799.2</v>
      </c>
      <c r="E1507" s="1">
        <v>43143</v>
      </c>
      <c r="F1507" t="str">
        <f>"201802078672"</f>
        <v>201802078672</v>
      </c>
      <c r="G1507" t="str">
        <f>"INDIGENT HEALTH"</f>
        <v>INDIGENT HEALTH</v>
      </c>
      <c r="H1507" s="2">
        <v>799.2</v>
      </c>
      <c r="I1507" t="str">
        <f>"INDIGENT HEALTH"</f>
        <v>INDIGENT HEALTH</v>
      </c>
    </row>
    <row r="1508" spans="1:9" x14ac:dyDescent="0.3">
      <c r="A1508" t="str">
        <f>"003483"</f>
        <v>003483</v>
      </c>
      <c r="B1508" t="s">
        <v>411</v>
      </c>
      <c r="C1508">
        <v>75231</v>
      </c>
      <c r="D1508" s="2">
        <v>46054.25</v>
      </c>
      <c r="E1508" s="1">
        <v>43143</v>
      </c>
      <c r="F1508" t="str">
        <f>"34045F"</f>
        <v>34045F</v>
      </c>
      <c r="G1508" t="str">
        <f>"SILSBEE FORD"</f>
        <v>SILSBEE FORD</v>
      </c>
      <c r="H1508" s="2">
        <v>46054.25</v>
      </c>
      <c r="I1508" t="str">
        <f>"Police SUV"</f>
        <v>Police SUV</v>
      </c>
    </row>
    <row r="1509" spans="1:9" x14ac:dyDescent="0.3">
      <c r="A1509" t="str">
        <f>""</f>
        <v/>
      </c>
      <c r="F1509" t="str">
        <f>""</f>
        <v/>
      </c>
      <c r="G1509" t="str">
        <f>""</f>
        <v/>
      </c>
      <c r="I1509" t="str">
        <f>"Smart Buy Fee"</f>
        <v>Smart Buy Fee</v>
      </c>
    </row>
    <row r="1510" spans="1:9" x14ac:dyDescent="0.3">
      <c r="A1510" t="str">
        <f>"003483"</f>
        <v>003483</v>
      </c>
      <c r="B1510" t="s">
        <v>411</v>
      </c>
      <c r="C1510">
        <v>75459</v>
      </c>
      <c r="D1510" s="2">
        <v>26257</v>
      </c>
      <c r="E1510" s="1">
        <v>43157</v>
      </c>
      <c r="F1510" t="str">
        <f>"39655F"</f>
        <v>39655F</v>
      </c>
      <c r="G1510" t="str">
        <f>"SILSBEE FORD"</f>
        <v>SILSBEE FORD</v>
      </c>
      <c r="H1510" s="2">
        <v>26257</v>
      </c>
      <c r="I1510" t="str">
        <f>"2017 Ford Explorer"</f>
        <v>2017 Ford Explorer</v>
      </c>
    </row>
    <row r="1511" spans="1:9" x14ac:dyDescent="0.3">
      <c r="A1511" t="str">
        <f>"SEI"</f>
        <v>SEI</v>
      </c>
      <c r="B1511" t="s">
        <v>412</v>
      </c>
      <c r="C1511">
        <v>999999</v>
      </c>
      <c r="D1511" s="2">
        <v>277.98</v>
      </c>
      <c r="E1511" s="1">
        <v>43144</v>
      </c>
      <c r="F1511" t="str">
        <f>"INV70548"</f>
        <v>INV70548</v>
      </c>
      <c r="G1511" t="str">
        <f>"INV 70548"</f>
        <v>INV 70548</v>
      </c>
      <c r="H1511" s="2">
        <v>277.98</v>
      </c>
      <c r="I1511" t="str">
        <f>"INV 70548"</f>
        <v>INV 70548</v>
      </c>
    </row>
    <row r="1512" spans="1:9" x14ac:dyDescent="0.3">
      <c r="A1512" t="str">
        <f>"SS"</f>
        <v>SS</v>
      </c>
      <c r="B1512" t="s">
        <v>413</v>
      </c>
      <c r="C1512">
        <v>75232</v>
      </c>
      <c r="D1512" s="2">
        <v>159.19999999999999</v>
      </c>
      <c r="E1512" s="1">
        <v>43143</v>
      </c>
      <c r="F1512" t="str">
        <f>"013118"</f>
        <v>013118</v>
      </c>
      <c r="G1512" t="str">
        <f>"STATEMENT#26490/PCT#2"</f>
        <v>STATEMENT#26490/PCT#2</v>
      </c>
      <c r="H1512" s="2">
        <v>159.19999999999999</v>
      </c>
      <c r="I1512" t="str">
        <f>"STATEMENT#26490/PCT#2"</f>
        <v>STATEMENT#26490/PCT#2</v>
      </c>
    </row>
    <row r="1513" spans="1:9" x14ac:dyDescent="0.3">
      <c r="A1513" t="str">
        <f>""</f>
        <v/>
      </c>
      <c r="F1513" t="str">
        <f>""</f>
        <v/>
      </c>
      <c r="G1513" t="str">
        <f>""</f>
        <v/>
      </c>
      <c r="I1513" t="str">
        <f>"STATEMENT#26490/PCT#2"</f>
        <v>STATEMENT#26490/PCT#2</v>
      </c>
    </row>
    <row r="1514" spans="1:9" x14ac:dyDescent="0.3">
      <c r="A1514" t="str">
        <f>"SAP"</f>
        <v>SAP</v>
      </c>
      <c r="B1514" t="s">
        <v>414</v>
      </c>
      <c r="C1514">
        <v>75233</v>
      </c>
      <c r="D1514" s="2">
        <v>311.99</v>
      </c>
      <c r="E1514" s="1">
        <v>43143</v>
      </c>
      <c r="F1514" t="str">
        <f>"201802068582"</f>
        <v>201802068582</v>
      </c>
      <c r="G1514" t="str">
        <f>"ACCT#260/PCT#2"</f>
        <v>ACCT#260/PCT#2</v>
      </c>
      <c r="H1514" s="2">
        <v>311.99</v>
      </c>
      <c r="I1514" t="str">
        <f>"ACCT#260/PCT#2"</f>
        <v>ACCT#260/PCT#2</v>
      </c>
    </row>
    <row r="1515" spans="1:9" x14ac:dyDescent="0.3">
      <c r="A1515" t="str">
        <f>"T11607"</f>
        <v>T11607</v>
      </c>
      <c r="B1515" t="s">
        <v>415</v>
      </c>
      <c r="C1515">
        <v>75234</v>
      </c>
      <c r="D1515" s="2">
        <v>2900</v>
      </c>
      <c r="E1515" s="1">
        <v>43143</v>
      </c>
      <c r="F1515" t="str">
        <f>"201801308346"</f>
        <v>201801308346</v>
      </c>
      <c r="G1515" t="str">
        <f>"FUNDS FOR SCREENING DEVICE"</f>
        <v>FUNDS FOR SCREENING DEVICE</v>
      </c>
      <c r="H1515" s="2">
        <v>2900</v>
      </c>
      <c r="I1515" t="str">
        <f>"FUNDS FOR SCREENING DEVICE"</f>
        <v>FUNDS FOR SCREENING DEVICE</v>
      </c>
    </row>
    <row r="1516" spans="1:9" x14ac:dyDescent="0.3">
      <c r="A1516" t="str">
        <f>"STM"</f>
        <v>STM</v>
      </c>
      <c r="B1516" t="s">
        <v>416</v>
      </c>
      <c r="C1516">
        <v>75235</v>
      </c>
      <c r="D1516" s="2">
        <v>3098.45</v>
      </c>
      <c r="E1516" s="1">
        <v>43143</v>
      </c>
      <c r="F1516" t="str">
        <f>"63238600"</f>
        <v>63238600</v>
      </c>
      <c r="G1516" t="str">
        <f>"CUST#52157/PCT#3"</f>
        <v>CUST#52157/PCT#3</v>
      </c>
      <c r="H1516" s="2">
        <v>830.5</v>
      </c>
      <c r="I1516" t="str">
        <f>"CUST#52157/PCT#3"</f>
        <v>CUST#52157/PCT#3</v>
      </c>
    </row>
    <row r="1517" spans="1:9" x14ac:dyDescent="0.3">
      <c r="A1517" t="str">
        <f>""</f>
        <v/>
      </c>
      <c r="F1517" t="str">
        <f>"63238601"</f>
        <v>63238601</v>
      </c>
      <c r="G1517" t="str">
        <f>"CUST#52157/PCT#3"</f>
        <v>CUST#52157/PCT#3</v>
      </c>
      <c r="H1517" s="2">
        <v>2062.5</v>
      </c>
      <c r="I1517" t="str">
        <f>"CUST#52157/PCT#3"</f>
        <v>CUST#52157/PCT#3</v>
      </c>
    </row>
    <row r="1518" spans="1:9" x14ac:dyDescent="0.3">
      <c r="A1518" t="str">
        <f>""</f>
        <v/>
      </c>
      <c r="F1518" t="str">
        <f>"63239177"</f>
        <v>63239177</v>
      </c>
      <c r="G1518" t="str">
        <f>"CUST#52157/PCT#3"</f>
        <v>CUST#52157/PCT#3</v>
      </c>
      <c r="H1518" s="2">
        <v>205.45</v>
      </c>
      <c r="I1518" t="str">
        <f>"CUST#52157/PCT#3"</f>
        <v>CUST#52157/PCT#3</v>
      </c>
    </row>
    <row r="1519" spans="1:9" x14ac:dyDescent="0.3">
      <c r="A1519" t="str">
        <f>"T11061"</f>
        <v>T11061</v>
      </c>
      <c r="B1519" t="s">
        <v>417</v>
      </c>
      <c r="C1519">
        <v>75236</v>
      </c>
      <c r="D1519" s="2">
        <v>199.58</v>
      </c>
      <c r="E1519" s="1">
        <v>43143</v>
      </c>
      <c r="F1519" t="str">
        <f>"11969495 011918"</f>
        <v>11969495 011918</v>
      </c>
      <c r="G1519" t="str">
        <f>"ACCT#556850411969495/DA'S OFF"</f>
        <v>ACCT#556850411969495/DA'S OFF</v>
      </c>
      <c r="H1519" s="2">
        <v>152.82</v>
      </c>
      <c r="I1519" t="str">
        <f>"ACCT#556850411969495/DA'S OFF"</f>
        <v>ACCT#556850411969495/DA'S OFF</v>
      </c>
    </row>
    <row r="1520" spans="1:9" x14ac:dyDescent="0.3">
      <c r="A1520" t="str">
        <f>""</f>
        <v/>
      </c>
      <c r="F1520" t="str">
        <f>"9604456 010418"</f>
        <v>9604456 010418</v>
      </c>
      <c r="G1520" t="str">
        <f>"CUST ACCT#46668439604456/JP#2"</f>
        <v>CUST ACCT#46668439604456/JP#2</v>
      </c>
      <c r="H1520" s="2">
        <v>46.76</v>
      </c>
      <c r="I1520" t="str">
        <f>"CUST ACCT#46668439604456/JP#2"</f>
        <v>CUST ACCT#46668439604456/JP#2</v>
      </c>
    </row>
    <row r="1521" spans="1:9" x14ac:dyDescent="0.3">
      <c r="A1521" t="str">
        <f>"T11061"</f>
        <v>T11061</v>
      </c>
      <c r="B1521" t="s">
        <v>417</v>
      </c>
      <c r="C1521">
        <v>75460</v>
      </c>
      <c r="D1521" s="2">
        <v>34.86</v>
      </c>
      <c r="E1521" s="1">
        <v>43157</v>
      </c>
      <c r="F1521" t="str">
        <f>"9604456 020118"</f>
        <v>9604456 020118</v>
      </c>
      <c r="G1521" t="str">
        <f>"ACCT#46668439604456/JP#2"</f>
        <v>ACCT#46668439604456/JP#2</v>
      </c>
      <c r="H1521" s="2">
        <v>34.86</v>
      </c>
      <c r="I1521" t="str">
        <f>"ACCT#46668439604456/JP#2"</f>
        <v>ACCT#46668439604456/JP#2</v>
      </c>
    </row>
    <row r="1522" spans="1:9" x14ac:dyDescent="0.3">
      <c r="A1522" t="str">
        <f>"004843"</f>
        <v>004843</v>
      </c>
      <c r="B1522" t="s">
        <v>418</v>
      </c>
      <c r="C1522">
        <v>75237</v>
      </c>
      <c r="D1522" s="2">
        <v>82.93</v>
      </c>
      <c r="E1522" s="1">
        <v>43143</v>
      </c>
      <c r="F1522" t="str">
        <f>"680934"</f>
        <v>680934</v>
      </c>
      <c r="G1522" t="str">
        <f>"ACCT#114382/ANIMAL SHELTER"</f>
        <v>ACCT#114382/ANIMAL SHELTER</v>
      </c>
      <c r="H1522" s="2">
        <v>82.93</v>
      </c>
      <c r="I1522" t="str">
        <f>"ACCT#114382/ANIMAL SHELTER"</f>
        <v>ACCT#114382/ANIMAL SHELTER</v>
      </c>
    </row>
    <row r="1523" spans="1:9" x14ac:dyDescent="0.3">
      <c r="A1523" t="str">
        <f>"SDHCS"</f>
        <v>SDHCS</v>
      </c>
      <c r="B1523" t="s">
        <v>419</v>
      </c>
      <c r="C1523">
        <v>75238</v>
      </c>
      <c r="D1523" s="2">
        <v>5231.88</v>
      </c>
      <c r="E1523" s="1">
        <v>43143</v>
      </c>
      <c r="F1523" t="str">
        <f>"201802078674"</f>
        <v>201802078674</v>
      </c>
      <c r="G1523" t="str">
        <f>"INDIGENT HEALTH"</f>
        <v>INDIGENT HEALTH</v>
      </c>
      <c r="H1523" s="2">
        <v>5231.88</v>
      </c>
      <c r="I1523" t="str">
        <f>"INDIGENT HEALTH"</f>
        <v>INDIGENT HEALTH</v>
      </c>
    </row>
    <row r="1524" spans="1:9" x14ac:dyDescent="0.3">
      <c r="A1524" t="str">
        <f>"004527"</f>
        <v>004527</v>
      </c>
      <c r="B1524" t="s">
        <v>420</v>
      </c>
      <c r="C1524">
        <v>75239</v>
      </c>
      <c r="D1524" s="2">
        <v>59.56</v>
      </c>
      <c r="E1524" s="1">
        <v>43143</v>
      </c>
      <c r="F1524" t="str">
        <f>"201802078673"</f>
        <v>201802078673</v>
      </c>
      <c r="G1524" t="str">
        <f>"INDIGENT HEALTH"</f>
        <v>INDIGENT HEALTH</v>
      </c>
      <c r="H1524" s="2">
        <v>59.56</v>
      </c>
      <c r="I1524" t="str">
        <f>"INDIGENT HEALTH"</f>
        <v>INDIGENT HEALTH</v>
      </c>
    </row>
    <row r="1525" spans="1:9" x14ac:dyDescent="0.3">
      <c r="A1525" t="str">
        <f>"003508"</f>
        <v>003508</v>
      </c>
      <c r="B1525" t="s">
        <v>421</v>
      </c>
      <c r="C1525">
        <v>75240</v>
      </c>
      <c r="D1525" s="2">
        <v>2666.91</v>
      </c>
      <c r="E1525" s="1">
        <v>43143</v>
      </c>
      <c r="F1525" t="str">
        <f>"8048107618"</f>
        <v>8048107618</v>
      </c>
      <c r="G1525" t="str">
        <f>"Sum Inv# 8048107618"</f>
        <v>Sum Inv# 8048107618</v>
      </c>
      <c r="H1525" s="2">
        <v>1219.31</v>
      </c>
      <c r="I1525" t="str">
        <f>"Ord# 3364425617"</f>
        <v>Ord# 3364425617</v>
      </c>
    </row>
    <row r="1526" spans="1:9" x14ac:dyDescent="0.3">
      <c r="A1526" t="str">
        <f>""</f>
        <v/>
      </c>
      <c r="F1526" t="str">
        <f>""</f>
        <v/>
      </c>
      <c r="G1526" t="str">
        <f>""</f>
        <v/>
      </c>
      <c r="I1526" t="str">
        <f>"Ord#3364425619"</f>
        <v>Ord#3364425619</v>
      </c>
    </row>
    <row r="1527" spans="1:9" x14ac:dyDescent="0.3">
      <c r="A1527" t="str">
        <f>""</f>
        <v/>
      </c>
      <c r="F1527" t="str">
        <f>""</f>
        <v/>
      </c>
      <c r="G1527" t="str">
        <f>""</f>
        <v/>
      </c>
      <c r="I1527" t="str">
        <f>"Ord# 3364425623"</f>
        <v>Ord# 3364425623</v>
      </c>
    </row>
    <row r="1528" spans="1:9" x14ac:dyDescent="0.3">
      <c r="A1528" t="str">
        <f>""</f>
        <v/>
      </c>
      <c r="F1528" t="str">
        <f>""</f>
        <v/>
      </c>
      <c r="G1528" t="str">
        <f>""</f>
        <v/>
      </c>
      <c r="I1528" t="str">
        <f>"Ord#3364425620"</f>
        <v>Ord#3364425620</v>
      </c>
    </row>
    <row r="1529" spans="1:9" x14ac:dyDescent="0.3">
      <c r="A1529" t="str">
        <f>""</f>
        <v/>
      </c>
      <c r="F1529" t="str">
        <f>""</f>
        <v/>
      </c>
      <c r="G1529" t="str">
        <f>""</f>
        <v/>
      </c>
      <c r="I1529" t="str">
        <f>"Ord# 3364425621"</f>
        <v>Ord# 3364425621</v>
      </c>
    </row>
    <row r="1530" spans="1:9" x14ac:dyDescent="0.3">
      <c r="A1530" t="str">
        <f>""</f>
        <v/>
      </c>
      <c r="F1530" t="str">
        <f>""</f>
        <v/>
      </c>
      <c r="G1530" t="str">
        <f>""</f>
        <v/>
      </c>
      <c r="I1530" t="str">
        <f>"Ord# 3364425622"</f>
        <v>Ord# 3364425622</v>
      </c>
    </row>
    <row r="1531" spans="1:9" x14ac:dyDescent="0.3">
      <c r="A1531" t="str">
        <f>""</f>
        <v/>
      </c>
      <c r="F1531" t="str">
        <f>""</f>
        <v/>
      </c>
      <c r="G1531" t="str">
        <f>""</f>
        <v/>
      </c>
      <c r="I1531" t="str">
        <f>"Ord# 3364425623"</f>
        <v>Ord# 3364425623</v>
      </c>
    </row>
    <row r="1532" spans="1:9" x14ac:dyDescent="0.3">
      <c r="A1532" t="str">
        <f>""</f>
        <v/>
      </c>
      <c r="F1532" t="str">
        <f>""</f>
        <v/>
      </c>
      <c r="G1532" t="str">
        <f>""</f>
        <v/>
      </c>
      <c r="I1532" t="str">
        <f>"Ord# 3364425614"</f>
        <v>Ord# 3364425614</v>
      </c>
    </row>
    <row r="1533" spans="1:9" x14ac:dyDescent="0.3">
      <c r="A1533" t="str">
        <f>""</f>
        <v/>
      </c>
      <c r="F1533" t="str">
        <f>""</f>
        <v/>
      </c>
      <c r="G1533" t="str">
        <f>""</f>
        <v/>
      </c>
      <c r="I1533" t="str">
        <f>"Ord# 3364425615"</f>
        <v>Ord# 3364425615</v>
      </c>
    </row>
    <row r="1534" spans="1:9" x14ac:dyDescent="0.3">
      <c r="A1534" t="str">
        <f>""</f>
        <v/>
      </c>
      <c r="F1534" t="str">
        <f>""</f>
        <v/>
      </c>
      <c r="G1534" t="str">
        <f>""</f>
        <v/>
      </c>
      <c r="I1534" t="str">
        <f>"Ord# 3364425616"</f>
        <v>Ord# 3364425616</v>
      </c>
    </row>
    <row r="1535" spans="1:9" x14ac:dyDescent="0.3">
      <c r="A1535" t="str">
        <f>""</f>
        <v/>
      </c>
      <c r="F1535" t="str">
        <f>"8048293629"</f>
        <v>8048293629</v>
      </c>
      <c r="G1535" t="str">
        <f>"Sum. Inv. 8048293629"</f>
        <v>Sum. Inv. 8048293629</v>
      </c>
      <c r="H1535" s="2">
        <v>1447.6</v>
      </c>
      <c r="I1535" t="str">
        <f>"Inv# 3365562693"</f>
        <v>Inv# 3365562693</v>
      </c>
    </row>
    <row r="1536" spans="1:9" x14ac:dyDescent="0.3">
      <c r="A1536" t="str">
        <f>""</f>
        <v/>
      </c>
      <c r="F1536" t="str">
        <f>""</f>
        <v/>
      </c>
      <c r="G1536" t="str">
        <f>""</f>
        <v/>
      </c>
      <c r="I1536" t="str">
        <f>"Inv# 3365562688"</f>
        <v>Inv# 3365562688</v>
      </c>
    </row>
    <row r="1537" spans="1:9" x14ac:dyDescent="0.3">
      <c r="A1537" t="str">
        <f>""</f>
        <v/>
      </c>
      <c r="F1537" t="str">
        <f>""</f>
        <v/>
      </c>
      <c r="G1537" t="str">
        <f>""</f>
        <v/>
      </c>
      <c r="I1537" t="str">
        <f>"Inv# 3365562691"</f>
        <v>Inv# 3365562691</v>
      </c>
    </row>
    <row r="1538" spans="1:9" x14ac:dyDescent="0.3">
      <c r="A1538" t="str">
        <f>""</f>
        <v/>
      </c>
      <c r="F1538" t="str">
        <f>""</f>
        <v/>
      </c>
      <c r="G1538" t="str">
        <f>""</f>
        <v/>
      </c>
      <c r="I1538" t="str">
        <f>"Inv# 3365562692"</f>
        <v>Inv# 3365562692</v>
      </c>
    </row>
    <row r="1539" spans="1:9" x14ac:dyDescent="0.3">
      <c r="A1539" t="str">
        <f>""</f>
        <v/>
      </c>
      <c r="F1539" t="str">
        <f>""</f>
        <v/>
      </c>
      <c r="G1539" t="str">
        <f>""</f>
        <v/>
      </c>
      <c r="I1539" t="str">
        <f>"Inv# 3365562694"</f>
        <v>Inv# 3365562694</v>
      </c>
    </row>
    <row r="1540" spans="1:9" x14ac:dyDescent="0.3">
      <c r="A1540" t="str">
        <f>""</f>
        <v/>
      </c>
      <c r="F1540" t="str">
        <f>""</f>
        <v/>
      </c>
      <c r="G1540" t="str">
        <f>""</f>
        <v/>
      </c>
      <c r="I1540" t="str">
        <f>"Inv# 3365562695"</f>
        <v>Inv# 3365562695</v>
      </c>
    </row>
    <row r="1541" spans="1:9" x14ac:dyDescent="0.3">
      <c r="A1541" t="str">
        <f>""</f>
        <v/>
      </c>
      <c r="F1541" t="str">
        <f>""</f>
        <v/>
      </c>
      <c r="G1541" t="str">
        <f>""</f>
        <v/>
      </c>
      <c r="I1541" t="str">
        <f>"Inv# 3365562697"</f>
        <v>Inv# 3365562697</v>
      </c>
    </row>
    <row r="1542" spans="1:9" x14ac:dyDescent="0.3">
      <c r="A1542" t="str">
        <f>""</f>
        <v/>
      </c>
      <c r="F1542" t="str">
        <f>""</f>
        <v/>
      </c>
      <c r="G1542" t="str">
        <f>""</f>
        <v/>
      </c>
      <c r="I1542" t="str">
        <f>"Inv# 3365562696"</f>
        <v>Inv# 3365562696</v>
      </c>
    </row>
    <row r="1543" spans="1:9" x14ac:dyDescent="0.3">
      <c r="A1543" t="str">
        <f>""</f>
        <v/>
      </c>
      <c r="F1543" t="str">
        <f>""</f>
        <v/>
      </c>
      <c r="G1543" t="str">
        <f>""</f>
        <v/>
      </c>
      <c r="I1543" t="str">
        <f>"Inv# 3365562698"</f>
        <v>Inv# 3365562698</v>
      </c>
    </row>
    <row r="1544" spans="1:9" x14ac:dyDescent="0.3">
      <c r="A1544" t="str">
        <f>""</f>
        <v/>
      </c>
      <c r="F1544" t="str">
        <f>""</f>
        <v/>
      </c>
      <c r="G1544" t="str">
        <f>""</f>
        <v/>
      </c>
      <c r="I1544" t="str">
        <f>"Inv# 3365562690"</f>
        <v>Inv# 3365562690</v>
      </c>
    </row>
    <row r="1545" spans="1:9" x14ac:dyDescent="0.3">
      <c r="A1545" t="str">
        <f>"003508"</f>
        <v>003508</v>
      </c>
      <c r="B1545" t="s">
        <v>421</v>
      </c>
      <c r="C1545">
        <v>75461</v>
      </c>
      <c r="D1545" s="2">
        <v>2192.04</v>
      </c>
      <c r="E1545" s="1">
        <v>43157</v>
      </c>
      <c r="F1545" t="str">
        <f>"003508"</f>
        <v>003508</v>
      </c>
      <c r="G1545" t="str">
        <f>"Sum Inv# 8048505652"</f>
        <v>Sum Inv# 8048505652</v>
      </c>
      <c r="H1545" s="2">
        <v>2192.04</v>
      </c>
      <c r="I1545" t="str">
        <f>"Inv# 3367297888"</f>
        <v>Inv# 3367297888</v>
      </c>
    </row>
    <row r="1546" spans="1:9" x14ac:dyDescent="0.3">
      <c r="A1546" t="str">
        <f>""</f>
        <v/>
      </c>
      <c r="F1546" t="str">
        <f>""</f>
        <v/>
      </c>
      <c r="G1546" t="str">
        <f>""</f>
        <v/>
      </c>
      <c r="I1546" t="str">
        <f>"Inv# 3367297889"</f>
        <v>Inv# 3367297889</v>
      </c>
    </row>
    <row r="1547" spans="1:9" x14ac:dyDescent="0.3">
      <c r="A1547" t="str">
        <f>""</f>
        <v/>
      </c>
      <c r="F1547" t="str">
        <f>""</f>
        <v/>
      </c>
      <c r="G1547" t="str">
        <f>""</f>
        <v/>
      </c>
      <c r="I1547" t="str">
        <f>"Inv# 3367297890"</f>
        <v>Inv# 3367297890</v>
      </c>
    </row>
    <row r="1548" spans="1:9" x14ac:dyDescent="0.3">
      <c r="A1548" t="str">
        <f>""</f>
        <v/>
      </c>
      <c r="F1548" t="str">
        <f>""</f>
        <v/>
      </c>
      <c r="G1548" t="str">
        <f>""</f>
        <v/>
      </c>
      <c r="I1548" t="str">
        <f>"Inv# 3367297887"</f>
        <v>Inv# 3367297887</v>
      </c>
    </row>
    <row r="1549" spans="1:9" x14ac:dyDescent="0.3">
      <c r="A1549" t="str">
        <f>""</f>
        <v/>
      </c>
      <c r="F1549" t="str">
        <f>""</f>
        <v/>
      </c>
      <c r="G1549" t="str">
        <f>""</f>
        <v/>
      </c>
      <c r="I1549" t="str">
        <f>"Inv# 3367297887"</f>
        <v>Inv# 3367297887</v>
      </c>
    </row>
    <row r="1550" spans="1:9" x14ac:dyDescent="0.3">
      <c r="A1550" t="str">
        <f>""</f>
        <v/>
      </c>
      <c r="F1550" t="str">
        <f>""</f>
        <v/>
      </c>
      <c r="G1550" t="str">
        <f>""</f>
        <v/>
      </c>
      <c r="I1550" t="str">
        <f>"Inv# 3367297883"</f>
        <v>Inv# 3367297883</v>
      </c>
    </row>
    <row r="1551" spans="1:9" x14ac:dyDescent="0.3">
      <c r="A1551" t="str">
        <f>""</f>
        <v/>
      </c>
      <c r="F1551" t="str">
        <f>""</f>
        <v/>
      </c>
      <c r="G1551" t="str">
        <f>""</f>
        <v/>
      </c>
      <c r="I1551" t="str">
        <f>"Inv# 3367297885"</f>
        <v>Inv# 3367297885</v>
      </c>
    </row>
    <row r="1552" spans="1:9" x14ac:dyDescent="0.3">
      <c r="A1552" t="str">
        <f>""</f>
        <v/>
      </c>
      <c r="F1552" t="str">
        <f>""</f>
        <v/>
      </c>
      <c r="G1552" t="str">
        <f>""</f>
        <v/>
      </c>
      <c r="I1552" t="str">
        <f>"Inv# 3367297893"</f>
        <v>Inv# 3367297893</v>
      </c>
    </row>
    <row r="1553" spans="1:9" x14ac:dyDescent="0.3">
      <c r="A1553" t="str">
        <f>""</f>
        <v/>
      </c>
      <c r="F1553" t="str">
        <f>""</f>
        <v/>
      </c>
      <c r="G1553" t="str">
        <f>""</f>
        <v/>
      </c>
      <c r="I1553" t="str">
        <f>"Inv# 3367297894"</f>
        <v>Inv# 3367297894</v>
      </c>
    </row>
    <row r="1554" spans="1:9" x14ac:dyDescent="0.3">
      <c r="A1554" t="str">
        <f>""</f>
        <v/>
      </c>
      <c r="F1554" t="str">
        <f>""</f>
        <v/>
      </c>
      <c r="G1554" t="str">
        <f>""</f>
        <v/>
      </c>
      <c r="I1554" t="str">
        <f>"Inv# 3367297896"</f>
        <v>Inv# 3367297896</v>
      </c>
    </row>
    <row r="1555" spans="1:9" x14ac:dyDescent="0.3">
      <c r="A1555" t="str">
        <f>""</f>
        <v/>
      </c>
      <c r="F1555" t="str">
        <f>""</f>
        <v/>
      </c>
      <c r="G1555" t="str">
        <f>""</f>
        <v/>
      </c>
      <c r="I1555" t="str">
        <f>"Inv# 3367297901"</f>
        <v>Inv# 3367297901</v>
      </c>
    </row>
    <row r="1556" spans="1:9" x14ac:dyDescent="0.3">
      <c r="A1556" t="str">
        <f>""</f>
        <v/>
      </c>
      <c r="F1556" t="str">
        <f>""</f>
        <v/>
      </c>
      <c r="G1556" t="str">
        <f>""</f>
        <v/>
      </c>
      <c r="I1556" t="str">
        <f>"Inv# 3367297891"</f>
        <v>Inv# 3367297891</v>
      </c>
    </row>
    <row r="1557" spans="1:9" x14ac:dyDescent="0.3">
      <c r="A1557" t="str">
        <f>""</f>
        <v/>
      </c>
      <c r="F1557" t="str">
        <f>""</f>
        <v/>
      </c>
      <c r="G1557" t="str">
        <f>""</f>
        <v/>
      </c>
      <c r="I1557" t="str">
        <f>"Inv# 3367297892"</f>
        <v>Inv# 3367297892</v>
      </c>
    </row>
    <row r="1558" spans="1:9" x14ac:dyDescent="0.3">
      <c r="A1558" t="str">
        <f>""</f>
        <v/>
      </c>
      <c r="F1558" t="str">
        <f>""</f>
        <v/>
      </c>
      <c r="G1558" t="str">
        <f>""</f>
        <v/>
      </c>
      <c r="I1558" t="str">
        <f>"Inv# 3367297897"</f>
        <v>Inv# 3367297897</v>
      </c>
    </row>
    <row r="1559" spans="1:9" x14ac:dyDescent="0.3">
      <c r="A1559" t="str">
        <f>""</f>
        <v/>
      </c>
      <c r="F1559" t="str">
        <f>""</f>
        <v/>
      </c>
      <c r="G1559" t="str">
        <f>""</f>
        <v/>
      </c>
      <c r="I1559" t="str">
        <f>"Inv# 3367297898"</f>
        <v>Inv# 3367297898</v>
      </c>
    </row>
    <row r="1560" spans="1:9" x14ac:dyDescent="0.3">
      <c r="A1560" t="str">
        <f>"T459"</f>
        <v>T459</v>
      </c>
      <c r="B1560" t="s">
        <v>422</v>
      </c>
      <c r="C1560">
        <v>75462</v>
      </c>
      <c r="D1560" s="2">
        <v>560</v>
      </c>
      <c r="E1560" s="1">
        <v>43157</v>
      </c>
      <c r="F1560" t="str">
        <f>"201802218807"</f>
        <v>201802218807</v>
      </c>
      <c r="G1560" t="str">
        <f>"JANUARY 2018"</f>
        <v>JANUARY 2018</v>
      </c>
      <c r="H1560" s="2">
        <v>560</v>
      </c>
      <c r="I1560" t="str">
        <f>"JANUARY 2018"</f>
        <v>JANUARY 2018</v>
      </c>
    </row>
    <row r="1561" spans="1:9" x14ac:dyDescent="0.3">
      <c r="A1561" t="str">
        <f>"004808"</f>
        <v>004808</v>
      </c>
      <c r="B1561" t="s">
        <v>423</v>
      </c>
      <c r="C1561">
        <v>75241</v>
      </c>
      <c r="D1561" s="2">
        <v>185</v>
      </c>
      <c r="E1561" s="1">
        <v>43143</v>
      </c>
      <c r="F1561" t="str">
        <f>"201802018390"</f>
        <v>201802018390</v>
      </c>
      <c r="G1561" t="str">
        <f>"FERAL HOGS"</f>
        <v>FERAL HOGS</v>
      </c>
      <c r="H1561" s="2">
        <v>90</v>
      </c>
      <c r="I1561" t="str">
        <f>"FERAL HOGS"</f>
        <v>FERAL HOGS</v>
      </c>
    </row>
    <row r="1562" spans="1:9" x14ac:dyDescent="0.3">
      <c r="A1562" t="str">
        <f>""</f>
        <v/>
      </c>
      <c r="F1562" t="str">
        <f>"201802018395"</f>
        <v>201802018395</v>
      </c>
      <c r="G1562" t="str">
        <f>"FERAL HOGS"</f>
        <v>FERAL HOGS</v>
      </c>
      <c r="H1562" s="2">
        <v>55</v>
      </c>
      <c r="I1562" t="str">
        <f>"FERAL HOGS"</f>
        <v>FERAL HOGS</v>
      </c>
    </row>
    <row r="1563" spans="1:9" x14ac:dyDescent="0.3">
      <c r="A1563" t="str">
        <f>""</f>
        <v/>
      </c>
      <c r="F1563" t="str">
        <f>"201802018407"</f>
        <v>201802018407</v>
      </c>
      <c r="G1563" t="str">
        <f>"FERAL HOGS"</f>
        <v>FERAL HOGS</v>
      </c>
      <c r="H1563" s="2">
        <v>5</v>
      </c>
      <c r="I1563" t="str">
        <f>"FERAL HOGS"</f>
        <v>FERAL HOGS</v>
      </c>
    </row>
    <row r="1564" spans="1:9" x14ac:dyDescent="0.3">
      <c r="A1564" t="str">
        <f>""</f>
        <v/>
      </c>
      <c r="F1564" t="str">
        <f>"201802018408"</f>
        <v>201802018408</v>
      </c>
      <c r="G1564" t="str">
        <f>"FERAL HOGS"</f>
        <v>FERAL HOGS</v>
      </c>
      <c r="H1564" s="2">
        <v>35</v>
      </c>
      <c r="I1564" t="str">
        <f>"FERAL HOGS"</f>
        <v>FERAL HOGS</v>
      </c>
    </row>
    <row r="1565" spans="1:9" x14ac:dyDescent="0.3">
      <c r="A1565" t="str">
        <f>"002260"</f>
        <v>002260</v>
      </c>
      <c r="B1565" t="s">
        <v>424</v>
      </c>
      <c r="C1565">
        <v>75242</v>
      </c>
      <c r="D1565" s="2">
        <v>669.5</v>
      </c>
      <c r="E1565" s="1">
        <v>43143</v>
      </c>
      <c r="F1565" t="str">
        <f>"201802058483"</f>
        <v>201802058483</v>
      </c>
      <c r="G1565" t="str">
        <f>"TRASH REMOVAL/2/1-2/9/PCT#4"</f>
        <v>TRASH REMOVAL/2/1-2/9/PCT#4</v>
      </c>
      <c r="H1565" s="2">
        <v>279.5</v>
      </c>
      <c r="I1565" t="str">
        <f>"TRASH REMOVAL/2/1-2/9/PCT#4"</f>
        <v>TRASH REMOVAL/2/1-2/9/PCT#4</v>
      </c>
    </row>
    <row r="1566" spans="1:9" x14ac:dyDescent="0.3">
      <c r="A1566" t="str">
        <f>""</f>
        <v/>
      </c>
      <c r="F1566" t="str">
        <f>"201802058484"</f>
        <v>201802058484</v>
      </c>
      <c r="G1566" t="str">
        <f>"TRASH REMOVAL/1/22-1/31/PCT#4"</f>
        <v>TRASH REMOVAL/1/22-1/31/PCT#4</v>
      </c>
      <c r="H1566" s="2">
        <v>390</v>
      </c>
      <c r="I1566" t="str">
        <f>"TRASH REMOVAL/1/22-1/31/PCT#4"</f>
        <v>TRASH REMOVAL/1/22-1/31/PCT#4</v>
      </c>
    </row>
    <row r="1567" spans="1:9" x14ac:dyDescent="0.3">
      <c r="A1567" t="str">
        <f>"002260"</f>
        <v>002260</v>
      </c>
      <c r="B1567" t="s">
        <v>424</v>
      </c>
      <c r="C1567">
        <v>75463</v>
      </c>
      <c r="D1567" s="2">
        <v>448.5</v>
      </c>
      <c r="E1567" s="1">
        <v>43157</v>
      </c>
      <c r="F1567" t="str">
        <f>"201802218808"</f>
        <v>201802218808</v>
      </c>
      <c r="G1567" t="str">
        <f>"TRASH REMOVAL 2/12-2/23/PCT#4"</f>
        <v>TRASH REMOVAL 2/12-2/23/PCT#4</v>
      </c>
      <c r="H1567" s="2">
        <v>448.5</v>
      </c>
      <c r="I1567" t="str">
        <f>"TRASH REMOVAL 2/12-2/23/PCT#4"</f>
        <v>TRASH REMOVAL 2/12-2/23/PCT#4</v>
      </c>
    </row>
    <row r="1568" spans="1:9" x14ac:dyDescent="0.3">
      <c r="A1568" t="str">
        <f>"005372"</f>
        <v>005372</v>
      </c>
      <c r="B1568" t="s">
        <v>425</v>
      </c>
      <c r="C1568">
        <v>75243</v>
      </c>
      <c r="D1568" s="2">
        <v>850</v>
      </c>
      <c r="E1568" s="1">
        <v>43143</v>
      </c>
      <c r="F1568" t="str">
        <f>"64600"</f>
        <v>64600</v>
      </c>
      <c r="G1568" t="str">
        <f>"DPS Window/Door Tint"</f>
        <v>DPS Window/Door Tint</v>
      </c>
      <c r="H1568" s="2">
        <v>850</v>
      </c>
      <c r="I1568" t="str">
        <f>"Tint Removal"</f>
        <v>Tint Removal</v>
      </c>
    </row>
    <row r="1569" spans="1:9" x14ac:dyDescent="0.3">
      <c r="A1569" t="str">
        <f>""</f>
        <v/>
      </c>
      <c r="F1569" t="str">
        <f>""</f>
        <v/>
      </c>
      <c r="G1569" t="str">
        <f>""</f>
        <v/>
      </c>
      <c r="I1569" t="str">
        <f>"Tint Install"</f>
        <v>Tint Install</v>
      </c>
    </row>
    <row r="1570" spans="1:9" x14ac:dyDescent="0.3">
      <c r="A1570" t="str">
        <f>"T7067"</f>
        <v>T7067</v>
      </c>
      <c r="B1570" t="s">
        <v>426</v>
      </c>
      <c r="C1570">
        <v>75244</v>
      </c>
      <c r="D1570" s="2">
        <v>38900</v>
      </c>
      <c r="E1570" s="1">
        <v>43143</v>
      </c>
      <c r="F1570" t="str">
        <f>"E-119369"</f>
        <v>E-119369</v>
      </c>
      <c r="G1570" t="str">
        <f>"Surgical Building"</f>
        <v>Surgical Building</v>
      </c>
      <c r="H1570" s="2">
        <v>18767</v>
      </c>
      <c r="I1570" t="str">
        <f>"Surgical Building"</f>
        <v>Surgical Building</v>
      </c>
    </row>
    <row r="1571" spans="1:9" x14ac:dyDescent="0.3">
      <c r="A1571" t="str">
        <f>""</f>
        <v/>
      </c>
      <c r="F1571" t="str">
        <f>"E-119370"</f>
        <v>E-119370</v>
      </c>
      <c r="G1571" t="str">
        <f>"Foundation - Surgical Cen"</f>
        <v>Foundation - Surgical Cen</v>
      </c>
      <c r="H1571" s="2">
        <v>20133</v>
      </c>
      <c r="I1571" t="str">
        <f>"Foundation - Surgical Cen"</f>
        <v>Foundation - Surgical Cen</v>
      </c>
    </row>
    <row r="1572" spans="1:9" x14ac:dyDescent="0.3">
      <c r="A1572" t="str">
        <f>"T7067"</f>
        <v>T7067</v>
      </c>
      <c r="B1572" t="s">
        <v>426</v>
      </c>
      <c r="C1572">
        <v>75464</v>
      </c>
      <c r="D1572" s="2">
        <v>2364.4499999999998</v>
      </c>
      <c r="E1572" s="1">
        <v>43157</v>
      </c>
      <c r="F1572" t="str">
        <f>"E-119416"</f>
        <v>E-119416</v>
      </c>
      <c r="G1572" t="str">
        <f>"Inv# E-119416"</f>
        <v>Inv# E-119416</v>
      </c>
      <c r="H1572" s="2">
        <v>2364.4499999999998</v>
      </c>
      <c r="I1572" t="str">
        <f>"Inv# E-119416"</f>
        <v>Inv# E-119416</v>
      </c>
    </row>
    <row r="1573" spans="1:9" x14ac:dyDescent="0.3">
      <c r="A1573" t="str">
        <f>"005394"</f>
        <v>005394</v>
      </c>
      <c r="B1573" t="s">
        <v>427</v>
      </c>
      <c r="C1573">
        <v>75245</v>
      </c>
      <c r="D1573" s="2">
        <v>1131.1400000000001</v>
      </c>
      <c r="E1573" s="1">
        <v>43143</v>
      </c>
      <c r="F1573" t="str">
        <f>"4243*136*1/*136*2"</f>
        <v>4243*136*1/*136*2</v>
      </c>
      <c r="G1573" t="str">
        <f>"JAIL MEDICAL"</f>
        <v>JAIL MEDICAL</v>
      </c>
      <c r="H1573" s="2">
        <v>1131.1400000000001</v>
      </c>
      <c r="I1573" t="str">
        <f>"JAIL MEDICAL"</f>
        <v>JAIL MEDICAL</v>
      </c>
    </row>
    <row r="1574" spans="1:9" x14ac:dyDescent="0.3">
      <c r="A1574" t="str">
        <f>"005338"</f>
        <v>005338</v>
      </c>
      <c r="B1574" t="s">
        <v>428</v>
      </c>
      <c r="C1574">
        <v>999999</v>
      </c>
      <c r="D1574" s="2">
        <v>4517.08</v>
      </c>
      <c r="E1574" s="1">
        <v>43144</v>
      </c>
      <c r="F1574" t="str">
        <f>"VIDMAR CABINET"</f>
        <v>VIDMAR CABINET</v>
      </c>
      <c r="G1574" t="str">
        <f>"Vidmar Cabinet"</f>
        <v>Vidmar Cabinet</v>
      </c>
      <c r="H1574" s="2">
        <v>4517.08</v>
      </c>
      <c r="I1574" t="str">
        <f>"Vidmar Cabinet"</f>
        <v>Vidmar Cabinet</v>
      </c>
    </row>
    <row r="1575" spans="1:9" x14ac:dyDescent="0.3">
      <c r="A1575" t="str">
        <f>""</f>
        <v/>
      </c>
      <c r="F1575" t="str">
        <f>""</f>
        <v/>
      </c>
      <c r="G1575" t="str">
        <f>""</f>
        <v/>
      </c>
      <c r="I1575" t="str">
        <f>"Vidmar OH Cabinet"</f>
        <v>Vidmar OH Cabinet</v>
      </c>
    </row>
    <row r="1576" spans="1:9" x14ac:dyDescent="0.3">
      <c r="A1576" t="str">
        <f>""</f>
        <v/>
      </c>
      <c r="F1576" t="str">
        <f>""</f>
        <v/>
      </c>
      <c r="G1576" t="str">
        <f>""</f>
        <v/>
      </c>
      <c r="I1576" t="str">
        <f>"S &amp; H"</f>
        <v>S &amp; H</v>
      </c>
    </row>
    <row r="1577" spans="1:9" x14ac:dyDescent="0.3">
      <c r="A1577" t="str">
        <f>"002977"</f>
        <v>002977</v>
      </c>
      <c r="B1577" t="s">
        <v>429</v>
      </c>
      <c r="C1577">
        <v>75246</v>
      </c>
      <c r="D1577" s="2">
        <v>275</v>
      </c>
      <c r="E1577" s="1">
        <v>43143</v>
      </c>
      <c r="F1577" t="str">
        <f>"200002405"</f>
        <v>200002405</v>
      </c>
      <c r="G1577" t="str">
        <f>"MARKETING SYMPOSIUM-C.GINSEL"</f>
        <v>MARKETING SYMPOSIUM-C.GINSEL</v>
      </c>
      <c r="H1577" s="2">
        <v>275</v>
      </c>
      <c r="I1577" t="str">
        <f>"MARKETING SYMPOSIUM-C.GINSEL"</f>
        <v>MARKETING SYMPOSIUM-C.GINSEL</v>
      </c>
    </row>
    <row r="1578" spans="1:9" x14ac:dyDescent="0.3">
      <c r="A1578" t="str">
        <f>"004087"</f>
        <v>004087</v>
      </c>
      <c r="B1578" t="s">
        <v>430</v>
      </c>
      <c r="C1578">
        <v>999999</v>
      </c>
      <c r="D1578" s="2">
        <v>42.24</v>
      </c>
      <c r="E1578" s="1">
        <v>43144</v>
      </c>
      <c r="F1578" t="str">
        <f>"18020107"</f>
        <v>18020107</v>
      </c>
      <c r="G1578" t="str">
        <f>"SERVICE CONTRACT/COUNTY CLERK"</f>
        <v>SERVICE CONTRACT/COUNTY CLERK</v>
      </c>
      <c r="H1578" s="2">
        <v>42.24</v>
      </c>
      <c r="I1578" t="str">
        <f>"SERVICE CONTRACT/COUNTY CLERK"</f>
        <v>SERVICE CONTRACT/COUNTY CLERK</v>
      </c>
    </row>
    <row r="1579" spans="1:9" x14ac:dyDescent="0.3">
      <c r="A1579" t="str">
        <f>"TIMW"</f>
        <v>TIMW</v>
      </c>
      <c r="B1579" t="s">
        <v>431</v>
      </c>
      <c r="C1579">
        <v>999999</v>
      </c>
      <c r="D1579" s="2">
        <v>89.2</v>
      </c>
      <c r="E1579" s="1">
        <v>43158</v>
      </c>
      <c r="F1579" t="str">
        <f>"011604"</f>
        <v>011604</v>
      </c>
      <c r="G1579" t="str">
        <f>"ANGLE IRON"</f>
        <v>ANGLE IRON</v>
      </c>
      <c r="H1579" s="2">
        <v>89.2</v>
      </c>
      <c r="I1579" t="str">
        <f>"ANGLE IRON"</f>
        <v>ANGLE IRON</v>
      </c>
    </row>
    <row r="1580" spans="1:9" x14ac:dyDescent="0.3">
      <c r="A1580" t="str">
        <f>"T11929"</f>
        <v>T11929</v>
      </c>
      <c r="B1580" t="s">
        <v>432</v>
      </c>
      <c r="C1580">
        <v>75247</v>
      </c>
      <c r="D1580" s="2">
        <v>940</v>
      </c>
      <c r="E1580" s="1">
        <v>43143</v>
      </c>
      <c r="F1580" t="str">
        <f>"75325"</f>
        <v>75325</v>
      </c>
      <c r="G1580" t="str">
        <f>"ACCT#0103-0903F/ANN. INSPECTIO"</f>
        <v>ACCT#0103-0903F/ANN. INSPECTIO</v>
      </c>
      <c r="H1580" s="2">
        <v>940</v>
      </c>
      <c r="I1580" t="str">
        <f>"ACCT#0103-0903F/ANN. INSPECTIO"</f>
        <v>ACCT#0103-0903F/ANN. INSPECTIO</v>
      </c>
    </row>
    <row r="1581" spans="1:9" x14ac:dyDescent="0.3">
      <c r="A1581" t="str">
        <f>"T14477"</f>
        <v>T14477</v>
      </c>
      <c r="B1581" t="s">
        <v>433</v>
      </c>
      <c r="C1581">
        <v>75465</v>
      </c>
      <c r="D1581" s="2">
        <v>25</v>
      </c>
      <c r="E1581" s="1">
        <v>43157</v>
      </c>
      <c r="F1581" t="str">
        <f>" 21508"</f>
        <v xml:space="preserve"> 21508</v>
      </c>
      <c r="G1581" t="str">
        <f>"911 TRAINING-ID#8997-J. ELVING"</f>
        <v>911 TRAINING-ID#8997-J. ELVING</v>
      </c>
      <c r="H1581" s="2">
        <v>25</v>
      </c>
      <c r="I1581" t="str">
        <f>"911 TRAINING-ID#8997-J. ELVING"</f>
        <v>911 TRAINING-ID#8997-J. ELVING</v>
      </c>
    </row>
    <row r="1582" spans="1:9" x14ac:dyDescent="0.3">
      <c r="A1582" t="str">
        <f>"T14477"</f>
        <v>T14477</v>
      </c>
      <c r="B1582" t="s">
        <v>433</v>
      </c>
      <c r="C1582">
        <v>75466</v>
      </c>
      <c r="D1582" s="2">
        <v>25</v>
      </c>
      <c r="E1582" s="1">
        <v>43157</v>
      </c>
      <c r="F1582" t="str">
        <f>"21508"</f>
        <v>21508</v>
      </c>
      <c r="G1582" t="str">
        <f>"911 TRAINING-REG#8996H. TUCKER"</f>
        <v>911 TRAINING-REG#8996H. TUCKER</v>
      </c>
      <c r="H1582" s="2">
        <v>25</v>
      </c>
    </row>
    <row r="1583" spans="1:9" x14ac:dyDescent="0.3">
      <c r="A1583" t="str">
        <f>"T14477"</f>
        <v>T14477</v>
      </c>
      <c r="B1583" t="s">
        <v>433</v>
      </c>
      <c r="C1583">
        <v>75466</v>
      </c>
      <c r="D1583" s="2">
        <v>25</v>
      </c>
      <c r="E1583" s="1">
        <v>43157</v>
      </c>
      <c r="F1583" t="str">
        <f>"CHECK"</f>
        <v>CHECK</v>
      </c>
      <c r="G1583" t="str">
        <f>""</f>
        <v/>
      </c>
      <c r="H1583" s="2">
        <v>25</v>
      </c>
    </row>
    <row r="1584" spans="1:9" x14ac:dyDescent="0.3">
      <c r="A1584" t="str">
        <f>"T7300"</f>
        <v>T7300</v>
      </c>
      <c r="B1584" t="s">
        <v>434</v>
      </c>
      <c r="C1584">
        <v>75467</v>
      </c>
      <c r="D1584" s="2">
        <v>920</v>
      </c>
      <c r="E1584" s="1">
        <v>43157</v>
      </c>
      <c r="F1584" t="str">
        <f>"131713"</f>
        <v>131713</v>
      </c>
      <c r="G1584" t="str">
        <f>"DISTRICT ATTORNEYS OFFICE"</f>
        <v>DISTRICT ATTORNEYS OFFICE</v>
      </c>
      <c r="H1584" s="2">
        <v>920</v>
      </c>
      <c r="I1584" t="str">
        <f>"DISTRICT ATTORNEYS OFFICE"</f>
        <v>DISTRICT ATTORNEYS OFFICE</v>
      </c>
    </row>
    <row r="1585" spans="1:9" x14ac:dyDescent="0.3">
      <c r="A1585" t="str">
        <f>"005430"</f>
        <v>005430</v>
      </c>
      <c r="B1585" t="s">
        <v>435</v>
      </c>
      <c r="C1585">
        <v>75468</v>
      </c>
      <c r="D1585" s="2">
        <v>1009.22</v>
      </c>
      <c r="E1585" s="1">
        <v>43157</v>
      </c>
      <c r="F1585" t="str">
        <f>"201802148751"</f>
        <v>201802148751</v>
      </c>
      <c r="G1585" t="str">
        <f>"CASE#18-S-00073-REFUND"</f>
        <v>CASE#18-S-00073-REFUND</v>
      </c>
      <c r="H1585" s="2">
        <v>1009.22</v>
      </c>
      <c r="I1585" t="str">
        <f>"CASE#18-S-00073-REFUND"</f>
        <v>CASE#18-S-00073-REFUND</v>
      </c>
    </row>
    <row r="1586" spans="1:9" x14ac:dyDescent="0.3">
      <c r="A1586" t="str">
        <f>"T8745"</f>
        <v>T8745</v>
      </c>
      <c r="B1586" t="s">
        <v>436</v>
      </c>
      <c r="C1586">
        <v>999999</v>
      </c>
      <c r="D1586" s="2">
        <v>201</v>
      </c>
      <c r="E1586" s="1">
        <v>43144</v>
      </c>
      <c r="F1586" t="str">
        <f>"1802065"</f>
        <v>1802065</v>
      </c>
      <c r="G1586" t="str">
        <f>"MONTHLY CONTRACT BILLING"</f>
        <v>MONTHLY CONTRACT BILLING</v>
      </c>
      <c r="H1586" s="2">
        <v>201</v>
      </c>
      <c r="I1586" t="str">
        <f>"MONTHLY CONTRACT BILLING"</f>
        <v>MONTHLY CONTRACT BILLING</v>
      </c>
    </row>
    <row r="1587" spans="1:9" x14ac:dyDescent="0.3">
      <c r="A1587" t="str">
        <f>"T8745"</f>
        <v>T8745</v>
      </c>
      <c r="B1587" t="s">
        <v>436</v>
      </c>
      <c r="C1587">
        <v>999999</v>
      </c>
      <c r="D1587" s="2">
        <v>201</v>
      </c>
      <c r="E1587" s="1">
        <v>43158</v>
      </c>
      <c r="F1587" t="str">
        <f>"1803064"</f>
        <v>1803064</v>
      </c>
      <c r="G1587" t="str">
        <f>"MONTHLY CONTRACT BILLING"</f>
        <v>MONTHLY CONTRACT BILLING</v>
      </c>
      <c r="H1587" s="2">
        <v>201</v>
      </c>
      <c r="I1587" t="str">
        <f>"MONTHLY CONTRACT BILLING"</f>
        <v>MONTHLY CONTRACT BILLING</v>
      </c>
    </row>
    <row r="1588" spans="1:9" x14ac:dyDescent="0.3">
      <c r="A1588" t="str">
        <f>"002996"</f>
        <v>002996</v>
      </c>
      <c r="B1588" t="s">
        <v>437</v>
      </c>
      <c r="C1588">
        <v>999999</v>
      </c>
      <c r="D1588" s="2">
        <v>46520</v>
      </c>
      <c r="E1588" s="1">
        <v>43144</v>
      </c>
      <c r="F1588" t="str">
        <f>"1176"</f>
        <v>1176</v>
      </c>
      <c r="G1588" t="str">
        <f>"Inv# 1176"</f>
        <v>Inv# 1176</v>
      </c>
      <c r="H1588" s="2">
        <v>11220</v>
      </c>
      <c r="I1588" t="str">
        <f>"Inv# 1176"</f>
        <v>Inv# 1176</v>
      </c>
    </row>
    <row r="1589" spans="1:9" x14ac:dyDescent="0.3">
      <c r="A1589" t="str">
        <f>""</f>
        <v/>
      </c>
      <c r="F1589" t="str">
        <f>"1177"</f>
        <v>1177</v>
      </c>
      <c r="G1589" t="str">
        <f>"CONCRETE GROUTING RIP ROCK/P1"</f>
        <v>CONCRETE GROUTING RIP ROCK/P1</v>
      </c>
      <c r="H1589" s="2">
        <v>4500</v>
      </c>
      <c r="I1589" t="str">
        <f>"CONCRETE GROUTING RIP ROCK/P1"</f>
        <v>CONCRETE GROUTING RIP ROCK/P1</v>
      </c>
    </row>
    <row r="1590" spans="1:9" x14ac:dyDescent="0.3">
      <c r="A1590" t="str">
        <f>""</f>
        <v/>
      </c>
      <c r="F1590" t="str">
        <f>"1178"</f>
        <v>1178</v>
      </c>
      <c r="G1590" t="str">
        <f>"CONCRETE GROUTING RIP ROCK/P1"</f>
        <v>CONCRETE GROUTING RIP ROCK/P1</v>
      </c>
      <c r="H1590" s="2">
        <v>3800</v>
      </c>
      <c r="I1590" t="str">
        <f>"CONCRETE GROUTING RIP ROCK/P1"</f>
        <v>CONCRETE GROUTING RIP ROCK/P1</v>
      </c>
    </row>
    <row r="1591" spans="1:9" x14ac:dyDescent="0.3">
      <c r="A1591" t="str">
        <f>""</f>
        <v/>
      </c>
      <c r="F1591" t="str">
        <f>"1179"</f>
        <v>1179</v>
      </c>
      <c r="G1591" t="str">
        <f>"CONCRETE GROUTING RIP ROCK/P1"</f>
        <v>CONCRETE GROUTING RIP ROCK/P1</v>
      </c>
      <c r="H1591" s="2">
        <v>3500</v>
      </c>
      <c r="I1591" t="str">
        <f>"CONCRETE GROUTING RIP ROCK/P1"</f>
        <v>CONCRETE GROUTING RIP ROCK/P1</v>
      </c>
    </row>
    <row r="1592" spans="1:9" x14ac:dyDescent="0.3">
      <c r="A1592" t="str">
        <f>""</f>
        <v/>
      </c>
      <c r="F1592" t="str">
        <f>"1180"</f>
        <v>1180</v>
      </c>
      <c r="G1592" t="str">
        <f>"CONCRETE GROUTING RIP ROCK/P1"</f>
        <v>CONCRETE GROUTING RIP ROCK/P1</v>
      </c>
      <c r="H1592" s="2">
        <v>2000</v>
      </c>
      <c r="I1592" t="str">
        <f>"CONCRETE GROUTING RIP ROCK/P1"</f>
        <v>CONCRETE GROUTING RIP ROCK/P1</v>
      </c>
    </row>
    <row r="1593" spans="1:9" x14ac:dyDescent="0.3">
      <c r="A1593" t="str">
        <f>""</f>
        <v/>
      </c>
      <c r="F1593" t="str">
        <f>"1181"</f>
        <v>1181</v>
      </c>
      <c r="G1593" t="str">
        <f>"CONCRETE GROUTING RIVER RCK/P1"</f>
        <v>CONCRETE GROUTING RIVER RCK/P1</v>
      </c>
      <c r="H1593" s="2">
        <v>2000</v>
      </c>
      <c r="I1593" t="str">
        <f>"CONCRETE GROUTING RIVER RCK/P1"</f>
        <v>CONCRETE GROUTING RIVER RCK/P1</v>
      </c>
    </row>
    <row r="1594" spans="1:9" x14ac:dyDescent="0.3">
      <c r="A1594" t="str">
        <f>""</f>
        <v/>
      </c>
      <c r="F1594" t="str">
        <f>"1182"</f>
        <v>1182</v>
      </c>
      <c r="G1594" t="str">
        <f t="shared" ref="G1594:G1603" si="11">"CONCRETE GROUTING RIP ROCK/P1"</f>
        <v>CONCRETE GROUTING RIP ROCK/P1</v>
      </c>
      <c r="H1594" s="2">
        <v>1000</v>
      </c>
      <c r="I1594" t="str">
        <f t="shared" ref="I1594:I1603" si="12">"CONCRETE GROUTING RIP ROCK/P1"</f>
        <v>CONCRETE GROUTING RIP ROCK/P1</v>
      </c>
    </row>
    <row r="1595" spans="1:9" x14ac:dyDescent="0.3">
      <c r="A1595" t="str">
        <f>""</f>
        <v/>
      </c>
      <c r="F1595" t="str">
        <f>"1183"</f>
        <v>1183</v>
      </c>
      <c r="G1595" t="str">
        <f t="shared" si="11"/>
        <v>CONCRETE GROUTING RIP ROCK/P1</v>
      </c>
      <c r="H1595" s="2">
        <v>1000</v>
      </c>
      <c r="I1595" t="str">
        <f t="shared" si="12"/>
        <v>CONCRETE GROUTING RIP ROCK/P1</v>
      </c>
    </row>
    <row r="1596" spans="1:9" x14ac:dyDescent="0.3">
      <c r="A1596" t="str">
        <f>""</f>
        <v/>
      </c>
      <c r="F1596" t="str">
        <f>"1184"</f>
        <v>1184</v>
      </c>
      <c r="G1596" t="str">
        <f t="shared" si="11"/>
        <v>CONCRETE GROUTING RIP ROCK/P1</v>
      </c>
      <c r="H1596" s="2">
        <v>1000</v>
      </c>
      <c r="I1596" t="str">
        <f t="shared" si="12"/>
        <v>CONCRETE GROUTING RIP ROCK/P1</v>
      </c>
    </row>
    <row r="1597" spans="1:9" x14ac:dyDescent="0.3">
      <c r="A1597" t="str">
        <f>""</f>
        <v/>
      </c>
      <c r="F1597" t="str">
        <f>"1185"</f>
        <v>1185</v>
      </c>
      <c r="G1597" t="str">
        <f t="shared" si="11"/>
        <v>CONCRETE GROUTING RIP ROCK/P1</v>
      </c>
      <c r="H1597" s="2">
        <v>1000</v>
      </c>
      <c r="I1597" t="str">
        <f t="shared" si="12"/>
        <v>CONCRETE GROUTING RIP ROCK/P1</v>
      </c>
    </row>
    <row r="1598" spans="1:9" x14ac:dyDescent="0.3">
      <c r="A1598" t="str">
        <f>""</f>
        <v/>
      </c>
      <c r="F1598" t="str">
        <f>"1186"</f>
        <v>1186</v>
      </c>
      <c r="G1598" t="str">
        <f t="shared" si="11"/>
        <v>CONCRETE GROUTING RIP ROCK/P1</v>
      </c>
      <c r="H1598" s="2">
        <v>1000</v>
      </c>
      <c r="I1598" t="str">
        <f t="shared" si="12"/>
        <v>CONCRETE GROUTING RIP ROCK/P1</v>
      </c>
    </row>
    <row r="1599" spans="1:9" x14ac:dyDescent="0.3">
      <c r="A1599" t="str">
        <f>""</f>
        <v/>
      </c>
      <c r="F1599" t="str">
        <f>"1187"</f>
        <v>1187</v>
      </c>
      <c r="G1599" t="str">
        <f t="shared" si="11"/>
        <v>CONCRETE GROUTING RIP ROCK/P1</v>
      </c>
      <c r="H1599" s="2">
        <v>1000</v>
      </c>
      <c r="I1599" t="str">
        <f t="shared" si="12"/>
        <v>CONCRETE GROUTING RIP ROCK/P1</v>
      </c>
    </row>
    <row r="1600" spans="1:9" x14ac:dyDescent="0.3">
      <c r="A1600" t="str">
        <f>""</f>
        <v/>
      </c>
      <c r="F1600" t="str">
        <f>"1188"</f>
        <v>1188</v>
      </c>
      <c r="G1600" t="str">
        <f t="shared" si="11"/>
        <v>CONCRETE GROUTING RIP ROCK/P1</v>
      </c>
      <c r="H1600" s="2">
        <v>1000</v>
      </c>
      <c r="I1600" t="str">
        <f t="shared" si="12"/>
        <v>CONCRETE GROUTING RIP ROCK/P1</v>
      </c>
    </row>
    <row r="1601" spans="1:9" x14ac:dyDescent="0.3">
      <c r="A1601" t="str">
        <f>""</f>
        <v/>
      </c>
      <c r="F1601" t="str">
        <f>"1189"</f>
        <v>1189</v>
      </c>
      <c r="G1601" t="str">
        <f t="shared" si="11"/>
        <v>CONCRETE GROUTING RIP ROCK/P1</v>
      </c>
      <c r="H1601" s="2">
        <v>500</v>
      </c>
      <c r="I1601" t="str">
        <f t="shared" si="12"/>
        <v>CONCRETE GROUTING RIP ROCK/P1</v>
      </c>
    </row>
    <row r="1602" spans="1:9" x14ac:dyDescent="0.3">
      <c r="A1602" t="str">
        <f>""</f>
        <v/>
      </c>
      <c r="F1602" t="str">
        <f>"1190"</f>
        <v>1190</v>
      </c>
      <c r="G1602" t="str">
        <f t="shared" si="11"/>
        <v>CONCRETE GROUTING RIP ROCK/P1</v>
      </c>
      <c r="H1602" s="2">
        <v>500</v>
      </c>
      <c r="I1602" t="str">
        <f t="shared" si="12"/>
        <v>CONCRETE GROUTING RIP ROCK/P1</v>
      </c>
    </row>
    <row r="1603" spans="1:9" x14ac:dyDescent="0.3">
      <c r="A1603" t="str">
        <f>""</f>
        <v/>
      </c>
      <c r="F1603" t="str">
        <f>"1191"</f>
        <v>1191</v>
      </c>
      <c r="G1603" t="str">
        <f t="shared" si="11"/>
        <v>CONCRETE GROUTING RIP ROCK/P1</v>
      </c>
      <c r="H1603" s="2">
        <v>3000</v>
      </c>
      <c r="I1603" t="str">
        <f t="shared" si="12"/>
        <v>CONCRETE GROUTING RIP ROCK/P1</v>
      </c>
    </row>
    <row r="1604" spans="1:9" x14ac:dyDescent="0.3">
      <c r="A1604" t="str">
        <f>""</f>
        <v/>
      </c>
      <c r="F1604" t="str">
        <f>"1192"</f>
        <v>1192</v>
      </c>
      <c r="G1604" t="str">
        <f>"CONCRETE GROUTING/PCT#1"</f>
        <v>CONCRETE GROUTING/PCT#1</v>
      </c>
      <c r="H1604" s="2">
        <v>4000</v>
      </c>
      <c r="I1604" t="str">
        <f>"CONCRETE GROUTING/PCT#1"</f>
        <v>CONCRETE GROUTING/PCT#1</v>
      </c>
    </row>
    <row r="1605" spans="1:9" x14ac:dyDescent="0.3">
      <c r="A1605" t="str">
        <f>""</f>
        <v/>
      </c>
      <c r="F1605" t="str">
        <f>"1193"</f>
        <v>1193</v>
      </c>
      <c r="G1605" t="str">
        <f>"CONCRETE GROUTING RIP ROCK/P1"</f>
        <v>CONCRETE GROUTING RIP ROCK/P1</v>
      </c>
      <c r="H1605" s="2">
        <v>4500</v>
      </c>
      <c r="I1605" t="str">
        <f>"CONCRETE GROUTING RIP ROCK/P1"</f>
        <v>CONCRETE GROUTING RIP ROCK/P1</v>
      </c>
    </row>
    <row r="1606" spans="1:9" x14ac:dyDescent="0.3">
      <c r="A1606" t="str">
        <f>"005392"</f>
        <v>005392</v>
      </c>
      <c r="B1606" t="s">
        <v>438</v>
      </c>
      <c r="C1606">
        <v>75248</v>
      </c>
      <c r="D1606" s="2">
        <v>110.55</v>
      </c>
      <c r="E1606" s="1">
        <v>43143</v>
      </c>
      <c r="F1606" t="str">
        <f>"835146"</f>
        <v>835146</v>
      </c>
      <c r="G1606" t="s">
        <v>439</v>
      </c>
      <c r="H1606" s="2">
        <v>110.55</v>
      </c>
      <c r="I1606" t="s">
        <v>439</v>
      </c>
    </row>
    <row r="1607" spans="1:9" x14ac:dyDescent="0.3">
      <c r="A1607" t="str">
        <f>"005392"</f>
        <v>005392</v>
      </c>
      <c r="B1607" t="s">
        <v>438</v>
      </c>
      <c r="C1607">
        <v>75469</v>
      </c>
      <c r="D1607" s="2">
        <v>150.29</v>
      </c>
      <c r="E1607" s="1">
        <v>43157</v>
      </c>
      <c r="F1607" t="str">
        <f>"875588"</f>
        <v>875588</v>
      </c>
      <c r="G1607" t="str">
        <f>"TESSCO INCORPORATED"</f>
        <v>TESSCO INCORPORATED</v>
      </c>
      <c r="H1607" s="2">
        <v>150.29</v>
      </c>
      <c r="I1607" t="str">
        <f>"MiniUHF"</f>
        <v>MiniUHF</v>
      </c>
    </row>
    <row r="1608" spans="1:9" x14ac:dyDescent="0.3">
      <c r="A1608" t="str">
        <f>""</f>
        <v/>
      </c>
      <c r="F1608" t="str">
        <f>""</f>
        <v/>
      </c>
      <c r="G1608" t="str">
        <f>""</f>
        <v/>
      </c>
      <c r="I1608" t="str">
        <f>"BMLPV700"</f>
        <v>BMLPV700</v>
      </c>
    </row>
    <row r="1609" spans="1:9" x14ac:dyDescent="0.3">
      <c r="A1609" t="str">
        <f>""</f>
        <v/>
      </c>
      <c r="F1609" t="str">
        <f>""</f>
        <v/>
      </c>
      <c r="G1609" t="str">
        <f>""</f>
        <v/>
      </c>
      <c r="I1609" t="str">
        <f>"Shipping"</f>
        <v>Shipping</v>
      </c>
    </row>
    <row r="1610" spans="1:9" x14ac:dyDescent="0.3">
      <c r="A1610" t="str">
        <f>"002527"</f>
        <v>002527</v>
      </c>
      <c r="B1610" t="s">
        <v>440</v>
      </c>
      <c r="C1610">
        <v>75249</v>
      </c>
      <c r="D1610" s="2">
        <v>502.67</v>
      </c>
      <c r="E1610" s="1">
        <v>43143</v>
      </c>
      <c r="F1610" t="str">
        <f>"302816"</f>
        <v>302816</v>
      </c>
      <c r="G1610" t="str">
        <f>"INV 302816"</f>
        <v>INV 302816</v>
      </c>
      <c r="H1610" s="2">
        <v>502.67</v>
      </c>
      <c r="I1610" t="str">
        <f>"INV 302816"</f>
        <v>INV 302816</v>
      </c>
    </row>
    <row r="1611" spans="1:9" x14ac:dyDescent="0.3">
      <c r="A1611" t="str">
        <f>"T13574"</f>
        <v>T13574</v>
      </c>
      <c r="B1611" t="s">
        <v>441</v>
      </c>
      <c r="C1611">
        <v>999999</v>
      </c>
      <c r="D1611" s="2">
        <v>122.65</v>
      </c>
      <c r="E1611" s="1">
        <v>43144</v>
      </c>
      <c r="F1611" t="str">
        <f>"201802028461"</f>
        <v>201802028461</v>
      </c>
      <c r="G1611" t="str">
        <f>"ACCT#63275/CUST#63275"</f>
        <v>ACCT#63275/CUST#63275</v>
      </c>
      <c r="H1611" s="2">
        <v>122.65</v>
      </c>
      <c r="I1611" t="str">
        <f>"ACCT#63275/CUST#63275"</f>
        <v>ACCT#63275/CUST#63275</v>
      </c>
    </row>
    <row r="1612" spans="1:9" x14ac:dyDescent="0.3">
      <c r="A1612" t="str">
        <f>"004707"</f>
        <v>004707</v>
      </c>
      <c r="B1612" t="s">
        <v>442</v>
      </c>
      <c r="C1612">
        <v>75250</v>
      </c>
      <c r="D1612" s="2">
        <v>60.49</v>
      </c>
      <c r="E1612" s="1">
        <v>43143</v>
      </c>
      <c r="F1612" t="str">
        <f>"40012076"</f>
        <v>40012076</v>
      </c>
      <c r="G1612" t="str">
        <f>"ACCT#25868/PCT#4"</f>
        <v>ACCT#25868/PCT#4</v>
      </c>
      <c r="H1612" s="2">
        <v>60.49</v>
      </c>
      <c r="I1612" t="str">
        <f>"ACCT#25868/PCT#4"</f>
        <v>ACCT#25868/PCT#4</v>
      </c>
    </row>
    <row r="1613" spans="1:9" x14ac:dyDescent="0.3">
      <c r="A1613" t="str">
        <f>"T6855"</f>
        <v>T6855</v>
      </c>
      <c r="B1613" t="s">
        <v>443</v>
      </c>
      <c r="C1613">
        <v>75251</v>
      </c>
      <c r="D1613" s="2">
        <v>15658.2</v>
      </c>
      <c r="E1613" s="1">
        <v>43143</v>
      </c>
      <c r="F1613" t="str">
        <f>"0713355-IN"</f>
        <v>0713355-IN</v>
      </c>
      <c r="G1613" t="str">
        <f>"ACCT#01-0112917/PCT#3"</f>
        <v>ACCT#01-0112917/PCT#3</v>
      </c>
      <c r="H1613" s="2">
        <v>4141.62</v>
      </c>
      <c r="I1613" t="str">
        <f>"ACCT#01-0112917/PCT#3"</f>
        <v>ACCT#01-0112917/PCT#3</v>
      </c>
    </row>
    <row r="1614" spans="1:9" x14ac:dyDescent="0.3">
      <c r="A1614" t="str">
        <f>""</f>
        <v/>
      </c>
      <c r="F1614" t="str">
        <f>"0714757-IN"</f>
        <v>0714757-IN</v>
      </c>
      <c r="G1614" t="str">
        <f>"ACCT#01-0112917/ITEM#204200/P2"</f>
        <v>ACCT#01-0112917/ITEM#204200/P2</v>
      </c>
      <c r="H1614" s="2">
        <v>3098.09</v>
      </c>
      <c r="I1614" t="str">
        <f>"ACCT#01-0112917/ITEM#204200/P2"</f>
        <v>ACCT#01-0112917/ITEM#204200/P2</v>
      </c>
    </row>
    <row r="1615" spans="1:9" x14ac:dyDescent="0.3">
      <c r="A1615" t="str">
        <f>""</f>
        <v/>
      </c>
      <c r="F1615" t="str">
        <f>"0715268-IN"</f>
        <v>0715268-IN</v>
      </c>
      <c r="G1615" t="str">
        <f>"ACCT#01-0112917/ITEM#702350/P2"</f>
        <v>ACCT#01-0112917/ITEM#702350/P2</v>
      </c>
      <c r="H1615" s="2">
        <v>360</v>
      </c>
      <c r="I1615" t="str">
        <f>"ACCT#01-0112917/ITEM#702350/P2"</f>
        <v>ACCT#01-0112917/ITEM#702350/P2</v>
      </c>
    </row>
    <row r="1616" spans="1:9" x14ac:dyDescent="0.3">
      <c r="A1616" t="str">
        <f>""</f>
        <v/>
      </c>
      <c r="F1616" t="str">
        <f>"0715903-IN"</f>
        <v>0715903-IN</v>
      </c>
      <c r="G1616" t="str">
        <f>"ACCT#01-0112917/FUEL/PCT#3"</f>
        <v>ACCT#01-0112917/FUEL/PCT#3</v>
      </c>
      <c r="H1616" s="2">
        <v>3745.68</v>
      </c>
      <c r="I1616" t="str">
        <f>"ACCT#01-0112917/FUEL/PCT#3"</f>
        <v>ACCT#01-0112917/FUEL/PCT#3</v>
      </c>
    </row>
    <row r="1617" spans="1:9" x14ac:dyDescent="0.3">
      <c r="A1617" t="str">
        <f>""</f>
        <v/>
      </c>
      <c r="F1617" t="str">
        <f>"0717470-IN"</f>
        <v>0717470-IN</v>
      </c>
      <c r="G1617" t="str">
        <f>"ACCT#01-0112917/PCT#2"</f>
        <v>ACCT#01-0112917/PCT#2</v>
      </c>
      <c r="H1617" s="2">
        <v>4312.8100000000004</v>
      </c>
      <c r="I1617" t="str">
        <f>"ACCT#01-0112917/PCT#2"</f>
        <v>ACCT#01-0112917/PCT#2</v>
      </c>
    </row>
    <row r="1618" spans="1:9" x14ac:dyDescent="0.3">
      <c r="A1618" t="str">
        <f>"T6855"</f>
        <v>T6855</v>
      </c>
      <c r="B1618" t="s">
        <v>443</v>
      </c>
      <c r="C1618">
        <v>75470</v>
      </c>
      <c r="D1618" s="2">
        <v>14035.72</v>
      </c>
      <c r="E1618" s="1">
        <v>43157</v>
      </c>
      <c r="F1618" t="str">
        <f>"0718365-IN"</f>
        <v>0718365-IN</v>
      </c>
      <c r="G1618" t="str">
        <f>"ACCT#01-0112917/FUEL/PCT#3"</f>
        <v>ACCT#01-0112917/FUEL/PCT#3</v>
      </c>
      <c r="H1618" s="2">
        <v>3738.18</v>
      </c>
      <c r="I1618" t="str">
        <f>"ACCT#01-0112917/FUEL/PCT#3"</f>
        <v>ACCT#01-0112917/FUEL/PCT#3</v>
      </c>
    </row>
    <row r="1619" spans="1:9" x14ac:dyDescent="0.3">
      <c r="A1619" t="str">
        <f>""</f>
        <v/>
      </c>
      <c r="F1619" t="str">
        <f>"0719795-IN"</f>
        <v>0719795-IN</v>
      </c>
      <c r="G1619" t="str">
        <f>"ACCT#01-0112917/FUEL/PCT#2"</f>
        <v>ACCT#01-0112917/FUEL/PCT#2</v>
      </c>
      <c r="H1619" s="2">
        <v>3415.68</v>
      </c>
      <c r="I1619" t="str">
        <f>"ACCT#01-0112917/FUEL/PCT#2"</f>
        <v>ACCT#01-0112917/FUEL/PCT#2</v>
      </c>
    </row>
    <row r="1620" spans="1:9" x14ac:dyDescent="0.3">
      <c r="A1620" t="str">
        <f>""</f>
        <v/>
      </c>
      <c r="F1620" t="str">
        <f>"0721342-IN"</f>
        <v>0721342-IN</v>
      </c>
      <c r="G1620" t="str">
        <f>"ACCT#01-0112917/FUEL OIL/PCT#3"</f>
        <v>ACCT#01-0112917/FUEL OIL/PCT#3</v>
      </c>
      <c r="H1620" s="2">
        <v>4285.8599999999997</v>
      </c>
      <c r="I1620" t="str">
        <f>"ACCT#01-0112917/FUEL OIL/PCT#3"</f>
        <v>ACCT#01-0112917/FUEL OIL/PCT#3</v>
      </c>
    </row>
    <row r="1621" spans="1:9" x14ac:dyDescent="0.3">
      <c r="A1621" t="str">
        <f>""</f>
        <v/>
      </c>
      <c r="F1621" t="str">
        <f>"0721692-IN"</f>
        <v>0721692-IN</v>
      </c>
      <c r="G1621" t="str">
        <f>"ACCT#01-0112917/PCT#3"</f>
        <v>ACCT#01-0112917/PCT#3</v>
      </c>
      <c r="H1621" s="2">
        <v>2596</v>
      </c>
      <c r="I1621" t="str">
        <f>"ACCT#01-0112917/PCT#3"</f>
        <v>ACCT#01-0112917/PCT#3</v>
      </c>
    </row>
    <row r="1622" spans="1:9" x14ac:dyDescent="0.3">
      <c r="A1622" t="str">
        <f>"T14371"</f>
        <v>T14371</v>
      </c>
      <c r="B1622" t="s">
        <v>444</v>
      </c>
      <c r="C1622">
        <v>75252</v>
      </c>
      <c r="D1622" s="2">
        <v>193.84</v>
      </c>
      <c r="E1622" s="1">
        <v>43143</v>
      </c>
      <c r="F1622" t="str">
        <f>"201802078675"</f>
        <v>201802078675</v>
      </c>
      <c r="G1622" t="str">
        <f>"INDIGENT HEALTH"</f>
        <v>INDIGENT HEALTH</v>
      </c>
      <c r="H1622" s="2">
        <v>193.84</v>
      </c>
      <c r="I1622" t="str">
        <f>"INDIGENT HEALTH"</f>
        <v>INDIGENT HEALTH</v>
      </c>
    </row>
    <row r="1623" spans="1:9" x14ac:dyDescent="0.3">
      <c r="A1623" t="str">
        <f>"TXAGG"</f>
        <v>TXAGG</v>
      </c>
      <c r="B1623" t="s">
        <v>445</v>
      </c>
      <c r="C1623">
        <v>999999</v>
      </c>
      <c r="D1623" s="2">
        <v>187</v>
      </c>
      <c r="E1623" s="1">
        <v>43144</v>
      </c>
      <c r="F1623" t="str">
        <f>"92777"</f>
        <v>92777</v>
      </c>
      <c r="G1623" t="str">
        <f>"TCKT#1067257/CONCRETE SAND/P3"</f>
        <v>TCKT#1067257/CONCRETE SAND/P3</v>
      </c>
      <c r="H1623" s="2">
        <v>187</v>
      </c>
      <c r="I1623" t="str">
        <f>"TCKT#1067257/CONCRETE SAND/P3"</f>
        <v>TCKT#1067257/CONCRETE SAND/P3</v>
      </c>
    </row>
    <row r="1624" spans="1:9" x14ac:dyDescent="0.3">
      <c r="A1624" t="str">
        <f>"TXAGG"</f>
        <v>TXAGG</v>
      </c>
      <c r="B1624" t="s">
        <v>445</v>
      </c>
      <c r="C1624">
        <v>999999</v>
      </c>
      <c r="D1624" s="2">
        <v>18022.55</v>
      </c>
      <c r="E1624" s="1">
        <v>43158</v>
      </c>
      <c r="F1624" t="str">
        <f>"93043"</f>
        <v>93043</v>
      </c>
      <c r="G1624" t="str">
        <f>"RIP RAP/PCT#1"</f>
        <v>RIP RAP/PCT#1</v>
      </c>
      <c r="H1624" s="2">
        <v>2625.7</v>
      </c>
      <c r="I1624" t="str">
        <f>"RIP RAP/PCT#1"</f>
        <v>RIP RAP/PCT#1</v>
      </c>
    </row>
    <row r="1625" spans="1:9" x14ac:dyDescent="0.3">
      <c r="A1625" t="str">
        <f>""</f>
        <v/>
      </c>
      <c r="F1625" t="str">
        <f>"93064"</f>
        <v>93064</v>
      </c>
      <c r="G1625" t="str">
        <f>"TCKT#1069093/94/RIP RAP/PCT#1"</f>
        <v>TCKT#1069093/94/RIP RAP/PCT#1</v>
      </c>
      <c r="H1625" s="2">
        <v>848.4</v>
      </c>
      <c r="I1625" t="str">
        <f>"TCKT#1069093/94/RIP RAP/PCT#1"</f>
        <v>TCKT#1069093/94/RIP RAP/PCT#1</v>
      </c>
    </row>
    <row r="1626" spans="1:9" x14ac:dyDescent="0.3">
      <c r="A1626" t="str">
        <f>""</f>
        <v/>
      </c>
      <c r="F1626" t="str">
        <f>"93084"</f>
        <v>93084</v>
      </c>
      <c r="G1626" t="str">
        <f>"RIP RAP/PCT#1"</f>
        <v>RIP RAP/PCT#1</v>
      </c>
      <c r="H1626" s="2">
        <v>14548.45</v>
      </c>
      <c r="I1626" t="str">
        <f>"RIP RAP/PCT#1"</f>
        <v>RIP RAP/PCT#1</v>
      </c>
    </row>
    <row r="1627" spans="1:9" x14ac:dyDescent="0.3">
      <c r="A1627" t="str">
        <f>"T4094"</f>
        <v>T4094</v>
      </c>
      <c r="B1627" t="s">
        <v>446</v>
      </c>
      <c r="C1627">
        <v>999999</v>
      </c>
      <c r="D1627" s="2">
        <v>98.65</v>
      </c>
      <c r="E1627" s="1">
        <v>43144</v>
      </c>
      <c r="F1627" t="str">
        <f>"1035829"</f>
        <v>1035829</v>
      </c>
      <c r="G1627" t="str">
        <f>"CUST#431/DOC#1035829"</f>
        <v>CUST#431/DOC#1035829</v>
      </c>
      <c r="H1627" s="2">
        <v>98.65</v>
      </c>
      <c r="I1627" t="str">
        <f>"CUST#431/DOC#1035829"</f>
        <v>CUST#431/DOC#1035829</v>
      </c>
    </row>
    <row r="1628" spans="1:9" x14ac:dyDescent="0.3">
      <c r="A1628" t="str">
        <f>"001468"</f>
        <v>001468</v>
      </c>
      <c r="B1628" t="s">
        <v>447</v>
      </c>
      <c r="C1628">
        <v>75253</v>
      </c>
      <c r="D1628" s="2">
        <v>400</v>
      </c>
      <c r="E1628" s="1">
        <v>43143</v>
      </c>
      <c r="F1628" t="str">
        <f>"463"</f>
        <v>463</v>
      </c>
      <c r="G1628" t="str">
        <f>"ACCT#BASTCOU-08/BOND-B.SNEED"</f>
        <v>ACCT#BASTCOU-08/BOND-B.SNEED</v>
      </c>
      <c r="H1628" s="2">
        <v>50</v>
      </c>
      <c r="I1628" t="str">
        <f>"ACCT#BASTCOU-08/AUDITOR'S OFF"</f>
        <v>ACCT#BASTCOU-08/AUDITOR'S OFF</v>
      </c>
    </row>
    <row r="1629" spans="1:9" x14ac:dyDescent="0.3">
      <c r="A1629" t="str">
        <f>""</f>
        <v/>
      </c>
      <c r="F1629" t="str">
        <f>"479"</f>
        <v>479</v>
      </c>
      <c r="G1629" t="str">
        <f>"ACCT#BASTCOU/BOND-S.COOPER"</f>
        <v>ACCT#BASTCOU/BOND-S.COOPER</v>
      </c>
      <c r="H1629" s="2">
        <v>50</v>
      </c>
      <c r="I1629" t="str">
        <f>"ACCT#BASTCOU/BOND-S.COOPER"</f>
        <v>ACCT#BASTCOU/BOND-S.COOPER</v>
      </c>
    </row>
    <row r="1630" spans="1:9" x14ac:dyDescent="0.3">
      <c r="A1630" t="str">
        <f>""</f>
        <v/>
      </c>
      <c r="F1630" t="str">
        <f>"FEBRUARY BONDS"</f>
        <v>FEBRUARY BONDS</v>
      </c>
      <c r="G1630" t="str">
        <f>"FEBRUARY BONDS"</f>
        <v>FEBRUARY BONDS</v>
      </c>
      <c r="H1630" s="2">
        <v>300</v>
      </c>
      <c r="I1630" t="str">
        <f>"FEBRUARY BONDS"</f>
        <v>FEBRUARY BONDS</v>
      </c>
    </row>
    <row r="1631" spans="1:9" x14ac:dyDescent="0.3">
      <c r="A1631" t="str">
        <f>"001468"</f>
        <v>001468</v>
      </c>
      <c r="B1631" t="s">
        <v>447</v>
      </c>
      <c r="C1631">
        <v>75471</v>
      </c>
      <c r="D1631" s="2">
        <v>250</v>
      </c>
      <c r="E1631" s="1">
        <v>43157</v>
      </c>
      <c r="F1631" t="str">
        <f>"MARCH RENEWALS"</f>
        <v>MARCH RENEWALS</v>
      </c>
      <c r="G1631" t="str">
        <f>"MARCH RENEWALS"</f>
        <v>MARCH RENEWALS</v>
      </c>
      <c r="H1631" s="2">
        <v>250</v>
      </c>
      <c r="I1631" t="str">
        <f>"MARCH RENEWALS"</f>
        <v>MARCH RENEWALS</v>
      </c>
    </row>
    <row r="1632" spans="1:9" x14ac:dyDescent="0.3">
      <c r="A1632" t="str">
        <f>"TAC1"</f>
        <v>TAC1</v>
      </c>
      <c r="B1632" t="s">
        <v>448</v>
      </c>
      <c r="C1632">
        <v>75254</v>
      </c>
      <c r="D1632" s="2">
        <v>107</v>
      </c>
      <c r="E1632" s="1">
        <v>43143</v>
      </c>
      <c r="F1632" t="str">
        <f>"NRCN-21398-WC5"</f>
        <v>NRCN-21398-WC5</v>
      </c>
      <c r="G1632" t="str">
        <f>"WRKRS COMP/#WC-0110-20170101-1"</f>
        <v>WRKRS COMP/#WC-0110-20170101-1</v>
      </c>
      <c r="H1632" s="2">
        <v>107</v>
      </c>
      <c r="I1632" t="str">
        <f>"WRKRS COMP/#WC-0110-20170101-1"</f>
        <v>WRKRS COMP/#WC-0110-20170101-1</v>
      </c>
    </row>
    <row r="1633" spans="1:9" x14ac:dyDescent="0.3">
      <c r="A1633" t="str">
        <f>"TACRMP"</f>
        <v>TACRMP</v>
      </c>
      <c r="B1633" t="s">
        <v>448</v>
      </c>
      <c r="C1633">
        <v>75255</v>
      </c>
      <c r="D1633" s="2">
        <v>85</v>
      </c>
      <c r="E1633" s="1">
        <v>43143</v>
      </c>
      <c r="F1633" t="str">
        <f>"203170-01/01/2018"</f>
        <v>203170-01/01/2018</v>
      </c>
      <c r="G1633" t="str">
        <f>"TACA MEMBERSHIP DUES-L.HARMON"</f>
        <v>TACA MEMBERSHIP DUES-L.HARMON</v>
      </c>
      <c r="H1633" s="2">
        <v>85</v>
      </c>
      <c r="I1633" t="str">
        <f>"TACA MEMBERSHIP DUES-L.HARMON"</f>
        <v>TACA MEMBERSHIP DUES-L.HARMON</v>
      </c>
    </row>
    <row r="1634" spans="1:9" x14ac:dyDescent="0.3">
      <c r="A1634" t="str">
        <f>"TACRMP"</f>
        <v>TACRMP</v>
      </c>
      <c r="B1634" t="s">
        <v>448</v>
      </c>
      <c r="C1634">
        <v>75256</v>
      </c>
      <c r="D1634" s="2">
        <v>40</v>
      </c>
      <c r="E1634" s="1">
        <v>43143</v>
      </c>
      <c r="F1634" t="str">
        <f>"231551-01/01/2018"</f>
        <v>231551-01/01/2018</v>
      </c>
      <c r="G1634" t="str">
        <f>"TACA MEMBERSHIP DUES-K.FOSTER"</f>
        <v>TACA MEMBERSHIP DUES-K.FOSTER</v>
      </c>
      <c r="H1634" s="2">
        <v>40</v>
      </c>
      <c r="I1634" t="str">
        <f>"TACA MEMBERSHIP DUES-K.FOSTER"</f>
        <v>TACA MEMBERSHIP DUES-K.FOSTER</v>
      </c>
    </row>
    <row r="1635" spans="1:9" x14ac:dyDescent="0.3">
      <c r="A1635" t="str">
        <f>"TACRMP"</f>
        <v>TACRMP</v>
      </c>
      <c r="B1635" t="s">
        <v>448</v>
      </c>
      <c r="C1635">
        <v>75257</v>
      </c>
      <c r="D1635" s="2">
        <v>40</v>
      </c>
      <c r="E1635" s="1">
        <v>43143</v>
      </c>
      <c r="F1635" t="str">
        <f>"231552"</f>
        <v>231552</v>
      </c>
      <c r="G1635" t="str">
        <f>"TACA MEMBERSHIP DUES-J.SCHANAL"</f>
        <v>TACA MEMBERSHIP DUES-J.SCHANAL</v>
      </c>
      <c r="H1635" s="2">
        <v>40</v>
      </c>
      <c r="I1635" t="str">
        <f>"TACA MEMBERSHIP DUES-J.SCHANAL"</f>
        <v>TACA MEMBERSHIP DUES-J.SCHANAL</v>
      </c>
    </row>
    <row r="1636" spans="1:9" x14ac:dyDescent="0.3">
      <c r="A1636" t="str">
        <f>"TACRMP"</f>
        <v>TACRMP</v>
      </c>
      <c r="B1636" t="s">
        <v>448</v>
      </c>
      <c r="C1636">
        <v>75258</v>
      </c>
      <c r="D1636" s="2">
        <v>1560</v>
      </c>
      <c r="E1636" s="1">
        <v>43143</v>
      </c>
      <c r="F1636" t="str">
        <f>"49331"</f>
        <v>49331</v>
      </c>
      <c r="G1636" t="str">
        <f>"MEMBERSHIP DUES/236245/110"</f>
        <v>MEMBERSHIP DUES/236245/110</v>
      </c>
      <c r="H1636" s="2">
        <v>1560</v>
      </c>
      <c r="I1636" t="str">
        <f>"MEMBERSHIP DUES/236245/110"</f>
        <v>MEMBERSHIP DUES/236245/110</v>
      </c>
    </row>
    <row r="1637" spans="1:9" x14ac:dyDescent="0.3">
      <c r="A1637" t="str">
        <f>"002122"</f>
        <v>002122</v>
      </c>
      <c r="B1637" t="s">
        <v>449</v>
      </c>
      <c r="C1637">
        <v>999999</v>
      </c>
      <c r="D1637" s="2">
        <v>294.87</v>
      </c>
      <c r="E1637" s="1">
        <v>43144</v>
      </c>
      <c r="F1637" t="str">
        <f>"201802058491"</f>
        <v>201802058491</v>
      </c>
      <c r="G1637" t="str">
        <f>"ACCT#0005/PCT#4"</f>
        <v>ACCT#0005/PCT#4</v>
      </c>
      <c r="H1637" s="2">
        <v>253.72</v>
      </c>
      <c r="I1637" t="str">
        <f>"ACCT#0005/PCT#4"</f>
        <v>ACCT#0005/PCT#4</v>
      </c>
    </row>
    <row r="1638" spans="1:9" x14ac:dyDescent="0.3">
      <c r="A1638" t="str">
        <f>""</f>
        <v/>
      </c>
      <c r="F1638" t="str">
        <f>"A240000"</f>
        <v>A240000</v>
      </c>
      <c r="G1638" t="str">
        <f>"ACCT#0005/SUPPLIES"</f>
        <v>ACCT#0005/SUPPLIES</v>
      </c>
      <c r="H1638" s="2">
        <v>41.15</v>
      </c>
      <c r="I1638" t="str">
        <f>"ACCT#0005/SUPPLIES"</f>
        <v>ACCT#0005/SUPPLIES</v>
      </c>
    </row>
    <row r="1639" spans="1:9" x14ac:dyDescent="0.3">
      <c r="A1639" t="str">
        <f>"004259"</f>
        <v>004259</v>
      </c>
      <c r="B1639" t="s">
        <v>450</v>
      </c>
      <c r="C1639">
        <v>75270</v>
      </c>
      <c r="D1639" s="2">
        <v>234.99</v>
      </c>
      <c r="E1639" s="1">
        <v>43143</v>
      </c>
      <c r="F1639" t="str">
        <f>"106526"</f>
        <v>106526</v>
      </c>
      <c r="G1639" t="str">
        <f>"Receipt# 106526"</f>
        <v>Receipt# 106526</v>
      </c>
      <c r="H1639" s="2">
        <v>234.99</v>
      </c>
      <c r="I1639" t="str">
        <f>"Receipt# 106526"</f>
        <v>Receipt# 106526</v>
      </c>
    </row>
    <row r="1640" spans="1:9" x14ac:dyDescent="0.3">
      <c r="A1640" t="str">
        <f>"005329"</f>
        <v>005329</v>
      </c>
      <c r="B1640" t="s">
        <v>451</v>
      </c>
      <c r="C1640">
        <v>75259</v>
      </c>
      <c r="D1640" s="2">
        <v>75</v>
      </c>
      <c r="E1640" s="1">
        <v>43143</v>
      </c>
      <c r="F1640" t="str">
        <f>"BASIC TEX PURCH CO"</f>
        <v>BASIC TEX PURCH CO</v>
      </c>
      <c r="G1640" t="str">
        <f>"TEXAS COMPTROLLER OF PUBLIC AC"</f>
        <v>TEXAS COMPTROLLER OF PUBLIC AC</v>
      </c>
      <c r="H1640" s="2">
        <v>75</v>
      </c>
      <c r="I1640" t="str">
        <f>"BASIC TEX PURCH COUR"</f>
        <v>BASIC TEX PURCH COUR</v>
      </c>
    </row>
    <row r="1641" spans="1:9" x14ac:dyDescent="0.3">
      <c r="A1641" t="str">
        <f>"TCSC"</f>
        <v>TCSC</v>
      </c>
      <c r="B1641" t="s">
        <v>452</v>
      </c>
      <c r="C1641">
        <v>74991</v>
      </c>
      <c r="D1641" s="2">
        <v>6573.67</v>
      </c>
      <c r="E1641" s="1">
        <v>43139</v>
      </c>
      <c r="F1641" t="str">
        <f>"55926"</f>
        <v>55926</v>
      </c>
      <c r="G1641" t="str">
        <f>"CUST#1574/MESH TYPE F/PCT #4"</f>
        <v>CUST#1574/MESH TYPE F/PCT #4</v>
      </c>
      <c r="H1641" s="2">
        <v>637.34</v>
      </c>
      <c r="I1641" t="str">
        <f>"CUST#1574/MESH TYPE F/PCT #4"</f>
        <v>CUST#1574/MESH TYPE F/PCT #4</v>
      </c>
    </row>
    <row r="1642" spans="1:9" x14ac:dyDescent="0.3">
      <c r="A1642" t="str">
        <f>""</f>
        <v/>
      </c>
      <c r="F1642" t="str">
        <f>"56143"</f>
        <v>56143</v>
      </c>
      <c r="G1642" t="str">
        <f>"CUST#1574/MESH TYPE F/PCT #4"</f>
        <v>CUST#1574/MESH TYPE F/PCT #4</v>
      </c>
      <c r="H1642" s="2">
        <v>318.01</v>
      </c>
      <c r="I1642" t="str">
        <f>"CUST#1574/MESH TYPE F/PCT #4"</f>
        <v>CUST#1574/MESH TYPE F/PCT #4</v>
      </c>
    </row>
    <row r="1643" spans="1:9" x14ac:dyDescent="0.3">
      <c r="A1643" t="str">
        <f>""</f>
        <v/>
      </c>
      <c r="F1643" t="str">
        <f>"56350"</f>
        <v>56350</v>
      </c>
      <c r="G1643" t="str">
        <f>"CUST#1574/MESH TYPE F/PCT #4"</f>
        <v>CUST#1574/MESH TYPE F/PCT #4</v>
      </c>
      <c r="H1643" s="2">
        <v>932.2</v>
      </c>
      <c r="I1643" t="str">
        <f>"CUST#1574/MESH TYPE F/PCT #4"</f>
        <v>CUST#1574/MESH TYPE F/PCT #4</v>
      </c>
    </row>
    <row r="1644" spans="1:9" x14ac:dyDescent="0.3">
      <c r="A1644" t="str">
        <f>""</f>
        <v/>
      </c>
      <c r="F1644" t="str">
        <f>"56596"</f>
        <v>56596</v>
      </c>
      <c r="G1644" t="str">
        <f>"CUST#1574/MESH TYPE F/PCT #4"</f>
        <v>CUST#1574/MESH TYPE F/PCT #4</v>
      </c>
      <c r="H1644" s="2">
        <v>1542.53</v>
      </c>
      <c r="I1644" t="str">
        <f>"CUST#1574/MESH TYPE F/PCT #4"</f>
        <v>CUST#1574/MESH TYPE F/PCT #4</v>
      </c>
    </row>
    <row r="1645" spans="1:9" x14ac:dyDescent="0.3">
      <c r="A1645" t="str">
        <f>""</f>
        <v/>
      </c>
      <c r="F1645" t="str">
        <f>"56787"</f>
        <v>56787</v>
      </c>
      <c r="G1645" t="str">
        <f>"CUST#1574/MESH TYPE F/PCT #4"</f>
        <v>CUST#1574/MESH TYPE F/PCT #4</v>
      </c>
      <c r="H1645" s="2">
        <v>3143.59</v>
      </c>
      <c r="I1645" t="str">
        <f>"CUST#1574/MESH TYPE F/PCT #4"</f>
        <v>CUST#1574/MESH TYPE F/PCT #4</v>
      </c>
    </row>
    <row r="1646" spans="1:9" x14ac:dyDescent="0.3">
      <c r="A1646" t="str">
        <f>"TCSC"</f>
        <v>TCSC</v>
      </c>
      <c r="B1646" t="s">
        <v>452</v>
      </c>
      <c r="C1646">
        <v>75260</v>
      </c>
      <c r="D1646" s="2">
        <v>619.51</v>
      </c>
      <c r="E1646" s="1">
        <v>43143</v>
      </c>
      <c r="F1646" t="str">
        <f>"56996"</f>
        <v>56996</v>
      </c>
      <c r="G1646" t="str">
        <f>"CUST#1574/PCT#4"</f>
        <v>CUST#1574/PCT#4</v>
      </c>
      <c r="H1646" s="2">
        <v>619.51</v>
      </c>
      <c r="I1646" t="str">
        <f>"CUST#1574/PCT#4"</f>
        <v>CUST#1574/PCT#4</v>
      </c>
    </row>
    <row r="1647" spans="1:9" x14ac:dyDescent="0.3">
      <c r="A1647" t="str">
        <f>"TCSC"</f>
        <v>TCSC</v>
      </c>
      <c r="B1647" t="s">
        <v>452</v>
      </c>
      <c r="C1647">
        <v>75472</v>
      </c>
      <c r="D1647" s="2">
        <v>2131.21</v>
      </c>
      <c r="E1647" s="1">
        <v>43157</v>
      </c>
      <c r="F1647" t="str">
        <f>"57740"</f>
        <v>57740</v>
      </c>
      <c r="G1647" t="str">
        <f>"CUST#1574/PCT#4"</f>
        <v>CUST#1574/PCT#4</v>
      </c>
      <c r="H1647" s="2">
        <v>906.67</v>
      </c>
      <c r="I1647" t="str">
        <f>"CUST#1574/PCT#4"</f>
        <v>CUST#1574/PCT#4</v>
      </c>
    </row>
    <row r="1648" spans="1:9" x14ac:dyDescent="0.3">
      <c r="A1648" t="str">
        <f>""</f>
        <v/>
      </c>
      <c r="F1648" t="str">
        <f>"58088"</f>
        <v>58088</v>
      </c>
      <c r="G1648" t="str">
        <f>"CUST#1574/PCT#4"</f>
        <v>CUST#1574/PCT#4</v>
      </c>
      <c r="H1648" s="2">
        <v>1224.54</v>
      </c>
      <c r="I1648" t="str">
        <f>"CUST#1574/PCT#4"</f>
        <v>CUST#1574/PCT#4</v>
      </c>
    </row>
    <row r="1649" spans="1:10" x14ac:dyDescent="0.3">
      <c r="A1649" t="str">
        <f>"TCSC"</f>
        <v>TCSC</v>
      </c>
      <c r="B1649" t="s">
        <v>452</v>
      </c>
      <c r="C1649">
        <v>75491</v>
      </c>
      <c r="D1649" s="2">
        <v>2407.6999999999998</v>
      </c>
      <c r="E1649" s="1">
        <v>43158</v>
      </c>
      <c r="F1649" t="str">
        <f>"59765"</f>
        <v>59765</v>
      </c>
      <c r="G1649" t="str">
        <f>"CUST#1574/MESH TYPE F/PCT #4"</f>
        <v>CUST#1574/MESH TYPE F/PCT #4</v>
      </c>
      <c r="H1649" s="2">
        <v>2407.6999999999998</v>
      </c>
      <c r="I1649" t="str">
        <f>"CUST#1574/MESH TYPE F/PCT #4"</f>
        <v>CUST#1574/MESH TYPE F/PCT #4</v>
      </c>
    </row>
    <row r="1650" spans="1:10" x14ac:dyDescent="0.3">
      <c r="A1650" t="str">
        <f>"002976"</f>
        <v>002976</v>
      </c>
      <c r="B1650" t="s">
        <v>453</v>
      </c>
      <c r="C1650">
        <v>75261</v>
      </c>
      <c r="D1650" s="2">
        <v>300</v>
      </c>
      <c r="E1650" s="1">
        <v>43143</v>
      </c>
      <c r="F1650" t="str">
        <f>"667208"</f>
        <v>667208</v>
      </c>
      <c r="G1650" t="str">
        <f>"GO TEXAN BOOTH-BASTROP COUNTY"</f>
        <v>GO TEXAN BOOTH-BASTROP COUNTY</v>
      </c>
      <c r="H1650" s="2">
        <v>300</v>
      </c>
      <c r="I1650" t="str">
        <f>"GO TEXAN BOOTH-BASTROP COUNTY"</f>
        <v>GO TEXAN BOOTH-BASTROP COUNTY</v>
      </c>
    </row>
    <row r="1651" spans="1:10" x14ac:dyDescent="0.3">
      <c r="A1651" t="str">
        <f>"001721"</f>
        <v>001721</v>
      </c>
      <c r="B1651" t="s">
        <v>454</v>
      </c>
      <c r="C1651">
        <v>75262</v>
      </c>
      <c r="D1651" s="2">
        <v>6</v>
      </c>
      <c r="E1651" s="1">
        <v>43143</v>
      </c>
      <c r="F1651" t="str">
        <f>"CRS-201712-136016"</f>
        <v>CRS-201712-136016</v>
      </c>
      <c r="G1651" t="str">
        <f>"SECURE SITE CCH NAME SEARCH"</f>
        <v>SECURE SITE CCH NAME SEARCH</v>
      </c>
      <c r="H1651" s="2">
        <v>6</v>
      </c>
      <c r="I1651" t="str">
        <f>"SECURE SITE CCH NAME SEARCH"</f>
        <v>SECURE SITE CCH NAME SEARCH</v>
      </c>
    </row>
    <row r="1652" spans="1:10" x14ac:dyDescent="0.3">
      <c r="A1652" t="str">
        <f>"002354"</f>
        <v>002354</v>
      </c>
      <c r="B1652" t="s">
        <v>454</v>
      </c>
      <c r="C1652">
        <v>75263</v>
      </c>
      <c r="D1652" s="2">
        <v>395</v>
      </c>
      <c r="E1652" s="1">
        <v>43143</v>
      </c>
      <c r="F1652" t="s">
        <v>455</v>
      </c>
      <c r="G1652" t="s">
        <v>456</v>
      </c>
      <c r="H1652" s="2" t="str">
        <f>"RESTITUTION-J. RIVERA"</f>
        <v>RESTITUTION-J. RIVERA</v>
      </c>
      <c r="I1652" t="str">
        <f>"210-0000"</f>
        <v>210-0000</v>
      </c>
      <c r="J1652">
        <v>40</v>
      </c>
    </row>
    <row r="1653" spans="1:10" x14ac:dyDescent="0.3">
      <c r="A1653" t="str">
        <f>""</f>
        <v/>
      </c>
      <c r="F1653" t="s">
        <v>455</v>
      </c>
      <c r="G1653" t="s">
        <v>457</v>
      </c>
      <c r="H1653" s="2" t="str">
        <f>"RESTITUTION-A. FENSKE"</f>
        <v>RESTITUTION-A. FENSKE</v>
      </c>
      <c r="I1653" t="str">
        <f>"210-0000"</f>
        <v>210-0000</v>
      </c>
      <c r="J1653">
        <v>174</v>
      </c>
    </row>
    <row r="1654" spans="1:10" x14ac:dyDescent="0.3">
      <c r="A1654" t="str">
        <f>""</f>
        <v/>
      </c>
      <c r="F1654" t="s">
        <v>455</v>
      </c>
      <c r="G1654" t="s">
        <v>458</v>
      </c>
      <c r="H1654" s="2" t="str">
        <f>"RESTITUTION-J. CLAWSON"</f>
        <v>RESTITUTION-J. CLAWSON</v>
      </c>
      <c r="I1654" t="str">
        <f>"210-0000"</f>
        <v>210-0000</v>
      </c>
      <c r="J1654">
        <v>180</v>
      </c>
    </row>
    <row r="1655" spans="1:10" x14ac:dyDescent="0.3">
      <c r="A1655" t="str">
        <f>""</f>
        <v/>
      </c>
      <c r="F1655" t="s">
        <v>459</v>
      </c>
      <c r="G1655" t="s">
        <v>460</v>
      </c>
      <c r="H1655" s="2" t="str">
        <f>"RESTITUTION-M. CLARK"</f>
        <v>RESTITUTION-M. CLARK</v>
      </c>
      <c r="I1655" t="str">
        <f>"210-0000"</f>
        <v>210-0000</v>
      </c>
      <c r="J1655">
        <v>1</v>
      </c>
    </row>
    <row r="1656" spans="1:10" x14ac:dyDescent="0.3">
      <c r="A1656" t="str">
        <f>"004861"</f>
        <v>004861</v>
      </c>
      <c r="B1656" t="s">
        <v>461</v>
      </c>
      <c r="C1656">
        <v>75264</v>
      </c>
      <c r="D1656" s="2">
        <v>2662.1</v>
      </c>
      <c r="E1656" s="1">
        <v>43143</v>
      </c>
      <c r="F1656" t="str">
        <f>"1048400-0001"</f>
        <v>1048400-0001</v>
      </c>
      <c r="G1656" t="str">
        <f>"EQUIP RENTAL/PCT#1"</f>
        <v>EQUIP RENTAL/PCT#1</v>
      </c>
      <c r="H1656" s="2">
        <v>2662.1</v>
      </c>
      <c r="I1656" t="str">
        <f>"EQUIP RENTAL/PCT#1"</f>
        <v>EQUIP RENTAL/PCT#1</v>
      </c>
    </row>
    <row r="1657" spans="1:10" x14ac:dyDescent="0.3">
      <c r="A1657" t="str">
        <f>"002974"</f>
        <v>002974</v>
      </c>
      <c r="B1657" t="s">
        <v>462</v>
      </c>
      <c r="C1657">
        <v>75265</v>
      </c>
      <c r="D1657" s="2">
        <v>200</v>
      </c>
      <c r="E1657" s="1">
        <v>43143</v>
      </c>
      <c r="F1657" t="str">
        <f>"201802058473"</f>
        <v>201802058473</v>
      </c>
      <c r="G1657" t="str">
        <f>"TEXIAN RALLY-CINDYE GINSEL"</f>
        <v>TEXIAN RALLY-CINDYE GINSEL</v>
      </c>
      <c r="H1657" s="2">
        <v>100</v>
      </c>
      <c r="I1657" t="str">
        <f>"TEXIAN RALLY WORKSHOP/TOURISM"</f>
        <v>TEXIAN RALLY WORKSHOP/TOURISM</v>
      </c>
    </row>
    <row r="1658" spans="1:10" x14ac:dyDescent="0.3">
      <c r="A1658" t="str">
        <f>""</f>
        <v/>
      </c>
      <c r="F1658" t="str">
        <f>"201802058474"</f>
        <v>201802058474</v>
      </c>
      <c r="G1658" t="str">
        <f>"TEXIAN RALLY-ADENA LEWIS"</f>
        <v>TEXIAN RALLY-ADENA LEWIS</v>
      </c>
      <c r="H1658" s="2">
        <v>100</v>
      </c>
      <c r="I1658" t="str">
        <f>"TEXIAN RALLY-ADENA LEWIS"</f>
        <v>TEXIAN RALLY-ADENA LEWIS</v>
      </c>
    </row>
    <row r="1659" spans="1:10" x14ac:dyDescent="0.3">
      <c r="A1659" t="str">
        <f>"T10512"</f>
        <v>T10512</v>
      </c>
      <c r="B1659" t="s">
        <v>463</v>
      </c>
      <c r="C1659">
        <v>75473</v>
      </c>
      <c r="D1659" s="2">
        <v>150</v>
      </c>
      <c r="E1659" s="1">
        <v>43157</v>
      </c>
      <c r="F1659" t="str">
        <f>"201802168801"</f>
        <v>201802168801</v>
      </c>
      <c r="G1659" t="str">
        <f>"FY_18 NEW COURT PERSONNEL SEM"</f>
        <v>FY_18 NEW COURT PERSONNEL SEM</v>
      </c>
      <c r="H1659" s="2">
        <v>150</v>
      </c>
      <c r="I1659" t="str">
        <f>"FY_18 NEW COURT PERSONNEL SEM"</f>
        <v>FY_18 NEW COURT PERSONNEL SEM</v>
      </c>
    </row>
    <row r="1660" spans="1:10" x14ac:dyDescent="0.3">
      <c r="A1660" t="str">
        <f>"T6071"</f>
        <v>T6071</v>
      </c>
      <c r="B1660" t="s">
        <v>464</v>
      </c>
      <c r="C1660">
        <v>75266</v>
      </c>
      <c r="D1660" s="2">
        <v>6.96</v>
      </c>
      <c r="E1660" s="1">
        <v>43143</v>
      </c>
      <c r="F1660" t="str">
        <f>"201802078676"</f>
        <v>201802078676</v>
      </c>
      <c r="G1660" t="str">
        <f>"INDIGENT HEALTH"</f>
        <v>INDIGENT HEALTH</v>
      </c>
      <c r="H1660" s="2">
        <v>6.96</v>
      </c>
      <c r="I1660" t="str">
        <f>"INDIGENT HEALTH"</f>
        <v>INDIGENT HEALTH</v>
      </c>
    </row>
    <row r="1661" spans="1:10" x14ac:dyDescent="0.3">
      <c r="A1661" t="str">
        <f>"T7170"</f>
        <v>T7170</v>
      </c>
      <c r="B1661" t="s">
        <v>465</v>
      </c>
      <c r="C1661">
        <v>75474</v>
      </c>
      <c r="D1661" s="2">
        <v>1032.75</v>
      </c>
      <c r="E1661" s="1">
        <v>43157</v>
      </c>
      <c r="F1661" t="str">
        <f>"J2-47900"</f>
        <v>J2-47900</v>
      </c>
      <c r="G1661" t="str">
        <f>"A13081-J. RODRIGUEZ"</f>
        <v>A13081-J. RODRIGUEZ</v>
      </c>
      <c r="H1661" s="2">
        <v>114.75</v>
      </c>
      <c r="I1661" t="str">
        <f>"A13081-J. RODRIGUEZ"</f>
        <v>A13081-J. RODRIGUEZ</v>
      </c>
    </row>
    <row r="1662" spans="1:10" x14ac:dyDescent="0.3">
      <c r="A1662" t="str">
        <f>""</f>
        <v/>
      </c>
      <c r="F1662" t="str">
        <f>"J2-48575"</f>
        <v>J2-48575</v>
      </c>
      <c r="G1662" t="str">
        <f>"A11571-M. LEWIS"</f>
        <v>A11571-M. LEWIS</v>
      </c>
      <c r="H1662" s="2">
        <v>114.75</v>
      </c>
      <c r="I1662" t="str">
        <f>"A11571-M. LEWIS"</f>
        <v>A11571-M. LEWIS</v>
      </c>
    </row>
    <row r="1663" spans="1:10" x14ac:dyDescent="0.3">
      <c r="A1663" t="str">
        <f>""</f>
        <v/>
      </c>
      <c r="F1663" t="str">
        <f>"J2-49993"</f>
        <v>J2-49993</v>
      </c>
      <c r="G1663" t="str">
        <f>"A12163-J. CASTILLO HERNANDEZ"</f>
        <v>A12163-J. CASTILLO HERNANDEZ</v>
      </c>
      <c r="H1663" s="2">
        <v>114.75</v>
      </c>
      <c r="I1663" t="str">
        <f>"A12163-J. CASTILLO HERNANDEZ"</f>
        <v>A12163-J. CASTILLO HERNANDEZ</v>
      </c>
    </row>
    <row r="1664" spans="1:10" x14ac:dyDescent="0.3">
      <c r="A1664" t="str">
        <f>""</f>
        <v/>
      </c>
      <c r="F1664" t="str">
        <f>"J2-50273"</f>
        <v>J2-50273</v>
      </c>
      <c r="G1664" t="str">
        <f>"A12169-B. MONROY-ESCUADRA"</f>
        <v>A12169-B. MONROY-ESCUADRA</v>
      </c>
      <c r="H1664" s="2">
        <v>114.75</v>
      </c>
      <c r="I1664" t="str">
        <f>"A12169-B. MONROY-ESCUADRA"</f>
        <v>A12169-B. MONROY-ESCUADRA</v>
      </c>
    </row>
    <row r="1665" spans="1:9" x14ac:dyDescent="0.3">
      <c r="A1665" t="str">
        <f>""</f>
        <v/>
      </c>
      <c r="F1665" t="str">
        <f>"J2-53311"</f>
        <v>J2-53311</v>
      </c>
      <c r="G1665" t="str">
        <f>"A8258550-E. MOORE"</f>
        <v>A8258550-E. MOORE</v>
      </c>
      <c r="H1665" s="2">
        <v>114.75</v>
      </c>
      <c r="I1665" t="str">
        <f>"A8258550-E. MOORE"</f>
        <v>A8258550-E. MOORE</v>
      </c>
    </row>
    <row r="1666" spans="1:9" x14ac:dyDescent="0.3">
      <c r="A1666" t="str">
        <f>""</f>
        <v/>
      </c>
      <c r="F1666" t="str">
        <f>"J2-53844"</f>
        <v>J2-53844</v>
      </c>
      <c r="G1666" t="str">
        <f>"A8258556-R. BEHR"</f>
        <v>A8258556-R. BEHR</v>
      </c>
      <c r="H1666" s="2">
        <v>114.75</v>
      </c>
      <c r="I1666" t="str">
        <f>"A8258556-R. BEHR"</f>
        <v>A8258556-R. BEHR</v>
      </c>
    </row>
    <row r="1667" spans="1:9" x14ac:dyDescent="0.3">
      <c r="A1667" t="str">
        <f>""</f>
        <v/>
      </c>
      <c r="F1667" t="str">
        <f>"J2-54153"</f>
        <v>J2-54153</v>
      </c>
      <c r="G1667" t="str">
        <f>"A8258558-J. RULUVE"</f>
        <v>A8258558-J. RULUVE</v>
      </c>
      <c r="H1667" s="2">
        <v>114.75</v>
      </c>
      <c r="I1667" t="str">
        <f>"A8258558-J. RULUVE"</f>
        <v>A8258558-J. RULUVE</v>
      </c>
    </row>
    <row r="1668" spans="1:9" x14ac:dyDescent="0.3">
      <c r="A1668" t="str">
        <f>""</f>
        <v/>
      </c>
      <c r="F1668" t="str">
        <f>"J2-54154"</f>
        <v>J2-54154</v>
      </c>
      <c r="G1668" t="str">
        <f>"A8258559-I. JOHNSON"</f>
        <v>A8258559-I. JOHNSON</v>
      </c>
      <c r="H1668" s="2">
        <v>114.75</v>
      </c>
      <c r="I1668" t="str">
        <f>"A8258559-I. JOHNSON"</f>
        <v>A8258559-I. JOHNSON</v>
      </c>
    </row>
    <row r="1669" spans="1:9" x14ac:dyDescent="0.3">
      <c r="A1669" t="str">
        <f>""</f>
        <v/>
      </c>
      <c r="F1669" t="str">
        <f>"J2-54155"</f>
        <v>J2-54155</v>
      </c>
      <c r="G1669" t="str">
        <f>"A8258560-C. SMITH"</f>
        <v>A8258560-C. SMITH</v>
      </c>
      <c r="H1669" s="2">
        <v>114.75</v>
      </c>
      <c r="I1669" t="str">
        <f>"A8258560-C. SMITH"</f>
        <v>A8258560-C. SMITH</v>
      </c>
    </row>
    <row r="1670" spans="1:9" x14ac:dyDescent="0.3">
      <c r="A1670" t="str">
        <f>"T14476"</f>
        <v>T14476</v>
      </c>
      <c r="B1670" t="s">
        <v>466</v>
      </c>
      <c r="C1670">
        <v>75267</v>
      </c>
      <c r="D1670" s="2">
        <v>1354.87</v>
      </c>
      <c r="E1670" s="1">
        <v>43143</v>
      </c>
      <c r="F1670" t="str">
        <f>"180122"</f>
        <v>180122</v>
      </c>
      <c r="G1670" t="str">
        <f>"HOSES/PCT#2"</f>
        <v>HOSES/PCT#2</v>
      </c>
      <c r="H1670" s="2">
        <v>1354.87</v>
      </c>
      <c r="I1670" t="str">
        <f>"HOSES/PCT#2"</f>
        <v>HOSES/PCT#2</v>
      </c>
    </row>
    <row r="1671" spans="1:9" x14ac:dyDescent="0.3">
      <c r="A1671" t="str">
        <f>"T3159"</f>
        <v>T3159</v>
      </c>
      <c r="B1671" t="s">
        <v>467</v>
      </c>
      <c r="C1671">
        <v>75475</v>
      </c>
      <c r="D1671" s="2">
        <v>159.35</v>
      </c>
      <c r="E1671" s="1">
        <v>43157</v>
      </c>
      <c r="F1671" t="str">
        <f>"INV 107599-18"</f>
        <v>INV 107599-18</v>
      </c>
      <c r="G1671" t="str">
        <f>"INV 107599-18"</f>
        <v>INV 107599-18</v>
      </c>
      <c r="H1671" s="2">
        <v>159.35</v>
      </c>
      <c r="I1671" t="str">
        <f>"INV 107599-18"</f>
        <v>INV 107599-18</v>
      </c>
    </row>
    <row r="1672" spans="1:9" x14ac:dyDescent="0.3">
      <c r="A1672" t="str">
        <f>""</f>
        <v/>
      </c>
      <c r="F1672" t="str">
        <f>""</f>
        <v/>
      </c>
      <c r="G1672" t="str">
        <f>""</f>
        <v/>
      </c>
      <c r="I1672" t="str">
        <f>"SHIPPING"</f>
        <v>SHIPPING</v>
      </c>
    </row>
    <row r="1673" spans="1:9" x14ac:dyDescent="0.3">
      <c r="A1673" t="str">
        <f>"005404"</f>
        <v>005404</v>
      </c>
      <c r="B1673" t="s">
        <v>468</v>
      </c>
      <c r="C1673">
        <v>75268</v>
      </c>
      <c r="D1673" s="2">
        <v>90</v>
      </c>
      <c r="E1673" s="1">
        <v>43143</v>
      </c>
      <c r="F1673" t="str">
        <f>"201802078614"</f>
        <v>201802078614</v>
      </c>
      <c r="G1673" t="str">
        <f>"ACCOUNT ACTIVITY#13077/CLASS"</f>
        <v>ACCOUNT ACTIVITY#13077/CLASS</v>
      </c>
      <c r="H1673" s="2">
        <v>90</v>
      </c>
      <c r="I1673" t="str">
        <f>"ACCOUNT ACTIVITY#13077/CLASS"</f>
        <v>ACCOUNT ACTIVITY#13077/CLASS</v>
      </c>
    </row>
    <row r="1674" spans="1:9" x14ac:dyDescent="0.3">
      <c r="A1674" t="str">
        <f>"003946"</f>
        <v>003946</v>
      </c>
      <c r="B1674" t="s">
        <v>469</v>
      </c>
      <c r="C1674">
        <v>75269</v>
      </c>
      <c r="D1674" s="2">
        <v>750</v>
      </c>
      <c r="E1674" s="1">
        <v>43143</v>
      </c>
      <c r="F1674" t="str">
        <f>"201801308264"</f>
        <v>201801308264</v>
      </c>
      <c r="G1674" t="str">
        <f>"54601"</f>
        <v>54601</v>
      </c>
      <c r="H1674" s="2">
        <v>250</v>
      </c>
      <c r="I1674" t="str">
        <f>"54601"</f>
        <v>54601</v>
      </c>
    </row>
    <row r="1675" spans="1:9" x14ac:dyDescent="0.3">
      <c r="A1675" t="str">
        <f>""</f>
        <v/>
      </c>
      <c r="F1675" t="str">
        <f>"201801308265"</f>
        <v>201801308265</v>
      </c>
      <c r="G1675" t="str">
        <f>"55 338"</f>
        <v>55 338</v>
      </c>
      <c r="H1675" s="2">
        <v>250</v>
      </c>
      <c r="I1675" t="str">
        <f>"55 338"</f>
        <v>55 338</v>
      </c>
    </row>
    <row r="1676" spans="1:9" x14ac:dyDescent="0.3">
      <c r="A1676" t="str">
        <f>""</f>
        <v/>
      </c>
      <c r="F1676" t="str">
        <f>"201801308266"</f>
        <v>201801308266</v>
      </c>
      <c r="G1676" t="str">
        <f>"55241"</f>
        <v>55241</v>
      </c>
      <c r="H1676" s="2">
        <v>250</v>
      </c>
      <c r="I1676" t="str">
        <f>"55241"</f>
        <v>55241</v>
      </c>
    </row>
    <row r="1677" spans="1:9" x14ac:dyDescent="0.3">
      <c r="A1677" t="str">
        <f>"002317"</f>
        <v>002317</v>
      </c>
      <c r="B1677" t="s">
        <v>470</v>
      </c>
      <c r="C1677">
        <v>999999</v>
      </c>
      <c r="D1677" s="2">
        <v>2862.5</v>
      </c>
      <c r="E1677" s="1">
        <v>43144</v>
      </c>
      <c r="F1677" t="str">
        <f>"201801308332"</f>
        <v>201801308332</v>
      </c>
      <c r="G1677" t="str">
        <f>"55 096"</f>
        <v>55 096</v>
      </c>
      <c r="H1677" s="2">
        <v>250</v>
      </c>
      <c r="I1677" t="str">
        <f>"55 096"</f>
        <v>55 096</v>
      </c>
    </row>
    <row r="1678" spans="1:9" x14ac:dyDescent="0.3">
      <c r="A1678" t="str">
        <f>""</f>
        <v/>
      </c>
      <c r="F1678" t="str">
        <f>"201801308333"</f>
        <v>201801308333</v>
      </c>
      <c r="G1678" t="str">
        <f>"55 351"</f>
        <v>55 351</v>
      </c>
      <c r="H1678" s="2">
        <v>250</v>
      </c>
      <c r="I1678" t="str">
        <f>"55 351"</f>
        <v>55 351</v>
      </c>
    </row>
    <row r="1679" spans="1:9" x14ac:dyDescent="0.3">
      <c r="A1679" t="str">
        <f>""</f>
        <v/>
      </c>
      <c r="F1679" t="str">
        <f>"201801308334"</f>
        <v>201801308334</v>
      </c>
      <c r="G1679" t="str">
        <f>"55 297/55 252/20161223-B"</f>
        <v>55 297/55 252/20161223-B</v>
      </c>
      <c r="H1679" s="2">
        <v>500</v>
      </c>
      <c r="I1679" t="str">
        <f>"55 297/55 252/20161223-B"</f>
        <v>55 297/55 252/20161223-B</v>
      </c>
    </row>
    <row r="1680" spans="1:9" x14ac:dyDescent="0.3">
      <c r="A1680" t="str">
        <f>""</f>
        <v/>
      </c>
      <c r="F1680" t="str">
        <f>"201802018439"</f>
        <v>201802018439</v>
      </c>
      <c r="G1680" t="str">
        <f>"410047-1  410047-2"</f>
        <v>410047-1  410047-2</v>
      </c>
      <c r="H1680" s="2">
        <v>200</v>
      </c>
      <c r="I1680" t="str">
        <f>"410047-1  410047-2"</f>
        <v>410047-1  410047-2</v>
      </c>
    </row>
    <row r="1681" spans="1:9" x14ac:dyDescent="0.3">
      <c r="A1681" t="str">
        <f>""</f>
        <v/>
      </c>
      <c r="F1681" t="str">
        <f>"201802018440"</f>
        <v>201802018440</v>
      </c>
      <c r="G1681" t="str">
        <f>"16 042"</f>
        <v>16 042</v>
      </c>
      <c r="H1681" s="2">
        <v>400</v>
      </c>
      <c r="I1681" t="str">
        <f>"16 042"</f>
        <v>16 042</v>
      </c>
    </row>
    <row r="1682" spans="1:9" x14ac:dyDescent="0.3">
      <c r="A1682" t="str">
        <f>""</f>
        <v/>
      </c>
      <c r="F1682" t="str">
        <f>"201802028452"</f>
        <v>201802028452</v>
      </c>
      <c r="G1682" t="str">
        <f>"17-18269"</f>
        <v>17-18269</v>
      </c>
      <c r="H1682" s="2">
        <v>325</v>
      </c>
      <c r="I1682" t="str">
        <f>"17-18269"</f>
        <v>17-18269</v>
      </c>
    </row>
    <row r="1683" spans="1:9" x14ac:dyDescent="0.3">
      <c r="A1683" t="str">
        <f>""</f>
        <v/>
      </c>
      <c r="F1683" t="str">
        <f>"201802028453"</f>
        <v>201802028453</v>
      </c>
      <c r="G1683" t="str">
        <f>"15-17550"</f>
        <v>15-17550</v>
      </c>
      <c r="H1683" s="2">
        <v>212.5</v>
      </c>
      <c r="I1683" t="str">
        <f>"15-17550"</f>
        <v>15-17550</v>
      </c>
    </row>
    <row r="1684" spans="1:9" x14ac:dyDescent="0.3">
      <c r="A1684" t="str">
        <f>""</f>
        <v/>
      </c>
      <c r="F1684" t="str">
        <f>"201802028454"</f>
        <v>201802028454</v>
      </c>
      <c r="G1684" t="str">
        <f>"16-17977"</f>
        <v>16-17977</v>
      </c>
      <c r="H1684" s="2">
        <v>100</v>
      </c>
      <c r="I1684" t="str">
        <f>"16-17977"</f>
        <v>16-17977</v>
      </c>
    </row>
    <row r="1685" spans="1:9" x14ac:dyDescent="0.3">
      <c r="A1685" t="str">
        <f>""</f>
        <v/>
      </c>
      <c r="F1685" t="str">
        <f>"201802078615"</f>
        <v>201802078615</v>
      </c>
      <c r="G1685" t="str">
        <f>"55 544"</f>
        <v>55 544</v>
      </c>
      <c r="H1685" s="2">
        <v>250</v>
      </c>
      <c r="I1685" t="str">
        <f>"55 544"</f>
        <v>55 544</v>
      </c>
    </row>
    <row r="1686" spans="1:9" x14ac:dyDescent="0.3">
      <c r="A1686" t="str">
        <f>""</f>
        <v/>
      </c>
      <c r="F1686" t="str">
        <f>"201802078616"</f>
        <v>201802078616</v>
      </c>
      <c r="G1686" t="str">
        <f>"16-18071"</f>
        <v>16-18071</v>
      </c>
      <c r="H1686" s="2">
        <v>175</v>
      </c>
      <c r="I1686" t="str">
        <f>"16-18071"</f>
        <v>16-18071</v>
      </c>
    </row>
    <row r="1687" spans="1:9" x14ac:dyDescent="0.3">
      <c r="A1687" t="str">
        <f>""</f>
        <v/>
      </c>
      <c r="F1687" t="str">
        <f>"201802078617"</f>
        <v>201802078617</v>
      </c>
      <c r="G1687" t="str">
        <f>"17-18740"</f>
        <v>17-18740</v>
      </c>
      <c r="H1687" s="2">
        <v>100</v>
      </c>
      <c r="I1687" t="str">
        <f>"17-18740"</f>
        <v>17-18740</v>
      </c>
    </row>
    <row r="1688" spans="1:9" x14ac:dyDescent="0.3">
      <c r="A1688" t="str">
        <f>""</f>
        <v/>
      </c>
      <c r="F1688" t="str">
        <f>"201802078618"</f>
        <v>201802078618</v>
      </c>
      <c r="G1688" t="str">
        <f>"17-18752"</f>
        <v>17-18752</v>
      </c>
      <c r="H1688" s="2">
        <v>100</v>
      </c>
      <c r="I1688" t="str">
        <f>"17-18752"</f>
        <v>17-18752</v>
      </c>
    </row>
    <row r="1689" spans="1:9" x14ac:dyDescent="0.3">
      <c r="A1689" t="str">
        <f>"002317"</f>
        <v>002317</v>
      </c>
      <c r="B1689" t="s">
        <v>470</v>
      </c>
      <c r="C1689">
        <v>999999</v>
      </c>
      <c r="D1689" s="2">
        <v>3200</v>
      </c>
      <c r="E1689" s="1">
        <v>43158</v>
      </c>
      <c r="F1689" t="str">
        <f>"201802158765"</f>
        <v>201802158765</v>
      </c>
      <c r="G1689" t="str">
        <f>"2015 0532"</f>
        <v>2015 0532</v>
      </c>
      <c r="H1689" s="2">
        <v>400</v>
      </c>
      <c r="I1689" t="str">
        <f>"2015 0532"</f>
        <v>2015 0532</v>
      </c>
    </row>
    <row r="1690" spans="1:9" x14ac:dyDescent="0.3">
      <c r="A1690" t="str">
        <f>""</f>
        <v/>
      </c>
      <c r="F1690" t="str">
        <f>"201802158766"</f>
        <v>201802158766</v>
      </c>
      <c r="G1690" t="str">
        <f>"16384"</f>
        <v>16384</v>
      </c>
      <c r="H1690" s="2">
        <v>400</v>
      </c>
      <c r="I1690" t="str">
        <f>"16384"</f>
        <v>16384</v>
      </c>
    </row>
    <row r="1691" spans="1:9" x14ac:dyDescent="0.3">
      <c r="A1691" t="str">
        <f>""</f>
        <v/>
      </c>
      <c r="F1691" t="str">
        <f>"201802158767"</f>
        <v>201802158767</v>
      </c>
      <c r="G1691" t="str">
        <f>"16 131 02-1027-1 02-1-27-2 &amp; 3"</f>
        <v>16 131 02-1027-1 02-1-27-2 &amp; 3</v>
      </c>
      <c r="H1691" s="2">
        <v>2400</v>
      </c>
      <c r="I1691" t="str">
        <f>"16 131 02-1027-1 02-1-27-2 &amp; 3"</f>
        <v>16 131 02-1027-1 02-1-27-2 &amp; 3</v>
      </c>
    </row>
    <row r="1692" spans="1:9" x14ac:dyDescent="0.3">
      <c r="A1692" t="str">
        <f>"T6860"</f>
        <v>T6860</v>
      </c>
      <c r="B1692" t="s">
        <v>471</v>
      </c>
      <c r="C1692">
        <v>999999</v>
      </c>
      <c r="D1692" s="2">
        <v>71</v>
      </c>
      <c r="E1692" s="1">
        <v>43158</v>
      </c>
      <c r="F1692" t="str">
        <f>"226375"</f>
        <v>226375</v>
      </c>
      <c r="G1692" t="str">
        <f>"ORD#1*168177/NOTARY BOND"</f>
        <v>ORD#1*168177/NOTARY BOND</v>
      </c>
      <c r="H1692" s="2">
        <v>71</v>
      </c>
      <c r="I1692" t="str">
        <f>"ORD#1*168177/NOTARY BOND"</f>
        <v>ORD#1*168177/NOTARY BOND</v>
      </c>
    </row>
    <row r="1693" spans="1:9" x14ac:dyDescent="0.3">
      <c r="A1693" t="str">
        <f>"005375"</f>
        <v>005375</v>
      </c>
      <c r="B1693" t="s">
        <v>472</v>
      </c>
      <c r="C1693">
        <v>75317</v>
      </c>
      <c r="D1693" s="2">
        <v>371.55</v>
      </c>
      <c r="E1693" s="1">
        <v>43147</v>
      </c>
      <c r="F1693" t="str">
        <f>"201802158780"</f>
        <v>201802158780</v>
      </c>
      <c r="G1693" t="str">
        <f>"LODGING - TRAINING 2/25-28/18"</f>
        <v>LODGING - TRAINING 2/25-28/18</v>
      </c>
      <c r="H1693" s="2">
        <v>371.55</v>
      </c>
      <c r="I1693" t="str">
        <f>"LODGING - TRAINING 2/25-28/18"</f>
        <v>LODGING - TRAINING 2/25-28/18</v>
      </c>
    </row>
    <row r="1694" spans="1:9" x14ac:dyDescent="0.3">
      <c r="A1694" t="str">
        <f>"005435"</f>
        <v>005435</v>
      </c>
      <c r="B1694" t="s">
        <v>473</v>
      </c>
      <c r="C1694">
        <v>75476</v>
      </c>
      <c r="D1694" s="2">
        <v>50</v>
      </c>
      <c r="E1694" s="1">
        <v>43157</v>
      </c>
      <c r="F1694" t="str">
        <f>"201802218825"</f>
        <v>201802218825</v>
      </c>
      <c r="G1694" t="str">
        <f>"REFUND SHELTER FEES"</f>
        <v>REFUND SHELTER FEES</v>
      </c>
      <c r="H1694" s="2">
        <v>50</v>
      </c>
      <c r="I1694" t="str">
        <f>"REFUND SHELTER FEES"</f>
        <v>REFUND SHELTER FEES</v>
      </c>
    </row>
    <row r="1695" spans="1:9" x14ac:dyDescent="0.3">
      <c r="A1695" t="str">
        <f>"005416"</f>
        <v>005416</v>
      </c>
      <c r="B1695" t="s">
        <v>474</v>
      </c>
      <c r="C1695">
        <v>75271</v>
      </c>
      <c r="D1695" s="2">
        <v>50</v>
      </c>
      <c r="E1695" s="1">
        <v>43143</v>
      </c>
      <c r="F1695" t="str">
        <f>"201802018421"</f>
        <v>201802018421</v>
      </c>
      <c r="G1695" t="str">
        <f>"FERAL HOGS"</f>
        <v>FERAL HOGS</v>
      </c>
      <c r="H1695" s="2">
        <v>50</v>
      </c>
      <c r="I1695" t="str">
        <f>"FERAL HOGS"</f>
        <v>FERAL HOGS</v>
      </c>
    </row>
    <row r="1696" spans="1:9" x14ac:dyDescent="0.3">
      <c r="A1696" t="str">
        <f>"002337"</f>
        <v>002337</v>
      </c>
      <c r="B1696" t="s">
        <v>475</v>
      </c>
      <c r="C1696">
        <v>75272</v>
      </c>
      <c r="D1696" s="2">
        <v>365</v>
      </c>
      <c r="E1696" s="1">
        <v>43143</v>
      </c>
      <c r="F1696" t="str">
        <f>"11652"</f>
        <v>11652</v>
      </c>
      <c r="G1696" t="str">
        <f>"SERVICE  11/27/17"</f>
        <v>SERVICE  11/27/17</v>
      </c>
      <c r="H1696" s="2">
        <v>140</v>
      </c>
      <c r="I1696" t="str">
        <f>"SERVICE  11/27/17"</f>
        <v>SERVICE  11/27/17</v>
      </c>
    </row>
    <row r="1697" spans="1:9" x14ac:dyDescent="0.3">
      <c r="A1697" t="str">
        <f>""</f>
        <v/>
      </c>
      <c r="F1697" t="str">
        <f>"12621"</f>
        <v>12621</v>
      </c>
      <c r="G1697" t="str">
        <f>"SERVICE  11/30/2017"</f>
        <v>SERVICE  11/30/2017</v>
      </c>
      <c r="H1697" s="2">
        <v>225</v>
      </c>
      <c r="I1697" t="str">
        <f>"SERVICE  11/30/2017"</f>
        <v>SERVICE  11/30/2017</v>
      </c>
    </row>
    <row r="1698" spans="1:9" x14ac:dyDescent="0.3">
      <c r="A1698" t="str">
        <f>"T6199"</f>
        <v>T6199</v>
      </c>
      <c r="B1698" t="s">
        <v>476</v>
      </c>
      <c r="C1698">
        <v>75273</v>
      </c>
      <c r="D1698" s="2">
        <v>100</v>
      </c>
      <c r="E1698" s="1">
        <v>43143</v>
      </c>
      <c r="F1698" t="str">
        <f>"TRAINING-T. THAMES"</f>
        <v>TRAINING-T. THAMES</v>
      </c>
      <c r="G1698" t="str">
        <f>"T. THAMES - COURSE 2106"</f>
        <v>T. THAMES - COURSE 2106</v>
      </c>
      <c r="H1698" s="2">
        <v>100</v>
      </c>
      <c r="I1698" t="str">
        <f>"T. THAMES - COURSE 2106"</f>
        <v>T. THAMES - COURSE 2106</v>
      </c>
    </row>
    <row r="1699" spans="1:9" x14ac:dyDescent="0.3">
      <c r="A1699" t="str">
        <f>"005136"</f>
        <v>005136</v>
      </c>
      <c r="B1699" t="s">
        <v>477</v>
      </c>
      <c r="C1699">
        <v>75274</v>
      </c>
      <c r="D1699" s="2">
        <v>2900</v>
      </c>
      <c r="E1699" s="1">
        <v>43143</v>
      </c>
      <c r="F1699" t="str">
        <f>"3300001049"</f>
        <v>3300001049</v>
      </c>
      <c r="G1699" t="str">
        <f>"INV#3300001049/CUST#100009"</f>
        <v>INV#3300001049/CUST#100009</v>
      </c>
      <c r="H1699" s="2">
        <v>2900</v>
      </c>
      <c r="I1699" t="str">
        <f>"INV#3300001049/CUST#100009"</f>
        <v>INV#3300001049/CUST#100009</v>
      </c>
    </row>
    <row r="1700" spans="1:9" x14ac:dyDescent="0.3">
      <c r="A1700" t="str">
        <f>"002944"</f>
        <v>002944</v>
      </c>
      <c r="B1700" t="s">
        <v>478</v>
      </c>
      <c r="C1700">
        <v>999999</v>
      </c>
      <c r="D1700" s="2">
        <v>3564.92</v>
      </c>
      <c r="E1700" s="1">
        <v>43144</v>
      </c>
      <c r="F1700" t="str">
        <f>"693422"</f>
        <v>693422</v>
      </c>
      <c r="G1700" t="str">
        <f>"INV 693422 / SPARE"</f>
        <v>INV 693422 / SPARE</v>
      </c>
      <c r="H1700" s="2">
        <v>160.97999999999999</v>
      </c>
      <c r="I1700" t="str">
        <f>"INV 693422 / SPARE"</f>
        <v>INV 693422 / SPARE</v>
      </c>
    </row>
    <row r="1701" spans="1:9" x14ac:dyDescent="0.3">
      <c r="A1701" t="str">
        <f>""</f>
        <v/>
      </c>
      <c r="F1701" t="str">
        <f>"693788/1670"</f>
        <v>693788/1670</v>
      </c>
      <c r="G1701" t="str">
        <f>"INV 693788/UNIT 1670"</f>
        <v>INV 693788/UNIT 1670</v>
      </c>
      <c r="H1701" s="2">
        <v>521.64</v>
      </c>
      <c r="I1701" t="str">
        <f>"INV 693788/UNIT 1670"</f>
        <v>INV 693788/UNIT 1670</v>
      </c>
    </row>
    <row r="1702" spans="1:9" x14ac:dyDescent="0.3">
      <c r="A1702" t="str">
        <f>""</f>
        <v/>
      </c>
      <c r="F1702" t="str">
        <f>"693957"</f>
        <v>693957</v>
      </c>
      <c r="G1702" t="str">
        <f>"INV 693957"</f>
        <v>INV 693957</v>
      </c>
      <c r="H1702" s="2">
        <v>91.27</v>
      </c>
      <c r="I1702" t="str">
        <f>"INV 693957"</f>
        <v>INV 693957</v>
      </c>
    </row>
    <row r="1703" spans="1:9" x14ac:dyDescent="0.3">
      <c r="A1703" t="str">
        <f>""</f>
        <v/>
      </c>
      <c r="F1703" t="str">
        <f>"694316"</f>
        <v>694316</v>
      </c>
      <c r="G1703" t="str">
        <f>"INV 694316/UNIT 3805"</f>
        <v>INV 694316/UNIT 3805</v>
      </c>
      <c r="H1703" s="2">
        <v>130.41</v>
      </c>
      <c r="I1703" t="str">
        <f>"INV 694316/UNIT 3805"</f>
        <v>INV 694316/UNIT 3805</v>
      </c>
    </row>
    <row r="1704" spans="1:9" x14ac:dyDescent="0.3">
      <c r="A1704" t="str">
        <f>""</f>
        <v/>
      </c>
      <c r="F1704" t="str">
        <f>"INV685275/TRAILER"</f>
        <v>INV685275/TRAILER</v>
      </c>
      <c r="G1704" t="str">
        <f>"INV 685275 / TRAILER"</f>
        <v>INV 685275 / TRAILER</v>
      </c>
      <c r="H1704" s="2">
        <v>122.01</v>
      </c>
      <c r="I1704" t="str">
        <f>"INV 685275 / TRAILER"</f>
        <v>INV 685275 / TRAILER</v>
      </c>
    </row>
    <row r="1705" spans="1:9" x14ac:dyDescent="0.3">
      <c r="A1705" t="str">
        <f>""</f>
        <v/>
      </c>
      <c r="F1705" t="str">
        <f>"INV685525/UNIT91"</f>
        <v>INV685525/UNIT91</v>
      </c>
      <c r="G1705" t="str">
        <f>"INV 685525/UNIT 91"</f>
        <v>INV 685525/UNIT 91</v>
      </c>
      <c r="H1705" s="2">
        <v>754.86</v>
      </c>
      <c r="I1705" t="str">
        <f>"INV 685525/UNIT 91"</f>
        <v>INV 685525/UNIT 91</v>
      </c>
    </row>
    <row r="1706" spans="1:9" x14ac:dyDescent="0.3">
      <c r="A1706" t="str">
        <f>""</f>
        <v/>
      </c>
      <c r="F1706" t="str">
        <f>"INV692846/UNIT1663"</f>
        <v>INV692846/UNIT1663</v>
      </c>
      <c r="G1706" t="str">
        <f>"INV 692846/UNIT 1663"</f>
        <v>INV 692846/UNIT 1663</v>
      </c>
      <c r="H1706" s="2">
        <v>521.64</v>
      </c>
      <c r="I1706" t="str">
        <f>"INV 692846/UNIT 1663"</f>
        <v>INV 692846/UNIT 1663</v>
      </c>
    </row>
    <row r="1707" spans="1:9" x14ac:dyDescent="0.3">
      <c r="A1707" t="str">
        <f>""</f>
        <v/>
      </c>
      <c r="F1707" t="str">
        <f>"INV693051/UNIT5273"</f>
        <v>INV693051/UNIT5273</v>
      </c>
      <c r="G1707" t="str">
        <f>"INV 693051/UNIT 5273"</f>
        <v>INV 693051/UNIT 5273</v>
      </c>
      <c r="H1707" s="2">
        <v>449.08</v>
      </c>
      <c r="I1707" t="str">
        <f>"INV 693051/UNIT 5273"</f>
        <v>INV 693051/UNIT 5273</v>
      </c>
    </row>
    <row r="1708" spans="1:9" x14ac:dyDescent="0.3">
      <c r="A1708" t="str">
        <f>""</f>
        <v/>
      </c>
      <c r="F1708" t="str">
        <f>"INV693421/UNIT80"</f>
        <v>INV693421/UNIT80</v>
      </c>
      <c r="G1708" t="str">
        <f>"INV 693421/UNIT 80"</f>
        <v>INV 693421/UNIT 80</v>
      </c>
      <c r="H1708" s="2">
        <v>160.97999999999999</v>
      </c>
      <c r="I1708" t="str">
        <f>"INV 693421/UNIT 80"</f>
        <v>INV 693421/UNIT 80</v>
      </c>
    </row>
    <row r="1709" spans="1:9" x14ac:dyDescent="0.3">
      <c r="A1709" t="str">
        <f>""</f>
        <v/>
      </c>
      <c r="F1709" t="str">
        <f>"INV693788/UNIT1670"</f>
        <v>INV693788/UNIT1670</v>
      </c>
      <c r="G1709" t="str">
        <f>"INV 693788/UNIT 1670"</f>
        <v>INV 693788/UNIT 1670</v>
      </c>
      <c r="H1709" s="2">
        <v>521.64</v>
      </c>
      <c r="I1709" t="str">
        <f>"INV 693788/UNIT 1670"</f>
        <v>INV 693788/UNIT 1670</v>
      </c>
    </row>
    <row r="1710" spans="1:9" x14ac:dyDescent="0.3">
      <c r="A1710" t="str">
        <f>""</f>
        <v/>
      </c>
      <c r="F1710" t="str">
        <f>"INV693958/UNIT6502"</f>
        <v>INV693958/UNIT6502</v>
      </c>
      <c r="G1710" t="str">
        <f>"INV 693958/UNIT 6502"</f>
        <v>INV 693958/UNIT 6502</v>
      </c>
      <c r="H1710" s="2">
        <v>130.41</v>
      </c>
      <c r="I1710" t="str">
        <f>"INV 693958/UNIT 6502"</f>
        <v>INV 693958/UNIT 6502</v>
      </c>
    </row>
    <row r="1711" spans="1:9" x14ac:dyDescent="0.3">
      <c r="A1711" t="str">
        <f>"002944"</f>
        <v>002944</v>
      </c>
      <c r="B1711" t="s">
        <v>478</v>
      </c>
      <c r="C1711">
        <v>999999</v>
      </c>
      <c r="D1711" s="2">
        <v>1434.51</v>
      </c>
      <c r="E1711" s="1">
        <v>43158</v>
      </c>
      <c r="F1711" t="str">
        <f>"694715"</f>
        <v>694715</v>
      </c>
      <c r="G1711" t="str">
        <f>"INV 694715/UNIT 4720"</f>
        <v>INV 694715/UNIT 4720</v>
      </c>
      <c r="H1711" s="2">
        <v>521.64</v>
      </c>
      <c r="I1711" t="str">
        <f>"INV 694715"</f>
        <v>INV 694715</v>
      </c>
    </row>
    <row r="1712" spans="1:9" x14ac:dyDescent="0.3">
      <c r="A1712" t="str">
        <f>""</f>
        <v/>
      </c>
      <c r="F1712" t="str">
        <f>"INV694872/UNIT1673"</f>
        <v>INV694872/UNIT1673</v>
      </c>
      <c r="G1712" t="str">
        <f>"INV 694872/ UNIT 1673"</f>
        <v>INV 694872/ UNIT 1673</v>
      </c>
      <c r="H1712" s="2">
        <v>521.64</v>
      </c>
      <c r="I1712" t="str">
        <f>"INV 694872/ UNIT 1673"</f>
        <v>INV 694872/ UNIT 1673</v>
      </c>
    </row>
    <row r="1713" spans="1:9" x14ac:dyDescent="0.3">
      <c r="A1713" t="str">
        <f>""</f>
        <v/>
      </c>
      <c r="F1713" t="str">
        <f>"INV695250/UNIT4716"</f>
        <v>INV695250/UNIT4716</v>
      </c>
      <c r="G1713" t="str">
        <f>"INV 695250/ UNIT 4716"</f>
        <v>INV 695250/ UNIT 4716</v>
      </c>
      <c r="H1713" s="2">
        <v>130.41</v>
      </c>
      <c r="I1713" t="str">
        <f>"INV 695250/ UNIT 4716"</f>
        <v>INV 695250/ UNIT 4716</v>
      </c>
    </row>
    <row r="1714" spans="1:9" x14ac:dyDescent="0.3">
      <c r="A1714" t="str">
        <f>""</f>
        <v/>
      </c>
      <c r="F1714" t="str">
        <f>"INV695716/UNIT0118"</f>
        <v>INV695716/UNIT0118</v>
      </c>
      <c r="G1714" t="str">
        <f>"INV 695716/ UNIT 0118"</f>
        <v>INV 695716/ UNIT 0118</v>
      </c>
      <c r="H1714" s="2">
        <v>130.41</v>
      </c>
      <c r="I1714" t="str">
        <f>"INV 695716/ UNIT 0118"</f>
        <v>INV 695716/ UNIT 0118</v>
      </c>
    </row>
    <row r="1715" spans="1:9" x14ac:dyDescent="0.3">
      <c r="A1715" t="str">
        <f>""</f>
        <v/>
      </c>
      <c r="F1715" t="str">
        <f>"INV695717/UNIT6556"</f>
        <v>INV695717/UNIT6556</v>
      </c>
      <c r="G1715" t="str">
        <f>"INV 695717/ UNIT 6556"</f>
        <v>INV 695717/ UNIT 6556</v>
      </c>
      <c r="H1715" s="2">
        <v>130.41</v>
      </c>
      <c r="I1715" t="str">
        <f>"INV 695717/ UNIT 6556"</f>
        <v>INV 695717/ UNIT 6556</v>
      </c>
    </row>
    <row r="1716" spans="1:9" x14ac:dyDescent="0.3">
      <c r="A1716" t="str">
        <f>"005413"</f>
        <v>005413</v>
      </c>
      <c r="B1716" t="s">
        <v>479</v>
      </c>
      <c r="C1716">
        <v>75275</v>
      </c>
      <c r="D1716" s="2">
        <v>70</v>
      </c>
      <c r="E1716" s="1">
        <v>43143</v>
      </c>
      <c r="F1716" t="str">
        <f>"201802018417"</f>
        <v>201802018417</v>
      </c>
      <c r="G1716" t="str">
        <f>"FERAL HOGS"</f>
        <v>FERAL HOGS</v>
      </c>
      <c r="H1716" s="2">
        <v>70</v>
      </c>
      <c r="I1716" t="str">
        <f>"FERAL HOGS"</f>
        <v>FERAL HOGS</v>
      </c>
    </row>
    <row r="1717" spans="1:9" x14ac:dyDescent="0.3">
      <c r="A1717" t="str">
        <f>"003883"</f>
        <v>003883</v>
      </c>
      <c r="B1717" t="s">
        <v>480</v>
      </c>
      <c r="C1717">
        <v>75276</v>
      </c>
      <c r="D1717" s="2">
        <v>15</v>
      </c>
      <c r="E1717" s="1">
        <v>43143</v>
      </c>
      <c r="F1717" t="str">
        <f>"201802018397"</f>
        <v>201802018397</v>
      </c>
      <c r="G1717" t="str">
        <f>"FERAL HOGS"</f>
        <v>FERAL HOGS</v>
      </c>
      <c r="H1717" s="2">
        <v>10</v>
      </c>
      <c r="I1717" t="str">
        <f>"FERAL HOGS"</f>
        <v>FERAL HOGS</v>
      </c>
    </row>
    <row r="1718" spans="1:9" x14ac:dyDescent="0.3">
      <c r="A1718" t="str">
        <f>""</f>
        <v/>
      </c>
      <c r="F1718" t="str">
        <f>"201802018399"</f>
        <v>201802018399</v>
      </c>
      <c r="G1718" t="str">
        <f>"FERAL HOGS"</f>
        <v>FERAL HOGS</v>
      </c>
      <c r="H1718" s="2">
        <v>5</v>
      </c>
      <c r="I1718" t="str">
        <f>"FERAL HOGS"</f>
        <v>FERAL HOGS</v>
      </c>
    </row>
    <row r="1719" spans="1:9" x14ac:dyDescent="0.3">
      <c r="A1719" t="str">
        <f>"003421"</f>
        <v>003421</v>
      </c>
      <c r="B1719" t="s">
        <v>481</v>
      </c>
      <c r="C1719">
        <v>75477</v>
      </c>
      <c r="D1719" s="2">
        <v>5418.22</v>
      </c>
      <c r="E1719" s="1">
        <v>43157</v>
      </c>
      <c r="F1719" t="str">
        <f>"109654779"</f>
        <v>109654779</v>
      </c>
      <c r="G1719" t="str">
        <f>"INV 109654779"</f>
        <v>INV 109654779</v>
      </c>
      <c r="H1719" s="2">
        <v>4724.22</v>
      </c>
      <c r="I1719" t="str">
        <f>"INV 109654779"</f>
        <v>INV 109654779</v>
      </c>
    </row>
    <row r="1720" spans="1:9" x14ac:dyDescent="0.3">
      <c r="A1720" t="str">
        <f>""</f>
        <v/>
      </c>
      <c r="F1720" t="str">
        <f>"109713301/4142/434"</f>
        <v>109713301/4142/434</v>
      </c>
      <c r="G1720" t="str">
        <f>"INV 109713301"</f>
        <v>INV 109713301</v>
      </c>
      <c r="H1720" s="2">
        <v>694</v>
      </c>
      <c r="I1720" t="str">
        <f>"INV 109713301"</f>
        <v>INV 109713301</v>
      </c>
    </row>
    <row r="1721" spans="1:9" x14ac:dyDescent="0.3">
      <c r="A1721" t="str">
        <f>""</f>
        <v/>
      </c>
      <c r="F1721" t="str">
        <f>""</f>
        <v/>
      </c>
      <c r="G1721" t="str">
        <f>""</f>
        <v/>
      </c>
      <c r="I1721" t="str">
        <f>"INV 109714142"</f>
        <v>INV 109714142</v>
      </c>
    </row>
    <row r="1722" spans="1:9" x14ac:dyDescent="0.3">
      <c r="A1722" t="str">
        <f>""</f>
        <v/>
      </c>
      <c r="F1722" t="str">
        <f>""</f>
        <v/>
      </c>
      <c r="G1722" t="str">
        <f>""</f>
        <v/>
      </c>
      <c r="I1722" t="str">
        <f>"INV 109714341"</f>
        <v>INV 109714341</v>
      </c>
    </row>
    <row r="1723" spans="1:9" x14ac:dyDescent="0.3">
      <c r="A1723" t="str">
        <f>"TRIPLE"</f>
        <v>TRIPLE</v>
      </c>
      <c r="B1723" t="s">
        <v>482</v>
      </c>
      <c r="C1723">
        <v>999999</v>
      </c>
      <c r="D1723" s="2">
        <v>12324.33</v>
      </c>
      <c r="E1723" s="1">
        <v>43144</v>
      </c>
      <c r="F1723" t="str">
        <f>"0013845-IN"</f>
        <v>0013845-IN</v>
      </c>
      <c r="G1723" t="str">
        <f>"CUST#0009084/DIESEL/PCT#1"</f>
        <v>CUST#0009084/DIESEL/PCT#1</v>
      </c>
      <c r="H1723" s="2">
        <v>6050.73</v>
      </c>
      <c r="I1723" t="str">
        <f>"CUST#0009084/DIESEL/PCT#1"</f>
        <v>CUST#0009084/DIESEL/PCT#1</v>
      </c>
    </row>
    <row r="1724" spans="1:9" x14ac:dyDescent="0.3">
      <c r="A1724" t="str">
        <f>""</f>
        <v/>
      </c>
      <c r="F1724" t="str">
        <f>"0013896-IN"</f>
        <v>0013896-IN</v>
      </c>
      <c r="G1724" t="str">
        <f>"CUST#0009087/FUEL/PCT#4"</f>
        <v>CUST#0009087/FUEL/PCT#4</v>
      </c>
      <c r="H1724" s="2">
        <v>6273.6</v>
      </c>
      <c r="I1724" t="str">
        <f>"CUST#0009087/FUEL/PCT#4"</f>
        <v>CUST#0009087/FUEL/PCT#4</v>
      </c>
    </row>
    <row r="1725" spans="1:9" x14ac:dyDescent="0.3">
      <c r="A1725" t="str">
        <f>"TRIPLE"</f>
        <v>TRIPLE</v>
      </c>
      <c r="B1725" t="s">
        <v>482</v>
      </c>
      <c r="C1725">
        <v>999999</v>
      </c>
      <c r="D1725" s="2">
        <v>11225.24</v>
      </c>
      <c r="E1725" s="1">
        <v>43158</v>
      </c>
      <c r="F1725" t="str">
        <f>"0014194-IN"</f>
        <v>0014194-IN</v>
      </c>
      <c r="G1725" t="str">
        <f>"CUST#0009087/DIESEL/PCT#4"</f>
        <v>CUST#0009087/DIESEL/PCT#4</v>
      </c>
      <c r="H1725" s="2">
        <v>5226.54</v>
      </c>
      <c r="I1725" t="str">
        <f>"CUST#0009087/DIESEL/PCT#4"</f>
        <v>CUST#0009087/DIESEL/PCT#4</v>
      </c>
    </row>
    <row r="1726" spans="1:9" x14ac:dyDescent="0.3">
      <c r="A1726" t="str">
        <f>""</f>
        <v/>
      </c>
      <c r="F1726" t="str">
        <f>"0014215-IN"</f>
        <v>0014215-IN</v>
      </c>
      <c r="G1726" t="str">
        <f>"CUST#0009084/PCT#1"</f>
        <v>CUST#0009084/PCT#1</v>
      </c>
      <c r="H1726" s="2">
        <v>5605.37</v>
      </c>
      <c r="I1726" t="str">
        <f>"CUST#0009084/PCT#1"</f>
        <v>CUST#0009084/PCT#1</v>
      </c>
    </row>
    <row r="1727" spans="1:9" x14ac:dyDescent="0.3">
      <c r="A1727" t="str">
        <f>""</f>
        <v/>
      </c>
      <c r="F1727" t="str">
        <f>"0014223-IN"</f>
        <v>0014223-IN</v>
      </c>
      <c r="G1727" t="str">
        <f>"CUST#0009087/PCT#4"</f>
        <v>CUST#0009087/PCT#4</v>
      </c>
      <c r="H1727" s="2">
        <v>393.33</v>
      </c>
      <c r="I1727" t="str">
        <f>"CUST#0009087/PCT#4"</f>
        <v>CUST#0009087/PCT#4</v>
      </c>
    </row>
    <row r="1728" spans="1:9" x14ac:dyDescent="0.3">
      <c r="A1728" t="str">
        <f>"TRACTO"</f>
        <v>TRACTO</v>
      </c>
      <c r="B1728" t="s">
        <v>483</v>
      </c>
      <c r="C1728">
        <v>75277</v>
      </c>
      <c r="D1728" s="2">
        <v>1786.09</v>
      </c>
      <c r="E1728" s="1">
        <v>43143</v>
      </c>
      <c r="F1728" t="str">
        <f>"ACCT#5301200160982"</f>
        <v>ACCT#5301200160982</v>
      </c>
      <c r="G1728" t="str">
        <f>"Acct# 6035301200160982"</f>
        <v>Acct# 6035301200160982</v>
      </c>
      <c r="H1728" s="2">
        <v>1786.09</v>
      </c>
      <c r="I1728" t="str">
        <f>"Inv# 200464864"</f>
        <v>Inv# 200464864</v>
      </c>
    </row>
    <row r="1729" spans="1:9" x14ac:dyDescent="0.3">
      <c r="A1729" t="str">
        <f>""</f>
        <v/>
      </c>
      <c r="F1729" t="str">
        <f>""</f>
        <v/>
      </c>
      <c r="G1729" t="str">
        <f>""</f>
        <v/>
      </c>
      <c r="I1729" t="str">
        <f>"Inv# 200464874"</f>
        <v>Inv# 200464874</v>
      </c>
    </row>
    <row r="1730" spans="1:9" x14ac:dyDescent="0.3">
      <c r="A1730" t="str">
        <f>""</f>
        <v/>
      </c>
      <c r="F1730" t="str">
        <f>""</f>
        <v/>
      </c>
      <c r="G1730" t="str">
        <f>""</f>
        <v/>
      </c>
      <c r="I1730" t="str">
        <f>"Inv# 200464879"</f>
        <v>Inv# 200464879</v>
      </c>
    </row>
    <row r="1731" spans="1:9" x14ac:dyDescent="0.3">
      <c r="A1731" t="str">
        <f>""</f>
        <v/>
      </c>
      <c r="F1731" t="str">
        <f>""</f>
        <v/>
      </c>
      <c r="G1731" t="str">
        <f>""</f>
        <v/>
      </c>
      <c r="I1731" t="str">
        <f>"Inv# 300428738"</f>
        <v>Inv# 300428738</v>
      </c>
    </row>
    <row r="1732" spans="1:9" x14ac:dyDescent="0.3">
      <c r="A1732" t="str">
        <f>""</f>
        <v/>
      </c>
      <c r="F1732" t="str">
        <f>""</f>
        <v/>
      </c>
      <c r="G1732" t="str">
        <f>""</f>
        <v/>
      </c>
      <c r="I1732" t="str">
        <f>"Inv# 100545517"</f>
        <v>Inv# 100545517</v>
      </c>
    </row>
    <row r="1733" spans="1:9" x14ac:dyDescent="0.3">
      <c r="A1733" t="str">
        <f>""</f>
        <v/>
      </c>
      <c r="F1733" t="str">
        <f>""</f>
        <v/>
      </c>
      <c r="G1733" t="str">
        <f>""</f>
        <v/>
      </c>
      <c r="I1733" t="str">
        <f>"Inv# 200466342"</f>
        <v>Inv# 200466342</v>
      </c>
    </row>
    <row r="1734" spans="1:9" x14ac:dyDescent="0.3">
      <c r="A1734" t="str">
        <f>""</f>
        <v/>
      </c>
      <c r="F1734" t="str">
        <f>""</f>
        <v/>
      </c>
      <c r="G1734" t="str">
        <f>""</f>
        <v/>
      </c>
      <c r="I1734" t="str">
        <f>"Inv# 300428732"</f>
        <v>Inv# 300428732</v>
      </c>
    </row>
    <row r="1735" spans="1:9" x14ac:dyDescent="0.3">
      <c r="A1735" t="str">
        <f>""</f>
        <v/>
      </c>
      <c r="F1735" t="str">
        <f>""</f>
        <v/>
      </c>
      <c r="G1735" t="str">
        <f>""</f>
        <v/>
      </c>
      <c r="I1735" t="str">
        <f>"Inv# 300430722"</f>
        <v>Inv# 300430722</v>
      </c>
    </row>
    <row r="1736" spans="1:9" x14ac:dyDescent="0.3">
      <c r="A1736" t="str">
        <f>""</f>
        <v/>
      </c>
      <c r="F1736" t="str">
        <f>""</f>
        <v/>
      </c>
      <c r="G1736" t="str">
        <f>""</f>
        <v/>
      </c>
      <c r="I1736" t="str">
        <f>"Inv# 200466319"</f>
        <v>Inv# 200466319</v>
      </c>
    </row>
    <row r="1737" spans="1:9" x14ac:dyDescent="0.3">
      <c r="A1737" t="str">
        <f>""</f>
        <v/>
      </c>
      <c r="F1737" t="str">
        <f>""</f>
        <v/>
      </c>
      <c r="G1737" t="str">
        <f>""</f>
        <v/>
      </c>
      <c r="I1737" t="str">
        <f>"Inv# 300424821"</f>
        <v>Inv# 300424821</v>
      </c>
    </row>
    <row r="1738" spans="1:9" x14ac:dyDescent="0.3">
      <c r="A1738" t="str">
        <f>""</f>
        <v/>
      </c>
      <c r="F1738" t="str">
        <f>""</f>
        <v/>
      </c>
      <c r="G1738" t="str">
        <f>""</f>
        <v/>
      </c>
      <c r="I1738" t="str">
        <f>"Inv# 200468062"</f>
        <v>Inv# 200468062</v>
      </c>
    </row>
    <row r="1739" spans="1:9" x14ac:dyDescent="0.3">
      <c r="A1739" t="str">
        <f>""</f>
        <v/>
      </c>
      <c r="F1739" t="str">
        <f>""</f>
        <v/>
      </c>
      <c r="G1739" t="str">
        <f>""</f>
        <v/>
      </c>
      <c r="I1739" t="str">
        <f>"Inv# 300422519"</f>
        <v>Inv# 300422519</v>
      </c>
    </row>
    <row r="1740" spans="1:9" x14ac:dyDescent="0.3">
      <c r="A1740" t="str">
        <f>""</f>
        <v/>
      </c>
      <c r="F1740" t="str">
        <f>""</f>
        <v/>
      </c>
      <c r="G1740" t="str">
        <f>""</f>
        <v/>
      </c>
      <c r="I1740" t="str">
        <f>"Inv# 200461000"</f>
        <v>Inv# 200461000</v>
      </c>
    </row>
    <row r="1741" spans="1:9" x14ac:dyDescent="0.3">
      <c r="A1741" t="str">
        <f>""</f>
        <v/>
      </c>
      <c r="F1741" t="str">
        <f>""</f>
        <v/>
      </c>
      <c r="G1741" t="str">
        <f>""</f>
        <v/>
      </c>
      <c r="I1741" t="str">
        <f>"Inv# 200464609"</f>
        <v>Inv# 200464609</v>
      </c>
    </row>
    <row r="1742" spans="1:9" x14ac:dyDescent="0.3">
      <c r="A1742" t="str">
        <f>"TULL"</f>
        <v>TULL</v>
      </c>
      <c r="B1742" t="s">
        <v>484</v>
      </c>
      <c r="C1742">
        <v>75278</v>
      </c>
      <c r="D1742" s="2">
        <v>2975</v>
      </c>
      <c r="E1742" s="1">
        <v>43143</v>
      </c>
      <c r="F1742" t="str">
        <f>"201801238214"</f>
        <v>201801238214</v>
      </c>
      <c r="G1742" t="str">
        <f>"403196-1M"</f>
        <v>403196-1M</v>
      </c>
      <c r="H1742" s="2">
        <v>400</v>
      </c>
      <c r="I1742" t="str">
        <f>"403196-1M"</f>
        <v>403196-1M</v>
      </c>
    </row>
    <row r="1743" spans="1:9" x14ac:dyDescent="0.3">
      <c r="A1743" t="str">
        <f>""</f>
        <v/>
      </c>
      <c r="F1743" t="str">
        <f>"201801238215"</f>
        <v>201801238215</v>
      </c>
      <c r="G1743" t="str">
        <f>"201503501  405115-3M"</f>
        <v>201503501  405115-3M</v>
      </c>
      <c r="H1743" s="2">
        <v>400</v>
      </c>
      <c r="I1743" t="str">
        <f>"201503501  405115-3M"</f>
        <v>201503501  405115-3M</v>
      </c>
    </row>
    <row r="1744" spans="1:9" x14ac:dyDescent="0.3">
      <c r="A1744" t="str">
        <f>""</f>
        <v/>
      </c>
      <c r="F1744" t="str">
        <f>"201801248218"</f>
        <v>201801248218</v>
      </c>
      <c r="G1744" t="str">
        <f>"305112017A"</f>
        <v>305112017A</v>
      </c>
      <c r="H1744" s="2">
        <v>400</v>
      </c>
      <c r="I1744" t="str">
        <f>"305112017A"</f>
        <v>305112017A</v>
      </c>
    </row>
    <row r="1745" spans="1:9" x14ac:dyDescent="0.3">
      <c r="A1745" t="str">
        <f>""</f>
        <v/>
      </c>
      <c r="F1745" t="str">
        <f>"201801308335"</f>
        <v>201801308335</v>
      </c>
      <c r="G1745" t="str">
        <f>"CH20160104E/LEA#BPD20160014"</f>
        <v>CH20160104E/LEA#BPD20160014</v>
      </c>
      <c r="H1745" s="2">
        <v>250</v>
      </c>
      <c r="I1745" t="str">
        <f>"CH20160104E/LEA#BPD20160014"</f>
        <v>CH20160104E/LEA#BPD20160014</v>
      </c>
    </row>
    <row r="1746" spans="1:9" x14ac:dyDescent="0.3">
      <c r="A1746" t="str">
        <f>""</f>
        <v/>
      </c>
      <c r="F1746" t="str">
        <f>"201801308336"</f>
        <v>201801308336</v>
      </c>
      <c r="G1746" t="str">
        <f>"20160508/LEA#SPD20160508"</f>
        <v>20160508/LEA#SPD20160508</v>
      </c>
      <c r="H1746" s="2">
        <v>250</v>
      </c>
      <c r="I1746" t="str">
        <f>"20160508/LEA#SPD20160508"</f>
        <v>20160508/LEA#SPD20160508</v>
      </c>
    </row>
    <row r="1747" spans="1:9" x14ac:dyDescent="0.3">
      <c r="A1747" t="str">
        <f>""</f>
        <v/>
      </c>
      <c r="F1747" t="str">
        <f>"201801308337"</f>
        <v>201801308337</v>
      </c>
      <c r="G1747" t="str">
        <f>"307172017A"</f>
        <v>307172017A</v>
      </c>
      <c r="H1747" s="2">
        <v>250</v>
      </c>
      <c r="I1747" t="str">
        <f>"307172017A"</f>
        <v>307172017A</v>
      </c>
    </row>
    <row r="1748" spans="1:9" x14ac:dyDescent="0.3">
      <c r="A1748" t="str">
        <f>""</f>
        <v/>
      </c>
      <c r="F1748" t="str">
        <f>"201801308338"</f>
        <v>201801308338</v>
      </c>
      <c r="G1748" t="str">
        <f>"CH20170706A"</f>
        <v>CH20170706A</v>
      </c>
      <c r="H1748" s="2">
        <v>250</v>
      </c>
      <c r="I1748" t="str">
        <f>"CH20170706A"</f>
        <v>CH20170706A</v>
      </c>
    </row>
    <row r="1749" spans="1:9" x14ac:dyDescent="0.3">
      <c r="A1749" t="str">
        <f>""</f>
        <v/>
      </c>
      <c r="F1749" t="str">
        <f>"201801308339"</f>
        <v>201801308339</v>
      </c>
      <c r="G1749" t="str">
        <f>"CH20140312-B/CH20140312-C"</f>
        <v>CH20140312-B/CH20140312-C</v>
      </c>
      <c r="H1749" s="2">
        <v>375</v>
      </c>
      <c r="I1749" t="str">
        <f>"CH20140312-B/CH20140312-C"</f>
        <v>CH20140312-B/CH20140312-C</v>
      </c>
    </row>
    <row r="1750" spans="1:9" x14ac:dyDescent="0.3">
      <c r="A1750" t="str">
        <f>""</f>
        <v/>
      </c>
      <c r="F1750" t="str">
        <f>"201802018445"</f>
        <v>201802018445</v>
      </c>
      <c r="G1750" t="str">
        <f>"20160343"</f>
        <v>20160343</v>
      </c>
      <c r="H1750" s="2">
        <v>400</v>
      </c>
      <c r="I1750" t="str">
        <f>"20160343"</f>
        <v>20160343</v>
      </c>
    </row>
    <row r="1751" spans="1:9" x14ac:dyDescent="0.3">
      <c r="A1751" t="str">
        <f>"TULL"</f>
        <v>TULL</v>
      </c>
      <c r="B1751" t="s">
        <v>484</v>
      </c>
      <c r="C1751">
        <v>75478</v>
      </c>
      <c r="D1751" s="2">
        <v>2200</v>
      </c>
      <c r="E1751" s="1">
        <v>43157</v>
      </c>
      <c r="F1751" t="str">
        <f>"201802148697"</f>
        <v>201802148697</v>
      </c>
      <c r="G1751" t="str">
        <f>"16 398"</f>
        <v>16 398</v>
      </c>
      <c r="H1751" s="2">
        <v>400</v>
      </c>
      <c r="I1751" t="str">
        <f>"16 398"</f>
        <v>16 398</v>
      </c>
    </row>
    <row r="1752" spans="1:9" x14ac:dyDescent="0.3">
      <c r="A1752" t="str">
        <f>""</f>
        <v/>
      </c>
      <c r="F1752" t="str">
        <f>"201802148740"</f>
        <v>201802148740</v>
      </c>
      <c r="G1752" t="str">
        <f>"55 517/55 518/55 686"</f>
        <v>55 517/55 518/55 686</v>
      </c>
      <c r="H1752" s="2">
        <v>500</v>
      </c>
      <c r="I1752" t="str">
        <f>"55 517/55 518/55 686"</f>
        <v>55 517/55 518/55 686</v>
      </c>
    </row>
    <row r="1753" spans="1:9" x14ac:dyDescent="0.3">
      <c r="A1753" t="str">
        <f>""</f>
        <v/>
      </c>
      <c r="F1753" t="str">
        <f>"201802148741"</f>
        <v>201802148741</v>
      </c>
      <c r="G1753" t="str">
        <f>"55 135"</f>
        <v>55 135</v>
      </c>
      <c r="H1753" s="2">
        <v>250</v>
      </c>
      <c r="I1753" t="str">
        <f>"55 135"</f>
        <v>55 135</v>
      </c>
    </row>
    <row r="1754" spans="1:9" x14ac:dyDescent="0.3">
      <c r="A1754" t="str">
        <f>""</f>
        <v/>
      </c>
      <c r="F1754" t="str">
        <f>"201802158762"</f>
        <v>201802158762</v>
      </c>
      <c r="G1754" t="str">
        <f>"16 374 407086-2M 407086-3M"</f>
        <v>16 374 407086-2M 407086-3M</v>
      </c>
      <c r="H1754" s="2">
        <v>800</v>
      </c>
      <c r="I1754" t="str">
        <f>"16 374 407086-2M 407086-3M"</f>
        <v>16 374 407086-2M 407086-3M</v>
      </c>
    </row>
    <row r="1755" spans="1:9" x14ac:dyDescent="0.3">
      <c r="A1755" t="str">
        <f>""</f>
        <v/>
      </c>
      <c r="F1755" t="str">
        <f>"201802168786"</f>
        <v>201802168786</v>
      </c>
      <c r="G1755" t="str">
        <f>"407086-4M"</f>
        <v>407086-4M</v>
      </c>
      <c r="H1755" s="2">
        <v>250</v>
      </c>
      <c r="I1755" t="str">
        <f>"407086-4M"</f>
        <v>407086-4M</v>
      </c>
    </row>
    <row r="1756" spans="1:9" x14ac:dyDescent="0.3">
      <c r="A1756" t="str">
        <f>"TWC"</f>
        <v>TWC</v>
      </c>
      <c r="B1756" t="s">
        <v>485</v>
      </c>
      <c r="C1756">
        <v>75279</v>
      </c>
      <c r="D1756" s="2">
        <v>1610</v>
      </c>
      <c r="E1756" s="1">
        <v>43143</v>
      </c>
      <c r="F1756" t="str">
        <f>"WTR0049172/173/174"</f>
        <v>WTR0049172/173/174</v>
      </c>
      <c r="G1756" t="str">
        <f>"ACCT#0620010/ONSITE COUNCIL FE"</f>
        <v>ACCT#0620010/ONSITE COUNCIL FE</v>
      </c>
      <c r="H1756" s="2">
        <v>1610</v>
      </c>
      <c r="I1756" t="str">
        <f>"ACCT#0620010/ONSITE COUNCIL FE"</f>
        <v>ACCT#0620010/ONSITE COUNCIL FE</v>
      </c>
    </row>
    <row r="1757" spans="1:9" x14ac:dyDescent="0.3">
      <c r="A1757" t="str">
        <f>"T11867"</f>
        <v>T11867</v>
      </c>
      <c r="B1757" t="s">
        <v>486</v>
      </c>
      <c r="C1757">
        <v>75280</v>
      </c>
      <c r="D1757" s="2">
        <v>225</v>
      </c>
      <c r="E1757" s="1">
        <v>43143</v>
      </c>
      <c r="F1757" t="str">
        <f>"14272"</f>
        <v>14272</v>
      </c>
      <c r="G1757" t="str">
        <f>"2018 MEMBERSHIP DUES-R. DAVIS"</f>
        <v>2018 MEMBERSHIP DUES-R. DAVIS</v>
      </c>
      <c r="H1757" s="2">
        <v>75</v>
      </c>
      <c r="I1757" t="str">
        <f>"2018 MEMBERSHIP DUES"</f>
        <v>2018 MEMBERSHIP DUES</v>
      </c>
    </row>
    <row r="1758" spans="1:9" x14ac:dyDescent="0.3">
      <c r="A1758" t="str">
        <f>""</f>
        <v/>
      </c>
      <c r="F1758" t="str">
        <f>"14415"</f>
        <v>14415</v>
      </c>
      <c r="G1758" t="str">
        <f>"2018 MEMBERSHIP DUES-K. HANNA"</f>
        <v>2018 MEMBERSHIP DUES-K. HANNA</v>
      </c>
      <c r="H1758" s="2">
        <v>75</v>
      </c>
      <c r="I1758" t="str">
        <f>"2018 MEMBERSHIP DUES-K. HANNA"</f>
        <v>2018 MEMBERSHIP DUES-K. HANNA</v>
      </c>
    </row>
    <row r="1759" spans="1:9" x14ac:dyDescent="0.3">
      <c r="A1759" t="str">
        <f>""</f>
        <v/>
      </c>
      <c r="F1759" t="str">
        <f>"14900"</f>
        <v>14900</v>
      </c>
      <c r="G1759" t="str">
        <f>"2018 MEMBERSHIP DUES-D. TINER"</f>
        <v>2018 MEMBERSHIP DUES-D. TINER</v>
      </c>
      <c r="H1759" s="2">
        <v>75</v>
      </c>
      <c r="I1759" t="str">
        <f>"2018 MEMBERSHIP DUES-D. TINER"</f>
        <v>2018 MEMBERSHIP DUES-D. TINER</v>
      </c>
    </row>
    <row r="1760" spans="1:9" x14ac:dyDescent="0.3">
      <c r="A1760" t="str">
        <f>"TXTAG"</f>
        <v>TXTAG</v>
      </c>
      <c r="B1760" t="s">
        <v>487</v>
      </c>
      <c r="C1760">
        <v>75479</v>
      </c>
      <c r="D1760" s="2">
        <v>631.1</v>
      </c>
      <c r="E1760" s="1">
        <v>43157</v>
      </c>
      <c r="F1760" t="str">
        <f>"349887291 1/4-2/11"</f>
        <v>349887291 1/4-2/11</v>
      </c>
      <c r="G1760" t="str">
        <f>"Acct# 349887291"</f>
        <v>Acct# 349887291</v>
      </c>
      <c r="H1760" s="2">
        <v>631.1</v>
      </c>
      <c r="I1760" t="str">
        <f>"Tex.03737840"</f>
        <v>Tex.03737840</v>
      </c>
    </row>
    <row r="1761" spans="1:9" x14ac:dyDescent="0.3">
      <c r="A1761" t="str">
        <f>""</f>
        <v/>
      </c>
      <c r="F1761" t="str">
        <f>""</f>
        <v/>
      </c>
      <c r="G1761" t="str">
        <f>""</f>
        <v/>
      </c>
      <c r="I1761" t="str">
        <f>"Tex03920202"</f>
        <v>Tex03920202</v>
      </c>
    </row>
    <row r="1762" spans="1:9" x14ac:dyDescent="0.3">
      <c r="A1762" t="str">
        <f>""</f>
        <v/>
      </c>
      <c r="F1762" t="str">
        <f>""</f>
        <v/>
      </c>
      <c r="G1762" t="str">
        <f>""</f>
        <v/>
      </c>
      <c r="I1762" t="str">
        <f>"Tx-1194229"</f>
        <v>Tx-1194229</v>
      </c>
    </row>
    <row r="1763" spans="1:9" x14ac:dyDescent="0.3">
      <c r="A1763" t="str">
        <f>""</f>
        <v/>
      </c>
      <c r="F1763" t="str">
        <f>""</f>
        <v/>
      </c>
      <c r="G1763" t="str">
        <f>""</f>
        <v/>
      </c>
      <c r="I1763" t="str">
        <f>"Tex.03997740"</f>
        <v>Tex.03997740</v>
      </c>
    </row>
    <row r="1764" spans="1:9" x14ac:dyDescent="0.3">
      <c r="A1764" t="str">
        <f>""</f>
        <v/>
      </c>
      <c r="F1764" t="str">
        <f>""</f>
        <v/>
      </c>
      <c r="G1764" t="str">
        <f>""</f>
        <v/>
      </c>
      <c r="I1764" t="str">
        <f>"Tex.03737832"</f>
        <v>Tex.03737832</v>
      </c>
    </row>
    <row r="1765" spans="1:9" x14ac:dyDescent="0.3">
      <c r="A1765" t="str">
        <f>""</f>
        <v/>
      </c>
      <c r="F1765" t="str">
        <f>""</f>
        <v/>
      </c>
      <c r="G1765" t="str">
        <f>""</f>
        <v/>
      </c>
      <c r="I1765" t="str">
        <f>"Tex.03737834"</f>
        <v>Tex.03737834</v>
      </c>
    </row>
    <row r="1766" spans="1:9" x14ac:dyDescent="0.3">
      <c r="A1766" t="str">
        <f>""</f>
        <v/>
      </c>
      <c r="F1766" t="str">
        <f>""</f>
        <v/>
      </c>
      <c r="G1766" t="str">
        <f>""</f>
        <v/>
      </c>
      <c r="I1766" t="str">
        <f>"Tex.03737835"</f>
        <v>Tex.03737835</v>
      </c>
    </row>
    <row r="1767" spans="1:9" x14ac:dyDescent="0.3">
      <c r="A1767" t="str">
        <f>""</f>
        <v/>
      </c>
      <c r="F1767" t="str">
        <f>""</f>
        <v/>
      </c>
      <c r="G1767" t="str">
        <f>""</f>
        <v/>
      </c>
      <c r="I1767" t="str">
        <f>"Tex.03737836"</f>
        <v>Tex.03737836</v>
      </c>
    </row>
    <row r="1768" spans="1:9" x14ac:dyDescent="0.3">
      <c r="A1768" t="str">
        <f>""</f>
        <v/>
      </c>
      <c r="F1768" t="str">
        <f>""</f>
        <v/>
      </c>
      <c r="G1768" t="str">
        <f>""</f>
        <v/>
      </c>
      <c r="I1768" t="str">
        <f>"Tex.03737837"</f>
        <v>Tex.03737837</v>
      </c>
    </row>
    <row r="1769" spans="1:9" x14ac:dyDescent="0.3">
      <c r="A1769" t="str">
        <f>"001513"</f>
        <v>001513</v>
      </c>
      <c r="B1769" t="s">
        <v>488</v>
      </c>
      <c r="C1769">
        <v>75281</v>
      </c>
      <c r="D1769" s="2">
        <v>3000</v>
      </c>
      <c r="E1769" s="1">
        <v>43143</v>
      </c>
      <c r="F1769" t="str">
        <f>"025-210840"</f>
        <v>025-210840</v>
      </c>
      <c r="G1769" t="str">
        <f>"Active 911 Interface"</f>
        <v>Active 911 Interface</v>
      </c>
      <c r="H1769" s="2">
        <v>3000</v>
      </c>
      <c r="I1769" t="str">
        <f>"Fee"</f>
        <v>Fee</v>
      </c>
    </row>
    <row r="1770" spans="1:9" x14ac:dyDescent="0.3">
      <c r="A1770" t="str">
        <f>""</f>
        <v/>
      </c>
      <c r="F1770" t="str">
        <f>""</f>
        <v/>
      </c>
      <c r="G1770" t="str">
        <f>""</f>
        <v/>
      </c>
      <c r="I1770" t="str">
        <f>"Discount"</f>
        <v>Discount</v>
      </c>
    </row>
    <row r="1771" spans="1:9" x14ac:dyDescent="0.3">
      <c r="A1771" t="str">
        <f>"TYLER"</f>
        <v>TYLER</v>
      </c>
      <c r="B1771" t="s">
        <v>489</v>
      </c>
      <c r="C1771">
        <v>999999</v>
      </c>
      <c r="D1771" s="2">
        <v>87</v>
      </c>
      <c r="E1771" s="1">
        <v>43144</v>
      </c>
      <c r="F1771" t="str">
        <f>"030-11637"</f>
        <v>030-11637</v>
      </c>
      <c r="G1771" t="str">
        <f>"CUST#42161/MAINTENANCE"</f>
        <v>CUST#42161/MAINTENANCE</v>
      </c>
      <c r="H1771" s="2">
        <v>87</v>
      </c>
      <c r="I1771" t="str">
        <f>"CUST#42161/MAINTENANCE"</f>
        <v>CUST#42161/MAINTENANCE</v>
      </c>
    </row>
    <row r="1772" spans="1:9" x14ac:dyDescent="0.3">
      <c r="A1772" t="str">
        <f>"TYLER"</f>
        <v>TYLER</v>
      </c>
      <c r="B1772" t="s">
        <v>489</v>
      </c>
      <c r="C1772">
        <v>999999</v>
      </c>
      <c r="D1772" s="2">
        <v>925</v>
      </c>
      <c r="E1772" s="1">
        <v>43158</v>
      </c>
      <c r="F1772" t="str">
        <f>"045-213953"</f>
        <v>045-213953</v>
      </c>
      <c r="G1772" t="str">
        <f>"TYLER CONNECT CONFERENCE"</f>
        <v>TYLER CONNECT CONFERENCE</v>
      </c>
      <c r="H1772" s="2">
        <v>925</v>
      </c>
      <c r="I1772" t="str">
        <f>"TYLER CONNECT CONFERENCE"</f>
        <v>TYLER CONNECT CONFERENCE</v>
      </c>
    </row>
    <row r="1773" spans="1:9" x14ac:dyDescent="0.3">
      <c r="A1773" t="str">
        <f>"T5739"</f>
        <v>T5739</v>
      </c>
      <c r="B1773" t="s">
        <v>490</v>
      </c>
      <c r="C1773">
        <v>75282</v>
      </c>
      <c r="D1773" s="2">
        <v>517.84</v>
      </c>
      <c r="E1773" s="1">
        <v>43143</v>
      </c>
      <c r="F1773" t="str">
        <f>"201802068578"</f>
        <v>201802068578</v>
      </c>
      <c r="G1773" t="str">
        <f>"CUST#706810/ANIMAL SVCS"</f>
        <v>CUST#706810/ANIMAL SVCS</v>
      </c>
      <c r="H1773" s="2">
        <v>517.84</v>
      </c>
      <c r="I1773" t="str">
        <f>"CUST#706810/ANIMAL SVCS"</f>
        <v>CUST#706810/ANIMAL SVCS</v>
      </c>
    </row>
    <row r="1774" spans="1:9" x14ac:dyDescent="0.3">
      <c r="A1774" t="str">
        <f>""</f>
        <v/>
      </c>
      <c r="F1774" t="str">
        <f>""</f>
        <v/>
      </c>
      <c r="G1774" t="str">
        <f>""</f>
        <v/>
      </c>
      <c r="I1774" t="str">
        <f>"CUST#706810/ANIMAL SVCS"</f>
        <v>CUST#706810/ANIMAL SVCS</v>
      </c>
    </row>
    <row r="1775" spans="1:9" x14ac:dyDescent="0.3">
      <c r="A1775" t="str">
        <f>"005382"</f>
        <v>005382</v>
      </c>
      <c r="B1775" t="s">
        <v>491</v>
      </c>
      <c r="C1775">
        <v>75480</v>
      </c>
      <c r="D1775" s="2">
        <v>1875</v>
      </c>
      <c r="E1775" s="1">
        <v>43157</v>
      </c>
      <c r="F1775" t="str">
        <f>"I80462403"</f>
        <v>I80462403</v>
      </c>
      <c r="G1775" t="str">
        <f>"Quote Number: Q80052403"</f>
        <v>Quote Number: Q80052403</v>
      </c>
      <c r="H1775" s="2">
        <v>1875</v>
      </c>
      <c r="I1775" t="str">
        <f>"SKU# INST-ENT-500"</f>
        <v>SKU# INST-ENT-500</v>
      </c>
    </row>
    <row r="1776" spans="1:9" x14ac:dyDescent="0.3">
      <c r="A1776" t="str">
        <f>""</f>
        <v/>
      </c>
      <c r="F1776" t="str">
        <f>""</f>
        <v/>
      </c>
      <c r="G1776" t="str">
        <f>""</f>
        <v/>
      </c>
      <c r="I1776" t="str">
        <f>"Discount"</f>
        <v>Discount</v>
      </c>
    </row>
    <row r="1777" spans="1:10" x14ac:dyDescent="0.3">
      <c r="A1777" t="str">
        <f>""</f>
        <v/>
      </c>
      <c r="F1777" t="str">
        <f>""</f>
        <v/>
      </c>
      <c r="G1777" t="str">
        <f>""</f>
        <v/>
      </c>
      <c r="I1777" t="str">
        <f>"SKU# INST-SMUU-500"</f>
        <v>SKU# INST-SMUU-500</v>
      </c>
    </row>
    <row r="1778" spans="1:10" x14ac:dyDescent="0.3">
      <c r="A1778" t="str">
        <f>""</f>
        <v/>
      </c>
      <c r="F1778" t="str">
        <f>""</f>
        <v/>
      </c>
      <c r="G1778" t="str">
        <f>""</f>
        <v/>
      </c>
      <c r="I1778" t="str">
        <f>"Discount"</f>
        <v>Discount</v>
      </c>
    </row>
    <row r="1779" spans="1:10" x14ac:dyDescent="0.3">
      <c r="A1779" t="str">
        <f>"005395"</f>
        <v>005395</v>
      </c>
      <c r="B1779" t="s">
        <v>492</v>
      </c>
      <c r="C1779">
        <v>75283</v>
      </c>
      <c r="D1779" s="2">
        <v>1100</v>
      </c>
      <c r="E1779" s="1">
        <v>43143</v>
      </c>
      <c r="F1779" t="str">
        <f>"201801238192"</f>
        <v>201801238192</v>
      </c>
      <c r="G1779" t="str">
        <f>"REFUND DEVELOPMENT&amp;ACC PERMIT"</f>
        <v>REFUND DEVELOPMENT&amp;ACC PERMIT</v>
      </c>
      <c r="H1779" s="2">
        <v>1100</v>
      </c>
      <c r="I1779" t="str">
        <f>"REFUND DEVELOPMENT&amp;ACC PERMIT"</f>
        <v>REFUND DEVELOPMENT&amp;ACC PERMIT</v>
      </c>
    </row>
    <row r="1780" spans="1:10" x14ac:dyDescent="0.3">
      <c r="A1780" t="str">
        <f>"003178"</f>
        <v>003178</v>
      </c>
      <c r="B1780" t="s">
        <v>493</v>
      </c>
      <c r="C1780">
        <v>75284</v>
      </c>
      <c r="D1780" s="2">
        <v>250</v>
      </c>
      <c r="E1780" s="1">
        <v>43143</v>
      </c>
      <c r="F1780" t="str">
        <f>"201801248231"</f>
        <v>201801248231</v>
      </c>
      <c r="G1780" t="str">
        <f>"REFUND FOR DRIVEWAY PERMIT"</f>
        <v>REFUND FOR DRIVEWAY PERMIT</v>
      </c>
      <c r="H1780" s="2">
        <v>250</v>
      </c>
      <c r="I1780" t="str">
        <f>"REFUND FOR DRIVEWAY PERMIT"</f>
        <v>REFUND FOR DRIVEWAY PERMIT</v>
      </c>
    </row>
    <row r="1781" spans="1:10" x14ac:dyDescent="0.3">
      <c r="A1781" t="str">
        <f>""</f>
        <v/>
      </c>
      <c r="F1781" t="str">
        <f>""</f>
        <v/>
      </c>
      <c r="G1781" t="str">
        <f>""</f>
        <v/>
      </c>
      <c r="I1781" t="str">
        <f>"REFUND FOR DRIVEWAY PERMIT"</f>
        <v>REFUND FOR DRIVEWAY PERMIT</v>
      </c>
    </row>
    <row r="1782" spans="1:10" x14ac:dyDescent="0.3">
      <c r="A1782" t="str">
        <f>"001445"</f>
        <v>001445</v>
      </c>
      <c r="B1782" t="s">
        <v>494</v>
      </c>
      <c r="C1782">
        <v>75481</v>
      </c>
      <c r="D1782" s="2">
        <v>129.93</v>
      </c>
      <c r="E1782" s="1">
        <v>43157</v>
      </c>
      <c r="F1782" t="str">
        <f>"2004926"</f>
        <v>2004926</v>
      </c>
      <c r="G1782" t="str">
        <f>"REMOTE BIRTH ACCESS-JAN 31"</f>
        <v>REMOTE BIRTH ACCESS-JAN 31</v>
      </c>
      <c r="H1782" s="2">
        <v>129.93</v>
      </c>
      <c r="I1782" t="str">
        <f>"REMOTE BIRTH ACCESS-JAN 31"</f>
        <v>REMOTE BIRTH ACCESS-JAN 31</v>
      </c>
    </row>
    <row r="1783" spans="1:10" x14ac:dyDescent="0.3">
      <c r="A1783" t="str">
        <f>"VMC"</f>
        <v>VMC</v>
      </c>
      <c r="B1783" t="s">
        <v>495</v>
      </c>
      <c r="C1783">
        <v>75285</v>
      </c>
      <c r="D1783" s="2">
        <v>1298.46</v>
      </c>
      <c r="E1783" s="1">
        <v>43143</v>
      </c>
      <c r="F1783" t="str">
        <f>"61677060"</f>
        <v>61677060</v>
      </c>
      <c r="G1783" t="str">
        <f>"CUST#90285-209209/PCT#1"</f>
        <v>CUST#90285-209209/PCT#1</v>
      </c>
      <c r="H1783" s="2">
        <v>1298.46</v>
      </c>
      <c r="I1783" t="str">
        <f>"CUST#90285-209209/PCT#1"</f>
        <v>CUST#90285-209209/PCT#1</v>
      </c>
    </row>
    <row r="1784" spans="1:10" x14ac:dyDescent="0.3">
      <c r="A1784" t="str">
        <f>"005015"</f>
        <v>005015</v>
      </c>
      <c r="B1784" t="s">
        <v>496</v>
      </c>
      <c r="C1784">
        <v>75286</v>
      </c>
      <c r="D1784" s="2">
        <v>40</v>
      </c>
      <c r="E1784" s="1">
        <v>43143</v>
      </c>
      <c r="F1784" t="str">
        <f>"201802018381"</f>
        <v>201802018381</v>
      </c>
      <c r="G1784" t="str">
        <f>"FERAL HOGS"</f>
        <v>FERAL HOGS</v>
      </c>
      <c r="H1784" s="2">
        <v>30</v>
      </c>
      <c r="I1784" t="str">
        <f>"FERAL HOGS"</f>
        <v>FERAL HOGS</v>
      </c>
    </row>
    <row r="1785" spans="1:10" x14ac:dyDescent="0.3">
      <c r="A1785" t="str">
        <f>""</f>
        <v/>
      </c>
      <c r="F1785" t="str">
        <f>"201802018411"</f>
        <v>201802018411</v>
      </c>
      <c r="G1785" t="str">
        <f>"FERAL HOGS"</f>
        <v>FERAL HOGS</v>
      </c>
      <c r="H1785" s="2">
        <v>10</v>
      </c>
      <c r="I1785" t="str">
        <f>"FERAL HOGS"</f>
        <v>FERAL HOGS</v>
      </c>
    </row>
    <row r="1786" spans="1:10" x14ac:dyDescent="0.3">
      <c r="A1786" t="str">
        <f>"004767"</f>
        <v>004767</v>
      </c>
      <c r="B1786" t="s">
        <v>497</v>
      </c>
      <c r="C1786">
        <v>75287</v>
      </c>
      <c r="D1786" s="2">
        <v>64.3</v>
      </c>
      <c r="E1786" s="1">
        <v>43143</v>
      </c>
      <c r="F1786" t="str">
        <f>"1217-DR14926"</f>
        <v>1217-DR14926</v>
      </c>
      <c r="G1786" t="str">
        <f>"CLIENT ID:CXD 14926"</f>
        <v>CLIENT ID:CXD 14926</v>
      </c>
      <c r="H1786" s="2">
        <v>64.3</v>
      </c>
      <c r="I1786" t="str">
        <f>"CLIENT ID:CXD 14926"</f>
        <v>CLIENT ID:CXD 14926</v>
      </c>
    </row>
    <row r="1787" spans="1:10" x14ac:dyDescent="0.3">
      <c r="A1787" t="str">
        <f>"004767"</f>
        <v>004767</v>
      </c>
      <c r="B1787" t="s">
        <v>497</v>
      </c>
      <c r="C1787">
        <v>75482</v>
      </c>
      <c r="D1787" s="2">
        <v>110.9</v>
      </c>
      <c r="E1787" s="1">
        <v>43157</v>
      </c>
      <c r="F1787" t="str">
        <f>"0118-DR14926"</f>
        <v>0118-DR14926</v>
      </c>
      <c r="G1787" t="str">
        <f>"CLIENT#CXD 14926"</f>
        <v>CLIENT#CXD 14926</v>
      </c>
      <c r="H1787" s="2">
        <v>110.9</v>
      </c>
      <c r="I1787" t="str">
        <f>"CLIENT#CXD 14926"</f>
        <v>CLIENT#CXD 14926</v>
      </c>
    </row>
    <row r="1788" spans="1:10" x14ac:dyDescent="0.3">
      <c r="A1788" t="str">
        <f>"WMP"</f>
        <v>WMP</v>
      </c>
      <c r="B1788" t="s">
        <v>498</v>
      </c>
      <c r="C1788">
        <v>75288</v>
      </c>
      <c r="D1788" s="2">
        <v>20</v>
      </c>
      <c r="E1788" s="1">
        <v>43143</v>
      </c>
      <c r="F1788" t="s">
        <v>228</v>
      </c>
      <c r="G1788" t="s">
        <v>499</v>
      </c>
      <c r="H1788" s="2" t="str">
        <f>"RESTITUTION-R. WRIGHT"</f>
        <v>RESTITUTION-R. WRIGHT</v>
      </c>
      <c r="I1788" t="str">
        <f>"210-0000"</f>
        <v>210-0000</v>
      </c>
      <c r="J1788">
        <v>20</v>
      </c>
    </row>
    <row r="1789" spans="1:10" x14ac:dyDescent="0.3">
      <c r="A1789" t="str">
        <f>"003629"</f>
        <v>003629</v>
      </c>
      <c r="B1789" t="s">
        <v>500</v>
      </c>
      <c r="C1789">
        <v>999999</v>
      </c>
      <c r="D1789" s="2">
        <v>7881.93</v>
      </c>
      <c r="E1789" s="1">
        <v>43144</v>
      </c>
      <c r="F1789" t="str">
        <f>"13376"</f>
        <v>13376</v>
      </c>
      <c r="G1789" t="str">
        <f>"COLD MIX/FREIGHT/PCT#4"</f>
        <v>COLD MIX/FREIGHT/PCT#4</v>
      </c>
      <c r="H1789" s="2">
        <v>2589.15</v>
      </c>
      <c r="I1789" t="str">
        <f>"COLD MIX/FREIGHT/PCT#4"</f>
        <v>COLD MIX/FREIGHT/PCT#4</v>
      </c>
    </row>
    <row r="1790" spans="1:10" x14ac:dyDescent="0.3">
      <c r="A1790" t="str">
        <f>""</f>
        <v/>
      </c>
      <c r="F1790" t="str">
        <f>"13455"</f>
        <v>13455</v>
      </c>
      <c r="G1790" t="str">
        <f>"COLD MIX FREIGHT/PCT#3"</f>
        <v>COLD MIX FREIGHT/PCT#3</v>
      </c>
      <c r="H1790" s="2">
        <v>2703.63</v>
      </c>
      <c r="I1790" t="str">
        <f>"COLD MIX FREIGHT/PCT#3"</f>
        <v>COLD MIX FREIGHT/PCT#3</v>
      </c>
    </row>
    <row r="1791" spans="1:10" x14ac:dyDescent="0.3">
      <c r="A1791" t="str">
        <f>""</f>
        <v/>
      </c>
      <c r="F1791" t="str">
        <f>"13463"</f>
        <v>13463</v>
      </c>
      <c r="G1791" t="str">
        <f>"COLD MIX / P4"</f>
        <v>COLD MIX / P4</v>
      </c>
      <c r="H1791" s="2">
        <v>2589.15</v>
      </c>
      <c r="I1791" t="str">
        <f>"COLD MIX / P4"</f>
        <v>COLD MIX / P4</v>
      </c>
    </row>
    <row r="1792" spans="1:10" x14ac:dyDescent="0.3">
      <c r="A1792" t="str">
        <f>"003629"</f>
        <v>003629</v>
      </c>
      <c r="B1792" t="s">
        <v>500</v>
      </c>
      <c r="C1792">
        <v>999999</v>
      </c>
      <c r="D1792" s="2">
        <v>2581.98</v>
      </c>
      <c r="E1792" s="1">
        <v>43158</v>
      </c>
      <c r="F1792" t="str">
        <f>"13539"</f>
        <v>13539</v>
      </c>
      <c r="G1792" t="str">
        <f>"COLD MIX/FREIGHT/PCT#4"</f>
        <v>COLD MIX/FREIGHT/PCT#4</v>
      </c>
      <c r="H1792" s="2">
        <v>2581.98</v>
      </c>
      <c r="I1792" t="str">
        <f>"COLD MIX/FREIGHT/PCT#4"</f>
        <v>COLD MIX/FREIGHT/PCT#4</v>
      </c>
    </row>
    <row r="1793" spans="1:10" x14ac:dyDescent="0.3">
      <c r="A1793" t="str">
        <f>"WALMAR"</f>
        <v>WALMAR</v>
      </c>
      <c r="B1793" t="s">
        <v>501</v>
      </c>
      <c r="C1793">
        <v>75289</v>
      </c>
      <c r="D1793" s="2">
        <v>390.07</v>
      </c>
      <c r="E1793" s="1">
        <v>43143</v>
      </c>
      <c r="F1793" t="str">
        <f>"ACCT#XXXX 2476"</f>
        <v>ACCT#XXXX 2476</v>
      </c>
      <c r="G1793" t="str">
        <f>"Acct# 6032202005312476"</f>
        <v>Acct# 6032202005312476</v>
      </c>
      <c r="H1793" s="2">
        <v>390.07</v>
      </c>
      <c r="I1793" t="str">
        <f>"Inv# 008544"</f>
        <v>Inv# 008544</v>
      </c>
    </row>
    <row r="1794" spans="1:10" x14ac:dyDescent="0.3">
      <c r="A1794" t="str">
        <f>""</f>
        <v/>
      </c>
      <c r="F1794" t="str">
        <f>""</f>
        <v/>
      </c>
      <c r="G1794" t="str">
        <f>""</f>
        <v/>
      </c>
      <c r="I1794" t="str">
        <f>"Inv# 001822"</f>
        <v>Inv# 001822</v>
      </c>
    </row>
    <row r="1795" spans="1:10" x14ac:dyDescent="0.3">
      <c r="A1795" t="str">
        <f>""</f>
        <v/>
      </c>
      <c r="F1795" t="str">
        <f>""</f>
        <v/>
      </c>
      <c r="G1795" t="str">
        <f>""</f>
        <v/>
      </c>
      <c r="I1795" t="str">
        <f>"Inv# 009175"</f>
        <v>Inv# 009175</v>
      </c>
    </row>
    <row r="1796" spans="1:10" x14ac:dyDescent="0.3">
      <c r="A1796" t="str">
        <f>""</f>
        <v/>
      </c>
      <c r="F1796" t="str">
        <f>""</f>
        <v/>
      </c>
      <c r="G1796" t="str">
        <f>""</f>
        <v/>
      </c>
      <c r="I1796" t="str">
        <f>"Inv# 007586"</f>
        <v>Inv# 007586</v>
      </c>
    </row>
    <row r="1797" spans="1:10" x14ac:dyDescent="0.3">
      <c r="A1797" t="str">
        <f>""</f>
        <v/>
      </c>
      <c r="F1797" t="str">
        <f>""</f>
        <v/>
      </c>
      <c r="G1797" t="str">
        <f>""</f>
        <v/>
      </c>
      <c r="I1797" t="str">
        <f>"Inv# 000319"</f>
        <v>Inv# 000319</v>
      </c>
    </row>
    <row r="1798" spans="1:10" x14ac:dyDescent="0.3">
      <c r="A1798" t="str">
        <f>""</f>
        <v/>
      </c>
      <c r="F1798" t="str">
        <f>""</f>
        <v/>
      </c>
      <c r="G1798" t="str">
        <f>""</f>
        <v/>
      </c>
      <c r="I1798" t="str">
        <f>"Inv# 003179"</f>
        <v>Inv# 003179</v>
      </c>
    </row>
    <row r="1799" spans="1:10" x14ac:dyDescent="0.3">
      <c r="A1799" t="str">
        <f>""</f>
        <v/>
      </c>
      <c r="F1799" t="str">
        <f>""</f>
        <v/>
      </c>
      <c r="G1799" t="str">
        <f>""</f>
        <v/>
      </c>
      <c r="I1799" t="str">
        <f>"Inv# 000870"</f>
        <v>Inv# 000870</v>
      </c>
    </row>
    <row r="1800" spans="1:10" x14ac:dyDescent="0.3">
      <c r="A1800" t="str">
        <f>""</f>
        <v/>
      </c>
      <c r="F1800" t="str">
        <f>""</f>
        <v/>
      </c>
      <c r="G1800" t="str">
        <f>""</f>
        <v/>
      </c>
      <c r="I1800" t="str">
        <f>"Inv# 007997"</f>
        <v>Inv# 007997</v>
      </c>
    </row>
    <row r="1801" spans="1:10" x14ac:dyDescent="0.3">
      <c r="A1801" t="str">
        <f>""</f>
        <v/>
      </c>
      <c r="F1801" t="str">
        <f>""</f>
        <v/>
      </c>
      <c r="G1801" t="str">
        <f>""</f>
        <v/>
      </c>
      <c r="I1801" t="str">
        <f>"Inv# 005077"</f>
        <v>Inv# 005077</v>
      </c>
    </row>
    <row r="1802" spans="1:10" x14ac:dyDescent="0.3">
      <c r="A1802" t="str">
        <f>""</f>
        <v/>
      </c>
      <c r="F1802" t="str">
        <f>""</f>
        <v/>
      </c>
      <c r="G1802" t="str">
        <f>""</f>
        <v/>
      </c>
      <c r="I1802" t="str">
        <f>"Inv# 004821"</f>
        <v>Inv# 004821</v>
      </c>
    </row>
    <row r="1803" spans="1:10" x14ac:dyDescent="0.3">
      <c r="A1803" t="str">
        <f>"004310"</f>
        <v>004310</v>
      </c>
      <c r="B1803" t="s">
        <v>502</v>
      </c>
      <c r="C1803">
        <v>75290</v>
      </c>
      <c r="D1803" s="2">
        <v>78.540000000000006</v>
      </c>
      <c r="E1803" s="1">
        <v>43143</v>
      </c>
      <c r="F1803" t="str">
        <f>"0035753-2162-9"</f>
        <v>0035753-2162-9</v>
      </c>
      <c r="G1803" t="str">
        <f>"CUST#16-27603-83003/ANIMAL SVC"</f>
        <v>CUST#16-27603-83003/ANIMAL SVC</v>
      </c>
      <c r="H1803" s="2">
        <v>78.540000000000006</v>
      </c>
      <c r="I1803" t="str">
        <f>"CUST#16-27603-83003/ANIMAL SVC"</f>
        <v>CUST#16-27603-83003/ANIMAL SVC</v>
      </c>
    </row>
    <row r="1804" spans="1:10" x14ac:dyDescent="0.3">
      <c r="A1804" t="str">
        <f>"T13139"</f>
        <v>T13139</v>
      </c>
      <c r="B1804" t="s">
        <v>503</v>
      </c>
      <c r="C1804">
        <v>75291</v>
      </c>
      <c r="D1804" s="2">
        <v>50</v>
      </c>
      <c r="E1804" s="1">
        <v>43143</v>
      </c>
      <c r="F1804" t="str">
        <f>"ADVREP114818"</f>
        <v>ADVREP114818</v>
      </c>
      <c r="G1804" t="str">
        <f>"INV  ADVREP114818"</f>
        <v>INV  ADVREP114818</v>
      </c>
      <c r="H1804" s="2">
        <v>50</v>
      </c>
      <c r="I1804" t="str">
        <f>"INV  ADVREP114818"</f>
        <v>INV  ADVREP114818</v>
      </c>
    </row>
    <row r="1805" spans="1:10" x14ac:dyDescent="0.3">
      <c r="A1805" t="str">
        <f>"002386"</f>
        <v>002386</v>
      </c>
      <c r="B1805" t="s">
        <v>504</v>
      </c>
      <c r="C1805">
        <v>75292</v>
      </c>
      <c r="D1805" s="2">
        <v>25</v>
      </c>
      <c r="E1805" s="1">
        <v>43143</v>
      </c>
      <c r="F1805" t="s">
        <v>330</v>
      </c>
      <c r="G1805" t="s">
        <v>505</v>
      </c>
      <c r="H1805" s="2" t="str">
        <f>"RESTITUTION-W. BRUNT III"</f>
        <v>RESTITUTION-W. BRUNT III</v>
      </c>
      <c r="I1805" t="str">
        <f>"210-0000"</f>
        <v>210-0000</v>
      </c>
      <c r="J1805">
        <v>25</v>
      </c>
    </row>
    <row r="1806" spans="1:10" x14ac:dyDescent="0.3">
      <c r="A1806" t="str">
        <f>"004877"</f>
        <v>004877</v>
      </c>
      <c r="B1806" t="s">
        <v>506</v>
      </c>
      <c r="C1806">
        <v>75312</v>
      </c>
      <c r="D1806" s="2">
        <v>14082.85</v>
      </c>
      <c r="E1806" s="1">
        <v>43146</v>
      </c>
      <c r="F1806" t="str">
        <f>"1701883267"</f>
        <v>1701883267</v>
      </c>
      <c r="G1806" t="str">
        <f>"ACCT#5151-005117630 / 013118"</f>
        <v>ACCT#5151-005117630 / 013118</v>
      </c>
      <c r="H1806" s="2">
        <v>231.66</v>
      </c>
      <c r="I1806" t="str">
        <f>"ACCT#5151-005117630 / 013118"</f>
        <v>ACCT#5151-005117630 / 013118</v>
      </c>
    </row>
    <row r="1807" spans="1:10" x14ac:dyDescent="0.3">
      <c r="A1807" t="str">
        <f>""</f>
        <v/>
      </c>
      <c r="F1807" t="str">
        <f>"1701883268"</f>
        <v>1701883268</v>
      </c>
      <c r="G1807" t="str">
        <f>"ACCT#5151-005117766 / 013118"</f>
        <v>ACCT#5151-005117766 / 013118</v>
      </c>
      <c r="H1807" s="2">
        <v>104.64</v>
      </c>
      <c r="I1807" t="str">
        <f>"ACCT#5151-005117766 / 013118"</f>
        <v>ACCT#5151-005117766 / 013118</v>
      </c>
    </row>
    <row r="1808" spans="1:10" x14ac:dyDescent="0.3">
      <c r="A1808" t="str">
        <f>""</f>
        <v/>
      </c>
      <c r="F1808" t="str">
        <f>"1701883269"</f>
        <v>1701883269</v>
      </c>
      <c r="G1808" t="str">
        <f>"ACCT#5151-005117838 / 013118"</f>
        <v>ACCT#5151-005117838 / 013118</v>
      </c>
      <c r="H1808" s="2">
        <v>96.85</v>
      </c>
      <c r="I1808" t="str">
        <f>"ACCT#5151-005117838 / 013118"</f>
        <v>ACCT#5151-005117838 / 013118</v>
      </c>
    </row>
    <row r="1809" spans="1:10" x14ac:dyDescent="0.3">
      <c r="A1809" t="str">
        <f>""</f>
        <v/>
      </c>
      <c r="F1809" t="str">
        <f>"1701883271"</f>
        <v>1701883271</v>
      </c>
      <c r="G1809" t="str">
        <f>"ACCT#5151-005117882 / 013118"</f>
        <v>ACCT#5151-005117882 / 013118</v>
      </c>
      <c r="H1809" s="2">
        <v>130.78</v>
      </c>
      <c r="I1809" t="str">
        <f>"ACCT#5151-005117882 / 013118"</f>
        <v>ACCT#5151-005117882 / 013118</v>
      </c>
    </row>
    <row r="1810" spans="1:10" x14ac:dyDescent="0.3">
      <c r="A1810" t="str">
        <f>""</f>
        <v/>
      </c>
      <c r="F1810" t="str">
        <f>"1701883273"</f>
        <v>1701883273</v>
      </c>
      <c r="G1810" t="str">
        <f>"ACCT#5151-005118183 / 013118"</f>
        <v>ACCT#5151-005118183 / 013118</v>
      </c>
      <c r="H1810" s="2">
        <v>561.41999999999996</v>
      </c>
      <c r="I1810" t="str">
        <f>"ACCT#5151-005118183 / 013118"</f>
        <v>ACCT#5151-005118183 / 013118</v>
      </c>
    </row>
    <row r="1811" spans="1:10" x14ac:dyDescent="0.3">
      <c r="A1811" t="str">
        <f>""</f>
        <v/>
      </c>
      <c r="F1811" t="str">
        <f>"1701883286"</f>
        <v>1701883286</v>
      </c>
      <c r="G1811" t="str">
        <f>"ACCT#5150-005129483 / 013118"</f>
        <v>ACCT#5150-005129483 / 013118</v>
      </c>
      <c r="H1811" s="2">
        <v>12957.5</v>
      </c>
      <c r="I1811" t="str">
        <f>"ACCT#5150-005129483 / 013118"</f>
        <v>ACCT#5150-005129483 / 013118</v>
      </c>
    </row>
    <row r="1812" spans="1:10" x14ac:dyDescent="0.3">
      <c r="A1812" t="str">
        <f>"LIN"</f>
        <v>LIN</v>
      </c>
      <c r="B1812" t="s">
        <v>507</v>
      </c>
      <c r="C1812">
        <v>999999</v>
      </c>
      <c r="D1812" s="2">
        <v>12500</v>
      </c>
      <c r="E1812" s="1">
        <v>43158</v>
      </c>
      <c r="F1812" t="str">
        <f>"201802208802"</f>
        <v>201802208802</v>
      </c>
      <c r="G1812" t="str">
        <f>"MEDICAL CONTRACT"</f>
        <v>MEDICAL CONTRACT</v>
      </c>
      <c r="H1812" s="2">
        <v>12500</v>
      </c>
      <c r="I1812" t="str">
        <f>"MEDICAL CONTRACT"</f>
        <v>MEDICAL CONTRACT</v>
      </c>
    </row>
    <row r="1813" spans="1:10" x14ac:dyDescent="0.3">
      <c r="A1813" t="str">
        <f>"WPC"</f>
        <v>WPC</v>
      </c>
      <c r="B1813" t="s">
        <v>508</v>
      </c>
      <c r="C1813">
        <v>75483</v>
      </c>
      <c r="D1813" s="2">
        <v>520</v>
      </c>
      <c r="E1813" s="1">
        <v>43157</v>
      </c>
      <c r="F1813" t="str">
        <f>"837610301"</f>
        <v>837610301</v>
      </c>
      <c r="G1813" t="str">
        <f>"ACCT#1000648597/LAW LIBRARY"</f>
        <v>ACCT#1000648597/LAW LIBRARY</v>
      </c>
      <c r="H1813" s="2">
        <v>520</v>
      </c>
      <c r="I1813" t="str">
        <f>"ACCT#1000648597/LAW LIBRARY"</f>
        <v>ACCT#1000648597/LAW LIBRARY</v>
      </c>
    </row>
    <row r="1814" spans="1:10" x14ac:dyDescent="0.3">
      <c r="A1814" t="str">
        <f>"004074"</f>
        <v>004074</v>
      </c>
      <c r="B1814" t="s">
        <v>509</v>
      </c>
      <c r="C1814">
        <v>999999</v>
      </c>
      <c r="D1814" s="2">
        <v>11585.56</v>
      </c>
      <c r="E1814" s="1">
        <v>43144</v>
      </c>
      <c r="F1814" t="str">
        <f>"INV19578"</f>
        <v>INV19578</v>
      </c>
      <c r="G1814" t="str">
        <f>"INV 19578"</f>
        <v>INV 19578</v>
      </c>
      <c r="H1814" s="2">
        <v>11585.56</v>
      </c>
      <c r="I1814" t="str">
        <f>"INV 19578"</f>
        <v>INV 19578</v>
      </c>
    </row>
    <row r="1815" spans="1:10" x14ac:dyDescent="0.3">
      <c r="A1815" t="str">
        <f>"004074"</f>
        <v>004074</v>
      </c>
      <c r="B1815" t="s">
        <v>509</v>
      </c>
      <c r="C1815">
        <v>999999</v>
      </c>
      <c r="D1815" s="2">
        <v>9245.27</v>
      </c>
      <c r="E1815" s="1">
        <v>43158</v>
      </c>
      <c r="F1815" t="str">
        <f>"19743"</f>
        <v>19743</v>
      </c>
      <c r="G1815" t="str">
        <f>"INV 19743"</f>
        <v>INV 19743</v>
      </c>
      <c r="H1815" s="2">
        <v>9245.27</v>
      </c>
      <c r="I1815" t="str">
        <f>"INV 19743"</f>
        <v>INV 19743</v>
      </c>
    </row>
    <row r="1816" spans="1:10" x14ac:dyDescent="0.3">
      <c r="A1816" t="str">
        <f>"002445"</f>
        <v>002445</v>
      </c>
      <c r="B1816" t="s">
        <v>510</v>
      </c>
      <c r="C1816">
        <v>75293</v>
      </c>
      <c r="D1816" s="2">
        <v>70</v>
      </c>
      <c r="E1816" s="1">
        <v>43143</v>
      </c>
      <c r="F1816" t="str">
        <f>"11652"</f>
        <v>11652</v>
      </c>
      <c r="G1816" t="str">
        <f>"SERVICE  11/27/17"</f>
        <v>SERVICE  11/27/17</v>
      </c>
      <c r="H1816" s="2">
        <v>70</v>
      </c>
      <c r="I1816" t="str">
        <f>"SERVICE  11/27/17"</f>
        <v>SERVICE  11/27/17</v>
      </c>
    </row>
    <row r="1817" spans="1:10" x14ac:dyDescent="0.3">
      <c r="A1817" t="str">
        <f>"002351"</f>
        <v>002351</v>
      </c>
      <c r="B1817" t="s">
        <v>511</v>
      </c>
      <c r="C1817">
        <v>75294</v>
      </c>
      <c r="D1817" s="2">
        <v>140</v>
      </c>
      <c r="E1817" s="1">
        <v>43143</v>
      </c>
      <c r="F1817" t="s">
        <v>60</v>
      </c>
      <c r="G1817" t="s">
        <v>61</v>
      </c>
      <c r="H1817" s="2" t="str">
        <f>"SERVICE  11/29/2017"</f>
        <v>SERVICE  11/29/2017</v>
      </c>
      <c r="I1817" t="str">
        <f>"995-4110"</f>
        <v>995-4110</v>
      </c>
      <c r="J1817">
        <v>140</v>
      </c>
    </row>
    <row r="1818" spans="1:10" x14ac:dyDescent="0.3">
      <c r="A1818" t="str">
        <f>"004240"</f>
        <v>004240</v>
      </c>
      <c r="B1818" t="s">
        <v>512</v>
      </c>
      <c r="C1818">
        <v>75295</v>
      </c>
      <c r="D1818" s="2">
        <v>38000</v>
      </c>
      <c r="E1818" s="1">
        <v>43143</v>
      </c>
      <c r="F1818" t="str">
        <f>"1279"</f>
        <v>1279</v>
      </c>
      <c r="G1818" t="str">
        <f>"SITE WORK/PCT#2"</f>
        <v>SITE WORK/PCT#2</v>
      </c>
      <c r="H1818" s="2">
        <v>38000</v>
      </c>
      <c r="I1818" t="str">
        <f>"SITE WORK/PCT#2"</f>
        <v>SITE WORK/PCT#2</v>
      </c>
    </row>
    <row r="1819" spans="1:10" x14ac:dyDescent="0.3">
      <c r="A1819" t="str">
        <f>"004240"</f>
        <v>004240</v>
      </c>
      <c r="B1819" t="s">
        <v>512</v>
      </c>
      <c r="C1819">
        <v>75484</v>
      </c>
      <c r="D1819" s="2">
        <v>16500</v>
      </c>
      <c r="E1819" s="1">
        <v>43157</v>
      </c>
      <c r="F1819" t="str">
        <f>"1273"</f>
        <v>1273</v>
      </c>
      <c r="G1819" t="str">
        <f>"BIG BOW SPILLWAY DRAINAGE"</f>
        <v>BIG BOW SPILLWAY DRAINAGE</v>
      </c>
      <c r="H1819" s="2">
        <v>16500</v>
      </c>
      <c r="I1819" t="str">
        <f>"BIG BOW SPILLWAY DRAINAGE"</f>
        <v>BIG BOW SPILLWAY DRAINAGE</v>
      </c>
    </row>
    <row r="1820" spans="1:10" x14ac:dyDescent="0.3">
      <c r="A1820" t="str">
        <f>"004285"</f>
        <v>004285</v>
      </c>
      <c r="B1820" t="s">
        <v>513</v>
      </c>
      <c r="C1820">
        <v>75296</v>
      </c>
      <c r="D1820" s="2">
        <v>160</v>
      </c>
      <c r="E1820" s="1">
        <v>43143</v>
      </c>
      <c r="F1820" t="s">
        <v>455</v>
      </c>
      <c r="G1820" t="s">
        <v>514</v>
      </c>
      <c r="H1820" s="2" t="str">
        <f>"RESTITUTION-E. TREVINO"</f>
        <v>RESTITUTION-E. TREVINO</v>
      </c>
      <c r="I1820" t="str">
        <f>"210-0000"</f>
        <v>210-0000</v>
      </c>
      <c r="J1820">
        <v>160</v>
      </c>
    </row>
    <row r="1821" spans="1:10" x14ac:dyDescent="0.3">
      <c r="A1821" t="str">
        <f>"XEROXC"</f>
        <v>XEROXC</v>
      </c>
      <c r="B1821" t="s">
        <v>515</v>
      </c>
      <c r="C1821">
        <v>75485</v>
      </c>
      <c r="D1821" s="2">
        <v>177.35</v>
      </c>
      <c r="E1821" s="1">
        <v>43157</v>
      </c>
      <c r="F1821" t="str">
        <f>"092113705"</f>
        <v>092113705</v>
      </c>
      <c r="G1821" t="str">
        <f>"CUST#662445931/CATCH TRAY/TAX"</f>
        <v>CUST#662445931/CATCH TRAY/TAX</v>
      </c>
      <c r="H1821" s="2">
        <v>106.45</v>
      </c>
      <c r="I1821" t="str">
        <f>"CUST#662445931/CATCH TRAY/TAX"</f>
        <v>CUST#662445931/CATCH TRAY/TAX</v>
      </c>
    </row>
    <row r="1822" spans="1:10" x14ac:dyDescent="0.3">
      <c r="A1822" t="str">
        <f>""</f>
        <v/>
      </c>
      <c r="F1822" t="str">
        <f>"092113706"</f>
        <v>092113706</v>
      </c>
      <c r="G1822" t="str">
        <f>"CUST#662445931/CAB STAND/TAX O"</f>
        <v>CUST#662445931/CAB STAND/TAX O</v>
      </c>
      <c r="H1822" s="2">
        <v>35.450000000000003</v>
      </c>
      <c r="I1822" t="str">
        <f>"CUST#662445931/CAB STAND/TAX O"</f>
        <v>CUST#662445931/CAB STAND/TAX O</v>
      </c>
    </row>
    <row r="1823" spans="1:10" x14ac:dyDescent="0.3">
      <c r="A1823" t="str">
        <f>""</f>
        <v/>
      </c>
      <c r="F1823" t="str">
        <f>"092113717"</f>
        <v>092113717</v>
      </c>
      <c r="G1823" t="str">
        <f>"CUST#723230843/TAX OFFICE"</f>
        <v>CUST#723230843/TAX OFFICE</v>
      </c>
      <c r="H1823" s="2">
        <v>35.450000000000003</v>
      </c>
      <c r="I1823" t="str">
        <f>"CUST#723230843/TAX OFFICE"</f>
        <v>CUST#723230843/TAX OFFICE</v>
      </c>
    </row>
    <row r="1824" spans="1:10" x14ac:dyDescent="0.3">
      <c r="A1824" t="str">
        <f>"004928"</f>
        <v>004928</v>
      </c>
      <c r="B1824" t="s">
        <v>516</v>
      </c>
      <c r="C1824">
        <v>75297</v>
      </c>
      <c r="D1824" s="2">
        <v>7300.88</v>
      </c>
      <c r="E1824" s="1">
        <v>43143</v>
      </c>
      <c r="F1824" t="str">
        <f>"INV3764164"</f>
        <v>INV3764164</v>
      </c>
      <c r="G1824" t="str">
        <f>"Sloan Faucet"</f>
        <v>Sloan Faucet</v>
      </c>
      <c r="H1824" s="2">
        <v>447.44</v>
      </c>
      <c r="I1824" t="str">
        <f>"Sloan Faucet"</f>
        <v>Sloan Faucet</v>
      </c>
    </row>
    <row r="1825" spans="1:9" x14ac:dyDescent="0.3">
      <c r="A1825" t="str">
        <f>""</f>
        <v/>
      </c>
      <c r="F1825" t="str">
        <f>"INV4005130"</f>
        <v>INV4005130</v>
      </c>
      <c r="G1825" t="str">
        <f>"File Cabinets"</f>
        <v>File Cabinets</v>
      </c>
      <c r="H1825" s="2">
        <v>6853.44</v>
      </c>
      <c r="I1825" t="str">
        <f>"Zoro #: G9809816"</f>
        <v>Zoro #: G9809816</v>
      </c>
    </row>
    <row r="1826" spans="1:9" x14ac:dyDescent="0.3">
      <c r="A1826" t="str">
        <f>"001018"</f>
        <v>001018</v>
      </c>
      <c r="B1826" t="s">
        <v>517</v>
      </c>
      <c r="C1826">
        <v>75298</v>
      </c>
      <c r="D1826" s="2">
        <v>130</v>
      </c>
      <c r="E1826" s="1">
        <v>43143</v>
      </c>
      <c r="F1826" t="str">
        <f>"201802058470"</f>
        <v>201802058470</v>
      </c>
      <c r="G1826" t="str">
        <f>"REPAIRED HEAD/CRACK IN TOP FRA"</f>
        <v>REPAIRED HEAD/CRACK IN TOP FRA</v>
      </c>
      <c r="H1826" s="2">
        <v>130</v>
      </c>
      <c r="I1826" t="str">
        <f>"REPAIRED HEAD/CRACK IN TOP FRA"</f>
        <v>REPAIRED HEAD/CRACK IN TOP FRA</v>
      </c>
    </row>
    <row r="1827" spans="1:9" x14ac:dyDescent="0.3">
      <c r="A1827" t="str">
        <f>"B&amp;B"</f>
        <v>B&amp;B</v>
      </c>
      <c r="B1827" t="s">
        <v>51</v>
      </c>
      <c r="C1827">
        <v>75299</v>
      </c>
      <c r="D1827" s="2">
        <v>726.05</v>
      </c>
      <c r="E1827" s="1">
        <v>43143</v>
      </c>
      <c r="F1827" t="str">
        <f>"201802058471"</f>
        <v>201802058471</v>
      </c>
      <c r="G1827" t="str">
        <f>"CUST#1645/OEM"</f>
        <v>CUST#1645/OEM</v>
      </c>
      <c r="H1827" s="2">
        <v>726.05</v>
      </c>
      <c r="I1827" t="str">
        <f>"CUST#1645/OEM"</f>
        <v>CUST#1645/OEM</v>
      </c>
    </row>
    <row r="1828" spans="1:9" x14ac:dyDescent="0.3">
      <c r="A1828" t="str">
        <f>"BASCO"</f>
        <v>BASCO</v>
      </c>
      <c r="B1828" t="s">
        <v>65</v>
      </c>
      <c r="C1828">
        <v>75486</v>
      </c>
      <c r="D1828" s="2">
        <v>19.39</v>
      </c>
      <c r="E1828" s="1">
        <v>43157</v>
      </c>
      <c r="F1828" t="str">
        <f>"10983"</f>
        <v>10983</v>
      </c>
      <c r="G1828" t="str">
        <f>"ACCT#BC01/OFFICE SUPPLIES"</f>
        <v>ACCT#BC01/OFFICE SUPPLIES</v>
      </c>
      <c r="H1828" s="2">
        <v>19.39</v>
      </c>
      <c r="I1828" t="str">
        <f>"ACCT#BC01/OFFICE SUPPLIES"</f>
        <v>ACCT#BC01/OFFICE SUPPLIES</v>
      </c>
    </row>
    <row r="1829" spans="1:9" x14ac:dyDescent="0.3">
      <c r="A1829" t="str">
        <f>"T3799"</f>
        <v>T3799</v>
      </c>
      <c r="B1829" t="s">
        <v>66</v>
      </c>
      <c r="C1829">
        <v>75300</v>
      </c>
      <c r="D1829" s="2">
        <v>30279.68</v>
      </c>
      <c r="E1829" s="1">
        <v>43143</v>
      </c>
      <c r="F1829" t="str">
        <f>"1031"</f>
        <v>1031</v>
      </c>
      <c r="G1829" t="str">
        <f>"BOOT CAMP EXPENSES/OCT-DEC17"</f>
        <v>BOOT CAMP EXPENSES/OCT-DEC17</v>
      </c>
      <c r="H1829" s="2">
        <v>22635.16</v>
      </c>
      <c r="I1829" t="str">
        <f>"BOOT CAMP EXPENSES/OCT-DEC17"</f>
        <v>BOOT CAMP EXPENSES/OCT-DEC17</v>
      </c>
    </row>
    <row r="1830" spans="1:9" x14ac:dyDescent="0.3">
      <c r="A1830" t="str">
        <f>""</f>
        <v/>
      </c>
      <c r="F1830" t="str">
        <f>""</f>
        <v/>
      </c>
      <c r="G1830" t="str">
        <f>""</f>
        <v/>
      </c>
      <c r="I1830" t="str">
        <f>"BOOT CAMP EXPENSES/OCT-DEC17"</f>
        <v>BOOT CAMP EXPENSES/OCT-DEC17</v>
      </c>
    </row>
    <row r="1831" spans="1:9" x14ac:dyDescent="0.3">
      <c r="A1831" t="str">
        <f>""</f>
        <v/>
      </c>
      <c r="F1831" t="str">
        <f>""</f>
        <v/>
      </c>
      <c r="G1831" t="str">
        <f>""</f>
        <v/>
      </c>
      <c r="I1831" t="str">
        <f>"BOOT CAMP EXPENSES/OCT-DEC17"</f>
        <v>BOOT CAMP EXPENSES/OCT-DEC17</v>
      </c>
    </row>
    <row r="1832" spans="1:9" x14ac:dyDescent="0.3">
      <c r="A1832" t="str">
        <f>""</f>
        <v/>
      </c>
      <c r="F1832" t="str">
        <f>""</f>
        <v/>
      </c>
      <c r="G1832" t="str">
        <f>""</f>
        <v/>
      </c>
      <c r="I1832" t="str">
        <f>"BOOT CAMP EXPENSES/OCT-DEC17"</f>
        <v>BOOT CAMP EXPENSES/OCT-DEC17</v>
      </c>
    </row>
    <row r="1833" spans="1:9" x14ac:dyDescent="0.3">
      <c r="A1833" t="str">
        <f>""</f>
        <v/>
      </c>
      <c r="F1833" t="str">
        <f>""</f>
        <v/>
      </c>
      <c r="G1833" t="str">
        <f>""</f>
        <v/>
      </c>
      <c r="I1833" t="str">
        <f>"BOOT CAMP EXPENSES/OCT-DEC17"</f>
        <v>BOOT CAMP EXPENSES/OCT-DEC17</v>
      </c>
    </row>
    <row r="1834" spans="1:9" x14ac:dyDescent="0.3">
      <c r="A1834" t="str">
        <f>""</f>
        <v/>
      </c>
      <c r="F1834" t="str">
        <f>"176/172"</f>
        <v>176/172</v>
      </c>
      <c r="G1834" t="str">
        <f>"Inv# 176 &amp; 172"</f>
        <v>Inv# 176 &amp; 172</v>
      </c>
      <c r="H1834" s="2">
        <v>4455.24</v>
      </c>
      <c r="I1834" t="str">
        <f>"Inv# 176"</f>
        <v>Inv# 176</v>
      </c>
    </row>
    <row r="1835" spans="1:9" x14ac:dyDescent="0.3">
      <c r="A1835" t="str">
        <f>""</f>
        <v/>
      </c>
      <c r="F1835" t="str">
        <f>""</f>
        <v/>
      </c>
      <c r="G1835" t="str">
        <f>""</f>
        <v/>
      </c>
      <c r="I1835" t="str">
        <f>"Inv#  172"</f>
        <v>Inv#  172</v>
      </c>
    </row>
    <row r="1836" spans="1:9" x14ac:dyDescent="0.3">
      <c r="A1836" t="str">
        <f>""</f>
        <v/>
      </c>
      <c r="F1836" t="str">
        <f>"179"</f>
        <v>179</v>
      </c>
      <c r="G1836" t="str">
        <f>"Inv# 179"</f>
        <v>Inv# 179</v>
      </c>
      <c r="H1836" s="2">
        <v>3189.28</v>
      </c>
      <c r="I1836" t="str">
        <f>"Inv# 179"</f>
        <v>Inv# 179</v>
      </c>
    </row>
    <row r="1837" spans="1:9" x14ac:dyDescent="0.3">
      <c r="A1837" t="str">
        <f>"BEC"</f>
        <v>BEC</v>
      </c>
      <c r="B1837" t="s">
        <v>88</v>
      </c>
      <c r="C1837">
        <v>75313</v>
      </c>
      <c r="D1837" s="2">
        <v>562.9</v>
      </c>
      <c r="E1837" s="1">
        <v>43146</v>
      </c>
      <c r="F1837" t="str">
        <f>"201802158756"</f>
        <v>201802158756</v>
      </c>
      <c r="G1837" t="str">
        <f>"ACCT#5000057374 / 02/05/2018"</f>
        <v>ACCT#5000057374 / 02/05/2018</v>
      </c>
      <c r="H1837" s="2">
        <v>562.9</v>
      </c>
      <c r="I1837" t="str">
        <f>"ACCT#5000057374 / 02/05/2018"</f>
        <v>ACCT#5000057374 / 02/05/2018</v>
      </c>
    </row>
    <row r="1838" spans="1:9" x14ac:dyDescent="0.3">
      <c r="A1838" t="str">
        <f>"002726"</f>
        <v>002726</v>
      </c>
      <c r="B1838" t="s">
        <v>105</v>
      </c>
      <c r="C1838">
        <v>75487</v>
      </c>
      <c r="D1838" s="2">
        <v>815.42</v>
      </c>
      <c r="E1838" s="1">
        <v>43157</v>
      </c>
      <c r="F1838" t="str">
        <f>"ACCT#0058 JAN-FEB"</f>
        <v>ACCT#0058 JAN-FEB</v>
      </c>
      <c r="G1838" t="str">
        <f>"Acct# 0058"</f>
        <v>Acct# 0058</v>
      </c>
      <c r="H1838" s="2">
        <v>815.42</v>
      </c>
      <c r="I1838" t="str">
        <f>"Staples"</f>
        <v>Staples</v>
      </c>
    </row>
    <row r="1839" spans="1:9" x14ac:dyDescent="0.3">
      <c r="A1839" t="str">
        <f>"SCO"</f>
        <v>SCO</v>
      </c>
      <c r="B1839" t="s">
        <v>124</v>
      </c>
      <c r="C1839">
        <v>75301</v>
      </c>
      <c r="D1839" s="2">
        <v>50913.42</v>
      </c>
      <c r="E1839" s="1">
        <v>43143</v>
      </c>
      <c r="F1839" t="str">
        <f>"201802058472"</f>
        <v>201802058472</v>
      </c>
      <c r="G1839" t="str">
        <f>"15.659 SMITHVILLE COMM CTR ADD"</f>
        <v>15.659 SMITHVILLE COMM CTR ADD</v>
      </c>
      <c r="H1839" s="2">
        <v>50913.42</v>
      </c>
      <c r="I1839" t="str">
        <f>"15.659 SMITHVILLE COMM CTR ADD"</f>
        <v>15.659 SMITHVILLE COMM CTR ADD</v>
      </c>
    </row>
    <row r="1840" spans="1:9" x14ac:dyDescent="0.3">
      <c r="A1840" t="str">
        <f>"DELL"</f>
        <v>DELL</v>
      </c>
      <c r="B1840" t="s">
        <v>161</v>
      </c>
      <c r="C1840">
        <v>75488</v>
      </c>
      <c r="D1840" s="2">
        <v>7322.4</v>
      </c>
      <c r="E1840" s="1">
        <v>43157</v>
      </c>
      <c r="F1840" t="str">
        <f>"10225039571"</f>
        <v>10225039571</v>
      </c>
      <c r="G1840" t="str">
        <f>"Old Jail Computer Replace"</f>
        <v>Old Jail Computer Replace</v>
      </c>
      <c r="H1840" s="2">
        <v>7322.4</v>
      </c>
      <c r="I1840" t="str">
        <f>"210-AKIP"</f>
        <v>210-AKIP</v>
      </c>
    </row>
    <row r="1841" spans="1:9" x14ac:dyDescent="0.3">
      <c r="A1841" t="str">
        <f>""</f>
        <v/>
      </c>
      <c r="F1841" t="str">
        <f>""</f>
        <v/>
      </c>
      <c r="G1841" t="str">
        <f>""</f>
        <v/>
      </c>
      <c r="I1841" t="str">
        <f>"210-AGMV"</f>
        <v>210-AGMV</v>
      </c>
    </row>
    <row r="1842" spans="1:9" x14ac:dyDescent="0.3">
      <c r="A1842" t="str">
        <f>""</f>
        <v/>
      </c>
      <c r="F1842" t="str">
        <f>""</f>
        <v/>
      </c>
      <c r="G1842" t="str">
        <f>""</f>
        <v/>
      </c>
      <c r="I1842" t="str">
        <f>"SHIPPING"</f>
        <v>SHIPPING</v>
      </c>
    </row>
    <row r="1843" spans="1:9" x14ac:dyDescent="0.3">
      <c r="A1843" t="str">
        <f>"005399"</f>
        <v>005399</v>
      </c>
      <c r="B1843" t="s">
        <v>518</v>
      </c>
      <c r="C1843">
        <v>75302</v>
      </c>
      <c r="D1843" s="2">
        <v>35.99</v>
      </c>
      <c r="E1843" s="1">
        <v>43143</v>
      </c>
      <c r="F1843" t="str">
        <f>"893405"</f>
        <v>893405</v>
      </c>
      <c r="G1843" t="str">
        <f>"BROWN MULTIFOLD PAPERTOWELS"</f>
        <v>BROWN MULTIFOLD PAPERTOWELS</v>
      </c>
      <c r="H1843" s="2">
        <v>35.99</v>
      </c>
      <c r="I1843" t="str">
        <f>"BROWN MULTIFOLD PAPERTOWELS"</f>
        <v>BROWN MULTIFOLD PAPERTOWELS</v>
      </c>
    </row>
    <row r="1844" spans="1:9" x14ac:dyDescent="0.3">
      <c r="A1844" t="str">
        <f>"005119"</f>
        <v>005119</v>
      </c>
      <c r="B1844" t="s">
        <v>519</v>
      </c>
      <c r="C1844">
        <v>75303</v>
      </c>
      <c r="D1844" s="2">
        <v>23683.46</v>
      </c>
      <c r="E1844" s="1">
        <v>43143</v>
      </c>
      <c r="F1844" t="str">
        <f>"201712206"</f>
        <v>201712206</v>
      </c>
      <c r="G1844" t="str">
        <f>"PROJ#2017072/911 ER OPS&amp;IT CTR"</f>
        <v>PROJ#2017072/911 ER OPS&amp;IT CTR</v>
      </c>
      <c r="H1844" s="2">
        <v>23683.46</v>
      </c>
      <c r="I1844" t="str">
        <f>"PROJ#2017072/911 ER OPS&amp;IT CTR"</f>
        <v>PROJ#2017072/911 ER OPS&amp;IT CTR</v>
      </c>
    </row>
    <row r="1845" spans="1:9" x14ac:dyDescent="0.3">
      <c r="A1845" t="str">
        <f>"005119"</f>
        <v>005119</v>
      </c>
      <c r="B1845" t="s">
        <v>519</v>
      </c>
      <c r="C1845">
        <v>75489</v>
      </c>
      <c r="D1845" s="2">
        <v>59896.43</v>
      </c>
      <c r="E1845" s="1">
        <v>43157</v>
      </c>
      <c r="F1845" t="str">
        <f>"201801065"</f>
        <v>201801065</v>
      </c>
      <c r="G1845" t="str">
        <f>"PROJ#2017072/PROF SVCS JAN1-30"</f>
        <v>PROJ#2017072/PROF SVCS JAN1-30</v>
      </c>
      <c r="H1845" s="2">
        <v>59896.43</v>
      </c>
      <c r="I1845" t="str">
        <f>"PROJ#2017072/PROF SVCS JAN1-30"</f>
        <v>PROJ#2017072/PROF SVCS JAN1-30</v>
      </c>
    </row>
    <row r="1846" spans="1:9" x14ac:dyDescent="0.3">
      <c r="A1846" t="str">
        <f>"T13475"</f>
        <v>T13475</v>
      </c>
      <c r="B1846" t="s">
        <v>520</v>
      </c>
      <c r="C1846">
        <v>75304</v>
      </c>
      <c r="D1846" s="2">
        <v>8750</v>
      </c>
      <c r="E1846" s="1">
        <v>43143</v>
      </c>
      <c r="F1846" t="str">
        <f>"3416"</f>
        <v>3416</v>
      </c>
      <c r="G1846" t="str">
        <f>"CONSTRUCTION PHASE"</f>
        <v>CONSTRUCTION PHASE</v>
      </c>
      <c r="H1846" s="2">
        <v>8750</v>
      </c>
      <c r="I1846" t="str">
        <f>"CONSTRUCTION PHASE"</f>
        <v>CONSTRUCTION PHASE</v>
      </c>
    </row>
    <row r="1847" spans="1:9" x14ac:dyDescent="0.3">
      <c r="A1847" t="str">
        <f>"005424"</f>
        <v>005424</v>
      </c>
      <c r="B1847" t="s">
        <v>521</v>
      </c>
      <c r="C1847">
        <v>75305</v>
      </c>
      <c r="D1847" s="2">
        <v>2848</v>
      </c>
      <c r="E1847" s="1">
        <v>43143</v>
      </c>
      <c r="F1847" t="str">
        <f>"712310"</f>
        <v>712310</v>
      </c>
      <c r="G1847" t="str">
        <f>"OFFICE SUPPLIES/ DA'S OFFICE"</f>
        <v>OFFICE SUPPLIES/ DA'S OFFICE</v>
      </c>
      <c r="H1847" s="2">
        <v>2848</v>
      </c>
      <c r="I1847" t="str">
        <f>"OFFICE SUPPLIES/ DA'S OFFICE"</f>
        <v>OFFICE SUPPLIES/ DA'S OFFICE</v>
      </c>
    </row>
    <row r="1848" spans="1:9" x14ac:dyDescent="0.3">
      <c r="A1848" t="str">
        <f>"000877"</f>
        <v>000877</v>
      </c>
      <c r="B1848" t="s">
        <v>348</v>
      </c>
      <c r="C1848">
        <v>75490</v>
      </c>
      <c r="D1848" s="2">
        <v>40</v>
      </c>
      <c r="E1848" s="1">
        <v>43157</v>
      </c>
      <c r="F1848" t="str">
        <f>"283815 4"</f>
        <v>283815 4</v>
      </c>
      <c r="G1848" t="str">
        <f>"CUST ID#BASCOU/DRUG SCREEN/OEM"</f>
        <v>CUST ID#BASCOU/DRUG SCREEN/OEM</v>
      </c>
      <c r="H1848" s="2">
        <v>20</v>
      </c>
      <c r="I1848" t="str">
        <f>"CUST ID#BASCOU/DRUG SCREEN/OEM"</f>
        <v>CUST ID#BASCOU/DRUG SCREEN/OEM</v>
      </c>
    </row>
    <row r="1849" spans="1:9" x14ac:dyDescent="0.3">
      <c r="A1849" t="str">
        <f>""</f>
        <v/>
      </c>
      <c r="F1849" t="str">
        <f>"283979 1"</f>
        <v>283979 1</v>
      </c>
      <c r="G1849" t="str">
        <f>"CUST ID#BASCOU/DRUG SCREEN/OEM"</f>
        <v>CUST ID#BASCOU/DRUG SCREEN/OEM</v>
      </c>
      <c r="H1849" s="2">
        <v>20</v>
      </c>
      <c r="I1849" t="str">
        <f>"CUST ID#BASCOU/DRUG SCREEN/OEM"</f>
        <v>CUST ID#BASCOU/DRUG SCREEN/OEM</v>
      </c>
    </row>
    <row r="1850" spans="1:9" x14ac:dyDescent="0.3">
      <c r="A1850" t="str">
        <f>"003697"</f>
        <v>003697</v>
      </c>
      <c r="B1850" t="s">
        <v>396</v>
      </c>
      <c r="C1850">
        <v>75306</v>
      </c>
      <c r="D1850" s="2">
        <v>15.7</v>
      </c>
      <c r="E1850" s="1">
        <v>43143</v>
      </c>
      <c r="F1850" t="str">
        <f>"23800"</f>
        <v>23800</v>
      </c>
      <c r="G1850" t="str">
        <f>"ACCT#35019/OEM"</f>
        <v>ACCT#35019/OEM</v>
      </c>
      <c r="H1850" s="2">
        <v>15.7</v>
      </c>
      <c r="I1850" t="str">
        <f>"ACCT#35019/OEM"</f>
        <v>ACCT#35019/OEM</v>
      </c>
    </row>
    <row r="1851" spans="1:9" x14ac:dyDescent="0.3">
      <c r="A1851" t="str">
        <f>"TRACTO"</f>
        <v>TRACTO</v>
      </c>
      <c r="B1851" t="s">
        <v>483</v>
      </c>
      <c r="C1851">
        <v>75307</v>
      </c>
      <c r="D1851" s="2">
        <v>64.47</v>
      </c>
      <c r="E1851" s="1">
        <v>43143</v>
      </c>
      <c r="F1851" t="str">
        <f>"200466365"</f>
        <v>200466365</v>
      </c>
      <c r="G1851" t="str">
        <f>"Acct# 6035301200160982"</f>
        <v>Acct# 6035301200160982</v>
      </c>
      <c r="H1851" s="2">
        <v>64.47</v>
      </c>
      <c r="I1851" t="str">
        <f>"Inv# 200466365"</f>
        <v>Inv# 200466365</v>
      </c>
    </row>
    <row r="1852" spans="1:9" x14ac:dyDescent="0.3">
      <c r="A1852" t="str">
        <f>"WALMAR"</f>
        <v>WALMAR</v>
      </c>
      <c r="B1852" t="s">
        <v>501</v>
      </c>
      <c r="C1852">
        <v>75308</v>
      </c>
      <c r="D1852" s="2">
        <v>16</v>
      </c>
      <c r="E1852" s="1">
        <v>43143</v>
      </c>
      <c r="F1852" t="str">
        <f>"000668"</f>
        <v>000668</v>
      </c>
      <c r="G1852" t="str">
        <f>"Acct# 6032202005312476"</f>
        <v>Acct# 6032202005312476</v>
      </c>
      <c r="H1852" s="2">
        <v>16</v>
      </c>
      <c r="I1852" t="str">
        <f>"Inv# 000668"</f>
        <v>Inv# 000668</v>
      </c>
    </row>
    <row r="1853" spans="1:9" x14ac:dyDescent="0.3">
      <c r="A1853" t="str">
        <f>"004874"</f>
        <v>004874</v>
      </c>
      <c r="B1853" t="s">
        <v>522</v>
      </c>
      <c r="C1853">
        <v>75309</v>
      </c>
      <c r="D1853" s="2">
        <v>92</v>
      </c>
      <c r="E1853" s="1">
        <v>43143</v>
      </c>
      <c r="F1853" t="str">
        <f>"2330"</f>
        <v>2330</v>
      </c>
      <c r="G1853" t="str">
        <f>"SHIRTS-JUVENILE BOOT CAMP"</f>
        <v>SHIRTS-JUVENILE BOOT CAMP</v>
      </c>
      <c r="H1853" s="2">
        <v>92</v>
      </c>
      <c r="I1853" t="str">
        <f>"SHIRTS-JUVENILE BOOT CAMP"</f>
        <v>SHIRTS-JUVENILE BOOT CAMP</v>
      </c>
    </row>
    <row r="1854" spans="1:9" x14ac:dyDescent="0.3">
      <c r="A1854" t="str">
        <f>"ALLSTA"</f>
        <v>ALLSTA</v>
      </c>
      <c r="B1854" t="s">
        <v>523</v>
      </c>
      <c r="C1854">
        <v>0</v>
      </c>
      <c r="D1854" s="2">
        <v>7725.73</v>
      </c>
      <c r="E1854" s="1">
        <v>43158</v>
      </c>
      <c r="F1854" t="str">
        <f>"201802268882"</f>
        <v>201802268882</v>
      </c>
      <c r="G1854" t="str">
        <f>"ALLSTATE-AMERICAN HERITAGE LIF"</f>
        <v>ALLSTATE-AMERICAN HERITAGE LIF</v>
      </c>
      <c r="H1854" s="2">
        <v>7.0000000000000007E-2</v>
      </c>
      <c r="I1854" t="str">
        <f>"ALLSTATE-AMERICAN HERITAGE LIF"</f>
        <v>ALLSTATE-AMERICAN HERITAGE LIF</v>
      </c>
    </row>
    <row r="1855" spans="1:9" x14ac:dyDescent="0.3">
      <c r="A1855" t="str">
        <f>""</f>
        <v/>
      </c>
      <c r="F1855" t="str">
        <f>"AS 201802068586"</f>
        <v>AS 201802068586</v>
      </c>
      <c r="G1855" t="str">
        <f t="shared" ref="G1855:G1868" si="13">"ALLSTATE"</f>
        <v>ALLSTATE</v>
      </c>
      <c r="H1855" s="2">
        <v>760.7</v>
      </c>
      <c r="I1855" t="str">
        <f t="shared" ref="I1855:I1868" si="14">"ALLSTATE"</f>
        <v>ALLSTATE</v>
      </c>
    </row>
    <row r="1856" spans="1:9" x14ac:dyDescent="0.3">
      <c r="A1856" t="str">
        <f>""</f>
        <v/>
      </c>
      <c r="F1856" t="str">
        <f>"AS 201802068587"</f>
        <v>AS 201802068587</v>
      </c>
      <c r="G1856" t="str">
        <f t="shared" si="13"/>
        <v>ALLSTATE</v>
      </c>
      <c r="H1856" s="2">
        <v>36.14</v>
      </c>
      <c r="I1856" t="str">
        <f t="shared" si="14"/>
        <v>ALLSTATE</v>
      </c>
    </row>
    <row r="1857" spans="1:9" x14ac:dyDescent="0.3">
      <c r="A1857" t="str">
        <f>""</f>
        <v/>
      </c>
      <c r="F1857" t="str">
        <f>"AS 201802218810"</f>
        <v>AS 201802218810</v>
      </c>
      <c r="G1857" t="str">
        <f t="shared" si="13"/>
        <v>ALLSTATE</v>
      </c>
      <c r="H1857" s="2">
        <v>760.7</v>
      </c>
      <c r="I1857" t="str">
        <f t="shared" si="14"/>
        <v>ALLSTATE</v>
      </c>
    </row>
    <row r="1858" spans="1:9" x14ac:dyDescent="0.3">
      <c r="A1858" t="str">
        <f>""</f>
        <v/>
      </c>
      <c r="F1858" t="str">
        <f>"AS 201802218811"</f>
        <v>AS 201802218811</v>
      </c>
      <c r="G1858" t="str">
        <f t="shared" si="13"/>
        <v>ALLSTATE</v>
      </c>
      <c r="H1858" s="2">
        <v>36.14</v>
      </c>
      <c r="I1858" t="str">
        <f t="shared" si="14"/>
        <v>ALLSTATE</v>
      </c>
    </row>
    <row r="1859" spans="1:9" x14ac:dyDescent="0.3">
      <c r="A1859" t="str">
        <f>""</f>
        <v/>
      </c>
      <c r="F1859" t="str">
        <f>"ASD201802068586"</f>
        <v>ASD201802068586</v>
      </c>
      <c r="G1859" t="str">
        <f t="shared" si="13"/>
        <v>ALLSTATE</v>
      </c>
      <c r="H1859" s="2">
        <v>267.73</v>
      </c>
      <c r="I1859" t="str">
        <f t="shared" si="14"/>
        <v>ALLSTATE</v>
      </c>
    </row>
    <row r="1860" spans="1:9" x14ac:dyDescent="0.3">
      <c r="A1860" t="str">
        <f>""</f>
        <v/>
      </c>
      <c r="F1860" t="str">
        <f>"ASD201802218810"</f>
        <v>ASD201802218810</v>
      </c>
      <c r="G1860" t="str">
        <f t="shared" si="13"/>
        <v>ALLSTATE</v>
      </c>
      <c r="H1860" s="2">
        <v>267.73</v>
      </c>
      <c r="I1860" t="str">
        <f t="shared" si="14"/>
        <v>ALLSTATE</v>
      </c>
    </row>
    <row r="1861" spans="1:9" x14ac:dyDescent="0.3">
      <c r="A1861" t="str">
        <f>""</f>
        <v/>
      </c>
      <c r="F1861" t="str">
        <f>"ASI201802068586"</f>
        <v>ASI201802068586</v>
      </c>
      <c r="G1861" t="str">
        <f t="shared" si="13"/>
        <v>ALLSTATE</v>
      </c>
      <c r="H1861" s="2">
        <v>970.66</v>
      </c>
      <c r="I1861" t="str">
        <f t="shared" si="14"/>
        <v>ALLSTATE</v>
      </c>
    </row>
    <row r="1862" spans="1:9" x14ac:dyDescent="0.3">
      <c r="A1862" t="str">
        <f>""</f>
        <v/>
      </c>
      <c r="F1862" t="str">
        <f>"ASI201802068587"</f>
        <v>ASI201802068587</v>
      </c>
      <c r="G1862" t="str">
        <f t="shared" si="13"/>
        <v>ALLSTATE</v>
      </c>
      <c r="H1862" s="2">
        <v>100.63</v>
      </c>
      <c r="I1862" t="str">
        <f t="shared" si="14"/>
        <v>ALLSTATE</v>
      </c>
    </row>
    <row r="1863" spans="1:9" x14ac:dyDescent="0.3">
      <c r="A1863" t="str">
        <f>""</f>
        <v/>
      </c>
      <c r="F1863" t="str">
        <f>"ASI201802218810"</f>
        <v>ASI201802218810</v>
      </c>
      <c r="G1863" t="str">
        <f t="shared" si="13"/>
        <v>ALLSTATE</v>
      </c>
      <c r="H1863" s="2">
        <v>970.66</v>
      </c>
      <c r="I1863" t="str">
        <f t="shared" si="14"/>
        <v>ALLSTATE</v>
      </c>
    </row>
    <row r="1864" spans="1:9" x14ac:dyDescent="0.3">
      <c r="A1864" t="str">
        <f>""</f>
        <v/>
      </c>
      <c r="F1864" t="str">
        <f>"ASI201802218811"</f>
        <v>ASI201802218811</v>
      </c>
      <c r="G1864" t="str">
        <f t="shared" si="13"/>
        <v>ALLSTATE</v>
      </c>
      <c r="H1864" s="2">
        <v>100.63</v>
      </c>
      <c r="I1864" t="str">
        <f t="shared" si="14"/>
        <v>ALLSTATE</v>
      </c>
    </row>
    <row r="1865" spans="1:9" x14ac:dyDescent="0.3">
      <c r="A1865" t="str">
        <f>""</f>
        <v/>
      </c>
      <c r="F1865" t="str">
        <f>"AST201802068586"</f>
        <v>AST201802068586</v>
      </c>
      <c r="G1865" t="str">
        <f t="shared" si="13"/>
        <v>ALLSTATE</v>
      </c>
      <c r="H1865" s="2">
        <v>1673.14</v>
      </c>
      <c r="I1865" t="str">
        <f t="shared" si="14"/>
        <v>ALLSTATE</v>
      </c>
    </row>
    <row r="1866" spans="1:9" x14ac:dyDescent="0.3">
      <c r="A1866" t="str">
        <f>""</f>
        <v/>
      </c>
      <c r="F1866" t="str">
        <f>"AST201802068587"</f>
        <v>AST201802068587</v>
      </c>
      <c r="G1866" t="str">
        <f t="shared" si="13"/>
        <v>ALLSTATE</v>
      </c>
      <c r="H1866" s="2">
        <v>53.83</v>
      </c>
      <c r="I1866" t="str">
        <f t="shared" si="14"/>
        <v>ALLSTATE</v>
      </c>
    </row>
    <row r="1867" spans="1:9" x14ac:dyDescent="0.3">
      <c r="A1867" t="str">
        <f>""</f>
        <v/>
      </c>
      <c r="F1867" t="str">
        <f>"AST201802218810"</f>
        <v>AST201802218810</v>
      </c>
      <c r="G1867" t="str">
        <f t="shared" si="13"/>
        <v>ALLSTATE</v>
      </c>
      <c r="H1867" s="2">
        <v>1673.14</v>
      </c>
      <c r="I1867" t="str">
        <f t="shared" si="14"/>
        <v>ALLSTATE</v>
      </c>
    </row>
    <row r="1868" spans="1:9" x14ac:dyDescent="0.3">
      <c r="A1868" t="str">
        <f>""</f>
        <v/>
      </c>
      <c r="F1868" t="str">
        <f>"AST201802218811"</f>
        <v>AST201802218811</v>
      </c>
      <c r="G1868" t="str">
        <f t="shared" si="13"/>
        <v>ALLSTATE</v>
      </c>
      <c r="H1868" s="2">
        <v>53.83</v>
      </c>
      <c r="I1868" t="str">
        <f t="shared" si="14"/>
        <v>ALLSTATE</v>
      </c>
    </row>
    <row r="1869" spans="1:9" x14ac:dyDescent="0.3">
      <c r="A1869" t="str">
        <f>"T12180"</f>
        <v>T12180</v>
      </c>
      <c r="B1869" t="s">
        <v>524</v>
      </c>
      <c r="C1869">
        <v>0</v>
      </c>
      <c r="D1869" s="2">
        <v>3151.46</v>
      </c>
      <c r="E1869" s="1">
        <v>43140</v>
      </c>
      <c r="F1869" t="str">
        <f>"DDP201802068588"</f>
        <v>DDP201802068588</v>
      </c>
      <c r="G1869" t="str">
        <f>"AP - TEXAS DISCOUNT DENTAL"</f>
        <v>AP - TEXAS DISCOUNT DENTAL</v>
      </c>
      <c r="H1869" s="2">
        <v>6.53</v>
      </c>
      <c r="I1869" t="str">
        <f>"AP - TEXAS DISCOUNT DENTAL"</f>
        <v>AP - TEXAS DISCOUNT DENTAL</v>
      </c>
    </row>
    <row r="1870" spans="1:9" x14ac:dyDescent="0.3">
      <c r="A1870" t="str">
        <f>""</f>
        <v/>
      </c>
      <c r="F1870" t="str">
        <f>"DHM201802068588"</f>
        <v>DHM201802068588</v>
      </c>
      <c r="G1870" t="str">
        <f>"AP - DENTAL HMO"</f>
        <v>AP - DENTAL HMO</v>
      </c>
      <c r="H1870" s="2">
        <v>30.7</v>
      </c>
      <c r="I1870" t="str">
        <f>"AP - DENTAL HMO"</f>
        <v>AP - DENTAL HMO</v>
      </c>
    </row>
    <row r="1871" spans="1:9" x14ac:dyDescent="0.3">
      <c r="A1871" t="str">
        <f>""</f>
        <v/>
      </c>
      <c r="F1871" t="str">
        <f>"DTX201802068588"</f>
        <v>DTX201802068588</v>
      </c>
      <c r="G1871" t="str">
        <f>"AP - TEXAS DENTAL"</f>
        <v>AP - TEXAS DENTAL</v>
      </c>
      <c r="H1871" s="2">
        <v>397.64</v>
      </c>
      <c r="I1871" t="str">
        <f>"AP - TEXAS DENTAL"</f>
        <v>AP - TEXAS DENTAL</v>
      </c>
    </row>
    <row r="1872" spans="1:9" x14ac:dyDescent="0.3">
      <c r="A1872" t="str">
        <f>""</f>
        <v/>
      </c>
      <c r="F1872" t="str">
        <f>"FD 201802068588"</f>
        <v>FD 201802068588</v>
      </c>
      <c r="G1872" t="str">
        <f>"AP - FT DEARBORN PRE-TAX"</f>
        <v>AP - FT DEARBORN PRE-TAX</v>
      </c>
      <c r="H1872" s="2">
        <v>221.68</v>
      </c>
      <c r="I1872" t="str">
        <f>"AP - FT DEARBORN PRE-TAX"</f>
        <v>AP - FT DEARBORN PRE-TAX</v>
      </c>
    </row>
    <row r="1873" spans="1:9" x14ac:dyDescent="0.3">
      <c r="A1873" t="str">
        <f>""</f>
        <v/>
      </c>
      <c r="F1873" t="str">
        <f>"FDT201802068588"</f>
        <v>FDT201802068588</v>
      </c>
      <c r="G1873" t="str">
        <f>"AP - FT DEARBORN AFTER TAX"</f>
        <v>AP - FT DEARBORN AFTER TAX</v>
      </c>
      <c r="H1873" s="2">
        <v>86.54</v>
      </c>
      <c r="I1873" t="str">
        <f>"AP - FT DEARBORN AFTER TAX"</f>
        <v>AP - FT DEARBORN AFTER TAX</v>
      </c>
    </row>
    <row r="1874" spans="1:9" x14ac:dyDescent="0.3">
      <c r="A1874" t="str">
        <f>""</f>
        <v/>
      </c>
      <c r="F1874" t="str">
        <f>"FLX201802068588"</f>
        <v>FLX201802068588</v>
      </c>
      <c r="G1874" t="str">
        <f>"AP - TEX FLEX"</f>
        <v>AP - TEX FLEX</v>
      </c>
      <c r="H1874" s="2">
        <v>312</v>
      </c>
      <c r="I1874" t="str">
        <f>"AP - TEX FLEX"</f>
        <v>AP - TEX FLEX</v>
      </c>
    </row>
    <row r="1875" spans="1:9" x14ac:dyDescent="0.3">
      <c r="A1875" t="str">
        <f>""</f>
        <v/>
      </c>
      <c r="F1875" t="str">
        <f>"MHS201802068588"</f>
        <v>MHS201802068588</v>
      </c>
      <c r="G1875" t="str">
        <f>"AP - HEALTH SELECT MEDICAL"</f>
        <v>AP - HEALTH SELECT MEDICAL</v>
      </c>
      <c r="H1875" s="2">
        <v>1787.8</v>
      </c>
      <c r="I1875" t="str">
        <f>"AP - HEALTH SELECT MEDICAL"</f>
        <v>AP - HEALTH SELECT MEDICAL</v>
      </c>
    </row>
    <row r="1876" spans="1:9" x14ac:dyDescent="0.3">
      <c r="A1876" t="str">
        <f>""</f>
        <v/>
      </c>
      <c r="F1876" t="str">
        <f>"MSW201802068588"</f>
        <v>MSW201802068588</v>
      </c>
      <c r="G1876" t="str">
        <f>"AP - SCOTT &amp; WHITE MEDICAL"</f>
        <v>AP - SCOTT &amp; WHITE MEDICAL</v>
      </c>
      <c r="H1876" s="2">
        <v>291.82</v>
      </c>
      <c r="I1876" t="str">
        <f>"AP - SCOTT &amp; WHITE MEDICAL"</f>
        <v>AP - SCOTT &amp; WHITE MEDICAL</v>
      </c>
    </row>
    <row r="1877" spans="1:9" x14ac:dyDescent="0.3">
      <c r="A1877" t="str">
        <f>""</f>
        <v/>
      </c>
      <c r="F1877" t="str">
        <f>"SPE201802068588"</f>
        <v>SPE201802068588</v>
      </c>
      <c r="G1877" t="str">
        <f>"AP - STATE VISION"</f>
        <v>AP - STATE VISION</v>
      </c>
      <c r="H1877" s="2">
        <v>16.75</v>
      </c>
      <c r="I1877" t="str">
        <f>"AP - STATE VISION"</f>
        <v>AP - STATE VISION</v>
      </c>
    </row>
    <row r="1878" spans="1:9" x14ac:dyDescent="0.3">
      <c r="A1878" t="str">
        <f>"T12180"</f>
        <v>T12180</v>
      </c>
      <c r="B1878" t="s">
        <v>524</v>
      </c>
      <c r="C1878">
        <v>0</v>
      </c>
      <c r="D1878" s="2">
        <v>3151.46</v>
      </c>
      <c r="E1878" s="1">
        <v>43154</v>
      </c>
      <c r="F1878" t="str">
        <f>"DDP201802218812"</f>
        <v>DDP201802218812</v>
      </c>
      <c r="G1878" t="str">
        <f>"AP - TEXAS DISCOUNT DENTAL"</f>
        <v>AP - TEXAS DISCOUNT DENTAL</v>
      </c>
      <c r="H1878" s="2">
        <v>6.53</v>
      </c>
      <c r="I1878" t="str">
        <f>"AP - TEXAS DISCOUNT DENTAL"</f>
        <v>AP - TEXAS DISCOUNT DENTAL</v>
      </c>
    </row>
    <row r="1879" spans="1:9" x14ac:dyDescent="0.3">
      <c r="A1879" t="str">
        <f>""</f>
        <v/>
      </c>
      <c r="F1879" t="str">
        <f>"DHM201802218812"</f>
        <v>DHM201802218812</v>
      </c>
      <c r="G1879" t="str">
        <f>"AP - DENTAL HMO"</f>
        <v>AP - DENTAL HMO</v>
      </c>
      <c r="H1879" s="2">
        <v>30.7</v>
      </c>
      <c r="I1879" t="str">
        <f>"AP - DENTAL HMO"</f>
        <v>AP - DENTAL HMO</v>
      </c>
    </row>
    <row r="1880" spans="1:9" x14ac:dyDescent="0.3">
      <c r="A1880" t="str">
        <f>""</f>
        <v/>
      </c>
      <c r="F1880" t="str">
        <f>"DTX201802218812"</f>
        <v>DTX201802218812</v>
      </c>
      <c r="G1880" t="str">
        <f>"AP - TEXAS DENTAL"</f>
        <v>AP - TEXAS DENTAL</v>
      </c>
      <c r="H1880" s="2">
        <v>397.64</v>
      </c>
      <c r="I1880" t="str">
        <f>"AP - TEXAS DENTAL"</f>
        <v>AP - TEXAS DENTAL</v>
      </c>
    </row>
    <row r="1881" spans="1:9" x14ac:dyDescent="0.3">
      <c r="A1881" t="str">
        <f>""</f>
        <v/>
      </c>
      <c r="F1881" t="str">
        <f>"FD 201802218812"</f>
        <v>FD 201802218812</v>
      </c>
      <c r="G1881" t="str">
        <f>"AP - FT DEARBORN PRE-TAX"</f>
        <v>AP - FT DEARBORN PRE-TAX</v>
      </c>
      <c r="H1881" s="2">
        <v>221.68</v>
      </c>
      <c r="I1881" t="str">
        <f>"AP - FT DEARBORN PRE-TAX"</f>
        <v>AP - FT DEARBORN PRE-TAX</v>
      </c>
    </row>
    <row r="1882" spans="1:9" x14ac:dyDescent="0.3">
      <c r="A1882" t="str">
        <f>""</f>
        <v/>
      </c>
      <c r="F1882" t="str">
        <f>"FDT201802218812"</f>
        <v>FDT201802218812</v>
      </c>
      <c r="G1882" t="str">
        <f>"AP - FT DEARBORN AFTER TAX"</f>
        <v>AP - FT DEARBORN AFTER TAX</v>
      </c>
      <c r="H1882" s="2">
        <v>86.54</v>
      </c>
      <c r="I1882" t="str">
        <f>"AP - FT DEARBORN AFTER TAX"</f>
        <v>AP - FT DEARBORN AFTER TAX</v>
      </c>
    </row>
    <row r="1883" spans="1:9" x14ac:dyDescent="0.3">
      <c r="A1883" t="str">
        <f>""</f>
        <v/>
      </c>
      <c r="F1883" t="str">
        <f>"FLX201802218812"</f>
        <v>FLX201802218812</v>
      </c>
      <c r="G1883" t="str">
        <f>"AP - TEX FLEX"</f>
        <v>AP - TEX FLEX</v>
      </c>
      <c r="H1883" s="2">
        <v>312</v>
      </c>
      <c r="I1883" t="str">
        <f>"AP - TEX FLEX"</f>
        <v>AP - TEX FLEX</v>
      </c>
    </row>
    <row r="1884" spans="1:9" x14ac:dyDescent="0.3">
      <c r="A1884" t="str">
        <f>""</f>
        <v/>
      </c>
      <c r="F1884" t="str">
        <f>"MHS201802218812"</f>
        <v>MHS201802218812</v>
      </c>
      <c r="G1884" t="str">
        <f>"AP - HEALTH SELECT MEDICAL"</f>
        <v>AP - HEALTH SELECT MEDICAL</v>
      </c>
      <c r="H1884" s="2">
        <v>1787.8</v>
      </c>
      <c r="I1884" t="str">
        <f>"AP - HEALTH SELECT MEDICAL"</f>
        <v>AP - HEALTH SELECT MEDICAL</v>
      </c>
    </row>
    <row r="1885" spans="1:9" x14ac:dyDescent="0.3">
      <c r="A1885" t="str">
        <f>""</f>
        <v/>
      </c>
      <c r="F1885" t="str">
        <f>"MSW201802218812"</f>
        <v>MSW201802218812</v>
      </c>
      <c r="G1885" t="str">
        <f>"AP - SCOTT &amp; WHITE MEDICAL"</f>
        <v>AP - SCOTT &amp; WHITE MEDICAL</v>
      </c>
      <c r="H1885" s="2">
        <v>291.82</v>
      </c>
      <c r="I1885" t="str">
        <f>"AP - SCOTT &amp; WHITE MEDICAL"</f>
        <v>AP - SCOTT &amp; WHITE MEDICAL</v>
      </c>
    </row>
    <row r="1886" spans="1:9" x14ac:dyDescent="0.3">
      <c r="A1886" t="str">
        <f>""</f>
        <v/>
      </c>
      <c r="F1886" t="str">
        <f>"SPE201802218812"</f>
        <v>SPE201802218812</v>
      </c>
      <c r="G1886" t="str">
        <f>"AP - STATE VISION"</f>
        <v>AP - STATE VISION</v>
      </c>
      <c r="H1886" s="2">
        <v>16.75</v>
      </c>
      <c r="I1886" t="str">
        <f>"AP - STATE VISION"</f>
        <v>AP - STATE VISION</v>
      </c>
    </row>
    <row r="1887" spans="1:9" x14ac:dyDescent="0.3">
      <c r="A1887" t="str">
        <f>"COLONI"</f>
        <v>COLONI</v>
      </c>
      <c r="B1887" t="s">
        <v>525</v>
      </c>
      <c r="C1887">
        <v>0</v>
      </c>
      <c r="D1887" s="2">
        <v>5349.7</v>
      </c>
      <c r="E1887" s="1">
        <v>43158</v>
      </c>
      <c r="F1887" t="str">
        <f>"CL 201802068586"</f>
        <v>CL 201802068586</v>
      </c>
      <c r="G1887" t="str">
        <f t="shared" ref="G1887:G1908" si="15">"COLONIAL"</f>
        <v>COLONIAL</v>
      </c>
      <c r="H1887" s="2">
        <v>790.75</v>
      </c>
      <c r="I1887" t="str">
        <f t="shared" ref="I1887:I1908" si="16">"COLONIAL"</f>
        <v>COLONIAL</v>
      </c>
    </row>
    <row r="1888" spans="1:9" x14ac:dyDescent="0.3">
      <c r="A1888" t="str">
        <f>""</f>
        <v/>
      </c>
      <c r="F1888" t="str">
        <f>"CL 201802068587"</f>
        <v>CL 201802068587</v>
      </c>
      <c r="G1888" t="str">
        <f t="shared" si="15"/>
        <v>COLONIAL</v>
      </c>
      <c r="H1888" s="2">
        <v>14.49</v>
      </c>
      <c r="I1888" t="str">
        <f t="shared" si="16"/>
        <v>COLONIAL</v>
      </c>
    </row>
    <row r="1889" spans="1:9" x14ac:dyDescent="0.3">
      <c r="A1889" t="str">
        <f>""</f>
        <v/>
      </c>
      <c r="F1889" t="str">
        <f>"CL 201802218810"</f>
        <v>CL 201802218810</v>
      </c>
      <c r="G1889" t="str">
        <f t="shared" si="15"/>
        <v>COLONIAL</v>
      </c>
      <c r="H1889" s="2">
        <v>790.75</v>
      </c>
      <c r="I1889" t="str">
        <f t="shared" si="16"/>
        <v>COLONIAL</v>
      </c>
    </row>
    <row r="1890" spans="1:9" x14ac:dyDescent="0.3">
      <c r="A1890" t="str">
        <f>""</f>
        <v/>
      </c>
      <c r="F1890" t="str">
        <f>"CL 201802218811"</f>
        <v>CL 201802218811</v>
      </c>
      <c r="G1890" t="str">
        <f t="shared" si="15"/>
        <v>COLONIAL</v>
      </c>
      <c r="H1890" s="2">
        <v>14.49</v>
      </c>
      <c r="I1890" t="str">
        <f t="shared" si="16"/>
        <v>COLONIAL</v>
      </c>
    </row>
    <row r="1891" spans="1:9" x14ac:dyDescent="0.3">
      <c r="A1891" t="str">
        <f>""</f>
        <v/>
      </c>
      <c r="F1891" t="str">
        <f>"CLC201802068586"</f>
        <v>CLC201802068586</v>
      </c>
      <c r="G1891" t="str">
        <f t="shared" si="15"/>
        <v>COLONIAL</v>
      </c>
      <c r="H1891" s="2">
        <v>77.97</v>
      </c>
      <c r="I1891" t="str">
        <f t="shared" si="16"/>
        <v>COLONIAL</v>
      </c>
    </row>
    <row r="1892" spans="1:9" x14ac:dyDescent="0.3">
      <c r="A1892" t="str">
        <f>""</f>
        <v/>
      </c>
      <c r="F1892" t="str">
        <f>"CLC201802218810"</f>
        <v>CLC201802218810</v>
      </c>
      <c r="G1892" t="str">
        <f t="shared" si="15"/>
        <v>COLONIAL</v>
      </c>
      <c r="H1892" s="2">
        <v>77.97</v>
      </c>
      <c r="I1892" t="str">
        <f t="shared" si="16"/>
        <v>COLONIAL</v>
      </c>
    </row>
    <row r="1893" spans="1:9" x14ac:dyDescent="0.3">
      <c r="A1893" t="str">
        <f>""</f>
        <v/>
      </c>
      <c r="F1893" t="str">
        <f>"CLI201802068586"</f>
        <v>CLI201802068586</v>
      </c>
      <c r="G1893" t="str">
        <f t="shared" si="15"/>
        <v>COLONIAL</v>
      </c>
      <c r="H1893" s="2">
        <v>649.54</v>
      </c>
      <c r="I1893" t="str">
        <f t="shared" si="16"/>
        <v>COLONIAL</v>
      </c>
    </row>
    <row r="1894" spans="1:9" x14ac:dyDescent="0.3">
      <c r="A1894" t="str">
        <f>""</f>
        <v/>
      </c>
      <c r="F1894" t="str">
        <f>"CLI201802068587"</f>
        <v>CLI201802068587</v>
      </c>
      <c r="G1894" t="str">
        <f t="shared" si="15"/>
        <v>COLONIAL</v>
      </c>
      <c r="H1894" s="2">
        <v>17.53</v>
      </c>
      <c r="I1894" t="str">
        <f t="shared" si="16"/>
        <v>COLONIAL</v>
      </c>
    </row>
    <row r="1895" spans="1:9" x14ac:dyDescent="0.3">
      <c r="A1895" t="str">
        <f>""</f>
        <v/>
      </c>
      <c r="F1895" t="str">
        <f>"CLI201802218810"</f>
        <v>CLI201802218810</v>
      </c>
      <c r="G1895" t="str">
        <f t="shared" si="15"/>
        <v>COLONIAL</v>
      </c>
      <c r="H1895" s="2">
        <v>649.54</v>
      </c>
      <c r="I1895" t="str">
        <f t="shared" si="16"/>
        <v>COLONIAL</v>
      </c>
    </row>
    <row r="1896" spans="1:9" x14ac:dyDescent="0.3">
      <c r="A1896" t="str">
        <f>""</f>
        <v/>
      </c>
      <c r="F1896" t="str">
        <f>"CLI201802218811"</f>
        <v>CLI201802218811</v>
      </c>
      <c r="G1896" t="str">
        <f t="shared" si="15"/>
        <v>COLONIAL</v>
      </c>
      <c r="H1896" s="2">
        <v>17.53</v>
      </c>
      <c r="I1896" t="str">
        <f t="shared" si="16"/>
        <v>COLONIAL</v>
      </c>
    </row>
    <row r="1897" spans="1:9" x14ac:dyDescent="0.3">
      <c r="A1897" t="str">
        <f>""</f>
        <v/>
      </c>
      <c r="F1897" t="str">
        <f>"CLK201802068586"</f>
        <v>CLK201802068586</v>
      </c>
      <c r="G1897" t="str">
        <f t="shared" si="15"/>
        <v>COLONIAL</v>
      </c>
      <c r="H1897" s="2">
        <v>27.09</v>
      </c>
      <c r="I1897" t="str">
        <f t="shared" si="16"/>
        <v>COLONIAL</v>
      </c>
    </row>
    <row r="1898" spans="1:9" x14ac:dyDescent="0.3">
      <c r="A1898" t="str">
        <f>""</f>
        <v/>
      </c>
      <c r="F1898" t="str">
        <f>"CLK201802218810"</f>
        <v>CLK201802218810</v>
      </c>
      <c r="G1898" t="str">
        <f t="shared" si="15"/>
        <v>COLONIAL</v>
      </c>
      <c r="H1898" s="2">
        <v>27.09</v>
      </c>
      <c r="I1898" t="str">
        <f t="shared" si="16"/>
        <v>COLONIAL</v>
      </c>
    </row>
    <row r="1899" spans="1:9" x14ac:dyDescent="0.3">
      <c r="A1899" t="str">
        <f>""</f>
        <v/>
      </c>
      <c r="F1899" t="str">
        <f>"CLS201802068586"</f>
        <v>CLS201802068586</v>
      </c>
      <c r="G1899" t="str">
        <f t="shared" si="15"/>
        <v>COLONIAL</v>
      </c>
      <c r="H1899" s="2">
        <v>447.11</v>
      </c>
      <c r="I1899" t="str">
        <f t="shared" si="16"/>
        <v>COLONIAL</v>
      </c>
    </row>
    <row r="1900" spans="1:9" x14ac:dyDescent="0.3">
      <c r="A1900" t="str">
        <f>""</f>
        <v/>
      </c>
      <c r="F1900" t="str">
        <f>"CLS201802068587"</f>
        <v>CLS201802068587</v>
      </c>
      <c r="G1900" t="str">
        <f t="shared" si="15"/>
        <v>COLONIAL</v>
      </c>
      <c r="H1900" s="2">
        <v>12.84</v>
      </c>
      <c r="I1900" t="str">
        <f t="shared" si="16"/>
        <v>COLONIAL</v>
      </c>
    </row>
    <row r="1901" spans="1:9" x14ac:dyDescent="0.3">
      <c r="A1901" t="str">
        <f>""</f>
        <v/>
      </c>
      <c r="F1901" t="str">
        <f>"CLS201802218810"</f>
        <v>CLS201802218810</v>
      </c>
      <c r="G1901" t="str">
        <f t="shared" si="15"/>
        <v>COLONIAL</v>
      </c>
      <c r="H1901" s="2">
        <v>447.11</v>
      </c>
      <c r="I1901" t="str">
        <f t="shared" si="16"/>
        <v>COLONIAL</v>
      </c>
    </row>
    <row r="1902" spans="1:9" x14ac:dyDescent="0.3">
      <c r="A1902" t="str">
        <f>""</f>
        <v/>
      </c>
      <c r="F1902" t="str">
        <f>"CLS201802218811"</f>
        <v>CLS201802218811</v>
      </c>
      <c r="G1902" t="str">
        <f t="shared" si="15"/>
        <v>COLONIAL</v>
      </c>
      <c r="H1902" s="2">
        <v>12.84</v>
      </c>
      <c r="I1902" t="str">
        <f t="shared" si="16"/>
        <v>COLONIAL</v>
      </c>
    </row>
    <row r="1903" spans="1:9" x14ac:dyDescent="0.3">
      <c r="A1903" t="str">
        <f>""</f>
        <v/>
      </c>
      <c r="F1903" t="str">
        <f>"CLT201802068586"</f>
        <v>CLT201802068586</v>
      </c>
      <c r="G1903" t="str">
        <f t="shared" si="15"/>
        <v>COLONIAL</v>
      </c>
      <c r="H1903" s="2">
        <v>356.24</v>
      </c>
      <c r="I1903" t="str">
        <f t="shared" si="16"/>
        <v>COLONIAL</v>
      </c>
    </row>
    <row r="1904" spans="1:9" x14ac:dyDescent="0.3">
      <c r="A1904" t="str">
        <f>""</f>
        <v/>
      </c>
      <c r="F1904" t="str">
        <f>"CLT201802218810"</f>
        <v>CLT201802218810</v>
      </c>
      <c r="G1904" t="str">
        <f t="shared" si="15"/>
        <v>COLONIAL</v>
      </c>
      <c r="H1904" s="2">
        <v>356.24</v>
      </c>
      <c r="I1904" t="str">
        <f t="shared" si="16"/>
        <v>COLONIAL</v>
      </c>
    </row>
    <row r="1905" spans="1:9" x14ac:dyDescent="0.3">
      <c r="A1905" t="str">
        <f>""</f>
        <v/>
      </c>
      <c r="F1905" t="str">
        <f>"CLU201802068586"</f>
        <v>CLU201802068586</v>
      </c>
      <c r="G1905" t="str">
        <f t="shared" si="15"/>
        <v>COLONIAL</v>
      </c>
      <c r="H1905" s="2">
        <v>211.7</v>
      </c>
      <c r="I1905" t="str">
        <f t="shared" si="16"/>
        <v>COLONIAL</v>
      </c>
    </row>
    <row r="1906" spans="1:9" x14ac:dyDescent="0.3">
      <c r="A1906" t="str">
        <f>""</f>
        <v/>
      </c>
      <c r="F1906" t="str">
        <f>"CLU201802218810"</f>
        <v>CLU201802218810</v>
      </c>
      <c r="G1906" t="str">
        <f t="shared" si="15"/>
        <v>COLONIAL</v>
      </c>
      <c r="H1906" s="2">
        <v>211.7</v>
      </c>
      <c r="I1906" t="str">
        <f t="shared" si="16"/>
        <v>COLONIAL</v>
      </c>
    </row>
    <row r="1907" spans="1:9" x14ac:dyDescent="0.3">
      <c r="A1907" t="str">
        <f>""</f>
        <v/>
      </c>
      <c r="F1907" t="str">
        <f>"CLW201802068586"</f>
        <v>CLW201802068586</v>
      </c>
      <c r="G1907" t="str">
        <f t="shared" si="15"/>
        <v>COLONIAL</v>
      </c>
      <c r="H1907" s="2">
        <v>69.59</v>
      </c>
      <c r="I1907" t="str">
        <f t="shared" si="16"/>
        <v>COLONIAL</v>
      </c>
    </row>
    <row r="1908" spans="1:9" x14ac:dyDescent="0.3">
      <c r="A1908" t="str">
        <f>""</f>
        <v/>
      </c>
      <c r="F1908" t="str">
        <f>"CLW201802218810"</f>
        <v>CLW201802218810</v>
      </c>
      <c r="G1908" t="str">
        <f t="shared" si="15"/>
        <v>COLONIAL</v>
      </c>
      <c r="H1908" s="2">
        <v>69.59</v>
      </c>
      <c r="I1908" t="str">
        <f t="shared" si="16"/>
        <v>COLONIAL</v>
      </c>
    </row>
    <row r="1909" spans="1:9" x14ac:dyDescent="0.3">
      <c r="A1909" t="str">
        <f>"T14390"</f>
        <v>T14390</v>
      </c>
      <c r="B1909" t="s">
        <v>147</v>
      </c>
      <c r="C1909">
        <v>0</v>
      </c>
      <c r="D1909" s="2">
        <v>7420.1</v>
      </c>
      <c r="E1909" s="1">
        <v>43140</v>
      </c>
      <c r="F1909" t="str">
        <f>"CPI201802068586"</f>
        <v>CPI201802068586</v>
      </c>
      <c r="G1909" t="str">
        <f>"DEFERRED COMP 457B PAYABLE"</f>
        <v>DEFERRED COMP 457B PAYABLE</v>
      </c>
      <c r="H1909" s="2">
        <v>7312.6</v>
      </c>
      <c r="I1909" t="str">
        <f>"DEFERRED COMP 457B PAYABLE"</f>
        <v>DEFERRED COMP 457B PAYABLE</v>
      </c>
    </row>
    <row r="1910" spans="1:9" x14ac:dyDescent="0.3">
      <c r="A1910" t="str">
        <f>""</f>
        <v/>
      </c>
      <c r="F1910" t="str">
        <f>"CPI201802068587"</f>
        <v>CPI201802068587</v>
      </c>
      <c r="G1910" t="str">
        <f>"DEFERRED COMP 457B PAYABLE"</f>
        <v>DEFERRED COMP 457B PAYABLE</v>
      </c>
      <c r="H1910" s="2">
        <v>107.5</v>
      </c>
      <c r="I1910" t="str">
        <f>"DEFERRED COMP 457B PAYABLE"</f>
        <v>DEFERRED COMP 457B PAYABLE</v>
      </c>
    </row>
    <row r="1911" spans="1:9" x14ac:dyDescent="0.3">
      <c r="A1911" t="str">
        <f>"T14390"</f>
        <v>T14390</v>
      </c>
      <c r="B1911" t="s">
        <v>147</v>
      </c>
      <c r="C1911">
        <v>0</v>
      </c>
      <c r="D1911" s="2">
        <v>7420.1</v>
      </c>
      <c r="E1911" s="1">
        <v>43154</v>
      </c>
      <c r="F1911" t="str">
        <f>"CPI201802218810"</f>
        <v>CPI201802218810</v>
      </c>
      <c r="G1911" t="str">
        <f>"DEFERRED COMP 457B PAYABLE"</f>
        <v>DEFERRED COMP 457B PAYABLE</v>
      </c>
      <c r="H1911" s="2">
        <v>7312.6</v>
      </c>
      <c r="I1911" t="str">
        <f>"DEFERRED COMP 457B PAYABLE"</f>
        <v>DEFERRED COMP 457B PAYABLE</v>
      </c>
    </row>
    <row r="1912" spans="1:9" x14ac:dyDescent="0.3">
      <c r="A1912" t="str">
        <f>""</f>
        <v/>
      </c>
      <c r="F1912" t="str">
        <f>"CPI201802218811"</f>
        <v>CPI201802218811</v>
      </c>
      <c r="G1912" t="str">
        <f>"DEFERRED COMP 457B PAYABLE"</f>
        <v>DEFERRED COMP 457B PAYABLE</v>
      </c>
      <c r="H1912" s="2">
        <v>107.5</v>
      </c>
      <c r="I1912" t="str">
        <f>"DEFERRED COMP 457B PAYABLE"</f>
        <v>DEFERRED COMP 457B PAYABLE</v>
      </c>
    </row>
    <row r="1913" spans="1:9" x14ac:dyDescent="0.3">
      <c r="A1913" t="str">
        <f>"T10761"</f>
        <v>T10761</v>
      </c>
      <c r="B1913" t="s">
        <v>526</v>
      </c>
      <c r="C1913">
        <v>46154</v>
      </c>
      <c r="D1913" s="2">
        <v>1345.62</v>
      </c>
      <c r="E1913" s="1">
        <v>43140</v>
      </c>
      <c r="F1913" t="str">
        <f>"B13201802068586"</f>
        <v>B13201802068586</v>
      </c>
      <c r="G1913" t="str">
        <f>"Rosa Warren 15-10357-TMD"</f>
        <v>Rosa Warren 15-10357-TMD</v>
      </c>
      <c r="H1913" s="2">
        <v>853.85</v>
      </c>
      <c r="I1913" t="str">
        <f>"Rosa Warren 15-10357-TMD"</f>
        <v>Rosa Warren 15-10357-TMD</v>
      </c>
    </row>
    <row r="1914" spans="1:9" x14ac:dyDescent="0.3">
      <c r="A1914" t="str">
        <f>""</f>
        <v/>
      </c>
      <c r="F1914" t="str">
        <f>"BJL201802068586"</f>
        <v>BJL201802068586</v>
      </c>
      <c r="G1914" t="str">
        <f>"Julian Luna 14-10230-TMD"</f>
        <v>Julian Luna 14-10230-TMD</v>
      </c>
      <c r="H1914" s="2">
        <v>491.77</v>
      </c>
      <c r="I1914" t="str">
        <f>"Julian Luna 14-10230-TMD"</f>
        <v>Julian Luna 14-10230-TMD</v>
      </c>
    </row>
    <row r="1915" spans="1:9" x14ac:dyDescent="0.3">
      <c r="A1915" t="str">
        <f>"T10761"</f>
        <v>T10761</v>
      </c>
      <c r="B1915" t="s">
        <v>526</v>
      </c>
      <c r="C1915">
        <v>46173</v>
      </c>
      <c r="D1915" s="2">
        <v>1345.62</v>
      </c>
      <c r="E1915" s="1">
        <v>43154</v>
      </c>
      <c r="F1915" t="str">
        <f>"B13201802218810"</f>
        <v>B13201802218810</v>
      </c>
      <c r="G1915" t="str">
        <f>"Rosa Warren 15-10357-TMD"</f>
        <v>Rosa Warren 15-10357-TMD</v>
      </c>
      <c r="H1915" s="2">
        <v>853.85</v>
      </c>
      <c r="I1915" t="str">
        <f>"Rosa Warren 15-10357-TMD"</f>
        <v>Rosa Warren 15-10357-TMD</v>
      </c>
    </row>
    <row r="1916" spans="1:9" x14ac:dyDescent="0.3">
      <c r="A1916" t="str">
        <f>""</f>
        <v/>
      </c>
      <c r="F1916" t="str">
        <f>"BJL201802218810"</f>
        <v>BJL201802218810</v>
      </c>
      <c r="G1916" t="str">
        <f>"Julian Luna 14-10230-TMD"</f>
        <v>Julian Luna 14-10230-TMD</v>
      </c>
      <c r="H1916" s="2">
        <v>491.77</v>
      </c>
      <c r="I1916" t="str">
        <f>"Julian Luna 14-10230-TMD"</f>
        <v>Julian Luna 14-10230-TMD</v>
      </c>
    </row>
    <row r="1917" spans="1:9" x14ac:dyDescent="0.3">
      <c r="A1917" t="str">
        <f>"GUARD"</f>
        <v>GUARD</v>
      </c>
      <c r="B1917" t="s">
        <v>527</v>
      </c>
      <c r="C1917">
        <v>0</v>
      </c>
      <c r="D1917" s="2">
        <v>37107.22</v>
      </c>
      <c r="E1917" s="1">
        <v>43158</v>
      </c>
      <c r="F1917" t="str">
        <f>"201802268875"</f>
        <v>201802268875</v>
      </c>
      <c r="G1917" t="str">
        <f>"Dental Rounding"</f>
        <v>Dental Rounding</v>
      </c>
      <c r="H1917" s="2">
        <v>-5.86</v>
      </c>
      <c r="I1917" t="str">
        <f>"Dental Rounding"</f>
        <v>Dental Rounding</v>
      </c>
    </row>
    <row r="1918" spans="1:9" x14ac:dyDescent="0.3">
      <c r="A1918" t="str">
        <f>""</f>
        <v/>
      </c>
      <c r="F1918" t="str">
        <f>"201802268877"</f>
        <v>201802268877</v>
      </c>
      <c r="G1918" t="str">
        <f>"GUARDIAN Life Ins Rounding"</f>
        <v>GUARDIAN Life Ins Rounding</v>
      </c>
      <c r="H1918" s="2">
        <v>-0.28000000000000003</v>
      </c>
      <c r="I1918" t="str">
        <f>"GUARDIAN Life Ins Rounding"</f>
        <v>GUARDIAN Life Ins Rounding</v>
      </c>
    </row>
    <row r="1919" spans="1:9" x14ac:dyDescent="0.3">
      <c r="A1919" t="str">
        <f>""</f>
        <v/>
      </c>
      <c r="F1919" t="str">
        <f>"201802268878"</f>
        <v>201802268878</v>
      </c>
      <c r="G1919" t="str">
        <f>"GUARDIAN LTD Rouding"</f>
        <v>GUARDIAN LTD Rouding</v>
      </c>
      <c r="H1919" s="2">
        <v>-0.11</v>
      </c>
      <c r="I1919" t="str">
        <f>"GUARDIAN LTD Rouding"</f>
        <v>GUARDIAN LTD Rouding</v>
      </c>
    </row>
    <row r="1920" spans="1:9" x14ac:dyDescent="0.3">
      <c r="A1920" t="str">
        <f>""</f>
        <v/>
      </c>
      <c r="F1920" t="str">
        <f>"201802268873"</f>
        <v>201802268873</v>
      </c>
      <c r="G1920" t="str">
        <f>"Retiree Dental"</f>
        <v>Retiree Dental</v>
      </c>
      <c r="H1920" s="2">
        <v>2830.38</v>
      </c>
      <c r="I1920" t="str">
        <f>"GUARDIAN"</f>
        <v>GUARDIAN</v>
      </c>
    </row>
    <row r="1921" spans="1:9" x14ac:dyDescent="0.3">
      <c r="A1921" t="str">
        <f>""</f>
        <v/>
      </c>
      <c r="F1921" t="str">
        <f>"201802268874"</f>
        <v>201802268874</v>
      </c>
      <c r="G1921" t="str">
        <f>"COBRA Sue Cerf &amp; Brittany Ross"</f>
        <v>COBRA Sue Cerf &amp; Brittany Ross</v>
      </c>
      <c r="H1921" s="2">
        <v>41.24</v>
      </c>
      <c r="I1921" t="str">
        <f>"COBRA Sue Cerf &amp; Brittany Ross"</f>
        <v>COBRA Sue Cerf &amp; Brittany Ross</v>
      </c>
    </row>
    <row r="1922" spans="1:9" x14ac:dyDescent="0.3">
      <c r="A1922" t="str">
        <f>""</f>
        <v/>
      </c>
      <c r="F1922" t="str">
        <f>"201802268876"</f>
        <v>201802268876</v>
      </c>
      <c r="G1922" t="str">
        <f>"Life Retiree Coverage"</f>
        <v>Life Retiree Coverage</v>
      </c>
      <c r="H1922" s="2">
        <v>133.22</v>
      </c>
      <c r="I1922" t="str">
        <f>"Life Retiree Coverage"</f>
        <v>Life Retiree Coverage</v>
      </c>
    </row>
    <row r="1923" spans="1:9" x14ac:dyDescent="0.3">
      <c r="A1923" t="str">
        <f>""</f>
        <v/>
      </c>
      <c r="F1923" t="str">
        <f>"ADC201802068586"</f>
        <v>ADC201802068586</v>
      </c>
      <c r="G1923" t="str">
        <f t="shared" ref="G1923:G1935" si="17">"GUARDIAN"</f>
        <v>GUARDIAN</v>
      </c>
      <c r="H1923" s="2">
        <v>4.99</v>
      </c>
      <c r="I1923" t="str">
        <f t="shared" ref="I1923:I1986" si="18">"GUARDIAN"</f>
        <v>GUARDIAN</v>
      </c>
    </row>
    <row r="1924" spans="1:9" x14ac:dyDescent="0.3">
      <c r="A1924" t="str">
        <f>""</f>
        <v/>
      </c>
      <c r="F1924" t="str">
        <f>"ADC201802068587"</f>
        <v>ADC201802068587</v>
      </c>
      <c r="G1924" t="str">
        <f t="shared" si="17"/>
        <v>GUARDIAN</v>
      </c>
      <c r="H1924" s="2">
        <v>0.16</v>
      </c>
      <c r="I1924" t="str">
        <f t="shared" si="18"/>
        <v>GUARDIAN</v>
      </c>
    </row>
    <row r="1925" spans="1:9" x14ac:dyDescent="0.3">
      <c r="A1925" t="str">
        <f>""</f>
        <v/>
      </c>
      <c r="F1925" t="str">
        <f>"ADC201802218810"</f>
        <v>ADC201802218810</v>
      </c>
      <c r="G1925" t="str">
        <f t="shared" si="17"/>
        <v>GUARDIAN</v>
      </c>
      <c r="H1925" s="2">
        <v>4.99</v>
      </c>
      <c r="I1925" t="str">
        <f t="shared" si="18"/>
        <v>GUARDIAN</v>
      </c>
    </row>
    <row r="1926" spans="1:9" x14ac:dyDescent="0.3">
      <c r="A1926" t="str">
        <f>""</f>
        <v/>
      </c>
      <c r="F1926" t="str">
        <f>"ADC201802218811"</f>
        <v>ADC201802218811</v>
      </c>
      <c r="G1926" t="str">
        <f t="shared" si="17"/>
        <v>GUARDIAN</v>
      </c>
      <c r="H1926" s="2">
        <v>0.16</v>
      </c>
      <c r="I1926" t="str">
        <f t="shared" si="18"/>
        <v>GUARDIAN</v>
      </c>
    </row>
    <row r="1927" spans="1:9" x14ac:dyDescent="0.3">
      <c r="A1927" t="str">
        <f>""</f>
        <v/>
      </c>
      <c r="F1927" t="str">
        <f>"ADE201802068586"</f>
        <v>ADE201802068586</v>
      </c>
      <c r="G1927" t="str">
        <f t="shared" si="17"/>
        <v>GUARDIAN</v>
      </c>
      <c r="H1927" s="2">
        <v>195.72</v>
      </c>
      <c r="I1927" t="str">
        <f t="shared" si="18"/>
        <v>GUARDIAN</v>
      </c>
    </row>
    <row r="1928" spans="1:9" x14ac:dyDescent="0.3">
      <c r="A1928" t="str">
        <f>""</f>
        <v/>
      </c>
      <c r="F1928" t="str">
        <f>"ADE201802068587"</f>
        <v>ADE201802068587</v>
      </c>
      <c r="G1928" t="str">
        <f t="shared" si="17"/>
        <v>GUARDIAN</v>
      </c>
      <c r="H1928" s="2">
        <v>7.8</v>
      </c>
      <c r="I1928" t="str">
        <f t="shared" si="18"/>
        <v>GUARDIAN</v>
      </c>
    </row>
    <row r="1929" spans="1:9" x14ac:dyDescent="0.3">
      <c r="A1929" t="str">
        <f>""</f>
        <v/>
      </c>
      <c r="F1929" t="str">
        <f>"ADE201802218810"</f>
        <v>ADE201802218810</v>
      </c>
      <c r="G1929" t="str">
        <f t="shared" si="17"/>
        <v>GUARDIAN</v>
      </c>
      <c r="H1929" s="2">
        <v>195.72</v>
      </c>
      <c r="I1929" t="str">
        <f t="shared" si="18"/>
        <v>GUARDIAN</v>
      </c>
    </row>
    <row r="1930" spans="1:9" x14ac:dyDescent="0.3">
      <c r="A1930" t="str">
        <f>""</f>
        <v/>
      </c>
      <c r="F1930" t="str">
        <f>"ADE201802218811"</f>
        <v>ADE201802218811</v>
      </c>
      <c r="G1930" t="str">
        <f t="shared" si="17"/>
        <v>GUARDIAN</v>
      </c>
      <c r="H1930" s="2">
        <v>7.8</v>
      </c>
      <c r="I1930" t="str">
        <f t="shared" si="18"/>
        <v>GUARDIAN</v>
      </c>
    </row>
    <row r="1931" spans="1:9" x14ac:dyDescent="0.3">
      <c r="A1931" t="str">
        <f>""</f>
        <v/>
      </c>
      <c r="F1931" t="str">
        <f>"ADS201802068586"</f>
        <v>ADS201802068586</v>
      </c>
      <c r="G1931" t="str">
        <f t="shared" si="17"/>
        <v>GUARDIAN</v>
      </c>
      <c r="H1931" s="2">
        <v>30.88</v>
      </c>
      <c r="I1931" t="str">
        <f t="shared" si="18"/>
        <v>GUARDIAN</v>
      </c>
    </row>
    <row r="1932" spans="1:9" x14ac:dyDescent="0.3">
      <c r="A1932" t="str">
        <f>""</f>
        <v/>
      </c>
      <c r="F1932" t="str">
        <f>"ADS201802068587"</f>
        <v>ADS201802068587</v>
      </c>
      <c r="G1932" t="str">
        <f t="shared" si="17"/>
        <v>GUARDIAN</v>
      </c>
      <c r="H1932" s="2">
        <v>0.98</v>
      </c>
      <c r="I1932" t="str">
        <f t="shared" si="18"/>
        <v>GUARDIAN</v>
      </c>
    </row>
    <row r="1933" spans="1:9" x14ac:dyDescent="0.3">
      <c r="A1933" t="str">
        <f>""</f>
        <v/>
      </c>
      <c r="F1933" t="str">
        <f>"ADS201802218810"</f>
        <v>ADS201802218810</v>
      </c>
      <c r="G1933" t="str">
        <f t="shared" si="17"/>
        <v>GUARDIAN</v>
      </c>
      <c r="H1933" s="2">
        <v>30.88</v>
      </c>
      <c r="I1933" t="str">
        <f t="shared" si="18"/>
        <v>GUARDIAN</v>
      </c>
    </row>
    <row r="1934" spans="1:9" x14ac:dyDescent="0.3">
      <c r="A1934" t="str">
        <f>""</f>
        <v/>
      </c>
      <c r="F1934" t="str">
        <f>"ADS201802218811"</f>
        <v>ADS201802218811</v>
      </c>
      <c r="G1934" t="str">
        <f t="shared" si="17"/>
        <v>GUARDIAN</v>
      </c>
      <c r="H1934" s="2">
        <v>0.98</v>
      </c>
      <c r="I1934" t="str">
        <f t="shared" si="18"/>
        <v>GUARDIAN</v>
      </c>
    </row>
    <row r="1935" spans="1:9" x14ac:dyDescent="0.3">
      <c r="A1935" t="str">
        <f>""</f>
        <v/>
      </c>
      <c r="F1935" t="str">
        <f>"GDC201802068586"</f>
        <v>GDC201802068586</v>
      </c>
      <c r="G1935" t="str">
        <f t="shared" si="17"/>
        <v>GUARDIAN</v>
      </c>
      <c r="H1935" s="2">
        <v>2514.0500000000002</v>
      </c>
      <c r="I1935" t="str">
        <f t="shared" si="18"/>
        <v>GUARDIAN</v>
      </c>
    </row>
    <row r="1936" spans="1:9" x14ac:dyDescent="0.3">
      <c r="A1936" t="str">
        <f>""</f>
        <v/>
      </c>
      <c r="F1936" t="str">
        <f>""</f>
        <v/>
      </c>
      <c r="G1936" t="str">
        <f>""</f>
        <v/>
      </c>
      <c r="I1936" t="str">
        <f t="shared" si="18"/>
        <v>GUARDIAN</v>
      </c>
    </row>
    <row r="1937" spans="1:9" x14ac:dyDescent="0.3">
      <c r="A1937" t="str">
        <f>""</f>
        <v/>
      </c>
      <c r="F1937" t="str">
        <f>""</f>
        <v/>
      </c>
      <c r="G1937" t="str">
        <f>""</f>
        <v/>
      </c>
      <c r="I1937" t="str">
        <f t="shared" si="18"/>
        <v>GUARDIAN</v>
      </c>
    </row>
    <row r="1938" spans="1:9" x14ac:dyDescent="0.3">
      <c r="A1938" t="str">
        <f>""</f>
        <v/>
      </c>
      <c r="F1938" t="str">
        <f>""</f>
        <v/>
      </c>
      <c r="G1938" t="str">
        <f>""</f>
        <v/>
      </c>
      <c r="I1938" t="str">
        <f t="shared" si="18"/>
        <v>GUARDIAN</v>
      </c>
    </row>
    <row r="1939" spans="1:9" x14ac:dyDescent="0.3">
      <c r="A1939" t="str">
        <f>""</f>
        <v/>
      </c>
      <c r="F1939" t="str">
        <f>""</f>
        <v/>
      </c>
      <c r="G1939" t="str">
        <f>""</f>
        <v/>
      </c>
      <c r="I1939" t="str">
        <f t="shared" si="18"/>
        <v>GUARDIAN</v>
      </c>
    </row>
    <row r="1940" spans="1:9" x14ac:dyDescent="0.3">
      <c r="A1940" t="str">
        <f>""</f>
        <v/>
      </c>
      <c r="F1940" t="str">
        <f>""</f>
        <v/>
      </c>
      <c r="G1940" t="str">
        <f>""</f>
        <v/>
      </c>
      <c r="I1940" t="str">
        <f t="shared" si="18"/>
        <v>GUARDIAN</v>
      </c>
    </row>
    <row r="1941" spans="1:9" x14ac:dyDescent="0.3">
      <c r="A1941" t="str">
        <f>""</f>
        <v/>
      </c>
      <c r="F1941" t="str">
        <f>""</f>
        <v/>
      </c>
      <c r="G1941" t="str">
        <f>""</f>
        <v/>
      </c>
      <c r="I1941" t="str">
        <f t="shared" si="18"/>
        <v>GUARDIAN</v>
      </c>
    </row>
    <row r="1942" spans="1:9" x14ac:dyDescent="0.3">
      <c r="A1942" t="str">
        <f>""</f>
        <v/>
      </c>
      <c r="F1942" t="str">
        <f>""</f>
        <v/>
      </c>
      <c r="G1942" t="str">
        <f>""</f>
        <v/>
      </c>
      <c r="I1942" t="str">
        <f t="shared" si="18"/>
        <v>GUARDIAN</v>
      </c>
    </row>
    <row r="1943" spans="1:9" x14ac:dyDescent="0.3">
      <c r="A1943" t="str">
        <f>""</f>
        <v/>
      </c>
      <c r="F1943" t="str">
        <f>""</f>
        <v/>
      </c>
      <c r="G1943" t="str">
        <f>""</f>
        <v/>
      </c>
      <c r="I1943" t="str">
        <f t="shared" si="18"/>
        <v>GUARDIAN</v>
      </c>
    </row>
    <row r="1944" spans="1:9" x14ac:dyDescent="0.3">
      <c r="A1944" t="str">
        <f>""</f>
        <v/>
      </c>
      <c r="F1944" t="str">
        <f>""</f>
        <v/>
      </c>
      <c r="G1944" t="str">
        <f>""</f>
        <v/>
      </c>
      <c r="I1944" t="str">
        <f t="shared" si="18"/>
        <v>GUARDIAN</v>
      </c>
    </row>
    <row r="1945" spans="1:9" x14ac:dyDescent="0.3">
      <c r="A1945" t="str">
        <f>""</f>
        <v/>
      </c>
      <c r="F1945" t="str">
        <f>""</f>
        <v/>
      </c>
      <c r="G1945" t="str">
        <f>""</f>
        <v/>
      </c>
      <c r="I1945" t="str">
        <f t="shared" si="18"/>
        <v>GUARDIAN</v>
      </c>
    </row>
    <row r="1946" spans="1:9" x14ac:dyDescent="0.3">
      <c r="A1946" t="str">
        <f>""</f>
        <v/>
      </c>
      <c r="F1946" t="str">
        <f>""</f>
        <v/>
      </c>
      <c r="G1946" t="str">
        <f>""</f>
        <v/>
      </c>
      <c r="I1946" t="str">
        <f t="shared" si="18"/>
        <v>GUARDIAN</v>
      </c>
    </row>
    <row r="1947" spans="1:9" x14ac:dyDescent="0.3">
      <c r="A1947" t="str">
        <f>""</f>
        <v/>
      </c>
      <c r="F1947" t="str">
        <f>""</f>
        <v/>
      </c>
      <c r="G1947" t="str">
        <f>""</f>
        <v/>
      </c>
      <c r="I1947" t="str">
        <f t="shared" si="18"/>
        <v>GUARDIAN</v>
      </c>
    </row>
    <row r="1948" spans="1:9" x14ac:dyDescent="0.3">
      <c r="A1948" t="str">
        <f>""</f>
        <v/>
      </c>
      <c r="F1948" t="str">
        <f>""</f>
        <v/>
      </c>
      <c r="G1948" t="str">
        <f>""</f>
        <v/>
      </c>
      <c r="I1948" t="str">
        <f t="shared" si="18"/>
        <v>GUARDIAN</v>
      </c>
    </row>
    <row r="1949" spans="1:9" x14ac:dyDescent="0.3">
      <c r="A1949" t="str">
        <f>""</f>
        <v/>
      </c>
      <c r="F1949" t="str">
        <f>""</f>
        <v/>
      </c>
      <c r="G1949" t="str">
        <f>""</f>
        <v/>
      </c>
      <c r="I1949" t="str">
        <f t="shared" si="18"/>
        <v>GUARDIAN</v>
      </c>
    </row>
    <row r="1950" spans="1:9" x14ac:dyDescent="0.3">
      <c r="A1950" t="str">
        <f>""</f>
        <v/>
      </c>
      <c r="F1950" t="str">
        <f>""</f>
        <v/>
      </c>
      <c r="G1950" t="str">
        <f>""</f>
        <v/>
      </c>
      <c r="I1950" t="str">
        <f t="shared" si="18"/>
        <v>GUARDIAN</v>
      </c>
    </row>
    <row r="1951" spans="1:9" x14ac:dyDescent="0.3">
      <c r="A1951" t="str">
        <f>""</f>
        <v/>
      </c>
      <c r="F1951" t="str">
        <f>""</f>
        <v/>
      </c>
      <c r="G1951" t="str">
        <f>""</f>
        <v/>
      </c>
      <c r="I1951" t="str">
        <f t="shared" si="18"/>
        <v>GUARDIAN</v>
      </c>
    </row>
    <row r="1952" spans="1:9" x14ac:dyDescent="0.3">
      <c r="A1952" t="str">
        <f>""</f>
        <v/>
      </c>
      <c r="F1952" t="str">
        <f>""</f>
        <v/>
      </c>
      <c r="G1952" t="str">
        <f>""</f>
        <v/>
      </c>
      <c r="I1952" t="str">
        <f t="shared" si="18"/>
        <v>GUARDIAN</v>
      </c>
    </row>
    <row r="1953" spans="1:9" x14ac:dyDescent="0.3">
      <c r="A1953" t="str">
        <f>""</f>
        <v/>
      </c>
      <c r="F1953" t="str">
        <f>""</f>
        <v/>
      </c>
      <c r="G1953" t="str">
        <f>""</f>
        <v/>
      </c>
      <c r="I1953" t="str">
        <f t="shared" si="18"/>
        <v>GUARDIAN</v>
      </c>
    </row>
    <row r="1954" spans="1:9" x14ac:dyDescent="0.3">
      <c r="A1954" t="str">
        <f>""</f>
        <v/>
      </c>
      <c r="F1954" t="str">
        <f>""</f>
        <v/>
      </c>
      <c r="G1954" t="str">
        <f>""</f>
        <v/>
      </c>
      <c r="I1954" t="str">
        <f t="shared" si="18"/>
        <v>GUARDIAN</v>
      </c>
    </row>
    <row r="1955" spans="1:9" x14ac:dyDescent="0.3">
      <c r="A1955" t="str">
        <f>""</f>
        <v/>
      </c>
      <c r="F1955" t="str">
        <f>""</f>
        <v/>
      </c>
      <c r="G1955" t="str">
        <f>""</f>
        <v/>
      </c>
      <c r="I1955" t="str">
        <f t="shared" si="18"/>
        <v>GUARDIAN</v>
      </c>
    </row>
    <row r="1956" spans="1:9" x14ac:dyDescent="0.3">
      <c r="A1956" t="str">
        <f>""</f>
        <v/>
      </c>
      <c r="F1956" t="str">
        <f>""</f>
        <v/>
      </c>
      <c r="G1956" t="str">
        <f>""</f>
        <v/>
      </c>
      <c r="I1956" t="str">
        <f t="shared" si="18"/>
        <v>GUARDIAN</v>
      </c>
    </row>
    <row r="1957" spans="1:9" x14ac:dyDescent="0.3">
      <c r="A1957" t="str">
        <f>""</f>
        <v/>
      </c>
      <c r="F1957" t="str">
        <f>""</f>
        <v/>
      </c>
      <c r="G1957" t="str">
        <f>""</f>
        <v/>
      </c>
      <c r="I1957" t="str">
        <f t="shared" si="18"/>
        <v>GUARDIAN</v>
      </c>
    </row>
    <row r="1958" spans="1:9" x14ac:dyDescent="0.3">
      <c r="A1958" t="str">
        <f>""</f>
        <v/>
      </c>
      <c r="F1958" t="str">
        <f>""</f>
        <v/>
      </c>
      <c r="G1958" t="str">
        <f>""</f>
        <v/>
      </c>
      <c r="I1958" t="str">
        <f t="shared" si="18"/>
        <v>GUARDIAN</v>
      </c>
    </row>
    <row r="1959" spans="1:9" x14ac:dyDescent="0.3">
      <c r="A1959" t="str">
        <f>""</f>
        <v/>
      </c>
      <c r="F1959" t="str">
        <f>""</f>
        <v/>
      </c>
      <c r="G1959" t="str">
        <f>""</f>
        <v/>
      </c>
      <c r="I1959" t="str">
        <f t="shared" si="18"/>
        <v>GUARDIAN</v>
      </c>
    </row>
    <row r="1960" spans="1:9" x14ac:dyDescent="0.3">
      <c r="A1960" t="str">
        <f>""</f>
        <v/>
      </c>
      <c r="F1960" t="str">
        <f>""</f>
        <v/>
      </c>
      <c r="G1960" t="str">
        <f>""</f>
        <v/>
      </c>
      <c r="I1960" t="str">
        <f t="shared" si="18"/>
        <v>GUARDIAN</v>
      </c>
    </row>
    <row r="1961" spans="1:9" x14ac:dyDescent="0.3">
      <c r="A1961" t="str">
        <f>""</f>
        <v/>
      </c>
      <c r="F1961" t="str">
        <f>""</f>
        <v/>
      </c>
      <c r="G1961" t="str">
        <f>""</f>
        <v/>
      </c>
      <c r="I1961" t="str">
        <f t="shared" si="18"/>
        <v>GUARDIAN</v>
      </c>
    </row>
    <row r="1962" spans="1:9" x14ac:dyDescent="0.3">
      <c r="A1962" t="str">
        <f>""</f>
        <v/>
      </c>
      <c r="F1962" t="str">
        <f>""</f>
        <v/>
      </c>
      <c r="G1962" t="str">
        <f>""</f>
        <v/>
      </c>
      <c r="I1962" t="str">
        <f t="shared" si="18"/>
        <v>GUARDIAN</v>
      </c>
    </row>
    <row r="1963" spans="1:9" x14ac:dyDescent="0.3">
      <c r="A1963" t="str">
        <f>""</f>
        <v/>
      </c>
      <c r="F1963" t="str">
        <f>""</f>
        <v/>
      </c>
      <c r="G1963" t="str">
        <f>""</f>
        <v/>
      </c>
      <c r="I1963" t="str">
        <f t="shared" si="18"/>
        <v>GUARDIAN</v>
      </c>
    </row>
    <row r="1964" spans="1:9" x14ac:dyDescent="0.3">
      <c r="A1964" t="str">
        <f>""</f>
        <v/>
      </c>
      <c r="F1964" t="str">
        <f>""</f>
        <v/>
      </c>
      <c r="G1964" t="str">
        <f>""</f>
        <v/>
      </c>
      <c r="I1964" t="str">
        <f t="shared" si="18"/>
        <v>GUARDIAN</v>
      </c>
    </row>
    <row r="1965" spans="1:9" x14ac:dyDescent="0.3">
      <c r="A1965" t="str">
        <f>""</f>
        <v/>
      </c>
      <c r="F1965" t="str">
        <f>""</f>
        <v/>
      </c>
      <c r="G1965" t="str">
        <f>""</f>
        <v/>
      </c>
      <c r="I1965" t="str">
        <f t="shared" si="18"/>
        <v>GUARDIAN</v>
      </c>
    </row>
    <row r="1966" spans="1:9" x14ac:dyDescent="0.3">
      <c r="A1966" t="str">
        <f>""</f>
        <v/>
      </c>
      <c r="F1966" t="str">
        <f>"GDC201802068587"</f>
        <v>GDC201802068587</v>
      </c>
      <c r="G1966" t="str">
        <f>"GUARDIAN"</f>
        <v>GUARDIAN</v>
      </c>
      <c r="H1966" s="2">
        <v>97.95</v>
      </c>
      <c r="I1966" t="str">
        <f t="shared" si="18"/>
        <v>GUARDIAN</v>
      </c>
    </row>
    <row r="1967" spans="1:9" x14ac:dyDescent="0.3">
      <c r="A1967" t="str">
        <f>""</f>
        <v/>
      </c>
      <c r="F1967" t="str">
        <f>""</f>
        <v/>
      </c>
      <c r="G1967" t="str">
        <f>""</f>
        <v/>
      </c>
      <c r="I1967" t="str">
        <f t="shared" si="18"/>
        <v>GUARDIAN</v>
      </c>
    </row>
    <row r="1968" spans="1:9" x14ac:dyDescent="0.3">
      <c r="A1968" t="str">
        <f>""</f>
        <v/>
      </c>
      <c r="F1968" t="str">
        <f>"GDC201802218810"</f>
        <v>GDC201802218810</v>
      </c>
      <c r="G1968" t="str">
        <f>"GUARDIAN"</f>
        <v>GUARDIAN</v>
      </c>
      <c r="H1968" s="2">
        <v>2514.0500000000002</v>
      </c>
      <c r="I1968" t="str">
        <f t="shared" si="18"/>
        <v>GUARDIAN</v>
      </c>
    </row>
    <row r="1969" spans="1:9" x14ac:dyDescent="0.3">
      <c r="A1969" t="str">
        <f>""</f>
        <v/>
      </c>
      <c r="F1969" t="str">
        <f>""</f>
        <v/>
      </c>
      <c r="G1969" t="str">
        <f>""</f>
        <v/>
      </c>
      <c r="I1969" t="str">
        <f t="shared" si="18"/>
        <v>GUARDIAN</v>
      </c>
    </row>
    <row r="1970" spans="1:9" x14ac:dyDescent="0.3">
      <c r="A1970" t="str">
        <f>""</f>
        <v/>
      </c>
      <c r="F1970" t="str">
        <f>""</f>
        <v/>
      </c>
      <c r="G1970" t="str">
        <f>""</f>
        <v/>
      </c>
      <c r="I1970" t="str">
        <f t="shared" si="18"/>
        <v>GUARDIAN</v>
      </c>
    </row>
    <row r="1971" spans="1:9" x14ac:dyDescent="0.3">
      <c r="A1971" t="str">
        <f>""</f>
        <v/>
      </c>
      <c r="F1971" t="str">
        <f>""</f>
        <v/>
      </c>
      <c r="G1971" t="str">
        <f>""</f>
        <v/>
      </c>
      <c r="I1971" t="str">
        <f t="shared" si="18"/>
        <v>GUARDIAN</v>
      </c>
    </row>
    <row r="1972" spans="1:9" x14ac:dyDescent="0.3">
      <c r="A1972" t="str">
        <f>""</f>
        <v/>
      </c>
      <c r="F1972" t="str">
        <f>""</f>
        <v/>
      </c>
      <c r="G1972" t="str">
        <f>""</f>
        <v/>
      </c>
      <c r="I1972" t="str">
        <f t="shared" si="18"/>
        <v>GUARDIAN</v>
      </c>
    </row>
    <row r="1973" spans="1:9" x14ac:dyDescent="0.3">
      <c r="A1973" t="str">
        <f>""</f>
        <v/>
      </c>
      <c r="F1973" t="str">
        <f>""</f>
        <v/>
      </c>
      <c r="G1973" t="str">
        <f>""</f>
        <v/>
      </c>
      <c r="I1973" t="str">
        <f t="shared" si="18"/>
        <v>GUARDIAN</v>
      </c>
    </row>
    <row r="1974" spans="1:9" x14ac:dyDescent="0.3">
      <c r="A1974" t="str">
        <f>""</f>
        <v/>
      </c>
      <c r="F1974" t="str">
        <f>""</f>
        <v/>
      </c>
      <c r="G1974" t="str">
        <f>""</f>
        <v/>
      </c>
      <c r="I1974" t="str">
        <f t="shared" si="18"/>
        <v>GUARDIAN</v>
      </c>
    </row>
    <row r="1975" spans="1:9" x14ac:dyDescent="0.3">
      <c r="A1975" t="str">
        <f>""</f>
        <v/>
      </c>
      <c r="F1975" t="str">
        <f>""</f>
        <v/>
      </c>
      <c r="G1975" t="str">
        <f>""</f>
        <v/>
      </c>
      <c r="I1975" t="str">
        <f t="shared" si="18"/>
        <v>GUARDIAN</v>
      </c>
    </row>
    <row r="1976" spans="1:9" x14ac:dyDescent="0.3">
      <c r="A1976" t="str">
        <f>""</f>
        <v/>
      </c>
      <c r="F1976" t="str">
        <f>""</f>
        <v/>
      </c>
      <c r="G1976" t="str">
        <f>""</f>
        <v/>
      </c>
      <c r="I1976" t="str">
        <f t="shared" si="18"/>
        <v>GUARDIAN</v>
      </c>
    </row>
    <row r="1977" spans="1:9" x14ac:dyDescent="0.3">
      <c r="A1977" t="str">
        <f>""</f>
        <v/>
      </c>
      <c r="F1977" t="str">
        <f>""</f>
        <v/>
      </c>
      <c r="G1977" t="str">
        <f>""</f>
        <v/>
      </c>
      <c r="I1977" t="str">
        <f t="shared" si="18"/>
        <v>GUARDIAN</v>
      </c>
    </row>
    <row r="1978" spans="1:9" x14ac:dyDescent="0.3">
      <c r="A1978" t="str">
        <f>""</f>
        <v/>
      </c>
      <c r="F1978" t="str">
        <f>""</f>
        <v/>
      </c>
      <c r="G1978" t="str">
        <f>""</f>
        <v/>
      </c>
      <c r="I1978" t="str">
        <f t="shared" si="18"/>
        <v>GUARDIAN</v>
      </c>
    </row>
    <row r="1979" spans="1:9" x14ac:dyDescent="0.3">
      <c r="A1979" t="str">
        <f>""</f>
        <v/>
      </c>
      <c r="F1979" t="str">
        <f>""</f>
        <v/>
      </c>
      <c r="G1979" t="str">
        <f>""</f>
        <v/>
      </c>
      <c r="I1979" t="str">
        <f t="shared" si="18"/>
        <v>GUARDIAN</v>
      </c>
    </row>
    <row r="1980" spans="1:9" x14ac:dyDescent="0.3">
      <c r="A1980" t="str">
        <f>""</f>
        <v/>
      </c>
      <c r="F1980" t="str">
        <f>""</f>
        <v/>
      </c>
      <c r="G1980" t="str">
        <f>""</f>
        <v/>
      </c>
      <c r="I1980" t="str">
        <f t="shared" si="18"/>
        <v>GUARDIAN</v>
      </c>
    </row>
    <row r="1981" spans="1:9" x14ac:dyDescent="0.3">
      <c r="A1981" t="str">
        <f>""</f>
        <v/>
      </c>
      <c r="F1981" t="str">
        <f>""</f>
        <v/>
      </c>
      <c r="G1981" t="str">
        <f>""</f>
        <v/>
      </c>
      <c r="I1981" t="str">
        <f t="shared" si="18"/>
        <v>GUARDIAN</v>
      </c>
    </row>
    <row r="1982" spans="1:9" x14ac:dyDescent="0.3">
      <c r="A1982" t="str">
        <f>""</f>
        <v/>
      </c>
      <c r="F1982" t="str">
        <f>""</f>
        <v/>
      </c>
      <c r="G1982" t="str">
        <f>""</f>
        <v/>
      </c>
      <c r="I1982" t="str">
        <f t="shared" si="18"/>
        <v>GUARDIAN</v>
      </c>
    </row>
    <row r="1983" spans="1:9" x14ac:dyDescent="0.3">
      <c r="A1983" t="str">
        <f>""</f>
        <v/>
      </c>
      <c r="F1983" t="str">
        <f>""</f>
        <v/>
      </c>
      <c r="G1983" t="str">
        <f>""</f>
        <v/>
      </c>
      <c r="I1983" t="str">
        <f t="shared" si="18"/>
        <v>GUARDIAN</v>
      </c>
    </row>
    <row r="1984" spans="1:9" x14ac:dyDescent="0.3">
      <c r="A1984" t="str">
        <f>""</f>
        <v/>
      </c>
      <c r="F1984" t="str">
        <f>""</f>
        <v/>
      </c>
      <c r="G1984" t="str">
        <f>""</f>
        <v/>
      </c>
      <c r="I1984" t="str">
        <f t="shared" si="18"/>
        <v>GUARDIAN</v>
      </c>
    </row>
    <row r="1985" spans="1:9" x14ac:dyDescent="0.3">
      <c r="A1985" t="str">
        <f>""</f>
        <v/>
      </c>
      <c r="F1985" t="str">
        <f>""</f>
        <v/>
      </c>
      <c r="G1985" t="str">
        <f>""</f>
        <v/>
      </c>
      <c r="I1985" t="str">
        <f t="shared" si="18"/>
        <v>GUARDIAN</v>
      </c>
    </row>
    <row r="1986" spans="1:9" x14ac:dyDescent="0.3">
      <c r="A1986" t="str">
        <f>""</f>
        <v/>
      </c>
      <c r="F1986" t="str">
        <f>""</f>
        <v/>
      </c>
      <c r="G1986" t="str">
        <f>""</f>
        <v/>
      </c>
      <c r="I1986" t="str">
        <f t="shared" si="18"/>
        <v>GUARDIAN</v>
      </c>
    </row>
    <row r="1987" spans="1:9" x14ac:dyDescent="0.3">
      <c r="A1987" t="str">
        <f>""</f>
        <v/>
      </c>
      <c r="F1987" t="str">
        <f>""</f>
        <v/>
      </c>
      <c r="G1987" t="str">
        <f>""</f>
        <v/>
      </c>
      <c r="I1987" t="str">
        <f t="shared" ref="I1987:I2050" si="19">"GUARDIAN"</f>
        <v>GUARDIAN</v>
      </c>
    </row>
    <row r="1988" spans="1:9" x14ac:dyDescent="0.3">
      <c r="A1988" t="str">
        <f>""</f>
        <v/>
      </c>
      <c r="F1988" t="str">
        <f>""</f>
        <v/>
      </c>
      <c r="G1988" t="str">
        <f>""</f>
        <v/>
      </c>
      <c r="I1988" t="str">
        <f t="shared" si="19"/>
        <v>GUARDIAN</v>
      </c>
    </row>
    <row r="1989" spans="1:9" x14ac:dyDescent="0.3">
      <c r="A1989" t="str">
        <f>""</f>
        <v/>
      </c>
      <c r="F1989" t="str">
        <f>""</f>
        <v/>
      </c>
      <c r="G1989" t="str">
        <f>""</f>
        <v/>
      </c>
      <c r="I1989" t="str">
        <f t="shared" si="19"/>
        <v>GUARDIAN</v>
      </c>
    </row>
    <row r="1990" spans="1:9" x14ac:dyDescent="0.3">
      <c r="A1990" t="str">
        <f>""</f>
        <v/>
      </c>
      <c r="F1990" t="str">
        <f>""</f>
        <v/>
      </c>
      <c r="G1990" t="str">
        <f>""</f>
        <v/>
      </c>
      <c r="I1990" t="str">
        <f t="shared" si="19"/>
        <v>GUARDIAN</v>
      </c>
    </row>
    <row r="1991" spans="1:9" x14ac:dyDescent="0.3">
      <c r="A1991" t="str">
        <f>""</f>
        <v/>
      </c>
      <c r="F1991" t="str">
        <f>""</f>
        <v/>
      </c>
      <c r="G1991" t="str">
        <f>""</f>
        <v/>
      </c>
      <c r="I1991" t="str">
        <f t="shared" si="19"/>
        <v>GUARDIAN</v>
      </c>
    </row>
    <row r="1992" spans="1:9" x14ac:dyDescent="0.3">
      <c r="A1992" t="str">
        <f>""</f>
        <v/>
      </c>
      <c r="F1992" t="str">
        <f>""</f>
        <v/>
      </c>
      <c r="G1992" t="str">
        <f>""</f>
        <v/>
      </c>
      <c r="I1992" t="str">
        <f t="shared" si="19"/>
        <v>GUARDIAN</v>
      </c>
    </row>
    <row r="1993" spans="1:9" x14ac:dyDescent="0.3">
      <c r="A1993" t="str">
        <f>""</f>
        <v/>
      </c>
      <c r="F1993" t="str">
        <f>""</f>
        <v/>
      </c>
      <c r="G1993" t="str">
        <f>""</f>
        <v/>
      </c>
      <c r="I1993" t="str">
        <f t="shared" si="19"/>
        <v>GUARDIAN</v>
      </c>
    </row>
    <row r="1994" spans="1:9" x14ac:dyDescent="0.3">
      <c r="A1994" t="str">
        <f>""</f>
        <v/>
      </c>
      <c r="F1994" t="str">
        <f>""</f>
        <v/>
      </c>
      <c r="G1994" t="str">
        <f>""</f>
        <v/>
      </c>
      <c r="I1994" t="str">
        <f t="shared" si="19"/>
        <v>GUARDIAN</v>
      </c>
    </row>
    <row r="1995" spans="1:9" x14ac:dyDescent="0.3">
      <c r="A1995" t="str">
        <f>""</f>
        <v/>
      </c>
      <c r="F1995" t="str">
        <f>""</f>
        <v/>
      </c>
      <c r="G1995" t="str">
        <f>""</f>
        <v/>
      </c>
      <c r="I1995" t="str">
        <f t="shared" si="19"/>
        <v>GUARDIAN</v>
      </c>
    </row>
    <row r="1996" spans="1:9" x14ac:dyDescent="0.3">
      <c r="A1996" t="str">
        <f>""</f>
        <v/>
      </c>
      <c r="F1996" t="str">
        <f>""</f>
        <v/>
      </c>
      <c r="G1996" t="str">
        <f>""</f>
        <v/>
      </c>
      <c r="I1996" t="str">
        <f t="shared" si="19"/>
        <v>GUARDIAN</v>
      </c>
    </row>
    <row r="1997" spans="1:9" x14ac:dyDescent="0.3">
      <c r="A1997" t="str">
        <f>""</f>
        <v/>
      </c>
      <c r="F1997" t="str">
        <f>""</f>
        <v/>
      </c>
      <c r="G1997" t="str">
        <f>""</f>
        <v/>
      </c>
      <c r="I1997" t="str">
        <f t="shared" si="19"/>
        <v>GUARDIAN</v>
      </c>
    </row>
    <row r="1998" spans="1:9" x14ac:dyDescent="0.3">
      <c r="A1998" t="str">
        <f>""</f>
        <v/>
      </c>
      <c r="F1998" t="str">
        <f>""</f>
        <v/>
      </c>
      <c r="G1998" t="str">
        <f>""</f>
        <v/>
      </c>
      <c r="I1998" t="str">
        <f t="shared" si="19"/>
        <v>GUARDIAN</v>
      </c>
    </row>
    <row r="1999" spans="1:9" x14ac:dyDescent="0.3">
      <c r="A1999" t="str">
        <f>""</f>
        <v/>
      </c>
      <c r="F1999" t="str">
        <f>""</f>
        <v/>
      </c>
      <c r="G1999" t="str">
        <f>""</f>
        <v/>
      </c>
      <c r="I1999" t="str">
        <f t="shared" si="19"/>
        <v>GUARDIAN</v>
      </c>
    </row>
    <row r="2000" spans="1:9" x14ac:dyDescent="0.3">
      <c r="A2000" t="str">
        <f>""</f>
        <v/>
      </c>
      <c r="F2000" t="str">
        <f>"GDC201802218811"</f>
        <v>GDC201802218811</v>
      </c>
      <c r="G2000" t="str">
        <f>"GUARDIAN"</f>
        <v>GUARDIAN</v>
      </c>
      <c r="H2000" s="2">
        <v>97.95</v>
      </c>
      <c r="I2000" t="str">
        <f t="shared" si="19"/>
        <v>GUARDIAN</v>
      </c>
    </row>
    <row r="2001" spans="1:9" x14ac:dyDescent="0.3">
      <c r="A2001" t="str">
        <f>""</f>
        <v/>
      </c>
      <c r="F2001" t="str">
        <f>""</f>
        <v/>
      </c>
      <c r="G2001" t="str">
        <f>""</f>
        <v/>
      </c>
      <c r="I2001" t="str">
        <f t="shared" si="19"/>
        <v>GUARDIAN</v>
      </c>
    </row>
    <row r="2002" spans="1:9" x14ac:dyDescent="0.3">
      <c r="A2002" t="str">
        <f>""</f>
        <v/>
      </c>
      <c r="F2002" t="str">
        <f>"GDE201802068586"</f>
        <v>GDE201802068586</v>
      </c>
      <c r="G2002" t="str">
        <f>"GUARDIAN"</f>
        <v>GUARDIAN</v>
      </c>
      <c r="H2002" s="2">
        <v>3833.2</v>
      </c>
      <c r="I2002" t="str">
        <f t="shared" si="19"/>
        <v>GUARDIAN</v>
      </c>
    </row>
    <row r="2003" spans="1:9" x14ac:dyDescent="0.3">
      <c r="A2003" t="str">
        <f>""</f>
        <v/>
      </c>
      <c r="F2003" t="str">
        <f>""</f>
        <v/>
      </c>
      <c r="G2003" t="str">
        <f>""</f>
        <v/>
      </c>
      <c r="I2003" t="str">
        <f t="shared" si="19"/>
        <v>GUARDIAN</v>
      </c>
    </row>
    <row r="2004" spans="1:9" x14ac:dyDescent="0.3">
      <c r="A2004" t="str">
        <f>""</f>
        <v/>
      </c>
      <c r="F2004" t="str">
        <f>""</f>
        <v/>
      </c>
      <c r="G2004" t="str">
        <f>""</f>
        <v/>
      </c>
      <c r="I2004" t="str">
        <f t="shared" si="19"/>
        <v>GUARDIAN</v>
      </c>
    </row>
    <row r="2005" spans="1:9" x14ac:dyDescent="0.3">
      <c r="A2005" t="str">
        <f>""</f>
        <v/>
      </c>
      <c r="F2005" t="str">
        <f>""</f>
        <v/>
      </c>
      <c r="G2005" t="str">
        <f>""</f>
        <v/>
      </c>
      <c r="I2005" t="str">
        <f t="shared" si="19"/>
        <v>GUARDIAN</v>
      </c>
    </row>
    <row r="2006" spans="1:9" x14ac:dyDescent="0.3">
      <c r="A2006" t="str">
        <f>""</f>
        <v/>
      </c>
      <c r="F2006" t="str">
        <f>""</f>
        <v/>
      </c>
      <c r="G2006" t="str">
        <f>""</f>
        <v/>
      </c>
      <c r="I2006" t="str">
        <f t="shared" si="19"/>
        <v>GUARDIAN</v>
      </c>
    </row>
    <row r="2007" spans="1:9" x14ac:dyDescent="0.3">
      <c r="A2007" t="str">
        <f>""</f>
        <v/>
      </c>
      <c r="F2007" t="str">
        <f>""</f>
        <v/>
      </c>
      <c r="G2007" t="str">
        <f>""</f>
        <v/>
      </c>
      <c r="I2007" t="str">
        <f t="shared" si="19"/>
        <v>GUARDIAN</v>
      </c>
    </row>
    <row r="2008" spans="1:9" x14ac:dyDescent="0.3">
      <c r="A2008" t="str">
        <f>""</f>
        <v/>
      </c>
      <c r="F2008" t="str">
        <f>""</f>
        <v/>
      </c>
      <c r="G2008" t="str">
        <f>""</f>
        <v/>
      </c>
      <c r="I2008" t="str">
        <f t="shared" si="19"/>
        <v>GUARDIAN</v>
      </c>
    </row>
    <row r="2009" spans="1:9" x14ac:dyDescent="0.3">
      <c r="A2009" t="str">
        <f>""</f>
        <v/>
      </c>
      <c r="F2009" t="str">
        <f>""</f>
        <v/>
      </c>
      <c r="G2009" t="str">
        <f>""</f>
        <v/>
      </c>
      <c r="I2009" t="str">
        <f t="shared" si="19"/>
        <v>GUARDIAN</v>
      </c>
    </row>
    <row r="2010" spans="1:9" x14ac:dyDescent="0.3">
      <c r="A2010" t="str">
        <f>""</f>
        <v/>
      </c>
      <c r="F2010" t="str">
        <f>""</f>
        <v/>
      </c>
      <c r="G2010" t="str">
        <f>""</f>
        <v/>
      </c>
      <c r="I2010" t="str">
        <f t="shared" si="19"/>
        <v>GUARDIAN</v>
      </c>
    </row>
    <row r="2011" spans="1:9" x14ac:dyDescent="0.3">
      <c r="A2011" t="str">
        <f>""</f>
        <v/>
      </c>
      <c r="F2011" t="str">
        <f>""</f>
        <v/>
      </c>
      <c r="G2011" t="str">
        <f>""</f>
        <v/>
      </c>
      <c r="I2011" t="str">
        <f t="shared" si="19"/>
        <v>GUARDIAN</v>
      </c>
    </row>
    <row r="2012" spans="1:9" x14ac:dyDescent="0.3">
      <c r="A2012" t="str">
        <f>""</f>
        <v/>
      </c>
      <c r="F2012" t="str">
        <f>""</f>
        <v/>
      </c>
      <c r="G2012" t="str">
        <f>""</f>
        <v/>
      </c>
      <c r="I2012" t="str">
        <f t="shared" si="19"/>
        <v>GUARDIAN</v>
      </c>
    </row>
    <row r="2013" spans="1:9" x14ac:dyDescent="0.3">
      <c r="A2013" t="str">
        <f>""</f>
        <v/>
      </c>
      <c r="F2013" t="str">
        <f>""</f>
        <v/>
      </c>
      <c r="G2013" t="str">
        <f>""</f>
        <v/>
      </c>
      <c r="I2013" t="str">
        <f t="shared" si="19"/>
        <v>GUARDIAN</v>
      </c>
    </row>
    <row r="2014" spans="1:9" x14ac:dyDescent="0.3">
      <c r="A2014" t="str">
        <f>""</f>
        <v/>
      </c>
      <c r="F2014" t="str">
        <f>""</f>
        <v/>
      </c>
      <c r="G2014" t="str">
        <f>""</f>
        <v/>
      </c>
      <c r="I2014" t="str">
        <f t="shared" si="19"/>
        <v>GUARDIAN</v>
      </c>
    </row>
    <row r="2015" spans="1:9" x14ac:dyDescent="0.3">
      <c r="A2015" t="str">
        <f>""</f>
        <v/>
      </c>
      <c r="F2015" t="str">
        <f>""</f>
        <v/>
      </c>
      <c r="G2015" t="str">
        <f>""</f>
        <v/>
      </c>
      <c r="I2015" t="str">
        <f t="shared" si="19"/>
        <v>GUARDIAN</v>
      </c>
    </row>
    <row r="2016" spans="1:9" x14ac:dyDescent="0.3">
      <c r="A2016" t="str">
        <f>""</f>
        <v/>
      </c>
      <c r="F2016" t="str">
        <f>""</f>
        <v/>
      </c>
      <c r="G2016" t="str">
        <f>""</f>
        <v/>
      </c>
      <c r="I2016" t="str">
        <f t="shared" si="19"/>
        <v>GUARDIAN</v>
      </c>
    </row>
    <row r="2017" spans="1:9" x14ac:dyDescent="0.3">
      <c r="A2017" t="str">
        <f>""</f>
        <v/>
      </c>
      <c r="F2017" t="str">
        <f>""</f>
        <v/>
      </c>
      <c r="G2017" t="str">
        <f>""</f>
        <v/>
      </c>
      <c r="I2017" t="str">
        <f t="shared" si="19"/>
        <v>GUARDIAN</v>
      </c>
    </row>
    <row r="2018" spans="1:9" x14ac:dyDescent="0.3">
      <c r="A2018" t="str">
        <f>""</f>
        <v/>
      </c>
      <c r="F2018" t="str">
        <f>""</f>
        <v/>
      </c>
      <c r="G2018" t="str">
        <f>""</f>
        <v/>
      </c>
      <c r="I2018" t="str">
        <f t="shared" si="19"/>
        <v>GUARDIAN</v>
      </c>
    </row>
    <row r="2019" spans="1:9" x14ac:dyDescent="0.3">
      <c r="A2019" t="str">
        <f>""</f>
        <v/>
      </c>
      <c r="F2019" t="str">
        <f>""</f>
        <v/>
      </c>
      <c r="G2019" t="str">
        <f>""</f>
        <v/>
      </c>
      <c r="I2019" t="str">
        <f t="shared" si="19"/>
        <v>GUARDIAN</v>
      </c>
    </row>
    <row r="2020" spans="1:9" x14ac:dyDescent="0.3">
      <c r="A2020" t="str">
        <f>""</f>
        <v/>
      </c>
      <c r="F2020" t="str">
        <f>""</f>
        <v/>
      </c>
      <c r="G2020" t="str">
        <f>""</f>
        <v/>
      </c>
      <c r="I2020" t="str">
        <f t="shared" si="19"/>
        <v>GUARDIAN</v>
      </c>
    </row>
    <row r="2021" spans="1:9" x14ac:dyDescent="0.3">
      <c r="A2021" t="str">
        <f>""</f>
        <v/>
      </c>
      <c r="F2021" t="str">
        <f>""</f>
        <v/>
      </c>
      <c r="G2021" t="str">
        <f>""</f>
        <v/>
      </c>
      <c r="I2021" t="str">
        <f t="shared" si="19"/>
        <v>GUARDIAN</v>
      </c>
    </row>
    <row r="2022" spans="1:9" x14ac:dyDescent="0.3">
      <c r="A2022" t="str">
        <f>""</f>
        <v/>
      </c>
      <c r="F2022" t="str">
        <f>""</f>
        <v/>
      </c>
      <c r="G2022" t="str">
        <f>""</f>
        <v/>
      </c>
      <c r="I2022" t="str">
        <f t="shared" si="19"/>
        <v>GUARDIAN</v>
      </c>
    </row>
    <row r="2023" spans="1:9" x14ac:dyDescent="0.3">
      <c r="A2023" t="str">
        <f>""</f>
        <v/>
      </c>
      <c r="F2023" t="str">
        <f>""</f>
        <v/>
      </c>
      <c r="G2023" t="str">
        <f>""</f>
        <v/>
      </c>
      <c r="I2023" t="str">
        <f t="shared" si="19"/>
        <v>GUARDIAN</v>
      </c>
    </row>
    <row r="2024" spans="1:9" x14ac:dyDescent="0.3">
      <c r="A2024" t="str">
        <f>""</f>
        <v/>
      </c>
      <c r="F2024" t="str">
        <f>""</f>
        <v/>
      </c>
      <c r="G2024" t="str">
        <f>""</f>
        <v/>
      </c>
      <c r="I2024" t="str">
        <f t="shared" si="19"/>
        <v>GUARDIAN</v>
      </c>
    </row>
    <row r="2025" spans="1:9" x14ac:dyDescent="0.3">
      <c r="A2025" t="str">
        <f>""</f>
        <v/>
      </c>
      <c r="F2025" t="str">
        <f>""</f>
        <v/>
      </c>
      <c r="G2025" t="str">
        <f>""</f>
        <v/>
      </c>
      <c r="I2025" t="str">
        <f t="shared" si="19"/>
        <v>GUARDIAN</v>
      </c>
    </row>
    <row r="2026" spans="1:9" x14ac:dyDescent="0.3">
      <c r="A2026" t="str">
        <f>""</f>
        <v/>
      </c>
      <c r="F2026" t="str">
        <f>""</f>
        <v/>
      </c>
      <c r="G2026" t="str">
        <f>""</f>
        <v/>
      </c>
      <c r="I2026" t="str">
        <f t="shared" si="19"/>
        <v>GUARDIAN</v>
      </c>
    </row>
    <row r="2027" spans="1:9" x14ac:dyDescent="0.3">
      <c r="A2027" t="str">
        <f>""</f>
        <v/>
      </c>
      <c r="F2027" t="str">
        <f>""</f>
        <v/>
      </c>
      <c r="G2027" t="str">
        <f>""</f>
        <v/>
      </c>
      <c r="I2027" t="str">
        <f t="shared" si="19"/>
        <v>GUARDIAN</v>
      </c>
    </row>
    <row r="2028" spans="1:9" x14ac:dyDescent="0.3">
      <c r="A2028" t="str">
        <f>""</f>
        <v/>
      </c>
      <c r="F2028" t="str">
        <f>""</f>
        <v/>
      </c>
      <c r="G2028" t="str">
        <f>""</f>
        <v/>
      </c>
      <c r="I2028" t="str">
        <f t="shared" si="19"/>
        <v>GUARDIAN</v>
      </c>
    </row>
    <row r="2029" spans="1:9" x14ac:dyDescent="0.3">
      <c r="A2029" t="str">
        <f>""</f>
        <v/>
      </c>
      <c r="F2029" t="str">
        <f>""</f>
        <v/>
      </c>
      <c r="G2029" t="str">
        <f>""</f>
        <v/>
      </c>
      <c r="I2029" t="str">
        <f t="shared" si="19"/>
        <v>GUARDIAN</v>
      </c>
    </row>
    <row r="2030" spans="1:9" x14ac:dyDescent="0.3">
      <c r="A2030" t="str">
        <f>""</f>
        <v/>
      </c>
      <c r="F2030" t="str">
        <f>""</f>
        <v/>
      </c>
      <c r="G2030" t="str">
        <f>""</f>
        <v/>
      </c>
      <c r="I2030" t="str">
        <f t="shared" si="19"/>
        <v>GUARDIAN</v>
      </c>
    </row>
    <row r="2031" spans="1:9" x14ac:dyDescent="0.3">
      <c r="A2031" t="str">
        <f>""</f>
        <v/>
      </c>
      <c r="F2031" t="str">
        <f>""</f>
        <v/>
      </c>
      <c r="G2031" t="str">
        <f>""</f>
        <v/>
      </c>
      <c r="I2031" t="str">
        <f t="shared" si="19"/>
        <v>GUARDIAN</v>
      </c>
    </row>
    <row r="2032" spans="1:9" x14ac:dyDescent="0.3">
      <c r="A2032" t="str">
        <f>""</f>
        <v/>
      </c>
      <c r="F2032" t="str">
        <f>""</f>
        <v/>
      </c>
      <c r="G2032" t="str">
        <f>""</f>
        <v/>
      </c>
      <c r="I2032" t="str">
        <f t="shared" si="19"/>
        <v>GUARDIAN</v>
      </c>
    </row>
    <row r="2033" spans="1:9" x14ac:dyDescent="0.3">
      <c r="A2033" t="str">
        <f>""</f>
        <v/>
      </c>
      <c r="F2033" t="str">
        <f>""</f>
        <v/>
      </c>
      <c r="G2033" t="str">
        <f>""</f>
        <v/>
      </c>
      <c r="I2033" t="str">
        <f t="shared" si="19"/>
        <v>GUARDIAN</v>
      </c>
    </row>
    <row r="2034" spans="1:9" x14ac:dyDescent="0.3">
      <c r="A2034" t="str">
        <f>""</f>
        <v/>
      </c>
      <c r="F2034" t="str">
        <f>""</f>
        <v/>
      </c>
      <c r="G2034" t="str">
        <f>""</f>
        <v/>
      </c>
      <c r="I2034" t="str">
        <f t="shared" si="19"/>
        <v>GUARDIAN</v>
      </c>
    </row>
    <row r="2035" spans="1:9" x14ac:dyDescent="0.3">
      <c r="A2035" t="str">
        <f>""</f>
        <v/>
      </c>
      <c r="F2035" t="str">
        <f>""</f>
        <v/>
      </c>
      <c r="G2035" t="str">
        <f>""</f>
        <v/>
      </c>
      <c r="I2035" t="str">
        <f t="shared" si="19"/>
        <v>GUARDIAN</v>
      </c>
    </row>
    <row r="2036" spans="1:9" x14ac:dyDescent="0.3">
      <c r="A2036" t="str">
        <f>""</f>
        <v/>
      </c>
      <c r="F2036" t="str">
        <f>""</f>
        <v/>
      </c>
      <c r="G2036" t="str">
        <f>""</f>
        <v/>
      </c>
      <c r="I2036" t="str">
        <f t="shared" si="19"/>
        <v>GUARDIAN</v>
      </c>
    </row>
    <row r="2037" spans="1:9" x14ac:dyDescent="0.3">
      <c r="A2037" t="str">
        <f>""</f>
        <v/>
      </c>
      <c r="F2037" t="str">
        <f>""</f>
        <v/>
      </c>
      <c r="G2037" t="str">
        <f>""</f>
        <v/>
      </c>
      <c r="I2037" t="str">
        <f t="shared" si="19"/>
        <v>GUARDIAN</v>
      </c>
    </row>
    <row r="2038" spans="1:9" x14ac:dyDescent="0.3">
      <c r="A2038" t="str">
        <f>""</f>
        <v/>
      </c>
      <c r="F2038" t="str">
        <f>""</f>
        <v/>
      </c>
      <c r="G2038" t="str">
        <f>""</f>
        <v/>
      </c>
      <c r="I2038" t="str">
        <f t="shared" si="19"/>
        <v>GUARDIAN</v>
      </c>
    </row>
    <row r="2039" spans="1:9" x14ac:dyDescent="0.3">
      <c r="A2039" t="str">
        <f>""</f>
        <v/>
      </c>
      <c r="F2039" t="str">
        <f>""</f>
        <v/>
      </c>
      <c r="G2039" t="str">
        <f>""</f>
        <v/>
      </c>
      <c r="I2039" t="str">
        <f t="shared" si="19"/>
        <v>GUARDIAN</v>
      </c>
    </row>
    <row r="2040" spans="1:9" x14ac:dyDescent="0.3">
      <c r="A2040" t="str">
        <f>""</f>
        <v/>
      </c>
      <c r="F2040" t="str">
        <f>""</f>
        <v/>
      </c>
      <c r="G2040" t="str">
        <f>""</f>
        <v/>
      </c>
      <c r="I2040" t="str">
        <f t="shared" si="19"/>
        <v>GUARDIAN</v>
      </c>
    </row>
    <row r="2041" spans="1:9" x14ac:dyDescent="0.3">
      <c r="A2041" t="str">
        <f>""</f>
        <v/>
      </c>
      <c r="F2041" t="str">
        <f>""</f>
        <v/>
      </c>
      <c r="G2041" t="str">
        <f>""</f>
        <v/>
      </c>
      <c r="I2041" t="str">
        <f t="shared" si="19"/>
        <v>GUARDIAN</v>
      </c>
    </row>
    <row r="2042" spans="1:9" x14ac:dyDescent="0.3">
      <c r="A2042" t="str">
        <f>""</f>
        <v/>
      </c>
      <c r="F2042" t="str">
        <f>"GDE201802068587"</f>
        <v>GDE201802068587</v>
      </c>
      <c r="G2042" t="str">
        <f>"GUARDIAN"</f>
        <v>GUARDIAN</v>
      </c>
      <c r="H2042" s="2">
        <v>148</v>
      </c>
      <c r="I2042" t="str">
        <f t="shared" si="19"/>
        <v>GUARDIAN</v>
      </c>
    </row>
    <row r="2043" spans="1:9" x14ac:dyDescent="0.3">
      <c r="A2043" t="str">
        <f>""</f>
        <v/>
      </c>
      <c r="F2043" t="str">
        <f>"GDE201802218810"</f>
        <v>GDE201802218810</v>
      </c>
      <c r="G2043" t="str">
        <f>"GUARDIAN"</f>
        <v>GUARDIAN</v>
      </c>
      <c r="H2043" s="2">
        <v>3833.2</v>
      </c>
      <c r="I2043" t="str">
        <f t="shared" si="19"/>
        <v>GUARDIAN</v>
      </c>
    </row>
    <row r="2044" spans="1:9" x14ac:dyDescent="0.3">
      <c r="A2044" t="str">
        <f>""</f>
        <v/>
      </c>
      <c r="F2044" t="str">
        <f>""</f>
        <v/>
      </c>
      <c r="G2044" t="str">
        <f>""</f>
        <v/>
      </c>
      <c r="I2044" t="str">
        <f t="shared" si="19"/>
        <v>GUARDIAN</v>
      </c>
    </row>
    <row r="2045" spans="1:9" x14ac:dyDescent="0.3">
      <c r="A2045" t="str">
        <f>""</f>
        <v/>
      </c>
      <c r="F2045" t="str">
        <f>""</f>
        <v/>
      </c>
      <c r="G2045" t="str">
        <f>""</f>
        <v/>
      </c>
      <c r="I2045" t="str">
        <f t="shared" si="19"/>
        <v>GUARDIAN</v>
      </c>
    </row>
    <row r="2046" spans="1:9" x14ac:dyDescent="0.3">
      <c r="A2046" t="str">
        <f>""</f>
        <v/>
      </c>
      <c r="F2046" t="str">
        <f>""</f>
        <v/>
      </c>
      <c r="G2046" t="str">
        <f>""</f>
        <v/>
      </c>
      <c r="I2046" t="str">
        <f t="shared" si="19"/>
        <v>GUARDIAN</v>
      </c>
    </row>
    <row r="2047" spans="1:9" x14ac:dyDescent="0.3">
      <c r="A2047" t="str">
        <f>""</f>
        <v/>
      </c>
      <c r="F2047" t="str">
        <f>""</f>
        <v/>
      </c>
      <c r="G2047" t="str">
        <f>""</f>
        <v/>
      </c>
      <c r="I2047" t="str">
        <f t="shared" si="19"/>
        <v>GUARDIAN</v>
      </c>
    </row>
    <row r="2048" spans="1:9" x14ac:dyDescent="0.3">
      <c r="A2048" t="str">
        <f>""</f>
        <v/>
      </c>
      <c r="F2048" t="str">
        <f>""</f>
        <v/>
      </c>
      <c r="G2048" t="str">
        <f>""</f>
        <v/>
      </c>
      <c r="I2048" t="str">
        <f t="shared" si="19"/>
        <v>GUARDIAN</v>
      </c>
    </row>
    <row r="2049" spans="1:9" x14ac:dyDescent="0.3">
      <c r="A2049" t="str">
        <f>""</f>
        <v/>
      </c>
      <c r="F2049" t="str">
        <f>""</f>
        <v/>
      </c>
      <c r="G2049" t="str">
        <f>""</f>
        <v/>
      </c>
      <c r="I2049" t="str">
        <f t="shared" si="19"/>
        <v>GUARDIAN</v>
      </c>
    </row>
    <row r="2050" spans="1:9" x14ac:dyDescent="0.3">
      <c r="A2050" t="str">
        <f>""</f>
        <v/>
      </c>
      <c r="F2050" t="str">
        <f>""</f>
        <v/>
      </c>
      <c r="G2050" t="str">
        <f>""</f>
        <v/>
      </c>
      <c r="I2050" t="str">
        <f t="shared" si="19"/>
        <v>GUARDIAN</v>
      </c>
    </row>
    <row r="2051" spans="1:9" x14ac:dyDescent="0.3">
      <c r="A2051" t="str">
        <f>""</f>
        <v/>
      </c>
      <c r="F2051" t="str">
        <f>""</f>
        <v/>
      </c>
      <c r="G2051" t="str">
        <f>""</f>
        <v/>
      </c>
      <c r="I2051" t="str">
        <f t="shared" ref="I2051:I2114" si="20">"GUARDIAN"</f>
        <v>GUARDIAN</v>
      </c>
    </row>
    <row r="2052" spans="1:9" x14ac:dyDescent="0.3">
      <c r="A2052" t="str">
        <f>""</f>
        <v/>
      </c>
      <c r="F2052" t="str">
        <f>""</f>
        <v/>
      </c>
      <c r="G2052" t="str">
        <f>""</f>
        <v/>
      </c>
      <c r="I2052" t="str">
        <f t="shared" si="20"/>
        <v>GUARDIAN</v>
      </c>
    </row>
    <row r="2053" spans="1:9" x14ac:dyDescent="0.3">
      <c r="A2053" t="str">
        <f>""</f>
        <v/>
      </c>
      <c r="F2053" t="str">
        <f>""</f>
        <v/>
      </c>
      <c r="G2053" t="str">
        <f>""</f>
        <v/>
      </c>
      <c r="I2053" t="str">
        <f t="shared" si="20"/>
        <v>GUARDIAN</v>
      </c>
    </row>
    <row r="2054" spans="1:9" x14ac:dyDescent="0.3">
      <c r="A2054" t="str">
        <f>""</f>
        <v/>
      </c>
      <c r="F2054" t="str">
        <f>""</f>
        <v/>
      </c>
      <c r="G2054" t="str">
        <f>""</f>
        <v/>
      </c>
      <c r="I2054" t="str">
        <f t="shared" si="20"/>
        <v>GUARDIAN</v>
      </c>
    </row>
    <row r="2055" spans="1:9" x14ac:dyDescent="0.3">
      <c r="A2055" t="str">
        <f>""</f>
        <v/>
      </c>
      <c r="F2055" t="str">
        <f>""</f>
        <v/>
      </c>
      <c r="G2055" t="str">
        <f>""</f>
        <v/>
      </c>
      <c r="I2055" t="str">
        <f t="shared" si="20"/>
        <v>GUARDIAN</v>
      </c>
    </row>
    <row r="2056" spans="1:9" x14ac:dyDescent="0.3">
      <c r="A2056" t="str">
        <f>""</f>
        <v/>
      </c>
      <c r="F2056" t="str">
        <f>""</f>
        <v/>
      </c>
      <c r="G2056" t="str">
        <f>""</f>
        <v/>
      </c>
      <c r="I2056" t="str">
        <f t="shared" si="20"/>
        <v>GUARDIAN</v>
      </c>
    </row>
    <row r="2057" spans="1:9" x14ac:dyDescent="0.3">
      <c r="A2057" t="str">
        <f>""</f>
        <v/>
      </c>
      <c r="F2057" t="str">
        <f>""</f>
        <v/>
      </c>
      <c r="G2057" t="str">
        <f>""</f>
        <v/>
      </c>
      <c r="I2057" t="str">
        <f t="shared" si="20"/>
        <v>GUARDIAN</v>
      </c>
    </row>
    <row r="2058" spans="1:9" x14ac:dyDescent="0.3">
      <c r="A2058" t="str">
        <f>""</f>
        <v/>
      </c>
      <c r="F2058" t="str">
        <f>""</f>
        <v/>
      </c>
      <c r="G2058" t="str">
        <f>""</f>
        <v/>
      </c>
      <c r="I2058" t="str">
        <f t="shared" si="20"/>
        <v>GUARDIAN</v>
      </c>
    </row>
    <row r="2059" spans="1:9" x14ac:dyDescent="0.3">
      <c r="A2059" t="str">
        <f>""</f>
        <v/>
      </c>
      <c r="F2059" t="str">
        <f>""</f>
        <v/>
      </c>
      <c r="G2059" t="str">
        <f>""</f>
        <v/>
      </c>
      <c r="I2059" t="str">
        <f t="shared" si="20"/>
        <v>GUARDIAN</v>
      </c>
    </row>
    <row r="2060" spans="1:9" x14ac:dyDescent="0.3">
      <c r="A2060" t="str">
        <f>""</f>
        <v/>
      </c>
      <c r="F2060" t="str">
        <f>""</f>
        <v/>
      </c>
      <c r="G2060" t="str">
        <f>""</f>
        <v/>
      </c>
      <c r="I2060" t="str">
        <f t="shared" si="20"/>
        <v>GUARDIAN</v>
      </c>
    </row>
    <row r="2061" spans="1:9" x14ac:dyDescent="0.3">
      <c r="A2061" t="str">
        <f>""</f>
        <v/>
      </c>
      <c r="F2061" t="str">
        <f>""</f>
        <v/>
      </c>
      <c r="G2061" t="str">
        <f>""</f>
        <v/>
      </c>
      <c r="I2061" t="str">
        <f t="shared" si="20"/>
        <v>GUARDIAN</v>
      </c>
    </row>
    <row r="2062" spans="1:9" x14ac:dyDescent="0.3">
      <c r="A2062" t="str">
        <f>""</f>
        <v/>
      </c>
      <c r="F2062" t="str">
        <f>""</f>
        <v/>
      </c>
      <c r="G2062" t="str">
        <f>""</f>
        <v/>
      </c>
      <c r="I2062" t="str">
        <f t="shared" si="20"/>
        <v>GUARDIAN</v>
      </c>
    </row>
    <row r="2063" spans="1:9" x14ac:dyDescent="0.3">
      <c r="A2063" t="str">
        <f>""</f>
        <v/>
      </c>
      <c r="F2063" t="str">
        <f>""</f>
        <v/>
      </c>
      <c r="G2063" t="str">
        <f>""</f>
        <v/>
      </c>
      <c r="I2063" t="str">
        <f t="shared" si="20"/>
        <v>GUARDIAN</v>
      </c>
    </row>
    <row r="2064" spans="1:9" x14ac:dyDescent="0.3">
      <c r="A2064" t="str">
        <f>""</f>
        <v/>
      </c>
      <c r="F2064" t="str">
        <f>""</f>
        <v/>
      </c>
      <c r="G2064" t="str">
        <f>""</f>
        <v/>
      </c>
      <c r="I2064" t="str">
        <f t="shared" si="20"/>
        <v>GUARDIAN</v>
      </c>
    </row>
    <row r="2065" spans="1:9" x14ac:dyDescent="0.3">
      <c r="A2065" t="str">
        <f>""</f>
        <v/>
      </c>
      <c r="F2065" t="str">
        <f>""</f>
        <v/>
      </c>
      <c r="G2065" t="str">
        <f>""</f>
        <v/>
      </c>
      <c r="I2065" t="str">
        <f t="shared" si="20"/>
        <v>GUARDIAN</v>
      </c>
    </row>
    <row r="2066" spans="1:9" x14ac:dyDescent="0.3">
      <c r="A2066" t="str">
        <f>""</f>
        <v/>
      </c>
      <c r="F2066" t="str">
        <f>""</f>
        <v/>
      </c>
      <c r="G2066" t="str">
        <f>""</f>
        <v/>
      </c>
      <c r="I2066" t="str">
        <f t="shared" si="20"/>
        <v>GUARDIAN</v>
      </c>
    </row>
    <row r="2067" spans="1:9" x14ac:dyDescent="0.3">
      <c r="A2067" t="str">
        <f>""</f>
        <v/>
      </c>
      <c r="F2067" t="str">
        <f>""</f>
        <v/>
      </c>
      <c r="G2067" t="str">
        <f>""</f>
        <v/>
      </c>
      <c r="I2067" t="str">
        <f t="shared" si="20"/>
        <v>GUARDIAN</v>
      </c>
    </row>
    <row r="2068" spans="1:9" x14ac:dyDescent="0.3">
      <c r="A2068" t="str">
        <f>""</f>
        <v/>
      </c>
      <c r="F2068" t="str">
        <f>""</f>
        <v/>
      </c>
      <c r="G2068" t="str">
        <f>""</f>
        <v/>
      </c>
      <c r="I2068" t="str">
        <f t="shared" si="20"/>
        <v>GUARDIAN</v>
      </c>
    </row>
    <row r="2069" spans="1:9" x14ac:dyDescent="0.3">
      <c r="A2069" t="str">
        <f>""</f>
        <v/>
      </c>
      <c r="F2069" t="str">
        <f>""</f>
        <v/>
      </c>
      <c r="G2069" t="str">
        <f>""</f>
        <v/>
      </c>
      <c r="I2069" t="str">
        <f t="shared" si="20"/>
        <v>GUARDIAN</v>
      </c>
    </row>
    <row r="2070" spans="1:9" x14ac:dyDescent="0.3">
      <c r="A2070" t="str">
        <f>""</f>
        <v/>
      </c>
      <c r="F2070" t="str">
        <f>""</f>
        <v/>
      </c>
      <c r="G2070" t="str">
        <f>""</f>
        <v/>
      </c>
      <c r="I2070" t="str">
        <f t="shared" si="20"/>
        <v>GUARDIAN</v>
      </c>
    </row>
    <row r="2071" spans="1:9" x14ac:dyDescent="0.3">
      <c r="A2071" t="str">
        <f>""</f>
        <v/>
      </c>
      <c r="F2071" t="str">
        <f>""</f>
        <v/>
      </c>
      <c r="G2071" t="str">
        <f>""</f>
        <v/>
      </c>
      <c r="I2071" t="str">
        <f t="shared" si="20"/>
        <v>GUARDIAN</v>
      </c>
    </row>
    <row r="2072" spans="1:9" x14ac:dyDescent="0.3">
      <c r="A2072" t="str">
        <f>""</f>
        <v/>
      </c>
      <c r="F2072" t="str">
        <f>""</f>
        <v/>
      </c>
      <c r="G2072" t="str">
        <f>""</f>
        <v/>
      </c>
      <c r="I2072" t="str">
        <f t="shared" si="20"/>
        <v>GUARDIAN</v>
      </c>
    </row>
    <row r="2073" spans="1:9" x14ac:dyDescent="0.3">
      <c r="A2073" t="str">
        <f>""</f>
        <v/>
      </c>
      <c r="F2073" t="str">
        <f>""</f>
        <v/>
      </c>
      <c r="G2073" t="str">
        <f>""</f>
        <v/>
      </c>
      <c r="I2073" t="str">
        <f t="shared" si="20"/>
        <v>GUARDIAN</v>
      </c>
    </row>
    <row r="2074" spans="1:9" x14ac:dyDescent="0.3">
      <c r="A2074" t="str">
        <f>""</f>
        <v/>
      </c>
      <c r="F2074" t="str">
        <f>""</f>
        <v/>
      </c>
      <c r="G2074" t="str">
        <f>""</f>
        <v/>
      </c>
      <c r="I2074" t="str">
        <f t="shared" si="20"/>
        <v>GUARDIAN</v>
      </c>
    </row>
    <row r="2075" spans="1:9" x14ac:dyDescent="0.3">
      <c r="A2075" t="str">
        <f>""</f>
        <v/>
      </c>
      <c r="F2075" t="str">
        <f>""</f>
        <v/>
      </c>
      <c r="G2075" t="str">
        <f>""</f>
        <v/>
      </c>
      <c r="I2075" t="str">
        <f t="shared" si="20"/>
        <v>GUARDIAN</v>
      </c>
    </row>
    <row r="2076" spans="1:9" x14ac:dyDescent="0.3">
      <c r="A2076" t="str">
        <f>""</f>
        <v/>
      </c>
      <c r="F2076" t="str">
        <f>""</f>
        <v/>
      </c>
      <c r="G2076" t="str">
        <f>""</f>
        <v/>
      </c>
      <c r="I2076" t="str">
        <f t="shared" si="20"/>
        <v>GUARDIAN</v>
      </c>
    </row>
    <row r="2077" spans="1:9" x14ac:dyDescent="0.3">
      <c r="A2077" t="str">
        <f>""</f>
        <v/>
      </c>
      <c r="F2077" t="str">
        <f>""</f>
        <v/>
      </c>
      <c r="G2077" t="str">
        <f>""</f>
        <v/>
      </c>
      <c r="I2077" t="str">
        <f t="shared" si="20"/>
        <v>GUARDIAN</v>
      </c>
    </row>
    <row r="2078" spans="1:9" x14ac:dyDescent="0.3">
      <c r="A2078" t="str">
        <f>""</f>
        <v/>
      </c>
      <c r="F2078" t="str">
        <f>""</f>
        <v/>
      </c>
      <c r="G2078" t="str">
        <f>""</f>
        <v/>
      </c>
      <c r="I2078" t="str">
        <f t="shared" si="20"/>
        <v>GUARDIAN</v>
      </c>
    </row>
    <row r="2079" spans="1:9" x14ac:dyDescent="0.3">
      <c r="A2079" t="str">
        <f>""</f>
        <v/>
      </c>
      <c r="F2079" t="str">
        <f>""</f>
        <v/>
      </c>
      <c r="G2079" t="str">
        <f>""</f>
        <v/>
      </c>
      <c r="I2079" t="str">
        <f t="shared" si="20"/>
        <v>GUARDIAN</v>
      </c>
    </row>
    <row r="2080" spans="1:9" x14ac:dyDescent="0.3">
      <c r="A2080" t="str">
        <f>""</f>
        <v/>
      </c>
      <c r="F2080" t="str">
        <f>""</f>
        <v/>
      </c>
      <c r="G2080" t="str">
        <f>""</f>
        <v/>
      </c>
      <c r="I2080" t="str">
        <f t="shared" si="20"/>
        <v>GUARDIAN</v>
      </c>
    </row>
    <row r="2081" spans="1:9" x14ac:dyDescent="0.3">
      <c r="A2081" t="str">
        <f>""</f>
        <v/>
      </c>
      <c r="F2081" t="str">
        <f>""</f>
        <v/>
      </c>
      <c r="G2081" t="str">
        <f>""</f>
        <v/>
      </c>
      <c r="I2081" t="str">
        <f t="shared" si="20"/>
        <v>GUARDIAN</v>
      </c>
    </row>
    <row r="2082" spans="1:9" x14ac:dyDescent="0.3">
      <c r="A2082" t="str">
        <f>""</f>
        <v/>
      </c>
      <c r="F2082" t="str">
        <f>""</f>
        <v/>
      </c>
      <c r="G2082" t="str">
        <f>""</f>
        <v/>
      </c>
      <c r="I2082" t="str">
        <f t="shared" si="20"/>
        <v>GUARDIAN</v>
      </c>
    </row>
    <row r="2083" spans="1:9" x14ac:dyDescent="0.3">
      <c r="A2083" t="str">
        <f>""</f>
        <v/>
      </c>
      <c r="F2083" t="str">
        <f>"GDE201802218811"</f>
        <v>GDE201802218811</v>
      </c>
      <c r="G2083" t="str">
        <f>"GUARDIAN"</f>
        <v>GUARDIAN</v>
      </c>
      <c r="H2083" s="2">
        <v>148</v>
      </c>
      <c r="I2083" t="str">
        <f t="shared" si="20"/>
        <v>GUARDIAN</v>
      </c>
    </row>
    <row r="2084" spans="1:9" x14ac:dyDescent="0.3">
      <c r="A2084" t="str">
        <f>""</f>
        <v/>
      </c>
      <c r="F2084" t="str">
        <f>"GDF201802068586"</f>
        <v>GDF201802068586</v>
      </c>
      <c r="G2084" t="str">
        <f>"GUARDIAN"</f>
        <v>GUARDIAN</v>
      </c>
      <c r="H2084" s="2">
        <v>2172.6</v>
      </c>
      <c r="I2084" t="str">
        <f t="shared" si="20"/>
        <v>GUARDIAN</v>
      </c>
    </row>
    <row r="2085" spans="1:9" x14ac:dyDescent="0.3">
      <c r="A2085" t="str">
        <f>""</f>
        <v/>
      </c>
      <c r="F2085" t="str">
        <f>""</f>
        <v/>
      </c>
      <c r="G2085" t="str">
        <f>""</f>
        <v/>
      </c>
      <c r="I2085" t="str">
        <f t="shared" si="20"/>
        <v>GUARDIAN</v>
      </c>
    </row>
    <row r="2086" spans="1:9" x14ac:dyDescent="0.3">
      <c r="A2086" t="str">
        <f>""</f>
        <v/>
      </c>
      <c r="F2086" t="str">
        <f>""</f>
        <v/>
      </c>
      <c r="G2086" t="str">
        <f>""</f>
        <v/>
      </c>
      <c r="I2086" t="str">
        <f t="shared" si="20"/>
        <v>GUARDIAN</v>
      </c>
    </row>
    <row r="2087" spans="1:9" x14ac:dyDescent="0.3">
      <c r="A2087" t="str">
        <f>""</f>
        <v/>
      </c>
      <c r="F2087" t="str">
        <f>""</f>
        <v/>
      </c>
      <c r="G2087" t="str">
        <f>""</f>
        <v/>
      </c>
      <c r="I2087" t="str">
        <f t="shared" si="20"/>
        <v>GUARDIAN</v>
      </c>
    </row>
    <row r="2088" spans="1:9" x14ac:dyDescent="0.3">
      <c r="A2088" t="str">
        <f>""</f>
        <v/>
      </c>
      <c r="F2088" t="str">
        <f>""</f>
        <v/>
      </c>
      <c r="G2088" t="str">
        <f>""</f>
        <v/>
      </c>
      <c r="I2088" t="str">
        <f t="shared" si="20"/>
        <v>GUARDIAN</v>
      </c>
    </row>
    <row r="2089" spans="1:9" x14ac:dyDescent="0.3">
      <c r="A2089" t="str">
        <f>""</f>
        <v/>
      </c>
      <c r="F2089" t="str">
        <f>""</f>
        <v/>
      </c>
      <c r="G2089" t="str">
        <f>""</f>
        <v/>
      </c>
      <c r="I2089" t="str">
        <f t="shared" si="20"/>
        <v>GUARDIAN</v>
      </c>
    </row>
    <row r="2090" spans="1:9" x14ac:dyDescent="0.3">
      <c r="A2090" t="str">
        <f>""</f>
        <v/>
      </c>
      <c r="F2090" t="str">
        <f>""</f>
        <v/>
      </c>
      <c r="G2090" t="str">
        <f>""</f>
        <v/>
      </c>
      <c r="I2090" t="str">
        <f t="shared" si="20"/>
        <v>GUARDIAN</v>
      </c>
    </row>
    <row r="2091" spans="1:9" x14ac:dyDescent="0.3">
      <c r="A2091" t="str">
        <f>""</f>
        <v/>
      </c>
      <c r="F2091" t="str">
        <f>""</f>
        <v/>
      </c>
      <c r="G2091" t="str">
        <f>""</f>
        <v/>
      </c>
      <c r="I2091" t="str">
        <f t="shared" si="20"/>
        <v>GUARDIAN</v>
      </c>
    </row>
    <row r="2092" spans="1:9" x14ac:dyDescent="0.3">
      <c r="A2092" t="str">
        <f>""</f>
        <v/>
      </c>
      <c r="F2092" t="str">
        <f>""</f>
        <v/>
      </c>
      <c r="G2092" t="str">
        <f>""</f>
        <v/>
      </c>
      <c r="I2092" t="str">
        <f t="shared" si="20"/>
        <v>GUARDIAN</v>
      </c>
    </row>
    <row r="2093" spans="1:9" x14ac:dyDescent="0.3">
      <c r="A2093" t="str">
        <f>""</f>
        <v/>
      </c>
      <c r="F2093" t="str">
        <f>""</f>
        <v/>
      </c>
      <c r="G2093" t="str">
        <f>""</f>
        <v/>
      </c>
      <c r="I2093" t="str">
        <f t="shared" si="20"/>
        <v>GUARDIAN</v>
      </c>
    </row>
    <row r="2094" spans="1:9" x14ac:dyDescent="0.3">
      <c r="A2094" t="str">
        <f>""</f>
        <v/>
      </c>
      <c r="F2094" t="str">
        <f>""</f>
        <v/>
      </c>
      <c r="G2094" t="str">
        <f>""</f>
        <v/>
      </c>
      <c r="I2094" t="str">
        <f t="shared" si="20"/>
        <v>GUARDIAN</v>
      </c>
    </row>
    <row r="2095" spans="1:9" x14ac:dyDescent="0.3">
      <c r="A2095" t="str">
        <f>""</f>
        <v/>
      </c>
      <c r="F2095" t="str">
        <f>""</f>
        <v/>
      </c>
      <c r="G2095" t="str">
        <f>""</f>
        <v/>
      </c>
      <c r="I2095" t="str">
        <f t="shared" si="20"/>
        <v>GUARDIAN</v>
      </c>
    </row>
    <row r="2096" spans="1:9" x14ac:dyDescent="0.3">
      <c r="A2096" t="str">
        <f>""</f>
        <v/>
      </c>
      <c r="F2096" t="str">
        <f>""</f>
        <v/>
      </c>
      <c r="G2096" t="str">
        <f>""</f>
        <v/>
      </c>
      <c r="I2096" t="str">
        <f t="shared" si="20"/>
        <v>GUARDIAN</v>
      </c>
    </row>
    <row r="2097" spans="1:9" x14ac:dyDescent="0.3">
      <c r="A2097" t="str">
        <f>""</f>
        <v/>
      </c>
      <c r="F2097" t="str">
        <f>""</f>
        <v/>
      </c>
      <c r="G2097" t="str">
        <f>""</f>
        <v/>
      </c>
      <c r="I2097" t="str">
        <f t="shared" si="20"/>
        <v>GUARDIAN</v>
      </c>
    </row>
    <row r="2098" spans="1:9" x14ac:dyDescent="0.3">
      <c r="A2098" t="str">
        <f>""</f>
        <v/>
      </c>
      <c r="F2098" t="str">
        <f>""</f>
        <v/>
      </c>
      <c r="G2098" t="str">
        <f>""</f>
        <v/>
      </c>
      <c r="I2098" t="str">
        <f t="shared" si="20"/>
        <v>GUARDIAN</v>
      </c>
    </row>
    <row r="2099" spans="1:9" x14ac:dyDescent="0.3">
      <c r="A2099" t="str">
        <f>""</f>
        <v/>
      </c>
      <c r="F2099" t="str">
        <f>""</f>
        <v/>
      </c>
      <c r="G2099" t="str">
        <f>""</f>
        <v/>
      </c>
      <c r="I2099" t="str">
        <f t="shared" si="20"/>
        <v>GUARDIAN</v>
      </c>
    </row>
    <row r="2100" spans="1:9" x14ac:dyDescent="0.3">
      <c r="A2100" t="str">
        <f>""</f>
        <v/>
      </c>
      <c r="F2100" t="str">
        <f>""</f>
        <v/>
      </c>
      <c r="G2100" t="str">
        <f>""</f>
        <v/>
      </c>
      <c r="I2100" t="str">
        <f t="shared" si="20"/>
        <v>GUARDIAN</v>
      </c>
    </row>
    <row r="2101" spans="1:9" x14ac:dyDescent="0.3">
      <c r="A2101" t="str">
        <f>""</f>
        <v/>
      </c>
      <c r="F2101" t="str">
        <f>""</f>
        <v/>
      </c>
      <c r="G2101" t="str">
        <f>""</f>
        <v/>
      </c>
      <c r="I2101" t="str">
        <f t="shared" si="20"/>
        <v>GUARDIAN</v>
      </c>
    </row>
    <row r="2102" spans="1:9" x14ac:dyDescent="0.3">
      <c r="A2102" t="str">
        <f>""</f>
        <v/>
      </c>
      <c r="F2102" t="str">
        <f>""</f>
        <v/>
      </c>
      <c r="G2102" t="str">
        <f>""</f>
        <v/>
      </c>
      <c r="I2102" t="str">
        <f t="shared" si="20"/>
        <v>GUARDIAN</v>
      </c>
    </row>
    <row r="2103" spans="1:9" x14ac:dyDescent="0.3">
      <c r="A2103" t="str">
        <f>""</f>
        <v/>
      </c>
      <c r="F2103" t="str">
        <f>""</f>
        <v/>
      </c>
      <c r="G2103" t="str">
        <f>""</f>
        <v/>
      </c>
      <c r="I2103" t="str">
        <f t="shared" si="20"/>
        <v>GUARDIAN</v>
      </c>
    </row>
    <row r="2104" spans="1:9" x14ac:dyDescent="0.3">
      <c r="A2104" t="str">
        <f>""</f>
        <v/>
      </c>
      <c r="F2104" t="str">
        <f>""</f>
        <v/>
      </c>
      <c r="G2104" t="str">
        <f>""</f>
        <v/>
      </c>
      <c r="I2104" t="str">
        <f t="shared" si="20"/>
        <v>GUARDIAN</v>
      </c>
    </row>
    <row r="2105" spans="1:9" x14ac:dyDescent="0.3">
      <c r="A2105" t="str">
        <f>""</f>
        <v/>
      </c>
      <c r="F2105" t="str">
        <f>""</f>
        <v/>
      </c>
      <c r="G2105" t="str">
        <f>""</f>
        <v/>
      </c>
      <c r="I2105" t="str">
        <f t="shared" si="20"/>
        <v>GUARDIAN</v>
      </c>
    </row>
    <row r="2106" spans="1:9" x14ac:dyDescent="0.3">
      <c r="A2106" t="str">
        <f>""</f>
        <v/>
      </c>
      <c r="F2106" t="str">
        <f>""</f>
        <v/>
      </c>
      <c r="G2106" t="str">
        <f>""</f>
        <v/>
      </c>
      <c r="I2106" t="str">
        <f t="shared" si="20"/>
        <v>GUARDIAN</v>
      </c>
    </row>
    <row r="2107" spans="1:9" x14ac:dyDescent="0.3">
      <c r="A2107" t="str">
        <f>""</f>
        <v/>
      </c>
      <c r="F2107" t="str">
        <f>"GDF201802068587"</f>
        <v>GDF201802068587</v>
      </c>
      <c r="G2107" t="str">
        <f>"GUARDIAN"</f>
        <v>GUARDIAN</v>
      </c>
      <c r="H2107" s="2">
        <v>144.84</v>
      </c>
      <c r="I2107" t="str">
        <f t="shared" si="20"/>
        <v>GUARDIAN</v>
      </c>
    </row>
    <row r="2108" spans="1:9" x14ac:dyDescent="0.3">
      <c r="A2108" t="str">
        <f>""</f>
        <v/>
      </c>
      <c r="F2108" t="str">
        <f>""</f>
        <v/>
      </c>
      <c r="G2108" t="str">
        <f>""</f>
        <v/>
      </c>
      <c r="I2108" t="str">
        <f t="shared" si="20"/>
        <v>GUARDIAN</v>
      </c>
    </row>
    <row r="2109" spans="1:9" x14ac:dyDescent="0.3">
      <c r="A2109" t="str">
        <f>""</f>
        <v/>
      </c>
      <c r="F2109" t="str">
        <f>"GDF201802218810"</f>
        <v>GDF201802218810</v>
      </c>
      <c r="G2109" t="str">
        <f>"GUARDIAN"</f>
        <v>GUARDIAN</v>
      </c>
      <c r="H2109" s="2">
        <v>2172.6</v>
      </c>
      <c r="I2109" t="str">
        <f t="shared" si="20"/>
        <v>GUARDIAN</v>
      </c>
    </row>
    <row r="2110" spans="1:9" x14ac:dyDescent="0.3">
      <c r="A2110" t="str">
        <f>""</f>
        <v/>
      </c>
      <c r="F2110" t="str">
        <f>""</f>
        <v/>
      </c>
      <c r="G2110" t="str">
        <f>""</f>
        <v/>
      </c>
      <c r="I2110" t="str">
        <f t="shared" si="20"/>
        <v>GUARDIAN</v>
      </c>
    </row>
    <row r="2111" spans="1:9" x14ac:dyDescent="0.3">
      <c r="A2111" t="str">
        <f>""</f>
        <v/>
      </c>
      <c r="F2111" t="str">
        <f>""</f>
        <v/>
      </c>
      <c r="G2111" t="str">
        <f>""</f>
        <v/>
      </c>
      <c r="I2111" t="str">
        <f t="shared" si="20"/>
        <v>GUARDIAN</v>
      </c>
    </row>
    <row r="2112" spans="1:9" x14ac:dyDescent="0.3">
      <c r="A2112" t="str">
        <f>""</f>
        <v/>
      </c>
      <c r="F2112" t="str">
        <f>""</f>
        <v/>
      </c>
      <c r="G2112" t="str">
        <f>""</f>
        <v/>
      </c>
      <c r="I2112" t="str">
        <f t="shared" si="20"/>
        <v>GUARDIAN</v>
      </c>
    </row>
    <row r="2113" spans="1:9" x14ac:dyDescent="0.3">
      <c r="A2113" t="str">
        <f>""</f>
        <v/>
      </c>
      <c r="F2113" t="str">
        <f>""</f>
        <v/>
      </c>
      <c r="G2113" t="str">
        <f>""</f>
        <v/>
      </c>
      <c r="I2113" t="str">
        <f t="shared" si="20"/>
        <v>GUARDIAN</v>
      </c>
    </row>
    <row r="2114" spans="1:9" x14ac:dyDescent="0.3">
      <c r="A2114" t="str">
        <f>""</f>
        <v/>
      </c>
      <c r="F2114" t="str">
        <f>""</f>
        <v/>
      </c>
      <c r="G2114" t="str">
        <f>""</f>
        <v/>
      </c>
      <c r="I2114" t="str">
        <f t="shared" si="20"/>
        <v>GUARDIAN</v>
      </c>
    </row>
    <row r="2115" spans="1:9" x14ac:dyDescent="0.3">
      <c r="A2115" t="str">
        <f>""</f>
        <v/>
      </c>
      <c r="F2115" t="str">
        <f>""</f>
        <v/>
      </c>
      <c r="G2115" t="str">
        <f>""</f>
        <v/>
      </c>
      <c r="I2115" t="str">
        <f t="shared" ref="I2115:I2178" si="21">"GUARDIAN"</f>
        <v>GUARDIAN</v>
      </c>
    </row>
    <row r="2116" spans="1:9" x14ac:dyDescent="0.3">
      <c r="A2116" t="str">
        <f>""</f>
        <v/>
      </c>
      <c r="F2116" t="str">
        <f>""</f>
        <v/>
      </c>
      <c r="G2116" t="str">
        <f>""</f>
        <v/>
      </c>
      <c r="I2116" t="str">
        <f t="shared" si="21"/>
        <v>GUARDIAN</v>
      </c>
    </row>
    <row r="2117" spans="1:9" x14ac:dyDescent="0.3">
      <c r="A2117" t="str">
        <f>""</f>
        <v/>
      </c>
      <c r="F2117" t="str">
        <f>""</f>
        <v/>
      </c>
      <c r="G2117" t="str">
        <f>""</f>
        <v/>
      </c>
      <c r="I2117" t="str">
        <f t="shared" si="21"/>
        <v>GUARDIAN</v>
      </c>
    </row>
    <row r="2118" spans="1:9" x14ac:dyDescent="0.3">
      <c r="A2118" t="str">
        <f>""</f>
        <v/>
      </c>
      <c r="F2118" t="str">
        <f>""</f>
        <v/>
      </c>
      <c r="G2118" t="str">
        <f>""</f>
        <v/>
      </c>
      <c r="I2118" t="str">
        <f t="shared" si="21"/>
        <v>GUARDIAN</v>
      </c>
    </row>
    <row r="2119" spans="1:9" x14ac:dyDescent="0.3">
      <c r="A2119" t="str">
        <f>""</f>
        <v/>
      </c>
      <c r="F2119" t="str">
        <f>""</f>
        <v/>
      </c>
      <c r="G2119" t="str">
        <f>""</f>
        <v/>
      </c>
      <c r="I2119" t="str">
        <f t="shared" si="21"/>
        <v>GUARDIAN</v>
      </c>
    </row>
    <row r="2120" spans="1:9" x14ac:dyDescent="0.3">
      <c r="A2120" t="str">
        <f>""</f>
        <v/>
      </c>
      <c r="F2120" t="str">
        <f>""</f>
        <v/>
      </c>
      <c r="G2120" t="str">
        <f>""</f>
        <v/>
      </c>
      <c r="I2120" t="str">
        <f t="shared" si="21"/>
        <v>GUARDIAN</v>
      </c>
    </row>
    <row r="2121" spans="1:9" x14ac:dyDescent="0.3">
      <c r="A2121" t="str">
        <f>""</f>
        <v/>
      </c>
      <c r="F2121" t="str">
        <f>""</f>
        <v/>
      </c>
      <c r="G2121" t="str">
        <f>""</f>
        <v/>
      </c>
      <c r="I2121" t="str">
        <f t="shared" si="21"/>
        <v>GUARDIAN</v>
      </c>
    </row>
    <row r="2122" spans="1:9" x14ac:dyDescent="0.3">
      <c r="A2122" t="str">
        <f>""</f>
        <v/>
      </c>
      <c r="F2122" t="str">
        <f>""</f>
        <v/>
      </c>
      <c r="G2122" t="str">
        <f>""</f>
        <v/>
      </c>
      <c r="I2122" t="str">
        <f t="shared" si="21"/>
        <v>GUARDIAN</v>
      </c>
    </row>
    <row r="2123" spans="1:9" x14ac:dyDescent="0.3">
      <c r="A2123" t="str">
        <f>""</f>
        <v/>
      </c>
      <c r="F2123" t="str">
        <f>""</f>
        <v/>
      </c>
      <c r="G2123" t="str">
        <f>""</f>
        <v/>
      </c>
      <c r="I2123" t="str">
        <f t="shared" si="21"/>
        <v>GUARDIAN</v>
      </c>
    </row>
    <row r="2124" spans="1:9" x14ac:dyDescent="0.3">
      <c r="A2124" t="str">
        <f>""</f>
        <v/>
      </c>
      <c r="F2124" t="str">
        <f>""</f>
        <v/>
      </c>
      <c r="G2124" t="str">
        <f>""</f>
        <v/>
      </c>
      <c r="I2124" t="str">
        <f t="shared" si="21"/>
        <v>GUARDIAN</v>
      </c>
    </row>
    <row r="2125" spans="1:9" x14ac:dyDescent="0.3">
      <c r="A2125" t="str">
        <f>""</f>
        <v/>
      </c>
      <c r="F2125" t="str">
        <f>""</f>
        <v/>
      </c>
      <c r="G2125" t="str">
        <f>""</f>
        <v/>
      </c>
      <c r="I2125" t="str">
        <f t="shared" si="21"/>
        <v>GUARDIAN</v>
      </c>
    </row>
    <row r="2126" spans="1:9" x14ac:dyDescent="0.3">
      <c r="A2126" t="str">
        <f>""</f>
        <v/>
      </c>
      <c r="F2126" t="str">
        <f>""</f>
        <v/>
      </c>
      <c r="G2126" t="str">
        <f>""</f>
        <v/>
      </c>
      <c r="I2126" t="str">
        <f t="shared" si="21"/>
        <v>GUARDIAN</v>
      </c>
    </row>
    <row r="2127" spans="1:9" x14ac:dyDescent="0.3">
      <c r="A2127" t="str">
        <f>""</f>
        <v/>
      </c>
      <c r="F2127" t="str">
        <f>""</f>
        <v/>
      </c>
      <c r="G2127" t="str">
        <f>""</f>
        <v/>
      </c>
      <c r="I2127" t="str">
        <f t="shared" si="21"/>
        <v>GUARDIAN</v>
      </c>
    </row>
    <row r="2128" spans="1:9" x14ac:dyDescent="0.3">
      <c r="A2128" t="str">
        <f>""</f>
        <v/>
      </c>
      <c r="F2128" t="str">
        <f>""</f>
        <v/>
      </c>
      <c r="G2128" t="str">
        <f>""</f>
        <v/>
      </c>
      <c r="I2128" t="str">
        <f t="shared" si="21"/>
        <v>GUARDIAN</v>
      </c>
    </row>
    <row r="2129" spans="1:9" x14ac:dyDescent="0.3">
      <c r="A2129" t="str">
        <f>""</f>
        <v/>
      </c>
      <c r="F2129" t="str">
        <f>""</f>
        <v/>
      </c>
      <c r="G2129" t="str">
        <f>""</f>
        <v/>
      </c>
      <c r="I2129" t="str">
        <f t="shared" si="21"/>
        <v>GUARDIAN</v>
      </c>
    </row>
    <row r="2130" spans="1:9" x14ac:dyDescent="0.3">
      <c r="A2130" t="str">
        <f>""</f>
        <v/>
      </c>
      <c r="F2130" t="str">
        <f>""</f>
        <v/>
      </c>
      <c r="G2130" t="str">
        <f>""</f>
        <v/>
      </c>
      <c r="I2130" t="str">
        <f t="shared" si="21"/>
        <v>GUARDIAN</v>
      </c>
    </row>
    <row r="2131" spans="1:9" x14ac:dyDescent="0.3">
      <c r="A2131" t="str">
        <f>""</f>
        <v/>
      </c>
      <c r="F2131" t="str">
        <f>"GDF201802218811"</f>
        <v>GDF201802218811</v>
      </c>
      <c r="G2131" t="str">
        <f>"GUARDIAN"</f>
        <v>GUARDIAN</v>
      </c>
      <c r="H2131" s="2">
        <v>144.84</v>
      </c>
      <c r="I2131" t="str">
        <f t="shared" si="21"/>
        <v>GUARDIAN</v>
      </c>
    </row>
    <row r="2132" spans="1:9" x14ac:dyDescent="0.3">
      <c r="A2132" t="str">
        <f>""</f>
        <v/>
      </c>
      <c r="F2132" t="str">
        <f>""</f>
        <v/>
      </c>
      <c r="G2132" t="str">
        <f>""</f>
        <v/>
      </c>
      <c r="I2132" t="str">
        <f t="shared" si="21"/>
        <v>GUARDIAN</v>
      </c>
    </row>
    <row r="2133" spans="1:9" x14ac:dyDescent="0.3">
      <c r="A2133" t="str">
        <f>""</f>
        <v/>
      </c>
      <c r="F2133" t="str">
        <f>"GDS201802068586"</f>
        <v>GDS201802068586</v>
      </c>
      <c r="G2133" t="str">
        <f>"GUARDIAN"</f>
        <v>GUARDIAN</v>
      </c>
      <c r="H2133" s="2">
        <v>1789.2</v>
      </c>
      <c r="I2133" t="str">
        <f t="shared" si="21"/>
        <v>GUARDIAN</v>
      </c>
    </row>
    <row r="2134" spans="1:9" x14ac:dyDescent="0.3">
      <c r="A2134" t="str">
        <f>""</f>
        <v/>
      </c>
      <c r="F2134" t="str">
        <f>""</f>
        <v/>
      </c>
      <c r="G2134" t="str">
        <f>""</f>
        <v/>
      </c>
      <c r="I2134" t="str">
        <f t="shared" si="21"/>
        <v>GUARDIAN</v>
      </c>
    </row>
    <row r="2135" spans="1:9" x14ac:dyDescent="0.3">
      <c r="A2135" t="str">
        <f>""</f>
        <v/>
      </c>
      <c r="F2135" t="str">
        <f>""</f>
        <v/>
      </c>
      <c r="G2135" t="str">
        <f>""</f>
        <v/>
      </c>
      <c r="I2135" t="str">
        <f t="shared" si="21"/>
        <v>GUARDIAN</v>
      </c>
    </row>
    <row r="2136" spans="1:9" x14ac:dyDescent="0.3">
      <c r="A2136" t="str">
        <f>""</f>
        <v/>
      </c>
      <c r="F2136" t="str">
        <f>""</f>
        <v/>
      </c>
      <c r="G2136" t="str">
        <f>""</f>
        <v/>
      </c>
      <c r="I2136" t="str">
        <f t="shared" si="21"/>
        <v>GUARDIAN</v>
      </c>
    </row>
    <row r="2137" spans="1:9" x14ac:dyDescent="0.3">
      <c r="A2137" t="str">
        <f>""</f>
        <v/>
      </c>
      <c r="F2137" t="str">
        <f>""</f>
        <v/>
      </c>
      <c r="G2137" t="str">
        <f>""</f>
        <v/>
      </c>
      <c r="I2137" t="str">
        <f t="shared" si="21"/>
        <v>GUARDIAN</v>
      </c>
    </row>
    <row r="2138" spans="1:9" x14ac:dyDescent="0.3">
      <c r="A2138" t="str">
        <f>""</f>
        <v/>
      </c>
      <c r="F2138" t="str">
        <f>""</f>
        <v/>
      </c>
      <c r="G2138" t="str">
        <f>""</f>
        <v/>
      </c>
      <c r="I2138" t="str">
        <f t="shared" si="21"/>
        <v>GUARDIAN</v>
      </c>
    </row>
    <row r="2139" spans="1:9" x14ac:dyDescent="0.3">
      <c r="A2139" t="str">
        <f>""</f>
        <v/>
      </c>
      <c r="F2139" t="str">
        <f>""</f>
        <v/>
      </c>
      <c r="G2139" t="str">
        <f>""</f>
        <v/>
      </c>
      <c r="I2139" t="str">
        <f t="shared" si="21"/>
        <v>GUARDIAN</v>
      </c>
    </row>
    <row r="2140" spans="1:9" x14ac:dyDescent="0.3">
      <c r="A2140" t="str">
        <f>""</f>
        <v/>
      </c>
      <c r="F2140" t="str">
        <f>""</f>
        <v/>
      </c>
      <c r="G2140" t="str">
        <f>""</f>
        <v/>
      </c>
      <c r="I2140" t="str">
        <f t="shared" si="21"/>
        <v>GUARDIAN</v>
      </c>
    </row>
    <row r="2141" spans="1:9" x14ac:dyDescent="0.3">
      <c r="A2141" t="str">
        <f>""</f>
        <v/>
      </c>
      <c r="F2141" t="str">
        <f>""</f>
        <v/>
      </c>
      <c r="G2141" t="str">
        <f>""</f>
        <v/>
      </c>
      <c r="I2141" t="str">
        <f t="shared" si="21"/>
        <v>GUARDIAN</v>
      </c>
    </row>
    <row r="2142" spans="1:9" x14ac:dyDescent="0.3">
      <c r="A2142" t="str">
        <f>""</f>
        <v/>
      </c>
      <c r="F2142" t="str">
        <f>""</f>
        <v/>
      </c>
      <c r="G2142" t="str">
        <f>""</f>
        <v/>
      </c>
      <c r="I2142" t="str">
        <f t="shared" si="21"/>
        <v>GUARDIAN</v>
      </c>
    </row>
    <row r="2143" spans="1:9" x14ac:dyDescent="0.3">
      <c r="A2143" t="str">
        <f>""</f>
        <v/>
      </c>
      <c r="F2143" t="str">
        <f>""</f>
        <v/>
      </c>
      <c r="G2143" t="str">
        <f>""</f>
        <v/>
      </c>
      <c r="I2143" t="str">
        <f t="shared" si="21"/>
        <v>GUARDIAN</v>
      </c>
    </row>
    <row r="2144" spans="1:9" x14ac:dyDescent="0.3">
      <c r="A2144" t="str">
        <f>""</f>
        <v/>
      </c>
      <c r="F2144" t="str">
        <f>""</f>
        <v/>
      </c>
      <c r="G2144" t="str">
        <f>""</f>
        <v/>
      </c>
      <c r="I2144" t="str">
        <f t="shared" si="21"/>
        <v>GUARDIAN</v>
      </c>
    </row>
    <row r="2145" spans="1:9" x14ac:dyDescent="0.3">
      <c r="A2145" t="str">
        <f>""</f>
        <v/>
      </c>
      <c r="F2145" t="str">
        <f>""</f>
        <v/>
      </c>
      <c r="G2145" t="str">
        <f>""</f>
        <v/>
      </c>
      <c r="I2145" t="str">
        <f t="shared" si="21"/>
        <v>GUARDIAN</v>
      </c>
    </row>
    <row r="2146" spans="1:9" x14ac:dyDescent="0.3">
      <c r="A2146" t="str">
        <f>""</f>
        <v/>
      </c>
      <c r="F2146" t="str">
        <f>""</f>
        <v/>
      </c>
      <c r="G2146" t="str">
        <f>""</f>
        <v/>
      </c>
      <c r="I2146" t="str">
        <f t="shared" si="21"/>
        <v>GUARDIAN</v>
      </c>
    </row>
    <row r="2147" spans="1:9" x14ac:dyDescent="0.3">
      <c r="A2147" t="str">
        <f>""</f>
        <v/>
      </c>
      <c r="F2147" t="str">
        <f>""</f>
        <v/>
      </c>
      <c r="G2147" t="str">
        <f>""</f>
        <v/>
      </c>
      <c r="I2147" t="str">
        <f t="shared" si="21"/>
        <v>GUARDIAN</v>
      </c>
    </row>
    <row r="2148" spans="1:9" x14ac:dyDescent="0.3">
      <c r="A2148" t="str">
        <f>""</f>
        <v/>
      </c>
      <c r="F2148" t="str">
        <f>""</f>
        <v/>
      </c>
      <c r="G2148" t="str">
        <f>""</f>
        <v/>
      </c>
      <c r="I2148" t="str">
        <f t="shared" si="21"/>
        <v>GUARDIAN</v>
      </c>
    </row>
    <row r="2149" spans="1:9" x14ac:dyDescent="0.3">
      <c r="A2149" t="str">
        <f>""</f>
        <v/>
      </c>
      <c r="F2149" t="str">
        <f>""</f>
        <v/>
      </c>
      <c r="G2149" t="str">
        <f>""</f>
        <v/>
      </c>
      <c r="I2149" t="str">
        <f t="shared" si="21"/>
        <v>GUARDIAN</v>
      </c>
    </row>
    <row r="2150" spans="1:9" x14ac:dyDescent="0.3">
      <c r="A2150" t="str">
        <f>""</f>
        <v/>
      </c>
      <c r="F2150" t="str">
        <f>""</f>
        <v/>
      </c>
      <c r="G2150" t="str">
        <f>""</f>
        <v/>
      </c>
      <c r="I2150" t="str">
        <f t="shared" si="21"/>
        <v>GUARDIAN</v>
      </c>
    </row>
    <row r="2151" spans="1:9" x14ac:dyDescent="0.3">
      <c r="A2151" t="str">
        <f>""</f>
        <v/>
      </c>
      <c r="F2151" t="str">
        <f>""</f>
        <v/>
      </c>
      <c r="G2151" t="str">
        <f>""</f>
        <v/>
      </c>
      <c r="I2151" t="str">
        <f t="shared" si="21"/>
        <v>GUARDIAN</v>
      </c>
    </row>
    <row r="2152" spans="1:9" x14ac:dyDescent="0.3">
      <c r="A2152" t="str">
        <f>""</f>
        <v/>
      </c>
      <c r="F2152" t="str">
        <f>""</f>
        <v/>
      </c>
      <c r="G2152" t="str">
        <f>""</f>
        <v/>
      </c>
      <c r="I2152" t="str">
        <f t="shared" si="21"/>
        <v>GUARDIAN</v>
      </c>
    </row>
    <row r="2153" spans="1:9" x14ac:dyDescent="0.3">
      <c r="A2153" t="str">
        <f>""</f>
        <v/>
      </c>
      <c r="F2153" t="str">
        <f>""</f>
        <v/>
      </c>
      <c r="G2153" t="str">
        <f>""</f>
        <v/>
      </c>
      <c r="I2153" t="str">
        <f t="shared" si="21"/>
        <v>GUARDIAN</v>
      </c>
    </row>
    <row r="2154" spans="1:9" x14ac:dyDescent="0.3">
      <c r="A2154" t="str">
        <f>""</f>
        <v/>
      </c>
      <c r="F2154" t="str">
        <f>""</f>
        <v/>
      </c>
      <c r="G2154" t="str">
        <f>""</f>
        <v/>
      </c>
      <c r="I2154" t="str">
        <f t="shared" si="21"/>
        <v>GUARDIAN</v>
      </c>
    </row>
    <row r="2155" spans="1:9" x14ac:dyDescent="0.3">
      <c r="A2155" t="str">
        <f>""</f>
        <v/>
      </c>
      <c r="F2155" t="str">
        <f>""</f>
        <v/>
      </c>
      <c r="G2155" t="str">
        <f>""</f>
        <v/>
      </c>
      <c r="I2155" t="str">
        <f t="shared" si="21"/>
        <v>GUARDIAN</v>
      </c>
    </row>
    <row r="2156" spans="1:9" x14ac:dyDescent="0.3">
      <c r="A2156" t="str">
        <f>""</f>
        <v/>
      </c>
      <c r="F2156" t="str">
        <f>""</f>
        <v/>
      </c>
      <c r="G2156" t="str">
        <f>""</f>
        <v/>
      </c>
      <c r="I2156" t="str">
        <f t="shared" si="21"/>
        <v>GUARDIAN</v>
      </c>
    </row>
    <row r="2157" spans="1:9" x14ac:dyDescent="0.3">
      <c r="A2157" t="str">
        <f>""</f>
        <v/>
      </c>
      <c r="F2157" t="str">
        <f>""</f>
        <v/>
      </c>
      <c r="G2157" t="str">
        <f>""</f>
        <v/>
      </c>
      <c r="I2157" t="str">
        <f t="shared" si="21"/>
        <v>GUARDIAN</v>
      </c>
    </row>
    <row r="2158" spans="1:9" x14ac:dyDescent="0.3">
      <c r="A2158" t="str">
        <f>""</f>
        <v/>
      </c>
      <c r="F2158" t="str">
        <f>""</f>
        <v/>
      </c>
      <c r="G2158" t="str">
        <f>""</f>
        <v/>
      </c>
      <c r="I2158" t="str">
        <f t="shared" si="21"/>
        <v>GUARDIAN</v>
      </c>
    </row>
    <row r="2159" spans="1:9" x14ac:dyDescent="0.3">
      <c r="A2159" t="str">
        <f>""</f>
        <v/>
      </c>
      <c r="F2159" t="str">
        <f>""</f>
        <v/>
      </c>
      <c r="G2159" t="str">
        <f>""</f>
        <v/>
      </c>
      <c r="I2159" t="str">
        <f t="shared" si="21"/>
        <v>GUARDIAN</v>
      </c>
    </row>
    <row r="2160" spans="1:9" x14ac:dyDescent="0.3">
      <c r="A2160" t="str">
        <f>""</f>
        <v/>
      </c>
      <c r="F2160" t="str">
        <f>""</f>
        <v/>
      </c>
      <c r="G2160" t="str">
        <f>""</f>
        <v/>
      </c>
      <c r="I2160" t="str">
        <f t="shared" si="21"/>
        <v>GUARDIAN</v>
      </c>
    </row>
    <row r="2161" spans="1:9" x14ac:dyDescent="0.3">
      <c r="A2161" t="str">
        <f>""</f>
        <v/>
      </c>
      <c r="F2161" t="str">
        <f>"GDS201802068587"</f>
        <v>GDS201802068587</v>
      </c>
      <c r="G2161" t="str">
        <f>"GUARDIAN"</f>
        <v>GUARDIAN</v>
      </c>
      <c r="H2161" s="2">
        <v>29.82</v>
      </c>
      <c r="I2161" t="str">
        <f t="shared" si="21"/>
        <v>GUARDIAN</v>
      </c>
    </row>
    <row r="2162" spans="1:9" x14ac:dyDescent="0.3">
      <c r="A2162" t="str">
        <f>""</f>
        <v/>
      </c>
      <c r="F2162" t="str">
        <f>""</f>
        <v/>
      </c>
      <c r="G2162" t="str">
        <f>""</f>
        <v/>
      </c>
      <c r="I2162" t="str">
        <f t="shared" si="21"/>
        <v>GUARDIAN</v>
      </c>
    </row>
    <row r="2163" spans="1:9" x14ac:dyDescent="0.3">
      <c r="A2163" t="str">
        <f>""</f>
        <v/>
      </c>
      <c r="F2163" t="str">
        <f>"GDS201802218810"</f>
        <v>GDS201802218810</v>
      </c>
      <c r="G2163" t="str">
        <f>"GUARDIAN"</f>
        <v>GUARDIAN</v>
      </c>
      <c r="H2163" s="2">
        <v>1789.2</v>
      </c>
      <c r="I2163" t="str">
        <f t="shared" si="21"/>
        <v>GUARDIAN</v>
      </c>
    </row>
    <row r="2164" spans="1:9" x14ac:dyDescent="0.3">
      <c r="A2164" t="str">
        <f>""</f>
        <v/>
      </c>
      <c r="F2164" t="str">
        <f>""</f>
        <v/>
      </c>
      <c r="G2164" t="str">
        <f>""</f>
        <v/>
      </c>
      <c r="I2164" t="str">
        <f t="shared" si="21"/>
        <v>GUARDIAN</v>
      </c>
    </row>
    <row r="2165" spans="1:9" x14ac:dyDescent="0.3">
      <c r="A2165" t="str">
        <f>""</f>
        <v/>
      </c>
      <c r="F2165" t="str">
        <f>""</f>
        <v/>
      </c>
      <c r="G2165" t="str">
        <f>""</f>
        <v/>
      </c>
      <c r="I2165" t="str">
        <f t="shared" si="21"/>
        <v>GUARDIAN</v>
      </c>
    </row>
    <row r="2166" spans="1:9" x14ac:dyDescent="0.3">
      <c r="A2166" t="str">
        <f>""</f>
        <v/>
      </c>
      <c r="F2166" t="str">
        <f>""</f>
        <v/>
      </c>
      <c r="G2166" t="str">
        <f>""</f>
        <v/>
      </c>
      <c r="I2166" t="str">
        <f t="shared" si="21"/>
        <v>GUARDIAN</v>
      </c>
    </row>
    <row r="2167" spans="1:9" x14ac:dyDescent="0.3">
      <c r="A2167" t="str">
        <f>""</f>
        <v/>
      </c>
      <c r="F2167" t="str">
        <f>""</f>
        <v/>
      </c>
      <c r="G2167" t="str">
        <f>""</f>
        <v/>
      </c>
      <c r="I2167" t="str">
        <f t="shared" si="21"/>
        <v>GUARDIAN</v>
      </c>
    </row>
    <row r="2168" spans="1:9" x14ac:dyDescent="0.3">
      <c r="A2168" t="str">
        <f>""</f>
        <v/>
      </c>
      <c r="F2168" t="str">
        <f>""</f>
        <v/>
      </c>
      <c r="G2168" t="str">
        <f>""</f>
        <v/>
      </c>
      <c r="I2168" t="str">
        <f t="shared" si="21"/>
        <v>GUARDIAN</v>
      </c>
    </row>
    <row r="2169" spans="1:9" x14ac:dyDescent="0.3">
      <c r="A2169" t="str">
        <f>""</f>
        <v/>
      </c>
      <c r="F2169" t="str">
        <f>""</f>
        <v/>
      </c>
      <c r="G2169" t="str">
        <f>""</f>
        <v/>
      </c>
      <c r="I2169" t="str">
        <f t="shared" si="21"/>
        <v>GUARDIAN</v>
      </c>
    </row>
    <row r="2170" spans="1:9" x14ac:dyDescent="0.3">
      <c r="A2170" t="str">
        <f>""</f>
        <v/>
      </c>
      <c r="F2170" t="str">
        <f>""</f>
        <v/>
      </c>
      <c r="G2170" t="str">
        <f>""</f>
        <v/>
      </c>
      <c r="I2170" t="str">
        <f t="shared" si="21"/>
        <v>GUARDIAN</v>
      </c>
    </row>
    <row r="2171" spans="1:9" x14ac:dyDescent="0.3">
      <c r="A2171" t="str">
        <f>""</f>
        <v/>
      </c>
      <c r="F2171" t="str">
        <f>""</f>
        <v/>
      </c>
      <c r="G2171" t="str">
        <f>""</f>
        <v/>
      </c>
      <c r="I2171" t="str">
        <f t="shared" si="21"/>
        <v>GUARDIAN</v>
      </c>
    </row>
    <row r="2172" spans="1:9" x14ac:dyDescent="0.3">
      <c r="A2172" t="str">
        <f>""</f>
        <v/>
      </c>
      <c r="F2172" t="str">
        <f>""</f>
        <v/>
      </c>
      <c r="G2172" t="str">
        <f>""</f>
        <v/>
      </c>
      <c r="I2172" t="str">
        <f t="shared" si="21"/>
        <v>GUARDIAN</v>
      </c>
    </row>
    <row r="2173" spans="1:9" x14ac:dyDescent="0.3">
      <c r="A2173" t="str">
        <f>""</f>
        <v/>
      </c>
      <c r="F2173" t="str">
        <f>""</f>
        <v/>
      </c>
      <c r="G2173" t="str">
        <f>""</f>
        <v/>
      </c>
      <c r="I2173" t="str">
        <f t="shared" si="21"/>
        <v>GUARDIAN</v>
      </c>
    </row>
    <row r="2174" spans="1:9" x14ac:dyDescent="0.3">
      <c r="A2174" t="str">
        <f>""</f>
        <v/>
      </c>
      <c r="F2174" t="str">
        <f>""</f>
        <v/>
      </c>
      <c r="G2174" t="str">
        <f>""</f>
        <v/>
      </c>
      <c r="I2174" t="str">
        <f t="shared" si="21"/>
        <v>GUARDIAN</v>
      </c>
    </row>
    <row r="2175" spans="1:9" x14ac:dyDescent="0.3">
      <c r="A2175" t="str">
        <f>""</f>
        <v/>
      </c>
      <c r="F2175" t="str">
        <f>""</f>
        <v/>
      </c>
      <c r="G2175" t="str">
        <f>""</f>
        <v/>
      </c>
      <c r="I2175" t="str">
        <f t="shared" si="21"/>
        <v>GUARDIAN</v>
      </c>
    </row>
    <row r="2176" spans="1:9" x14ac:dyDescent="0.3">
      <c r="A2176" t="str">
        <f>""</f>
        <v/>
      </c>
      <c r="F2176" t="str">
        <f>""</f>
        <v/>
      </c>
      <c r="G2176" t="str">
        <f>""</f>
        <v/>
      </c>
      <c r="I2176" t="str">
        <f t="shared" si="21"/>
        <v>GUARDIAN</v>
      </c>
    </row>
    <row r="2177" spans="1:9" x14ac:dyDescent="0.3">
      <c r="A2177" t="str">
        <f>""</f>
        <v/>
      </c>
      <c r="F2177" t="str">
        <f>""</f>
        <v/>
      </c>
      <c r="G2177" t="str">
        <f>""</f>
        <v/>
      </c>
      <c r="I2177" t="str">
        <f t="shared" si="21"/>
        <v>GUARDIAN</v>
      </c>
    </row>
    <row r="2178" spans="1:9" x14ac:dyDescent="0.3">
      <c r="A2178" t="str">
        <f>""</f>
        <v/>
      </c>
      <c r="F2178" t="str">
        <f>""</f>
        <v/>
      </c>
      <c r="G2178" t="str">
        <f>""</f>
        <v/>
      </c>
      <c r="I2178" t="str">
        <f t="shared" si="21"/>
        <v>GUARDIAN</v>
      </c>
    </row>
    <row r="2179" spans="1:9" x14ac:dyDescent="0.3">
      <c r="A2179" t="str">
        <f>""</f>
        <v/>
      </c>
      <c r="F2179" t="str">
        <f>""</f>
        <v/>
      </c>
      <c r="G2179" t="str">
        <f>""</f>
        <v/>
      </c>
      <c r="I2179" t="str">
        <f t="shared" ref="I2179:I2192" si="22">"GUARDIAN"</f>
        <v>GUARDIAN</v>
      </c>
    </row>
    <row r="2180" spans="1:9" x14ac:dyDescent="0.3">
      <c r="A2180" t="str">
        <f>""</f>
        <v/>
      </c>
      <c r="F2180" t="str">
        <f>""</f>
        <v/>
      </c>
      <c r="G2180" t="str">
        <f>""</f>
        <v/>
      </c>
      <c r="I2180" t="str">
        <f t="shared" si="22"/>
        <v>GUARDIAN</v>
      </c>
    </row>
    <row r="2181" spans="1:9" x14ac:dyDescent="0.3">
      <c r="A2181" t="str">
        <f>""</f>
        <v/>
      </c>
      <c r="F2181" t="str">
        <f>""</f>
        <v/>
      </c>
      <c r="G2181" t="str">
        <f>""</f>
        <v/>
      </c>
      <c r="I2181" t="str">
        <f t="shared" si="22"/>
        <v>GUARDIAN</v>
      </c>
    </row>
    <row r="2182" spans="1:9" x14ac:dyDescent="0.3">
      <c r="A2182" t="str">
        <f>""</f>
        <v/>
      </c>
      <c r="F2182" t="str">
        <f>""</f>
        <v/>
      </c>
      <c r="G2182" t="str">
        <f>""</f>
        <v/>
      </c>
      <c r="I2182" t="str">
        <f t="shared" si="22"/>
        <v>GUARDIAN</v>
      </c>
    </row>
    <row r="2183" spans="1:9" x14ac:dyDescent="0.3">
      <c r="A2183" t="str">
        <f>""</f>
        <v/>
      </c>
      <c r="F2183" t="str">
        <f>""</f>
        <v/>
      </c>
      <c r="G2183" t="str">
        <f>""</f>
        <v/>
      </c>
      <c r="I2183" t="str">
        <f t="shared" si="22"/>
        <v>GUARDIAN</v>
      </c>
    </row>
    <row r="2184" spans="1:9" x14ac:dyDescent="0.3">
      <c r="A2184" t="str">
        <f>""</f>
        <v/>
      </c>
      <c r="F2184" t="str">
        <f>""</f>
        <v/>
      </c>
      <c r="G2184" t="str">
        <f>""</f>
        <v/>
      </c>
      <c r="I2184" t="str">
        <f t="shared" si="22"/>
        <v>GUARDIAN</v>
      </c>
    </row>
    <row r="2185" spans="1:9" x14ac:dyDescent="0.3">
      <c r="A2185" t="str">
        <f>""</f>
        <v/>
      </c>
      <c r="F2185" t="str">
        <f>""</f>
        <v/>
      </c>
      <c r="G2185" t="str">
        <f>""</f>
        <v/>
      </c>
      <c r="I2185" t="str">
        <f t="shared" si="22"/>
        <v>GUARDIAN</v>
      </c>
    </row>
    <row r="2186" spans="1:9" x14ac:dyDescent="0.3">
      <c r="A2186" t="str">
        <f>""</f>
        <v/>
      </c>
      <c r="F2186" t="str">
        <f>""</f>
        <v/>
      </c>
      <c r="G2186" t="str">
        <f>""</f>
        <v/>
      </c>
      <c r="I2186" t="str">
        <f t="shared" si="22"/>
        <v>GUARDIAN</v>
      </c>
    </row>
    <row r="2187" spans="1:9" x14ac:dyDescent="0.3">
      <c r="A2187" t="str">
        <f>""</f>
        <v/>
      </c>
      <c r="F2187" t="str">
        <f>""</f>
        <v/>
      </c>
      <c r="G2187" t="str">
        <f>""</f>
        <v/>
      </c>
      <c r="I2187" t="str">
        <f t="shared" si="22"/>
        <v>GUARDIAN</v>
      </c>
    </row>
    <row r="2188" spans="1:9" x14ac:dyDescent="0.3">
      <c r="A2188" t="str">
        <f>""</f>
        <v/>
      </c>
      <c r="F2188" t="str">
        <f>""</f>
        <v/>
      </c>
      <c r="G2188" t="str">
        <f>""</f>
        <v/>
      </c>
      <c r="I2188" t="str">
        <f t="shared" si="22"/>
        <v>GUARDIAN</v>
      </c>
    </row>
    <row r="2189" spans="1:9" x14ac:dyDescent="0.3">
      <c r="A2189" t="str">
        <f>""</f>
        <v/>
      </c>
      <c r="F2189" t="str">
        <f>""</f>
        <v/>
      </c>
      <c r="G2189" t="str">
        <f>""</f>
        <v/>
      </c>
      <c r="I2189" t="str">
        <f t="shared" si="22"/>
        <v>GUARDIAN</v>
      </c>
    </row>
    <row r="2190" spans="1:9" x14ac:dyDescent="0.3">
      <c r="A2190" t="str">
        <f>""</f>
        <v/>
      </c>
      <c r="F2190" t="str">
        <f>""</f>
        <v/>
      </c>
      <c r="G2190" t="str">
        <f>""</f>
        <v/>
      </c>
      <c r="I2190" t="str">
        <f t="shared" si="22"/>
        <v>GUARDIAN</v>
      </c>
    </row>
    <row r="2191" spans="1:9" x14ac:dyDescent="0.3">
      <c r="A2191" t="str">
        <f>""</f>
        <v/>
      </c>
      <c r="F2191" t="str">
        <f>"GDS201802218811"</f>
        <v>GDS201802218811</v>
      </c>
      <c r="G2191" t="str">
        <f>"GUARDIAN"</f>
        <v>GUARDIAN</v>
      </c>
      <c r="H2191" s="2">
        <v>29.82</v>
      </c>
      <c r="I2191" t="str">
        <f t="shared" si="22"/>
        <v>GUARDIAN</v>
      </c>
    </row>
    <row r="2192" spans="1:9" x14ac:dyDescent="0.3">
      <c r="A2192" t="str">
        <f>""</f>
        <v/>
      </c>
      <c r="F2192" t="str">
        <f>""</f>
        <v/>
      </c>
      <c r="G2192" t="str">
        <f>""</f>
        <v/>
      </c>
      <c r="I2192" t="str">
        <f t="shared" si="22"/>
        <v>GUARDIAN</v>
      </c>
    </row>
    <row r="2193" spans="1:9" x14ac:dyDescent="0.3">
      <c r="A2193" t="str">
        <f>""</f>
        <v/>
      </c>
      <c r="F2193" t="str">
        <f>"GV1201802068586"</f>
        <v>GV1201802068586</v>
      </c>
      <c r="G2193" t="str">
        <f>"GUARDIAN VISION"</f>
        <v>GUARDIAN VISION</v>
      </c>
      <c r="H2193" s="2">
        <v>375.2</v>
      </c>
      <c r="I2193" t="str">
        <f>"GUARDIAN VISION"</f>
        <v>GUARDIAN VISION</v>
      </c>
    </row>
    <row r="2194" spans="1:9" x14ac:dyDescent="0.3">
      <c r="A2194" t="str">
        <f>""</f>
        <v/>
      </c>
      <c r="F2194" t="str">
        <f>"GV1201802068587"</f>
        <v>GV1201802068587</v>
      </c>
      <c r="G2194" t="str">
        <f>"GUARDIAN VISION"</f>
        <v>GUARDIAN VISION</v>
      </c>
      <c r="H2194" s="2">
        <v>5.6</v>
      </c>
      <c r="I2194" t="str">
        <f>"GUARDIAN VISION"</f>
        <v>GUARDIAN VISION</v>
      </c>
    </row>
    <row r="2195" spans="1:9" x14ac:dyDescent="0.3">
      <c r="A2195" t="str">
        <f>""</f>
        <v/>
      </c>
      <c r="F2195" t="str">
        <f>"GV1201802218810"</f>
        <v>GV1201802218810</v>
      </c>
      <c r="G2195" t="str">
        <f>"GUARDIAN VISION"</f>
        <v>GUARDIAN VISION</v>
      </c>
      <c r="H2195" s="2">
        <v>376.55</v>
      </c>
      <c r="I2195" t="str">
        <f>"GUARDIAN VISION"</f>
        <v>GUARDIAN VISION</v>
      </c>
    </row>
    <row r="2196" spans="1:9" x14ac:dyDescent="0.3">
      <c r="A2196" t="str">
        <f>""</f>
        <v/>
      </c>
      <c r="F2196" t="str">
        <f>"GV1201802218811"</f>
        <v>GV1201802218811</v>
      </c>
      <c r="G2196" t="str">
        <f>"GUARDIAN VISION"</f>
        <v>GUARDIAN VISION</v>
      </c>
      <c r="H2196" s="2">
        <v>5.6</v>
      </c>
      <c r="I2196" t="str">
        <f>"GUARDIAN VISION"</f>
        <v>GUARDIAN VISION</v>
      </c>
    </row>
    <row r="2197" spans="1:9" x14ac:dyDescent="0.3">
      <c r="A2197" t="str">
        <f>""</f>
        <v/>
      </c>
      <c r="F2197" t="str">
        <f>"GVE201802068586"</f>
        <v>GVE201802068586</v>
      </c>
      <c r="G2197" t="str">
        <f>"GUARDIAN VISION VENDOR"</f>
        <v>GUARDIAN VISION VENDOR</v>
      </c>
      <c r="H2197" s="2">
        <v>535.04999999999995</v>
      </c>
      <c r="I2197" t="str">
        <f>"GUARDIAN VISION VENDOR"</f>
        <v>GUARDIAN VISION VENDOR</v>
      </c>
    </row>
    <row r="2198" spans="1:9" x14ac:dyDescent="0.3">
      <c r="A2198" t="str">
        <f>""</f>
        <v/>
      </c>
      <c r="F2198" t="str">
        <f>"GVE201802068587"</f>
        <v>GVE201802068587</v>
      </c>
      <c r="G2198" t="str">
        <f>"GUARDIAN VISION VENDOR"</f>
        <v>GUARDIAN VISION VENDOR</v>
      </c>
      <c r="H2198" s="2">
        <v>25.83</v>
      </c>
      <c r="I2198" t="str">
        <f>"GUARDIAN VISION VENDOR"</f>
        <v>GUARDIAN VISION VENDOR</v>
      </c>
    </row>
    <row r="2199" spans="1:9" x14ac:dyDescent="0.3">
      <c r="A2199" t="str">
        <f>""</f>
        <v/>
      </c>
      <c r="F2199" t="str">
        <f>"GVE201802218810"</f>
        <v>GVE201802218810</v>
      </c>
      <c r="G2199" t="str">
        <f>"GUARDIAN VISION VENDOR"</f>
        <v>GUARDIAN VISION VENDOR</v>
      </c>
      <c r="H2199" s="2">
        <v>535.04999999999995</v>
      </c>
      <c r="I2199" t="str">
        <f>"GUARDIAN VISION VENDOR"</f>
        <v>GUARDIAN VISION VENDOR</v>
      </c>
    </row>
    <row r="2200" spans="1:9" x14ac:dyDescent="0.3">
      <c r="A2200" t="str">
        <f>""</f>
        <v/>
      </c>
      <c r="F2200" t="str">
        <f>"GVE201802218811"</f>
        <v>GVE201802218811</v>
      </c>
      <c r="G2200" t="str">
        <f>"GUARDIAN VISION VENDOR"</f>
        <v>GUARDIAN VISION VENDOR</v>
      </c>
      <c r="H2200" s="2">
        <v>25.83</v>
      </c>
      <c r="I2200" t="str">
        <f>"GUARDIAN VISION VENDOR"</f>
        <v>GUARDIAN VISION VENDOR</v>
      </c>
    </row>
    <row r="2201" spans="1:9" x14ac:dyDescent="0.3">
      <c r="A2201" t="str">
        <f>""</f>
        <v/>
      </c>
      <c r="F2201" t="str">
        <f>"GVF201802068586"</f>
        <v>GVF201802068586</v>
      </c>
      <c r="G2201" t="str">
        <f>"GUARDIAN VISION"</f>
        <v>GUARDIAN VISION</v>
      </c>
      <c r="H2201" s="2">
        <v>462.95</v>
      </c>
      <c r="I2201" t="str">
        <f>"GUARDIAN VISION"</f>
        <v>GUARDIAN VISION</v>
      </c>
    </row>
    <row r="2202" spans="1:9" x14ac:dyDescent="0.3">
      <c r="A2202" t="str">
        <f>""</f>
        <v/>
      </c>
      <c r="F2202" t="str">
        <f>"GVF201802068587"</f>
        <v>GVF201802068587</v>
      </c>
      <c r="G2202" t="str">
        <f>"GUARDIAN VISION VENDOR"</f>
        <v>GUARDIAN VISION VENDOR</v>
      </c>
      <c r="H2202" s="2">
        <v>29.55</v>
      </c>
      <c r="I2202" t="str">
        <f>"GUARDIAN VISION VENDOR"</f>
        <v>GUARDIAN VISION VENDOR</v>
      </c>
    </row>
    <row r="2203" spans="1:9" x14ac:dyDescent="0.3">
      <c r="A2203" t="str">
        <f>""</f>
        <v/>
      </c>
      <c r="F2203" t="str">
        <f>"GVF201802218810"</f>
        <v>GVF201802218810</v>
      </c>
      <c r="G2203" t="str">
        <f>"GUARDIAN VISION"</f>
        <v>GUARDIAN VISION</v>
      </c>
      <c r="H2203" s="2">
        <v>436.1</v>
      </c>
      <c r="I2203" t="str">
        <f>"GUARDIAN VISION"</f>
        <v>GUARDIAN VISION</v>
      </c>
    </row>
    <row r="2204" spans="1:9" x14ac:dyDescent="0.3">
      <c r="A2204" t="str">
        <f>""</f>
        <v/>
      </c>
      <c r="F2204" t="str">
        <f>"GVF201802218811"</f>
        <v>GVF201802218811</v>
      </c>
      <c r="G2204" t="str">
        <f>"GUARDIAN VISION VENDOR"</f>
        <v>GUARDIAN VISION VENDOR</v>
      </c>
      <c r="H2204" s="2">
        <v>29.55</v>
      </c>
      <c r="I2204" t="str">
        <f>"GUARDIAN VISION VENDOR"</f>
        <v>GUARDIAN VISION VENDOR</v>
      </c>
    </row>
    <row r="2205" spans="1:9" x14ac:dyDescent="0.3">
      <c r="A2205" t="str">
        <f>""</f>
        <v/>
      </c>
      <c r="F2205" t="str">
        <f>"LIA201802068586"</f>
        <v>LIA201802068586</v>
      </c>
      <c r="G2205" t="str">
        <f>"GUARDIAN"</f>
        <v>GUARDIAN</v>
      </c>
      <c r="H2205" s="2">
        <v>131.97999999999999</v>
      </c>
      <c r="I2205" t="str">
        <f t="shared" ref="I2205:I2236" si="23">"GUARDIAN"</f>
        <v>GUARDIAN</v>
      </c>
    </row>
    <row r="2206" spans="1:9" x14ac:dyDescent="0.3">
      <c r="A2206" t="str">
        <f>""</f>
        <v/>
      </c>
      <c r="F2206" t="str">
        <f>""</f>
        <v/>
      </c>
      <c r="G2206" t="str">
        <f>""</f>
        <v/>
      </c>
      <c r="I2206" t="str">
        <f t="shared" si="23"/>
        <v>GUARDIAN</v>
      </c>
    </row>
    <row r="2207" spans="1:9" x14ac:dyDescent="0.3">
      <c r="A2207" t="str">
        <f>""</f>
        <v/>
      </c>
      <c r="F2207" t="str">
        <f>""</f>
        <v/>
      </c>
      <c r="G2207" t="str">
        <f>""</f>
        <v/>
      </c>
      <c r="I2207" t="str">
        <f t="shared" si="23"/>
        <v>GUARDIAN</v>
      </c>
    </row>
    <row r="2208" spans="1:9" x14ac:dyDescent="0.3">
      <c r="A2208" t="str">
        <f>""</f>
        <v/>
      </c>
      <c r="F2208" t="str">
        <f>""</f>
        <v/>
      </c>
      <c r="G2208" t="str">
        <f>""</f>
        <v/>
      </c>
      <c r="I2208" t="str">
        <f t="shared" si="23"/>
        <v>GUARDIAN</v>
      </c>
    </row>
    <row r="2209" spans="1:9" x14ac:dyDescent="0.3">
      <c r="A2209" t="str">
        <f>""</f>
        <v/>
      </c>
      <c r="F2209" t="str">
        <f>""</f>
        <v/>
      </c>
      <c r="G2209" t="str">
        <f>""</f>
        <v/>
      </c>
      <c r="I2209" t="str">
        <f t="shared" si="23"/>
        <v>GUARDIAN</v>
      </c>
    </row>
    <row r="2210" spans="1:9" x14ac:dyDescent="0.3">
      <c r="A2210" t="str">
        <f>""</f>
        <v/>
      </c>
      <c r="F2210" t="str">
        <f>""</f>
        <v/>
      </c>
      <c r="G2210" t="str">
        <f>""</f>
        <v/>
      </c>
      <c r="I2210" t="str">
        <f t="shared" si="23"/>
        <v>GUARDIAN</v>
      </c>
    </row>
    <row r="2211" spans="1:9" x14ac:dyDescent="0.3">
      <c r="A2211" t="str">
        <f>""</f>
        <v/>
      </c>
      <c r="F2211" t="str">
        <f>""</f>
        <v/>
      </c>
      <c r="G2211" t="str">
        <f>""</f>
        <v/>
      </c>
      <c r="I2211" t="str">
        <f t="shared" si="23"/>
        <v>GUARDIAN</v>
      </c>
    </row>
    <row r="2212" spans="1:9" x14ac:dyDescent="0.3">
      <c r="A2212" t="str">
        <f>""</f>
        <v/>
      </c>
      <c r="F2212" t="str">
        <f>""</f>
        <v/>
      </c>
      <c r="G2212" t="str">
        <f>""</f>
        <v/>
      </c>
      <c r="I2212" t="str">
        <f t="shared" si="23"/>
        <v>GUARDIAN</v>
      </c>
    </row>
    <row r="2213" spans="1:9" x14ac:dyDescent="0.3">
      <c r="A2213" t="str">
        <f>""</f>
        <v/>
      </c>
      <c r="F2213" t="str">
        <f>""</f>
        <v/>
      </c>
      <c r="G2213" t="str">
        <f>""</f>
        <v/>
      </c>
      <c r="I2213" t="str">
        <f t="shared" si="23"/>
        <v>GUARDIAN</v>
      </c>
    </row>
    <row r="2214" spans="1:9" x14ac:dyDescent="0.3">
      <c r="A2214" t="str">
        <f>""</f>
        <v/>
      </c>
      <c r="F2214" t="str">
        <f>""</f>
        <v/>
      </c>
      <c r="G2214" t="str">
        <f>""</f>
        <v/>
      </c>
      <c r="I2214" t="str">
        <f t="shared" si="23"/>
        <v>GUARDIAN</v>
      </c>
    </row>
    <row r="2215" spans="1:9" x14ac:dyDescent="0.3">
      <c r="A2215" t="str">
        <f>""</f>
        <v/>
      </c>
      <c r="F2215" t="str">
        <f>""</f>
        <v/>
      </c>
      <c r="G2215" t="str">
        <f>""</f>
        <v/>
      </c>
      <c r="I2215" t="str">
        <f t="shared" si="23"/>
        <v>GUARDIAN</v>
      </c>
    </row>
    <row r="2216" spans="1:9" x14ac:dyDescent="0.3">
      <c r="A2216" t="str">
        <f>""</f>
        <v/>
      </c>
      <c r="F2216" t="str">
        <f>""</f>
        <v/>
      </c>
      <c r="G2216" t="str">
        <f>""</f>
        <v/>
      </c>
      <c r="I2216" t="str">
        <f t="shared" si="23"/>
        <v>GUARDIAN</v>
      </c>
    </row>
    <row r="2217" spans="1:9" x14ac:dyDescent="0.3">
      <c r="A2217" t="str">
        <f>""</f>
        <v/>
      </c>
      <c r="F2217" t="str">
        <f>""</f>
        <v/>
      </c>
      <c r="G2217" t="str">
        <f>""</f>
        <v/>
      </c>
      <c r="I2217" t="str">
        <f t="shared" si="23"/>
        <v>GUARDIAN</v>
      </c>
    </row>
    <row r="2218" spans="1:9" x14ac:dyDescent="0.3">
      <c r="A2218" t="str">
        <f>""</f>
        <v/>
      </c>
      <c r="F2218" t="str">
        <f>""</f>
        <v/>
      </c>
      <c r="G2218" t="str">
        <f>""</f>
        <v/>
      </c>
      <c r="I2218" t="str">
        <f t="shared" si="23"/>
        <v>GUARDIAN</v>
      </c>
    </row>
    <row r="2219" spans="1:9" x14ac:dyDescent="0.3">
      <c r="A2219" t="str">
        <f>""</f>
        <v/>
      </c>
      <c r="F2219" t="str">
        <f>""</f>
        <v/>
      </c>
      <c r="G2219" t="str">
        <f>""</f>
        <v/>
      </c>
      <c r="I2219" t="str">
        <f t="shared" si="23"/>
        <v>GUARDIAN</v>
      </c>
    </row>
    <row r="2220" spans="1:9" x14ac:dyDescent="0.3">
      <c r="A2220" t="str">
        <f>""</f>
        <v/>
      </c>
      <c r="F2220" t="str">
        <f>""</f>
        <v/>
      </c>
      <c r="G2220" t="str">
        <f>""</f>
        <v/>
      </c>
      <c r="I2220" t="str">
        <f t="shared" si="23"/>
        <v>GUARDIAN</v>
      </c>
    </row>
    <row r="2221" spans="1:9" x14ac:dyDescent="0.3">
      <c r="A2221" t="str">
        <f>""</f>
        <v/>
      </c>
      <c r="F2221" t="str">
        <f>""</f>
        <v/>
      </c>
      <c r="G2221" t="str">
        <f>""</f>
        <v/>
      </c>
      <c r="I2221" t="str">
        <f t="shared" si="23"/>
        <v>GUARDIAN</v>
      </c>
    </row>
    <row r="2222" spans="1:9" x14ac:dyDescent="0.3">
      <c r="A2222" t="str">
        <f>""</f>
        <v/>
      </c>
      <c r="F2222" t="str">
        <f>""</f>
        <v/>
      </c>
      <c r="G2222" t="str">
        <f>""</f>
        <v/>
      </c>
      <c r="I2222" t="str">
        <f t="shared" si="23"/>
        <v>GUARDIAN</v>
      </c>
    </row>
    <row r="2223" spans="1:9" x14ac:dyDescent="0.3">
      <c r="A2223" t="str">
        <f>""</f>
        <v/>
      </c>
      <c r="F2223" t="str">
        <f>""</f>
        <v/>
      </c>
      <c r="G2223" t="str">
        <f>""</f>
        <v/>
      </c>
      <c r="I2223" t="str">
        <f t="shared" si="23"/>
        <v>GUARDIAN</v>
      </c>
    </row>
    <row r="2224" spans="1:9" x14ac:dyDescent="0.3">
      <c r="A2224" t="str">
        <f>""</f>
        <v/>
      </c>
      <c r="F2224" t="str">
        <f>""</f>
        <v/>
      </c>
      <c r="G2224" t="str">
        <f>""</f>
        <v/>
      </c>
      <c r="I2224" t="str">
        <f t="shared" si="23"/>
        <v>GUARDIAN</v>
      </c>
    </row>
    <row r="2225" spans="1:9" x14ac:dyDescent="0.3">
      <c r="A2225" t="str">
        <f>""</f>
        <v/>
      </c>
      <c r="F2225" t="str">
        <f>""</f>
        <v/>
      </c>
      <c r="G2225" t="str">
        <f>""</f>
        <v/>
      </c>
      <c r="I2225" t="str">
        <f t="shared" si="23"/>
        <v>GUARDIAN</v>
      </c>
    </row>
    <row r="2226" spans="1:9" x14ac:dyDescent="0.3">
      <c r="A2226" t="str">
        <f>""</f>
        <v/>
      </c>
      <c r="F2226" t="str">
        <f>""</f>
        <v/>
      </c>
      <c r="G2226" t="str">
        <f>""</f>
        <v/>
      </c>
      <c r="I2226" t="str">
        <f t="shared" si="23"/>
        <v>GUARDIAN</v>
      </c>
    </row>
    <row r="2227" spans="1:9" x14ac:dyDescent="0.3">
      <c r="A2227" t="str">
        <f>""</f>
        <v/>
      </c>
      <c r="F2227" t="str">
        <f>"LIA201802218810"</f>
        <v>LIA201802218810</v>
      </c>
      <c r="G2227" t="str">
        <f>"GUARDIAN"</f>
        <v>GUARDIAN</v>
      </c>
      <c r="H2227" s="2">
        <v>131.79</v>
      </c>
      <c r="I2227" t="str">
        <f t="shared" si="23"/>
        <v>GUARDIAN</v>
      </c>
    </row>
    <row r="2228" spans="1:9" x14ac:dyDescent="0.3">
      <c r="A2228" t="str">
        <f>""</f>
        <v/>
      </c>
      <c r="F2228" t="str">
        <f>""</f>
        <v/>
      </c>
      <c r="G2228" t="str">
        <f>""</f>
        <v/>
      </c>
      <c r="I2228" t="str">
        <f t="shared" si="23"/>
        <v>GUARDIAN</v>
      </c>
    </row>
    <row r="2229" spans="1:9" x14ac:dyDescent="0.3">
      <c r="A2229" t="str">
        <f>""</f>
        <v/>
      </c>
      <c r="F2229" t="str">
        <f>""</f>
        <v/>
      </c>
      <c r="G2229" t="str">
        <f>""</f>
        <v/>
      </c>
      <c r="I2229" t="str">
        <f t="shared" si="23"/>
        <v>GUARDIAN</v>
      </c>
    </row>
    <row r="2230" spans="1:9" x14ac:dyDescent="0.3">
      <c r="A2230" t="str">
        <f>""</f>
        <v/>
      </c>
      <c r="F2230" t="str">
        <f>""</f>
        <v/>
      </c>
      <c r="G2230" t="str">
        <f>""</f>
        <v/>
      </c>
      <c r="I2230" t="str">
        <f t="shared" si="23"/>
        <v>GUARDIAN</v>
      </c>
    </row>
    <row r="2231" spans="1:9" x14ac:dyDescent="0.3">
      <c r="A2231" t="str">
        <f>""</f>
        <v/>
      </c>
      <c r="F2231" t="str">
        <f>""</f>
        <v/>
      </c>
      <c r="G2231" t="str">
        <f>""</f>
        <v/>
      </c>
      <c r="I2231" t="str">
        <f t="shared" si="23"/>
        <v>GUARDIAN</v>
      </c>
    </row>
    <row r="2232" spans="1:9" x14ac:dyDescent="0.3">
      <c r="A2232" t="str">
        <f>""</f>
        <v/>
      </c>
      <c r="F2232" t="str">
        <f>""</f>
        <v/>
      </c>
      <c r="G2232" t="str">
        <f>""</f>
        <v/>
      </c>
      <c r="I2232" t="str">
        <f t="shared" si="23"/>
        <v>GUARDIAN</v>
      </c>
    </row>
    <row r="2233" spans="1:9" x14ac:dyDescent="0.3">
      <c r="A2233" t="str">
        <f>""</f>
        <v/>
      </c>
      <c r="F2233" t="str">
        <f>""</f>
        <v/>
      </c>
      <c r="G2233" t="str">
        <f>""</f>
        <v/>
      </c>
      <c r="I2233" t="str">
        <f t="shared" si="23"/>
        <v>GUARDIAN</v>
      </c>
    </row>
    <row r="2234" spans="1:9" x14ac:dyDescent="0.3">
      <c r="A2234" t="str">
        <f>""</f>
        <v/>
      </c>
      <c r="F2234" t="str">
        <f>""</f>
        <v/>
      </c>
      <c r="G2234" t="str">
        <f>""</f>
        <v/>
      </c>
      <c r="I2234" t="str">
        <f t="shared" si="23"/>
        <v>GUARDIAN</v>
      </c>
    </row>
    <row r="2235" spans="1:9" x14ac:dyDescent="0.3">
      <c r="A2235" t="str">
        <f>""</f>
        <v/>
      </c>
      <c r="F2235" t="str">
        <f>""</f>
        <v/>
      </c>
      <c r="G2235" t="str">
        <f>""</f>
        <v/>
      </c>
      <c r="I2235" t="str">
        <f t="shared" si="23"/>
        <v>GUARDIAN</v>
      </c>
    </row>
    <row r="2236" spans="1:9" x14ac:dyDescent="0.3">
      <c r="A2236" t="str">
        <f>""</f>
        <v/>
      </c>
      <c r="F2236" t="str">
        <f>""</f>
        <v/>
      </c>
      <c r="G2236" t="str">
        <f>""</f>
        <v/>
      </c>
      <c r="I2236" t="str">
        <f t="shared" si="23"/>
        <v>GUARDIAN</v>
      </c>
    </row>
    <row r="2237" spans="1:9" x14ac:dyDescent="0.3">
      <c r="A2237" t="str">
        <f>""</f>
        <v/>
      </c>
      <c r="F2237" t="str">
        <f>""</f>
        <v/>
      </c>
      <c r="G2237" t="str">
        <f>""</f>
        <v/>
      </c>
      <c r="I2237" t="str">
        <f t="shared" ref="I2237:I2268" si="24">"GUARDIAN"</f>
        <v>GUARDIAN</v>
      </c>
    </row>
    <row r="2238" spans="1:9" x14ac:dyDescent="0.3">
      <c r="A2238" t="str">
        <f>""</f>
        <v/>
      </c>
      <c r="F2238" t="str">
        <f>""</f>
        <v/>
      </c>
      <c r="G2238" t="str">
        <f>""</f>
        <v/>
      </c>
      <c r="I2238" t="str">
        <f t="shared" si="24"/>
        <v>GUARDIAN</v>
      </c>
    </row>
    <row r="2239" spans="1:9" x14ac:dyDescent="0.3">
      <c r="A2239" t="str">
        <f>""</f>
        <v/>
      </c>
      <c r="F2239" t="str">
        <f>""</f>
        <v/>
      </c>
      <c r="G2239" t="str">
        <f>""</f>
        <v/>
      </c>
      <c r="I2239" t="str">
        <f t="shared" si="24"/>
        <v>GUARDIAN</v>
      </c>
    </row>
    <row r="2240" spans="1:9" x14ac:dyDescent="0.3">
      <c r="A2240" t="str">
        <f>""</f>
        <v/>
      </c>
      <c r="F2240" t="str">
        <f>""</f>
        <v/>
      </c>
      <c r="G2240" t="str">
        <f>""</f>
        <v/>
      </c>
      <c r="I2240" t="str">
        <f t="shared" si="24"/>
        <v>GUARDIAN</v>
      </c>
    </row>
    <row r="2241" spans="1:9" x14ac:dyDescent="0.3">
      <c r="A2241" t="str">
        <f>""</f>
        <v/>
      </c>
      <c r="F2241" t="str">
        <f>""</f>
        <v/>
      </c>
      <c r="G2241" t="str">
        <f>""</f>
        <v/>
      </c>
      <c r="I2241" t="str">
        <f t="shared" si="24"/>
        <v>GUARDIAN</v>
      </c>
    </row>
    <row r="2242" spans="1:9" x14ac:dyDescent="0.3">
      <c r="A2242" t="str">
        <f>""</f>
        <v/>
      </c>
      <c r="F2242" t="str">
        <f>""</f>
        <v/>
      </c>
      <c r="G2242" t="str">
        <f>""</f>
        <v/>
      </c>
      <c r="I2242" t="str">
        <f t="shared" si="24"/>
        <v>GUARDIAN</v>
      </c>
    </row>
    <row r="2243" spans="1:9" x14ac:dyDescent="0.3">
      <c r="A2243" t="str">
        <f>""</f>
        <v/>
      </c>
      <c r="F2243" t="str">
        <f>""</f>
        <v/>
      </c>
      <c r="G2243" t="str">
        <f>""</f>
        <v/>
      </c>
      <c r="I2243" t="str">
        <f t="shared" si="24"/>
        <v>GUARDIAN</v>
      </c>
    </row>
    <row r="2244" spans="1:9" x14ac:dyDescent="0.3">
      <c r="A2244" t="str">
        <f>""</f>
        <v/>
      </c>
      <c r="F2244" t="str">
        <f>""</f>
        <v/>
      </c>
      <c r="G2244" t="str">
        <f>""</f>
        <v/>
      </c>
      <c r="I2244" t="str">
        <f t="shared" si="24"/>
        <v>GUARDIAN</v>
      </c>
    </row>
    <row r="2245" spans="1:9" x14ac:dyDescent="0.3">
      <c r="A2245" t="str">
        <f>""</f>
        <v/>
      </c>
      <c r="F2245" t="str">
        <f>""</f>
        <v/>
      </c>
      <c r="G2245" t="str">
        <f>""</f>
        <v/>
      </c>
      <c r="I2245" t="str">
        <f t="shared" si="24"/>
        <v>GUARDIAN</v>
      </c>
    </row>
    <row r="2246" spans="1:9" x14ac:dyDescent="0.3">
      <c r="A2246" t="str">
        <f>""</f>
        <v/>
      </c>
      <c r="F2246" t="str">
        <f>""</f>
        <v/>
      </c>
      <c r="G2246" t="str">
        <f>""</f>
        <v/>
      </c>
      <c r="I2246" t="str">
        <f t="shared" si="24"/>
        <v>GUARDIAN</v>
      </c>
    </row>
    <row r="2247" spans="1:9" x14ac:dyDescent="0.3">
      <c r="A2247" t="str">
        <f>""</f>
        <v/>
      </c>
      <c r="F2247" t="str">
        <f>""</f>
        <v/>
      </c>
      <c r="G2247" t="str">
        <f>""</f>
        <v/>
      </c>
      <c r="I2247" t="str">
        <f t="shared" si="24"/>
        <v>GUARDIAN</v>
      </c>
    </row>
    <row r="2248" spans="1:9" x14ac:dyDescent="0.3">
      <c r="A2248" t="str">
        <f>""</f>
        <v/>
      </c>
      <c r="F2248" t="str">
        <f>""</f>
        <v/>
      </c>
      <c r="G2248" t="str">
        <f>""</f>
        <v/>
      </c>
      <c r="I2248" t="str">
        <f t="shared" si="24"/>
        <v>GUARDIAN</v>
      </c>
    </row>
    <row r="2249" spans="1:9" x14ac:dyDescent="0.3">
      <c r="A2249" t="str">
        <f>""</f>
        <v/>
      </c>
      <c r="F2249" t="str">
        <f>"LIC201802068586"</f>
        <v>LIC201802068586</v>
      </c>
      <c r="G2249" t="str">
        <f>"GUARDIAN"</f>
        <v>GUARDIAN</v>
      </c>
      <c r="H2249" s="2">
        <v>34.6</v>
      </c>
      <c r="I2249" t="str">
        <f t="shared" si="24"/>
        <v>GUARDIAN</v>
      </c>
    </row>
    <row r="2250" spans="1:9" x14ac:dyDescent="0.3">
      <c r="A2250" t="str">
        <f>""</f>
        <v/>
      </c>
      <c r="F2250" t="str">
        <f>"LIC201802068587"</f>
        <v>LIC201802068587</v>
      </c>
      <c r="G2250" t="str">
        <f>"GUARDIAN"</f>
        <v>GUARDIAN</v>
      </c>
      <c r="H2250" s="2">
        <v>1.05</v>
      </c>
      <c r="I2250" t="str">
        <f t="shared" si="24"/>
        <v>GUARDIAN</v>
      </c>
    </row>
    <row r="2251" spans="1:9" x14ac:dyDescent="0.3">
      <c r="A2251" t="str">
        <f>""</f>
        <v/>
      </c>
      <c r="F2251" t="str">
        <f>"LIC201802218810"</f>
        <v>LIC201802218810</v>
      </c>
      <c r="G2251" t="str">
        <f>"GUARDIAN"</f>
        <v>GUARDIAN</v>
      </c>
      <c r="H2251" s="2">
        <v>34.6</v>
      </c>
      <c r="I2251" t="str">
        <f t="shared" si="24"/>
        <v>GUARDIAN</v>
      </c>
    </row>
    <row r="2252" spans="1:9" x14ac:dyDescent="0.3">
      <c r="A2252" t="str">
        <f>""</f>
        <v/>
      </c>
      <c r="F2252" t="str">
        <f>"LIC201802218811"</f>
        <v>LIC201802218811</v>
      </c>
      <c r="G2252" t="str">
        <f>"GUARDIAN"</f>
        <v>GUARDIAN</v>
      </c>
      <c r="H2252" s="2">
        <v>1.05</v>
      </c>
      <c r="I2252" t="str">
        <f t="shared" si="24"/>
        <v>GUARDIAN</v>
      </c>
    </row>
    <row r="2253" spans="1:9" x14ac:dyDescent="0.3">
      <c r="A2253" t="str">
        <f>""</f>
        <v/>
      </c>
      <c r="F2253" t="str">
        <f>"LIE201802068586"</f>
        <v>LIE201802068586</v>
      </c>
      <c r="G2253" t="str">
        <f>"GUARDIAN"</f>
        <v>GUARDIAN</v>
      </c>
      <c r="H2253" s="2">
        <v>3211.15</v>
      </c>
      <c r="I2253" t="str">
        <f t="shared" si="24"/>
        <v>GUARDIAN</v>
      </c>
    </row>
    <row r="2254" spans="1:9" x14ac:dyDescent="0.3">
      <c r="A2254" t="str">
        <f>""</f>
        <v/>
      </c>
      <c r="F2254" t="str">
        <f>""</f>
        <v/>
      </c>
      <c r="G2254" t="str">
        <f>""</f>
        <v/>
      </c>
      <c r="I2254" t="str">
        <f t="shared" si="24"/>
        <v>GUARDIAN</v>
      </c>
    </row>
    <row r="2255" spans="1:9" x14ac:dyDescent="0.3">
      <c r="A2255" t="str">
        <f>""</f>
        <v/>
      </c>
      <c r="F2255" t="str">
        <f>""</f>
        <v/>
      </c>
      <c r="G2255" t="str">
        <f>""</f>
        <v/>
      </c>
      <c r="I2255" t="str">
        <f t="shared" si="24"/>
        <v>GUARDIAN</v>
      </c>
    </row>
    <row r="2256" spans="1:9" x14ac:dyDescent="0.3">
      <c r="A2256" t="str">
        <f>""</f>
        <v/>
      </c>
      <c r="F2256" t="str">
        <f>""</f>
        <v/>
      </c>
      <c r="G2256" t="str">
        <f>""</f>
        <v/>
      </c>
      <c r="I2256" t="str">
        <f t="shared" si="24"/>
        <v>GUARDIAN</v>
      </c>
    </row>
    <row r="2257" spans="1:9" x14ac:dyDescent="0.3">
      <c r="A2257" t="str">
        <f>""</f>
        <v/>
      </c>
      <c r="F2257" t="str">
        <f>""</f>
        <v/>
      </c>
      <c r="G2257" t="str">
        <f>""</f>
        <v/>
      </c>
      <c r="I2257" t="str">
        <f t="shared" si="24"/>
        <v>GUARDIAN</v>
      </c>
    </row>
    <row r="2258" spans="1:9" x14ac:dyDescent="0.3">
      <c r="A2258" t="str">
        <f>""</f>
        <v/>
      </c>
      <c r="F2258" t="str">
        <f>""</f>
        <v/>
      </c>
      <c r="G2258" t="str">
        <f>""</f>
        <v/>
      </c>
      <c r="I2258" t="str">
        <f t="shared" si="24"/>
        <v>GUARDIAN</v>
      </c>
    </row>
    <row r="2259" spans="1:9" x14ac:dyDescent="0.3">
      <c r="A2259" t="str">
        <f>""</f>
        <v/>
      </c>
      <c r="F2259" t="str">
        <f>""</f>
        <v/>
      </c>
      <c r="G2259" t="str">
        <f>""</f>
        <v/>
      </c>
      <c r="I2259" t="str">
        <f t="shared" si="24"/>
        <v>GUARDIAN</v>
      </c>
    </row>
    <row r="2260" spans="1:9" x14ac:dyDescent="0.3">
      <c r="A2260" t="str">
        <f>""</f>
        <v/>
      </c>
      <c r="F2260" t="str">
        <f>""</f>
        <v/>
      </c>
      <c r="G2260" t="str">
        <f>""</f>
        <v/>
      </c>
      <c r="I2260" t="str">
        <f t="shared" si="24"/>
        <v>GUARDIAN</v>
      </c>
    </row>
    <row r="2261" spans="1:9" x14ac:dyDescent="0.3">
      <c r="A2261" t="str">
        <f>""</f>
        <v/>
      </c>
      <c r="F2261" t="str">
        <f>""</f>
        <v/>
      </c>
      <c r="G2261" t="str">
        <f>""</f>
        <v/>
      </c>
      <c r="I2261" t="str">
        <f t="shared" si="24"/>
        <v>GUARDIAN</v>
      </c>
    </row>
    <row r="2262" spans="1:9" x14ac:dyDescent="0.3">
      <c r="A2262" t="str">
        <f>""</f>
        <v/>
      </c>
      <c r="F2262" t="str">
        <f>""</f>
        <v/>
      </c>
      <c r="G2262" t="str">
        <f>""</f>
        <v/>
      </c>
      <c r="I2262" t="str">
        <f t="shared" si="24"/>
        <v>GUARDIAN</v>
      </c>
    </row>
    <row r="2263" spans="1:9" x14ac:dyDescent="0.3">
      <c r="A2263" t="str">
        <f>""</f>
        <v/>
      </c>
      <c r="F2263" t="str">
        <f>""</f>
        <v/>
      </c>
      <c r="G2263" t="str">
        <f>""</f>
        <v/>
      </c>
      <c r="I2263" t="str">
        <f t="shared" si="24"/>
        <v>GUARDIAN</v>
      </c>
    </row>
    <row r="2264" spans="1:9" x14ac:dyDescent="0.3">
      <c r="A2264" t="str">
        <f>""</f>
        <v/>
      </c>
      <c r="F2264" t="str">
        <f>""</f>
        <v/>
      </c>
      <c r="G2264" t="str">
        <f>""</f>
        <v/>
      </c>
      <c r="I2264" t="str">
        <f t="shared" si="24"/>
        <v>GUARDIAN</v>
      </c>
    </row>
    <row r="2265" spans="1:9" x14ac:dyDescent="0.3">
      <c r="A2265" t="str">
        <f>""</f>
        <v/>
      </c>
      <c r="F2265" t="str">
        <f>""</f>
        <v/>
      </c>
      <c r="G2265" t="str">
        <f>""</f>
        <v/>
      </c>
      <c r="I2265" t="str">
        <f t="shared" si="24"/>
        <v>GUARDIAN</v>
      </c>
    </row>
    <row r="2266" spans="1:9" x14ac:dyDescent="0.3">
      <c r="A2266" t="str">
        <f>""</f>
        <v/>
      </c>
      <c r="F2266" t="str">
        <f>""</f>
        <v/>
      </c>
      <c r="G2266" t="str">
        <f>""</f>
        <v/>
      </c>
      <c r="I2266" t="str">
        <f t="shared" si="24"/>
        <v>GUARDIAN</v>
      </c>
    </row>
    <row r="2267" spans="1:9" x14ac:dyDescent="0.3">
      <c r="A2267" t="str">
        <f>""</f>
        <v/>
      </c>
      <c r="F2267" t="str">
        <f>""</f>
        <v/>
      </c>
      <c r="G2267" t="str">
        <f>""</f>
        <v/>
      </c>
      <c r="I2267" t="str">
        <f t="shared" si="24"/>
        <v>GUARDIAN</v>
      </c>
    </row>
    <row r="2268" spans="1:9" x14ac:dyDescent="0.3">
      <c r="A2268" t="str">
        <f>""</f>
        <v/>
      </c>
      <c r="F2268" t="str">
        <f>""</f>
        <v/>
      </c>
      <c r="G2268" t="str">
        <f>""</f>
        <v/>
      </c>
      <c r="I2268" t="str">
        <f t="shared" si="24"/>
        <v>GUARDIAN</v>
      </c>
    </row>
    <row r="2269" spans="1:9" x14ac:dyDescent="0.3">
      <c r="A2269" t="str">
        <f>""</f>
        <v/>
      </c>
      <c r="F2269" t="str">
        <f>""</f>
        <v/>
      </c>
      <c r="G2269" t="str">
        <f>""</f>
        <v/>
      </c>
      <c r="I2269" t="str">
        <f t="shared" ref="I2269:I2300" si="25">"GUARDIAN"</f>
        <v>GUARDIAN</v>
      </c>
    </row>
    <row r="2270" spans="1:9" x14ac:dyDescent="0.3">
      <c r="A2270" t="str">
        <f>""</f>
        <v/>
      </c>
      <c r="F2270" t="str">
        <f>""</f>
        <v/>
      </c>
      <c r="G2270" t="str">
        <f>""</f>
        <v/>
      </c>
      <c r="I2270" t="str">
        <f t="shared" si="25"/>
        <v>GUARDIAN</v>
      </c>
    </row>
    <row r="2271" spans="1:9" x14ac:dyDescent="0.3">
      <c r="A2271" t="str">
        <f>""</f>
        <v/>
      </c>
      <c r="F2271" t="str">
        <f>""</f>
        <v/>
      </c>
      <c r="G2271" t="str">
        <f>""</f>
        <v/>
      </c>
      <c r="I2271" t="str">
        <f t="shared" si="25"/>
        <v>GUARDIAN</v>
      </c>
    </row>
    <row r="2272" spans="1:9" x14ac:dyDescent="0.3">
      <c r="A2272" t="str">
        <f>""</f>
        <v/>
      </c>
      <c r="F2272" t="str">
        <f>""</f>
        <v/>
      </c>
      <c r="G2272" t="str">
        <f>""</f>
        <v/>
      </c>
      <c r="I2272" t="str">
        <f t="shared" si="25"/>
        <v>GUARDIAN</v>
      </c>
    </row>
    <row r="2273" spans="1:9" x14ac:dyDescent="0.3">
      <c r="A2273" t="str">
        <f>""</f>
        <v/>
      </c>
      <c r="F2273" t="str">
        <f>""</f>
        <v/>
      </c>
      <c r="G2273" t="str">
        <f>""</f>
        <v/>
      </c>
      <c r="I2273" t="str">
        <f t="shared" si="25"/>
        <v>GUARDIAN</v>
      </c>
    </row>
    <row r="2274" spans="1:9" x14ac:dyDescent="0.3">
      <c r="A2274" t="str">
        <f>""</f>
        <v/>
      </c>
      <c r="F2274" t="str">
        <f>""</f>
        <v/>
      </c>
      <c r="G2274" t="str">
        <f>""</f>
        <v/>
      </c>
      <c r="I2274" t="str">
        <f t="shared" si="25"/>
        <v>GUARDIAN</v>
      </c>
    </row>
    <row r="2275" spans="1:9" x14ac:dyDescent="0.3">
      <c r="A2275" t="str">
        <f>""</f>
        <v/>
      </c>
      <c r="F2275" t="str">
        <f>""</f>
        <v/>
      </c>
      <c r="G2275" t="str">
        <f>""</f>
        <v/>
      </c>
      <c r="I2275" t="str">
        <f t="shared" si="25"/>
        <v>GUARDIAN</v>
      </c>
    </row>
    <row r="2276" spans="1:9" x14ac:dyDescent="0.3">
      <c r="A2276" t="str">
        <f>""</f>
        <v/>
      </c>
      <c r="F2276" t="str">
        <f>""</f>
        <v/>
      </c>
      <c r="G2276" t="str">
        <f>""</f>
        <v/>
      </c>
      <c r="I2276" t="str">
        <f t="shared" si="25"/>
        <v>GUARDIAN</v>
      </c>
    </row>
    <row r="2277" spans="1:9" x14ac:dyDescent="0.3">
      <c r="A2277" t="str">
        <f>""</f>
        <v/>
      </c>
      <c r="F2277" t="str">
        <f>""</f>
        <v/>
      </c>
      <c r="G2277" t="str">
        <f>""</f>
        <v/>
      </c>
      <c r="I2277" t="str">
        <f t="shared" si="25"/>
        <v>GUARDIAN</v>
      </c>
    </row>
    <row r="2278" spans="1:9" x14ac:dyDescent="0.3">
      <c r="A2278" t="str">
        <f>""</f>
        <v/>
      </c>
      <c r="F2278" t="str">
        <f>""</f>
        <v/>
      </c>
      <c r="G2278" t="str">
        <f>""</f>
        <v/>
      </c>
      <c r="I2278" t="str">
        <f t="shared" si="25"/>
        <v>GUARDIAN</v>
      </c>
    </row>
    <row r="2279" spans="1:9" x14ac:dyDescent="0.3">
      <c r="A2279" t="str">
        <f>""</f>
        <v/>
      </c>
      <c r="F2279" t="str">
        <f>""</f>
        <v/>
      </c>
      <c r="G2279" t="str">
        <f>""</f>
        <v/>
      </c>
      <c r="I2279" t="str">
        <f t="shared" si="25"/>
        <v>GUARDIAN</v>
      </c>
    </row>
    <row r="2280" spans="1:9" x14ac:dyDescent="0.3">
      <c r="A2280" t="str">
        <f>""</f>
        <v/>
      </c>
      <c r="F2280" t="str">
        <f>""</f>
        <v/>
      </c>
      <c r="G2280" t="str">
        <f>""</f>
        <v/>
      </c>
      <c r="I2280" t="str">
        <f t="shared" si="25"/>
        <v>GUARDIAN</v>
      </c>
    </row>
    <row r="2281" spans="1:9" x14ac:dyDescent="0.3">
      <c r="A2281" t="str">
        <f>""</f>
        <v/>
      </c>
      <c r="F2281" t="str">
        <f>""</f>
        <v/>
      </c>
      <c r="G2281" t="str">
        <f>""</f>
        <v/>
      </c>
      <c r="I2281" t="str">
        <f t="shared" si="25"/>
        <v>GUARDIAN</v>
      </c>
    </row>
    <row r="2282" spans="1:9" x14ac:dyDescent="0.3">
      <c r="A2282" t="str">
        <f>""</f>
        <v/>
      </c>
      <c r="F2282" t="str">
        <f>""</f>
        <v/>
      </c>
      <c r="G2282" t="str">
        <f>""</f>
        <v/>
      </c>
      <c r="I2282" t="str">
        <f t="shared" si="25"/>
        <v>GUARDIAN</v>
      </c>
    </row>
    <row r="2283" spans="1:9" x14ac:dyDescent="0.3">
      <c r="A2283" t="str">
        <f>""</f>
        <v/>
      </c>
      <c r="F2283" t="str">
        <f>""</f>
        <v/>
      </c>
      <c r="G2283" t="str">
        <f>""</f>
        <v/>
      </c>
      <c r="I2283" t="str">
        <f t="shared" si="25"/>
        <v>GUARDIAN</v>
      </c>
    </row>
    <row r="2284" spans="1:9" x14ac:dyDescent="0.3">
      <c r="A2284" t="str">
        <f>""</f>
        <v/>
      </c>
      <c r="F2284" t="str">
        <f>""</f>
        <v/>
      </c>
      <c r="G2284" t="str">
        <f>""</f>
        <v/>
      </c>
      <c r="I2284" t="str">
        <f t="shared" si="25"/>
        <v>GUARDIAN</v>
      </c>
    </row>
    <row r="2285" spans="1:9" x14ac:dyDescent="0.3">
      <c r="A2285" t="str">
        <f>""</f>
        <v/>
      </c>
      <c r="F2285" t="str">
        <f>""</f>
        <v/>
      </c>
      <c r="G2285" t="str">
        <f>""</f>
        <v/>
      </c>
      <c r="I2285" t="str">
        <f t="shared" si="25"/>
        <v>GUARDIAN</v>
      </c>
    </row>
    <row r="2286" spans="1:9" x14ac:dyDescent="0.3">
      <c r="A2286" t="str">
        <f>""</f>
        <v/>
      </c>
      <c r="F2286" t="str">
        <f>""</f>
        <v/>
      </c>
      <c r="G2286" t="str">
        <f>""</f>
        <v/>
      </c>
      <c r="I2286" t="str">
        <f t="shared" si="25"/>
        <v>GUARDIAN</v>
      </c>
    </row>
    <row r="2287" spans="1:9" x14ac:dyDescent="0.3">
      <c r="A2287" t="str">
        <f>""</f>
        <v/>
      </c>
      <c r="F2287" t="str">
        <f>""</f>
        <v/>
      </c>
      <c r="G2287" t="str">
        <f>""</f>
        <v/>
      </c>
      <c r="I2287" t="str">
        <f t="shared" si="25"/>
        <v>GUARDIAN</v>
      </c>
    </row>
    <row r="2288" spans="1:9" x14ac:dyDescent="0.3">
      <c r="A2288" t="str">
        <f>""</f>
        <v/>
      </c>
      <c r="F2288" t="str">
        <f>""</f>
        <v/>
      </c>
      <c r="G2288" t="str">
        <f>""</f>
        <v/>
      </c>
      <c r="I2288" t="str">
        <f t="shared" si="25"/>
        <v>GUARDIAN</v>
      </c>
    </row>
    <row r="2289" spans="1:9" x14ac:dyDescent="0.3">
      <c r="A2289" t="str">
        <f>""</f>
        <v/>
      </c>
      <c r="F2289" t="str">
        <f>""</f>
        <v/>
      </c>
      <c r="G2289" t="str">
        <f>""</f>
        <v/>
      </c>
      <c r="I2289" t="str">
        <f t="shared" si="25"/>
        <v>GUARDIAN</v>
      </c>
    </row>
    <row r="2290" spans="1:9" x14ac:dyDescent="0.3">
      <c r="A2290" t="str">
        <f>""</f>
        <v/>
      </c>
      <c r="F2290" t="str">
        <f>""</f>
        <v/>
      </c>
      <c r="G2290" t="str">
        <f>""</f>
        <v/>
      </c>
      <c r="I2290" t="str">
        <f t="shared" si="25"/>
        <v>GUARDIAN</v>
      </c>
    </row>
    <row r="2291" spans="1:9" x14ac:dyDescent="0.3">
      <c r="A2291" t="str">
        <f>""</f>
        <v/>
      </c>
      <c r="F2291" t="str">
        <f>""</f>
        <v/>
      </c>
      <c r="G2291" t="str">
        <f>""</f>
        <v/>
      </c>
      <c r="I2291" t="str">
        <f t="shared" si="25"/>
        <v>GUARDIAN</v>
      </c>
    </row>
    <row r="2292" spans="1:9" x14ac:dyDescent="0.3">
      <c r="A2292" t="str">
        <f>""</f>
        <v/>
      </c>
      <c r="F2292" t="str">
        <f>""</f>
        <v/>
      </c>
      <c r="G2292" t="str">
        <f>""</f>
        <v/>
      </c>
      <c r="I2292" t="str">
        <f t="shared" si="25"/>
        <v>GUARDIAN</v>
      </c>
    </row>
    <row r="2293" spans="1:9" x14ac:dyDescent="0.3">
      <c r="A2293" t="str">
        <f>""</f>
        <v/>
      </c>
      <c r="F2293" t="str">
        <f>""</f>
        <v/>
      </c>
      <c r="G2293" t="str">
        <f>""</f>
        <v/>
      </c>
      <c r="I2293" t="str">
        <f t="shared" si="25"/>
        <v>GUARDIAN</v>
      </c>
    </row>
    <row r="2294" spans="1:9" x14ac:dyDescent="0.3">
      <c r="A2294" t="str">
        <f>""</f>
        <v/>
      </c>
      <c r="F2294" t="str">
        <f>""</f>
        <v/>
      </c>
      <c r="G2294" t="str">
        <f>""</f>
        <v/>
      </c>
      <c r="I2294" t="str">
        <f t="shared" si="25"/>
        <v>GUARDIAN</v>
      </c>
    </row>
    <row r="2295" spans="1:9" x14ac:dyDescent="0.3">
      <c r="A2295" t="str">
        <f>""</f>
        <v/>
      </c>
      <c r="F2295" t="str">
        <f>""</f>
        <v/>
      </c>
      <c r="G2295" t="str">
        <f>""</f>
        <v/>
      </c>
      <c r="I2295" t="str">
        <f t="shared" si="25"/>
        <v>GUARDIAN</v>
      </c>
    </row>
    <row r="2296" spans="1:9" x14ac:dyDescent="0.3">
      <c r="A2296" t="str">
        <f>""</f>
        <v/>
      </c>
      <c r="F2296" t="str">
        <f>""</f>
        <v/>
      </c>
      <c r="G2296" t="str">
        <f>""</f>
        <v/>
      </c>
      <c r="I2296" t="str">
        <f t="shared" si="25"/>
        <v>GUARDIAN</v>
      </c>
    </row>
    <row r="2297" spans="1:9" x14ac:dyDescent="0.3">
      <c r="A2297" t="str">
        <f>""</f>
        <v/>
      </c>
      <c r="F2297" t="str">
        <f>""</f>
        <v/>
      </c>
      <c r="G2297" t="str">
        <f>""</f>
        <v/>
      </c>
      <c r="I2297" t="str">
        <f t="shared" si="25"/>
        <v>GUARDIAN</v>
      </c>
    </row>
    <row r="2298" spans="1:9" x14ac:dyDescent="0.3">
      <c r="A2298" t="str">
        <f>""</f>
        <v/>
      </c>
      <c r="F2298" t="str">
        <f>""</f>
        <v/>
      </c>
      <c r="G2298" t="str">
        <f>""</f>
        <v/>
      </c>
      <c r="I2298" t="str">
        <f t="shared" si="25"/>
        <v>GUARDIAN</v>
      </c>
    </row>
    <row r="2299" spans="1:9" x14ac:dyDescent="0.3">
      <c r="A2299" t="str">
        <f>""</f>
        <v/>
      </c>
      <c r="F2299" t="str">
        <f>""</f>
        <v/>
      </c>
      <c r="G2299" t="str">
        <f>""</f>
        <v/>
      </c>
      <c r="I2299" t="str">
        <f t="shared" si="25"/>
        <v>GUARDIAN</v>
      </c>
    </row>
    <row r="2300" spans="1:9" x14ac:dyDescent="0.3">
      <c r="A2300" t="str">
        <f>""</f>
        <v/>
      </c>
      <c r="F2300" t="str">
        <f>""</f>
        <v/>
      </c>
      <c r="G2300" t="str">
        <f>""</f>
        <v/>
      </c>
      <c r="I2300" t="str">
        <f t="shared" si="25"/>
        <v>GUARDIAN</v>
      </c>
    </row>
    <row r="2301" spans="1:9" x14ac:dyDescent="0.3">
      <c r="A2301" t="str">
        <f>""</f>
        <v/>
      </c>
      <c r="F2301" t="str">
        <f>""</f>
        <v/>
      </c>
      <c r="G2301" t="str">
        <f>""</f>
        <v/>
      </c>
      <c r="I2301" t="str">
        <f t="shared" ref="I2301:I2332" si="26">"GUARDIAN"</f>
        <v>GUARDIAN</v>
      </c>
    </row>
    <row r="2302" spans="1:9" x14ac:dyDescent="0.3">
      <c r="A2302" t="str">
        <f>""</f>
        <v/>
      </c>
      <c r="F2302" t="str">
        <f>"LIE201802068587"</f>
        <v>LIE201802068587</v>
      </c>
      <c r="G2302" t="str">
        <f>"GUARDIAN"</f>
        <v>GUARDIAN</v>
      </c>
      <c r="H2302" s="2">
        <v>137</v>
      </c>
      <c r="I2302" t="str">
        <f t="shared" si="26"/>
        <v>GUARDIAN</v>
      </c>
    </row>
    <row r="2303" spans="1:9" x14ac:dyDescent="0.3">
      <c r="A2303" t="str">
        <f>""</f>
        <v/>
      </c>
      <c r="F2303" t="str">
        <f>""</f>
        <v/>
      </c>
      <c r="G2303" t="str">
        <f>""</f>
        <v/>
      </c>
      <c r="I2303" t="str">
        <f t="shared" si="26"/>
        <v>GUARDIAN</v>
      </c>
    </row>
    <row r="2304" spans="1:9" x14ac:dyDescent="0.3">
      <c r="A2304" t="str">
        <f>""</f>
        <v/>
      </c>
      <c r="F2304" t="str">
        <f>"LIE201802218810"</f>
        <v>LIE201802218810</v>
      </c>
      <c r="G2304" t="str">
        <f>"GUARDIAN"</f>
        <v>GUARDIAN</v>
      </c>
      <c r="H2304" s="2">
        <v>3210.19</v>
      </c>
      <c r="I2304" t="str">
        <f t="shared" si="26"/>
        <v>GUARDIAN</v>
      </c>
    </row>
    <row r="2305" spans="1:9" x14ac:dyDescent="0.3">
      <c r="A2305" t="str">
        <f>""</f>
        <v/>
      </c>
      <c r="F2305" t="str">
        <f>""</f>
        <v/>
      </c>
      <c r="G2305" t="str">
        <f>""</f>
        <v/>
      </c>
      <c r="I2305" t="str">
        <f t="shared" si="26"/>
        <v>GUARDIAN</v>
      </c>
    </row>
    <row r="2306" spans="1:9" x14ac:dyDescent="0.3">
      <c r="A2306" t="str">
        <f>""</f>
        <v/>
      </c>
      <c r="F2306" t="str">
        <f>""</f>
        <v/>
      </c>
      <c r="G2306" t="str">
        <f>""</f>
        <v/>
      </c>
      <c r="I2306" t="str">
        <f t="shared" si="26"/>
        <v>GUARDIAN</v>
      </c>
    </row>
    <row r="2307" spans="1:9" x14ac:dyDescent="0.3">
      <c r="A2307" t="str">
        <f>""</f>
        <v/>
      </c>
      <c r="F2307" t="str">
        <f>""</f>
        <v/>
      </c>
      <c r="G2307" t="str">
        <f>""</f>
        <v/>
      </c>
      <c r="I2307" t="str">
        <f t="shared" si="26"/>
        <v>GUARDIAN</v>
      </c>
    </row>
    <row r="2308" spans="1:9" x14ac:dyDescent="0.3">
      <c r="A2308" t="str">
        <f>""</f>
        <v/>
      </c>
      <c r="F2308" t="str">
        <f>""</f>
        <v/>
      </c>
      <c r="G2308" t="str">
        <f>""</f>
        <v/>
      </c>
      <c r="I2308" t="str">
        <f t="shared" si="26"/>
        <v>GUARDIAN</v>
      </c>
    </row>
    <row r="2309" spans="1:9" x14ac:dyDescent="0.3">
      <c r="A2309" t="str">
        <f>""</f>
        <v/>
      </c>
      <c r="F2309" t="str">
        <f>""</f>
        <v/>
      </c>
      <c r="G2309" t="str">
        <f>""</f>
        <v/>
      </c>
      <c r="I2309" t="str">
        <f t="shared" si="26"/>
        <v>GUARDIAN</v>
      </c>
    </row>
    <row r="2310" spans="1:9" x14ac:dyDescent="0.3">
      <c r="A2310" t="str">
        <f>""</f>
        <v/>
      </c>
      <c r="F2310" t="str">
        <f>""</f>
        <v/>
      </c>
      <c r="G2310" t="str">
        <f>""</f>
        <v/>
      </c>
      <c r="I2310" t="str">
        <f t="shared" si="26"/>
        <v>GUARDIAN</v>
      </c>
    </row>
    <row r="2311" spans="1:9" x14ac:dyDescent="0.3">
      <c r="A2311" t="str">
        <f>""</f>
        <v/>
      </c>
      <c r="F2311" t="str">
        <f>""</f>
        <v/>
      </c>
      <c r="G2311" t="str">
        <f>""</f>
        <v/>
      </c>
      <c r="I2311" t="str">
        <f t="shared" si="26"/>
        <v>GUARDIAN</v>
      </c>
    </row>
    <row r="2312" spans="1:9" x14ac:dyDescent="0.3">
      <c r="A2312" t="str">
        <f>""</f>
        <v/>
      </c>
      <c r="F2312" t="str">
        <f>""</f>
        <v/>
      </c>
      <c r="G2312" t="str">
        <f>""</f>
        <v/>
      </c>
      <c r="I2312" t="str">
        <f t="shared" si="26"/>
        <v>GUARDIAN</v>
      </c>
    </row>
    <row r="2313" spans="1:9" x14ac:dyDescent="0.3">
      <c r="A2313" t="str">
        <f>""</f>
        <v/>
      </c>
      <c r="F2313" t="str">
        <f>""</f>
        <v/>
      </c>
      <c r="G2313" t="str">
        <f>""</f>
        <v/>
      </c>
      <c r="I2313" t="str">
        <f t="shared" si="26"/>
        <v>GUARDIAN</v>
      </c>
    </row>
    <row r="2314" spans="1:9" x14ac:dyDescent="0.3">
      <c r="A2314" t="str">
        <f>""</f>
        <v/>
      </c>
      <c r="F2314" t="str">
        <f>""</f>
        <v/>
      </c>
      <c r="G2314" t="str">
        <f>""</f>
        <v/>
      </c>
      <c r="I2314" t="str">
        <f t="shared" si="26"/>
        <v>GUARDIAN</v>
      </c>
    </row>
    <row r="2315" spans="1:9" x14ac:dyDescent="0.3">
      <c r="A2315" t="str">
        <f>""</f>
        <v/>
      </c>
      <c r="F2315" t="str">
        <f>""</f>
        <v/>
      </c>
      <c r="G2315" t="str">
        <f>""</f>
        <v/>
      </c>
      <c r="I2315" t="str">
        <f t="shared" si="26"/>
        <v>GUARDIAN</v>
      </c>
    </row>
    <row r="2316" spans="1:9" x14ac:dyDescent="0.3">
      <c r="A2316" t="str">
        <f>""</f>
        <v/>
      </c>
      <c r="F2316" t="str">
        <f>""</f>
        <v/>
      </c>
      <c r="G2316" t="str">
        <f>""</f>
        <v/>
      </c>
      <c r="I2316" t="str">
        <f t="shared" si="26"/>
        <v>GUARDIAN</v>
      </c>
    </row>
    <row r="2317" spans="1:9" x14ac:dyDescent="0.3">
      <c r="A2317" t="str">
        <f>""</f>
        <v/>
      </c>
      <c r="F2317" t="str">
        <f>""</f>
        <v/>
      </c>
      <c r="G2317" t="str">
        <f>""</f>
        <v/>
      </c>
      <c r="I2317" t="str">
        <f t="shared" si="26"/>
        <v>GUARDIAN</v>
      </c>
    </row>
    <row r="2318" spans="1:9" x14ac:dyDescent="0.3">
      <c r="A2318" t="str">
        <f>""</f>
        <v/>
      </c>
      <c r="F2318" t="str">
        <f>""</f>
        <v/>
      </c>
      <c r="G2318" t="str">
        <f>""</f>
        <v/>
      </c>
      <c r="I2318" t="str">
        <f t="shared" si="26"/>
        <v>GUARDIAN</v>
      </c>
    </row>
    <row r="2319" spans="1:9" x14ac:dyDescent="0.3">
      <c r="A2319" t="str">
        <f>""</f>
        <v/>
      </c>
      <c r="F2319" t="str">
        <f>""</f>
        <v/>
      </c>
      <c r="G2319" t="str">
        <f>""</f>
        <v/>
      </c>
      <c r="I2319" t="str">
        <f t="shared" si="26"/>
        <v>GUARDIAN</v>
      </c>
    </row>
    <row r="2320" spans="1:9" x14ac:dyDescent="0.3">
      <c r="A2320" t="str">
        <f>""</f>
        <v/>
      </c>
      <c r="F2320" t="str">
        <f>""</f>
        <v/>
      </c>
      <c r="G2320" t="str">
        <f>""</f>
        <v/>
      </c>
      <c r="I2320" t="str">
        <f t="shared" si="26"/>
        <v>GUARDIAN</v>
      </c>
    </row>
    <row r="2321" spans="1:9" x14ac:dyDescent="0.3">
      <c r="A2321" t="str">
        <f>""</f>
        <v/>
      </c>
      <c r="F2321" t="str">
        <f>""</f>
        <v/>
      </c>
      <c r="G2321" t="str">
        <f>""</f>
        <v/>
      </c>
      <c r="I2321" t="str">
        <f t="shared" si="26"/>
        <v>GUARDIAN</v>
      </c>
    </row>
    <row r="2322" spans="1:9" x14ac:dyDescent="0.3">
      <c r="A2322" t="str">
        <f>""</f>
        <v/>
      </c>
      <c r="F2322" t="str">
        <f>""</f>
        <v/>
      </c>
      <c r="G2322" t="str">
        <f>""</f>
        <v/>
      </c>
      <c r="I2322" t="str">
        <f t="shared" si="26"/>
        <v>GUARDIAN</v>
      </c>
    </row>
    <row r="2323" spans="1:9" x14ac:dyDescent="0.3">
      <c r="A2323" t="str">
        <f>""</f>
        <v/>
      </c>
      <c r="F2323" t="str">
        <f>""</f>
        <v/>
      </c>
      <c r="G2323" t="str">
        <f>""</f>
        <v/>
      </c>
      <c r="I2323" t="str">
        <f t="shared" si="26"/>
        <v>GUARDIAN</v>
      </c>
    </row>
    <row r="2324" spans="1:9" x14ac:dyDescent="0.3">
      <c r="A2324" t="str">
        <f>""</f>
        <v/>
      </c>
      <c r="F2324" t="str">
        <f>""</f>
        <v/>
      </c>
      <c r="G2324" t="str">
        <f>""</f>
        <v/>
      </c>
      <c r="I2324" t="str">
        <f t="shared" si="26"/>
        <v>GUARDIAN</v>
      </c>
    </row>
    <row r="2325" spans="1:9" x14ac:dyDescent="0.3">
      <c r="A2325" t="str">
        <f>""</f>
        <v/>
      </c>
      <c r="F2325" t="str">
        <f>""</f>
        <v/>
      </c>
      <c r="G2325" t="str">
        <f>""</f>
        <v/>
      </c>
      <c r="I2325" t="str">
        <f t="shared" si="26"/>
        <v>GUARDIAN</v>
      </c>
    </row>
    <row r="2326" spans="1:9" x14ac:dyDescent="0.3">
      <c r="A2326" t="str">
        <f>""</f>
        <v/>
      </c>
      <c r="F2326" t="str">
        <f>""</f>
        <v/>
      </c>
      <c r="G2326" t="str">
        <f>""</f>
        <v/>
      </c>
      <c r="I2326" t="str">
        <f t="shared" si="26"/>
        <v>GUARDIAN</v>
      </c>
    </row>
    <row r="2327" spans="1:9" x14ac:dyDescent="0.3">
      <c r="A2327" t="str">
        <f>""</f>
        <v/>
      </c>
      <c r="F2327" t="str">
        <f>""</f>
        <v/>
      </c>
      <c r="G2327" t="str">
        <f>""</f>
        <v/>
      </c>
      <c r="I2327" t="str">
        <f t="shared" si="26"/>
        <v>GUARDIAN</v>
      </c>
    </row>
    <row r="2328" spans="1:9" x14ac:dyDescent="0.3">
      <c r="A2328" t="str">
        <f>""</f>
        <v/>
      </c>
      <c r="F2328" t="str">
        <f>""</f>
        <v/>
      </c>
      <c r="G2328" t="str">
        <f>""</f>
        <v/>
      </c>
      <c r="I2328" t="str">
        <f t="shared" si="26"/>
        <v>GUARDIAN</v>
      </c>
    </row>
    <row r="2329" spans="1:9" x14ac:dyDescent="0.3">
      <c r="A2329" t="str">
        <f>""</f>
        <v/>
      </c>
      <c r="F2329" t="str">
        <f>""</f>
        <v/>
      </c>
      <c r="G2329" t="str">
        <f>""</f>
        <v/>
      </c>
      <c r="I2329" t="str">
        <f t="shared" si="26"/>
        <v>GUARDIAN</v>
      </c>
    </row>
    <row r="2330" spans="1:9" x14ac:dyDescent="0.3">
      <c r="A2330" t="str">
        <f>""</f>
        <v/>
      </c>
      <c r="F2330" t="str">
        <f>""</f>
        <v/>
      </c>
      <c r="G2330" t="str">
        <f>""</f>
        <v/>
      </c>
      <c r="I2330" t="str">
        <f t="shared" si="26"/>
        <v>GUARDIAN</v>
      </c>
    </row>
    <row r="2331" spans="1:9" x14ac:dyDescent="0.3">
      <c r="A2331" t="str">
        <f>""</f>
        <v/>
      </c>
      <c r="F2331" t="str">
        <f>""</f>
        <v/>
      </c>
      <c r="G2331" t="str">
        <f>""</f>
        <v/>
      </c>
      <c r="I2331" t="str">
        <f t="shared" si="26"/>
        <v>GUARDIAN</v>
      </c>
    </row>
    <row r="2332" spans="1:9" x14ac:dyDescent="0.3">
      <c r="A2332" t="str">
        <f>""</f>
        <v/>
      </c>
      <c r="F2332" t="str">
        <f>""</f>
        <v/>
      </c>
      <c r="G2332" t="str">
        <f>""</f>
        <v/>
      </c>
      <c r="I2332" t="str">
        <f t="shared" si="26"/>
        <v>GUARDIAN</v>
      </c>
    </row>
    <row r="2333" spans="1:9" x14ac:dyDescent="0.3">
      <c r="A2333" t="str">
        <f>""</f>
        <v/>
      </c>
      <c r="F2333" t="str">
        <f>""</f>
        <v/>
      </c>
      <c r="G2333" t="str">
        <f>""</f>
        <v/>
      </c>
      <c r="I2333" t="str">
        <f t="shared" ref="I2333:I2364" si="27">"GUARDIAN"</f>
        <v>GUARDIAN</v>
      </c>
    </row>
    <row r="2334" spans="1:9" x14ac:dyDescent="0.3">
      <c r="A2334" t="str">
        <f>""</f>
        <v/>
      </c>
      <c r="F2334" t="str">
        <f>""</f>
        <v/>
      </c>
      <c r="G2334" t="str">
        <f>""</f>
        <v/>
      </c>
      <c r="I2334" t="str">
        <f t="shared" si="27"/>
        <v>GUARDIAN</v>
      </c>
    </row>
    <row r="2335" spans="1:9" x14ac:dyDescent="0.3">
      <c r="A2335" t="str">
        <f>""</f>
        <v/>
      </c>
      <c r="F2335" t="str">
        <f>""</f>
        <v/>
      </c>
      <c r="G2335" t="str">
        <f>""</f>
        <v/>
      </c>
      <c r="I2335" t="str">
        <f t="shared" si="27"/>
        <v>GUARDIAN</v>
      </c>
    </row>
    <row r="2336" spans="1:9" x14ac:dyDescent="0.3">
      <c r="A2336" t="str">
        <f>""</f>
        <v/>
      </c>
      <c r="F2336" t="str">
        <f>""</f>
        <v/>
      </c>
      <c r="G2336" t="str">
        <f>""</f>
        <v/>
      </c>
      <c r="I2336" t="str">
        <f t="shared" si="27"/>
        <v>GUARDIAN</v>
      </c>
    </row>
    <row r="2337" spans="1:9" x14ac:dyDescent="0.3">
      <c r="A2337" t="str">
        <f>""</f>
        <v/>
      </c>
      <c r="F2337" t="str">
        <f>""</f>
        <v/>
      </c>
      <c r="G2337" t="str">
        <f>""</f>
        <v/>
      </c>
      <c r="I2337" t="str">
        <f t="shared" si="27"/>
        <v>GUARDIAN</v>
      </c>
    </row>
    <row r="2338" spans="1:9" x14ac:dyDescent="0.3">
      <c r="A2338" t="str">
        <f>""</f>
        <v/>
      </c>
      <c r="F2338" t="str">
        <f>""</f>
        <v/>
      </c>
      <c r="G2338" t="str">
        <f>""</f>
        <v/>
      </c>
      <c r="I2338" t="str">
        <f t="shared" si="27"/>
        <v>GUARDIAN</v>
      </c>
    </row>
    <row r="2339" spans="1:9" x14ac:dyDescent="0.3">
      <c r="A2339" t="str">
        <f>""</f>
        <v/>
      </c>
      <c r="F2339" t="str">
        <f>""</f>
        <v/>
      </c>
      <c r="G2339" t="str">
        <f>""</f>
        <v/>
      </c>
      <c r="I2339" t="str">
        <f t="shared" si="27"/>
        <v>GUARDIAN</v>
      </c>
    </row>
    <row r="2340" spans="1:9" x14ac:dyDescent="0.3">
      <c r="A2340" t="str">
        <f>""</f>
        <v/>
      </c>
      <c r="F2340" t="str">
        <f>""</f>
        <v/>
      </c>
      <c r="G2340" t="str">
        <f>""</f>
        <v/>
      </c>
      <c r="I2340" t="str">
        <f t="shared" si="27"/>
        <v>GUARDIAN</v>
      </c>
    </row>
    <row r="2341" spans="1:9" x14ac:dyDescent="0.3">
      <c r="A2341" t="str">
        <f>""</f>
        <v/>
      </c>
      <c r="F2341" t="str">
        <f>""</f>
        <v/>
      </c>
      <c r="G2341" t="str">
        <f>""</f>
        <v/>
      </c>
      <c r="I2341" t="str">
        <f t="shared" si="27"/>
        <v>GUARDIAN</v>
      </c>
    </row>
    <row r="2342" spans="1:9" x14ac:dyDescent="0.3">
      <c r="A2342" t="str">
        <f>""</f>
        <v/>
      </c>
      <c r="F2342" t="str">
        <f>""</f>
        <v/>
      </c>
      <c r="G2342" t="str">
        <f>""</f>
        <v/>
      </c>
      <c r="I2342" t="str">
        <f t="shared" si="27"/>
        <v>GUARDIAN</v>
      </c>
    </row>
    <row r="2343" spans="1:9" x14ac:dyDescent="0.3">
      <c r="A2343" t="str">
        <f>""</f>
        <v/>
      </c>
      <c r="F2343" t="str">
        <f>""</f>
        <v/>
      </c>
      <c r="G2343" t="str">
        <f>""</f>
        <v/>
      </c>
      <c r="I2343" t="str">
        <f t="shared" si="27"/>
        <v>GUARDIAN</v>
      </c>
    </row>
    <row r="2344" spans="1:9" x14ac:dyDescent="0.3">
      <c r="A2344" t="str">
        <f>""</f>
        <v/>
      </c>
      <c r="F2344" t="str">
        <f>""</f>
        <v/>
      </c>
      <c r="G2344" t="str">
        <f>""</f>
        <v/>
      </c>
      <c r="I2344" t="str">
        <f t="shared" si="27"/>
        <v>GUARDIAN</v>
      </c>
    </row>
    <row r="2345" spans="1:9" x14ac:dyDescent="0.3">
      <c r="A2345" t="str">
        <f>""</f>
        <v/>
      </c>
      <c r="F2345" t="str">
        <f>""</f>
        <v/>
      </c>
      <c r="G2345" t="str">
        <f>""</f>
        <v/>
      </c>
      <c r="I2345" t="str">
        <f t="shared" si="27"/>
        <v>GUARDIAN</v>
      </c>
    </row>
    <row r="2346" spans="1:9" x14ac:dyDescent="0.3">
      <c r="A2346" t="str">
        <f>""</f>
        <v/>
      </c>
      <c r="F2346" t="str">
        <f>""</f>
        <v/>
      </c>
      <c r="G2346" t="str">
        <f>""</f>
        <v/>
      </c>
      <c r="I2346" t="str">
        <f t="shared" si="27"/>
        <v>GUARDIAN</v>
      </c>
    </row>
    <row r="2347" spans="1:9" x14ac:dyDescent="0.3">
      <c r="A2347" t="str">
        <f>""</f>
        <v/>
      </c>
      <c r="F2347" t="str">
        <f>""</f>
        <v/>
      </c>
      <c r="G2347" t="str">
        <f>""</f>
        <v/>
      </c>
      <c r="I2347" t="str">
        <f t="shared" si="27"/>
        <v>GUARDIAN</v>
      </c>
    </row>
    <row r="2348" spans="1:9" x14ac:dyDescent="0.3">
      <c r="A2348" t="str">
        <f>""</f>
        <v/>
      </c>
      <c r="F2348" t="str">
        <f>""</f>
        <v/>
      </c>
      <c r="G2348" t="str">
        <f>""</f>
        <v/>
      </c>
      <c r="I2348" t="str">
        <f t="shared" si="27"/>
        <v>GUARDIAN</v>
      </c>
    </row>
    <row r="2349" spans="1:9" x14ac:dyDescent="0.3">
      <c r="A2349" t="str">
        <f>""</f>
        <v/>
      </c>
      <c r="F2349" t="str">
        <f>""</f>
        <v/>
      </c>
      <c r="G2349" t="str">
        <f>""</f>
        <v/>
      </c>
      <c r="I2349" t="str">
        <f t="shared" si="27"/>
        <v>GUARDIAN</v>
      </c>
    </row>
    <row r="2350" spans="1:9" x14ac:dyDescent="0.3">
      <c r="A2350" t="str">
        <f>""</f>
        <v/>
      </c>
      <c r="F2350" t="str">
        <f>""</f>
        <v/>
      </c>
      <c r="G2350" t="str">
        <f>""</f>
        <v/>
      </c>
      <c r="I2350" t="str">
        <f t="shared" si="27"/>
        <v>GUARDIAN</v>
      </c>
    </row>
    <row r="2351" spans="1:9" x14ac:dyDescent="0.3">
      <c r="A2351" t="str">
        <f>""</f>
        <v/>
      </c>
      <c r="F2351" t="str">
        <f>""</f>
        <v/>
      </c>
      <c r="G2351" t="str">
        <f>""</f>
        <v/>
      </c>
      <c r="I2351" t="str">
        <f t="shared" si="27"/>
        <v>GUARDIAN</v>
      </c>
    </row>
    <row r="2352" spans="1:9" x14ac:dyDescent="0.3">
      <c r="A2352" t="str">
        <f>""</f>
        <v/>
      </c>
      <c r="F2352" t="str">
        <f>""</f>
        <v/>
      </c>
      <c r="G2352" t="str">
        <f>""</f>
        <v/>
      </c>
      <c r="I2352" t="str">
        <f t="shared" si="27"/>
        <v>GUARDIAN</v>
      </c>
    </row>
    <row r="2353" spans="1:9" x14ac:dyDescent="0.3">
      <c r="A2353" t="str">
        <f>""</f>
        <v/>
      </c>
      <c r="F2353" t="str">
        <f>"LIE201802218811"</f>
        <v>LIE201802218811</v>
      </c>
      <c r="G2353" t="str">
        <f>"GUARDIAN"</f>
        <v>GUARDIAN</v>
      </c>
      <c r="H2353" s="2">
        <v>137</v>
      </c>
      <c r="I2353" t="str">
        <f t="shared" si="27"/>
        <v>GUARDIAN</v>
      </c>
    </row>
    <row r="2354" spans="1:9" x14ac:dyDescent="0.3">
      <c r="A2354" t="str">
        <f>""</f>
        <v/>
      </c>
      <c r="F2354" t="str">
        <f>""</f>
        <v/>
      </c>
      <c r="G2354" t="str">
        <f>""</f>
        <v/>
      </c>
      <c r="I2354" t="str">
        <f t="shared" si="27"/>
        <v>GUARDIAN</v>
      </c>
    </row>
    <row r="2355" spans="1:9" x14ac:dyDescent="0.3">
      <c r="A2355" t="str">
        <f>""</f>
        <v/>
      </c>
      <c r="F2355" t="str">
        <f>"LIS201802068586"</f>
        <v>LIS201802068586</v>
      </c>
      <c r="G2355" t="str">
        <f t="shared" ref="G2355:G2364" si="28">"GUARDIAN"</f>
        <v>GUARDIAN</v>
      </c>
      <c r="H2355" s="2">
        <v>402.24</v>
      </c>
      <c r="I2355" t="str">
        <f t="shared" si="27"/>
        <v>GUARDIAN</v>
      </c>
    </row>
    <row r="2356" spans="1:9" x14ac:dyDescent="0.3">
      <c r="A2356" t="str">
        <f>""</f>
        <v/>
      </c>
      <c r="F2356" t="str">
        <f>"LIS201802068587"</f>
        <v>LIS201802068587</v>
      </c>
      <c r="G2356" t="str">
        <f t="shared" si="28"/>
        <v>GUARDIAN</v>
      </c>
      <c r="H2356" s="2">
        <v>36.700000000000003</v>
      </c>
      <c r="I2356" t="str">
        <f t="shared" si="27"/>
        <v>GUARDIAN</v>
      </c>
    </row>
    <row r="2357" spans="1:9" x14ac:dyDescent="0.3">
      <c r="A2357" t="str">
        <f>""</f>
        <v/>
      </c>
      <c r="F2357" t="str">
        <f>"LIS201802218810"</f>
        <v>LIS201802218810</v>
      </c>
      <c r="G2357" t="str">
        <f t="shared" si="28"/>
        <v>GUARDIAN</v>
      </c>
      <c r="H2357" s="2">
        <v>402.24</v>
      </c>
      <c r="I2357" t="str">
        <f t="shared" si="27"/>
        <v>GUARDIAN</v>
      </c>
    </row>
    <row r="2358" spans="1:9" x14ac:dyDescent="0.3">
      <c r="A2358" t="str">
        <f>""</f>
        <v/>
      </c>
      <c r="F2358" t="str">
        <f>"LIS201802218811"</f>
        <v>LIS201802218811</v>
      </c>
      <c r="G2358" t="str">
        <f t="shared" si="28"/>
        <v>GUARDIAN</v>
      </c>
      <c r="H2358" s="2">
        <v>36.700000000000003</v>
      </c>
      <c r="I2358" t="str">
        <f t="shared" si="27"/>
        <v>GUARDIAN</v>
      </c>
    </row>
    <row r="2359" spans="1:9" x14ac:dyDescent="0.3">
      <c r="A2359" t="str">
        <f>""</f>
        <v/>
      </c>
      <c r="F2359" t="str">
        <f>"LTD201802068586"</f>
        <v>LTD201802068586</v>
      </c>
      <c r="G2359" t="str">
        <f t="shared" si="28"/>
        <v>GUARDIAN</v>
      </c>
      <c r="H2359" s="2">
        <v>708.55</v>
      </c>
      <c r="I2359" t="str">
        <f t="shared" si="27"/>
        <v>GUARDIAN</v>
      </c>
    </row>
    <row r="2360" spans="1:9" x14ac:dyDescent="0.3">
      <c r="A2360" t="str">
        <f>""</f>
        <v/>
      </c>
      <c r="F2360" t="str">
        <f>"LTD201802218810"</f>
        <v>LTD201802218810</v>
      </c>
      <c r="G2360" t="str">
        <f t="shared" si="28"/>
        <v>GUARDIAN</v>
      </c>
      <c r="H2360" s="2">
        <v>708.55</v>
      </c>
      <c r="I2360" t="str">
        <f t="shared" si="27"/>
        <v>GUARDIAN</v>
      </c>
    </row>
    <row r="2361" spans="1:9" x14ac:dyDescent="0.3">
      <c r="A2361" t="str">
        <f>"GUARDI"</f>
        <v>GUARDI</v>
      </c>
      <c r="B2361" t="s">
        <v>527</v>
      </c>
      <c r="C2361">
        <v>0</v>
      </c>
      <c r="D2361" s="2">
        <v>112.44</v>
      </c>
      <c r="E2361" s="1">
        <v>43158</v>
      </c>
      <c r="F2361" t="str">
        <f>"AEG201802068586"</f>
        <v>AEG201802068586</v>
      </c>
      <c r="G2361" t="str">
        <f t="shared" si="28"/>
        <v>GUARDIAN</v>
      </c>
      <c r="H2361" s="2">
        <v>6.66</v>
      </c>
      <c r="I2361" t="str">
        <f t="shared" si="27"/>
        <v>GUARDIAN</v>
      </c>
    </row>
    <row r="2362" spans="1:9" x14ac:dyDescent="0.3">
      <c r="A2362" t="str">
        <f>""</f>
        <v/>
      </c>
      <c r="F2362" t="str">
        <f>"AEG201802218810"</f>
        <v>AEG201802218810</v>
      </c>
      <c r="G2362" t="str">
        <f t="shared" si="28"/>
        <v>GUARDIAN</v>
      </c>
      <c r="H2362" s="2">
        <v>6.66</v>
      </c>
      <c r="I2362" t="str">
        <f t="shared" si="27"/>
        <v>GUARDIAN</v>
      </c>
    </row>
    <row r="2363" spans="1:9" x14ac:dyDescent="0.3">
      <c r="A2363" t="str">
        <f>""</f>
        <v/>
      </c>
      <c r="F2363" t="str">
        <f>"AFG201802068586"</f>
        <v>AFG201802068586</v>
      </c>
      <c r="G2363" t="str">
        <f t="shared" si="28"/>
        <v>GUARDIAN</v>
      </c>
      <c r="H2363" s="2">
        <v>49.56</v>
      </c>
      <c r="I2363" t="str">
        <f t="shared" si="27"/>
        <v>GUARDIAN</v>
      </c>
    </row>
    <row r="2364" spans="1:9" x14ac:dyDescent="0.3">
      <c r="A2364" t="str">
        <f>""</f>
        <v/>
      </c>
      <c r="F2364" t="str">
        <f>"AFG201802218810"</f>
        <v>AFG201802218810</v>
      </c>
      <c r="G2364" t="str">
        <f t="shared" si="28"/>
        <v>GUARDIAN</v>
      </c>
      <c r="H2364" s="2">
        <v>49.56</v>
      </c>
      <c r="I2364" t="str">
        <f t="shared" si="27"/>
        <v>GUARDIAN</v>
      </c>
    </row>
    <row r="2365" spans="1:9" x14ac:dyDescent="0.3">
      <c r="A2365" t="str">
        <f>"IRSACS"</f>
        <v>IRSACS</v>
      </c>
      <c r="B2365" t="s">
        <v>528</v>
      </c>
      <c r="C2365">
        <v>46153</v>
      </c>
      <c r="D2365" s="2">
        <v>238.43</v>
      </c>
      <c r="E2365" s="1">
        <v>43140</v>
      </c>
      <c r="F2365" t="str">
        <f>"IJ2201802068586"</f>
        <v>IJ2201802068586</v>
      </c>
      <c r="G2365" t="str">
        <f>"LISA JACKSON 2 IRS LEVY"</f>
        <v>LISA JACKSON 2 IRS LEVY</v>
      </c>
      <c r="H2365" s="2">
        <v>238.43</v>
      </c>
      <c r="I2365" t="str">
        <f>"LISA JACKSON 2 IRS LEVY"</f>
        <v>LISA JACKSON 2 IRS LEVY</v>
      </c>
    </row>
    <row r="2366" spans="1:9" x14ac:dyDescent="0.3">
      <c r="A2366" t="str">
        <f>"IRSACS"</f>
        <v>IRSACS</v>
      </c>
      <c r="B2366" t="s">
        <v>528</v>
      </c>
      <c r="C2366">
        <v>46172</v>
      </c>
      <c r="D2366" s="2">
        <v>238.43</v>
      </c>
      <c r="E2366" s="1">
        <v>43154</v>
      </c>
      <c r="F2366" t="str">
        <f>"IJ2201802218810"</f>
        <v>IJ2201802218810</v>
      </c>
      <c r="G2366" t="str">
        <f>"LISA JACKSON 2 IRS LEVY"</f>
        <v>LISA JACKSON 2 IRS LEVY</v>
      </c>
      <c r="H2366" s="2">
        <v>238.43</v>
      </c>
      <c r="I2366" t="str">
        <f>"LISA JACKSON 2 IRS LEVY"</f>
        <v>LISA JACKSON 2 IRS LEVY</v>
      </c>
    </row>
    <row r="2367" spans="1:9" x14ac:dyDescent="0.3">
      <c r="A2367" t="str">
        <f>"IRSPY"</f>
        <v>IRSPY</v>
      </c>
      <c r="B2367" t="s">
        <v>529</v>
      </c>
      <c r="C2367">
        <v>0</v>
      </c>
      <c r="D2367" s="2">
        <v>205984.17</v>
      </c>
      <c r="E2367" s="1">
        <v>43140</v>
      </c>
      <c r="F2367" t="str">
        <f>"T1 201802068586"</f>
        <v>T1 201802068586</v>
      </c>
      <c r="G2367" t="str">
        <f>"FEDERAL WITHHOLDING"</f>
        <v>FEDERAL WITHHOLDING</v>
      </c>
      <c r="H2367" s="2">
        <v>65914.880000000005</v>
      </c>
      <c r="I2367" t="str">
        <f>"FEDERAL WITHHOLDING"</f>
        <v>FEDERAL WITHHOLDING</v>
      </c>
    </row>
    <row r="2368" spans="1:9" x14ac:dyDescent="0.3">
      <c r="A2368" t="str">
        <f>""</f>
        <v/>
      </c>
      <c r="F2368" t="str">
        <f>"T1 201802068587"</f>
        <v>T1 201802068587</v>
      </c>
      <c r="G2368" t="str">
        <f>"FEDERAL WITHHOLDING"</f>
        <v>FEDERAL WITHHOLDING</v>
      </c>
      <c r="H2368" s="2">
        <v>2769.11</v>
      </c>
      <c r="I2368" t="str">
        <f>"FEDERAL WITHHOLDING"</f>
        <v>FEDERAL WITHHOLDING</v>
      </c>
    </row>
    <row r="2369" spans="1:9" x14ac:dyDescent="0.3">
      <c r="A2369" t="str">
        <f>""</f>
        <v/>
      </c>
      <c r="F2369" t="str">
        <f>"T1 201802068588"</f>
        <v>T1 201802068588</v>
      </c>
      <c r="G2369" t="str">
        <f>"FEDERAL WITHHOLDING"</f>
        <v>FEDERAL WITHHOLDING</v>
      </c>
      <c r="H2369" s="2">
        <v>3687.82</v>
      </c>
      <c r="I2369" t="str">
        <f>"FEDERAL WITHHOLDING"</f>
        <v>FEDERAL WITHHOLDING</v>
      </c>
    </row>
    <row r="2370" spans="1:9" x14ac:dyDescent="0.3">
      <c r="A2370" t="str">
        <f>""</f>
        <v/>
      </c>
      <c r="F2370" t="str">
        <f>"T3 201802068586"</f>
        <v>T3 201802068586</v>
      </c>
      <c r="G2370" t="str">
        <f>"SOCIAL SECURITY TAXES"</f>
        <v>SOCIAL SECURITY TAXES</v>
      </c>
      <c r="H2370" s="2">
        <v>98714.64</v>
      </c>
      <c r="I2370" t="str">
        <f t="shared" ref="I2370:I2401" si="29">"SOCIAL SECURITY TAXES"</f>
        <v>SOCIAL SECURITY TAXES</v>
      </c>
    </row>
    <row r="2371" spans="1:9" x14ac:dyDescent="0.3">
      <c r="A2371" t="str">
        <f>""</f>
        <v/>
      </c>
      <c r="F2371" t="str">
        <f>""</f>
        <v/>
      </c>
      <c r="G2371" t="str">
        <f>""</f>
        <v/>
      </c>
      <c r="I2371" t="str">
        <f t="shared" si="29"/>
        <v>SOCIAL SECURITY TAXES</v>
      </c>
    </row>
    <row r="2372" spans="1:9" x14ac:dyDescent="0.3">
      <c r="A2372" t="str">
        <f>""</f>
        <v/>
      </c>
      <c r="F2372" t="str">
        <f>""</f>
        <v/>
      </c>
      <c r="G2372" t="str">
        <f>""</f>
        <v/>
      </c>
      <c r="I2372" t="str">
        <f t="shared" si="29"/>
        <v>SOCIAL SECURITY TAXES</v>
      </c>
    </row>
    <row r="2373" spans="1:9" x14ac:dyDescent="0.3">
      <c r="A2373" t="str">
        <f>""</f>
        <v/>
      </c>
      <c r="F2373" t="str">
        <f>""</f>
        <v/>
      </c>
      <c r="G2373" t="str">
        <f>""</f>
        <v/>
      </c>
      <c r="I2373" t="str">
        <f t="shared" si="29"/>
        <v>SOCIAL SECURITY TAXES</v>
      </c>
    </row>
    <row r="2374" spans="1:9" x14ac:dyDescent="0.3">
      <c r="A2374" t="str">
        <f>""</f>
        <v/>
      </c>
      <c r="F2374" t="str">
        <f>""</f>
        <v/>
      </c>
      <c r="G2374" t="str">
        <f>""</f>
        <v/>
      </c>
      <c r="I2374" t="str">
        <f t="shared" si="29"/>
        <v>SOCIAL SECURITY TAXES</v>
      </c>
    </row>
    <row r="2375" spans="1:9" x14ac:dyDescent="0.3">
      <c r="A2375" t="str">
        <f>""</f>
        <v/>
      </c>
      <c r="F2375" t="str">
        <f>""</f>
        <v/>
      </c>
      <c r="G2375" t="str">
        <f>""</f>
        <v/>
      </c>
      <c r="I2375" t="str">
        <f t="shared" si="29"/>
        <v>SOCIAL SECURITY TAXES</v>
      </c>
    </row>
    <row r="2376" spans="1:9" x14ac:dyDescent="0.3">
      <c r="A2376" t="str">
        <f>""</f>
        <v/>
      </c>
      <c r="F2376" t="str">
        <f>""</f>
        <v/>
      </c>
      <c r="G2376" t="str">
        <f>""</f>
        <v/>
      </c>
      <c r="I2376" t="str">
        <f t="shared" si="29"/>
        <v>SOCIAL SECURITY TAXES</v>
      </c>
    </row>
    <row r="2377" spans="1:9" x14ac:dyDescent="0.3">
      <c r="A2377" t="str">
        <f>""</f>
        <v/>
      </c>
      <c r="F2377" t="str">
        <f>""</f>
        <v/>
      </c>
      <c r="G2377" t="str">
        <f>""</f>
        <v/>
      </c>
      <c r="I2377" t="str">
        <f t="shared" si="29"/>
        <v>SOCIAL SECURITY TAXES</v>
      </c>
    </row>
    <row r="2378" spans="1:9" x14ac:dyDescent="0.3">
      <c r="A2378" t="str">
        <f>""</f>
        <v/>
      </c>
      <c r="F2378" t="str">
        <f>""</f>
        <v/>
      </c>
      <c r="G2378" t="str">
        <f>""</f>
        <v/>
      </c>
      <c r="I2378" t="str">
        <f t="shared" si="29"/>
        <v>SOCIAL SECURITY TAXES</v>
      </c>
    </row>
    <row r="2379" spans="1:9" x14ac:dyDescent="0.3">
      <c r="A2379" t="str">
        <f>""</f>
        <v/>
      </c>
      <c r="F2379" t="str">
        <f>""</f>
        <v/>
      </c>
      <c r="G2379" t="str">
        <f>""</f>
        <v/>
      </c>
      <c r="I2379" t="str">
        <f t="shared" si="29"/>
        <v>SOCIAL SECURITY TAXES</v>
      </c>
    </row>
    <row r="2380" spans="1:9" x14ac:dyDescent="0.3">
      <c r="A2380" t="str">
        <f>""</f>
        <v/>
      </c>
      <c r="F2380" t="str">
        <f>""</f>
        <v/>
      </c>
      <c r="G2380" t="str">
        <f>""</f>
        <v/>
      </c>
      <c r="I2380" t="str">
        <f t="shared" si="29"/>
        <v>SOCIAL SECURITY TAXES</v>
      </c>
    </row>
    <row r="2381" spans="1:9" x14ac:dyDescent="0.3">
      <c r="A2381" t="str">
        <f>""</f>
        <v/>
      </c>
      <c r="F2381" t="str">
        <f>""</f>
        <v/>
      </c>
      <c r="G2381" t="str">
        <f>""</f>
        <v/>
      </c>
      <c r="I2381" t="str">
        <f t="shared" si="29"/>
        <v>SOCIAL SECURITY TAXES</v>
      </c>
    </row>
    <row r="2382" spans="1:9" x14ac:dyDescent="0.3">
      <c r="A2382" t="str">
        <f>""</f>
        <v/>
      </c>
      <c r="F2382" t="str">
        <f>""</f>
        <v/>
      </c>
      <c r="G2382" t="str">
        <f>""</f>
        <v/>
      </c>
      <c r="I2382" t="str">
        <f t="shared" si="29"/>
        <v>SOCIAL SECURITY TAXES</v>
      </c>
    </row>
    <row r="2383" spans="1:9" x14ac:dyDescent="0.3">
      <c r="A2383" t="str">
        <f>""</f>
        <v/>
      </c>
      <c r="F2383" t="str">
        <f>""</f>
        <v/>
      </c>
      <c r="G2383" t="str">
        <f>""</f>
        <v/>
      </c>
      <c r="I2383" t="str">
        <f t="shared" si="29"/>
        <v>SOCIAL SECURITY TAXES</v>
      </c>
    </row>
    <row r="2384" spans="1:9" x14ac:dyDescent="0.3">
      <c r="A2384" t="str">
        <f>""</f>
        <v/>
      </c>
      <c r="F2384" t="str">
        <f>""</f>
        <v/>
      </c>
      <c r="G2384" t="str">
        <f>""</f>
        <v/>
      </c>
      <c r="I2384" t="str">
        <f t="shared" si="29"/>
        <v>SOCIAL SECURITY TAXES</v>
      </c>
    </row>
    <row r="2385" spans="1:9" x14ac:dyDescent="0.3">
      <c r="A2385" t="str">
        <f>""</f>
        <v/>
      </c>
      <c r="F2385" t="str">
        <f>""</f>
        <v/>
      </c>
      <c r="G2385" t="str">
        <f>""</f>
        <v/>
      </c>
      <c r="I2385" t="str">
        <f t="shared" si="29"/>
        <v>SOCIAL SECURITY TAXES</v>
      </c>
    </row>
    <row r="2386" spans="1:9" x14ac:dyDescent="0.3">
      <c r="A2386" t="str">
        <f>""</f>
        <v/>
      </c>
      <c r="F2386" t="str">
        <f>""</f>
        <v/>
      </c>
      <c r="G2386" t="str">
        <f>""</f>
        <v/>
      </c>
      <c r="I2386" t="str">
        <f t="shared" si="29"/>
        <v>SOCIAL SECURITY TAXES</v>
      </c>
    </row>
    <row r="2387" spans="1:9" x14ac:dyDescent="0.3">
      <c r="A2387" t="str">
        <f>""</f>
        <v/>
      </c>
      <c r="F2387" t="str">
        <f>""</f>
        <v/>
      </c>
      <c r="G2387" t="str">
        <f>""</f>
        <v/>
      </c>
      <c r="I2387" t="str">
        <f t="shared" si="29"/>
        <v>SOCIAL SECURITY TAXES</v>
      </c>
    </row>
    <row r="2388" spans="1:9" x14ac:dyDescent="0.3">
      <c r="A2388" t="str">
        <f>""</f>
        <v/>
      </c>
      <c r="F2388" t="str">
        <f>""</f>
        <v/>
      </c>
      <c r="G2388" t="str">
        <f>""</f>
        <v/>
      </c>
      <c r="I2388" t="str">
        <f t="shared" si="29"/>
        <v>SOCIAL SECURITY TAXES</v>
      </c>
    </row>
    <row r="2389" spans="1:9" x14ac:dyDescent="0.3">
      <c r="A2389" t="str">
        <f>""</f>
        <v/>
      </c>
      <c r="F2389" t="str">
        <f>""</f>
        <v/>
      </c>
      <c r="G2389" t="str">
        <f>""</f>
        <v/>
      </c>
      <c r="I2389" t="str">
        <f t="shared" si="29"/>
        <v>SOCIAL SECURITY TAXES</v>
      </c>
    </row>
    <row r="2390" spans="1:9" x14ac:dyDescent="0.3">
      <c r="A2390" t="str">
        <f>""</f>
        <v/>
      </c>
      <c r="F2390" t="str">
        <f>""</f>
        <v/>
      </c>
      <c r="G2390" t="str">
        <f>""</f>
        <v/>
      </c>
      <c r="I2390" t="str">
        <f t="shared" si="29"/>
        <v>SOCIAL SECURITY TAXES</v>
      </c>
    </row>
    <row r="2391" spans="1:9" x14ac:dyDescent="0.3">
      <c r="A2391" t="str">
        <f>""</f>
        <v/>
      </c>
      <c r="F2391" t="str">
        <f>""</f>
        <v/>
      </c>
      <c r="G2391" t="str">
        <f>""</f>
        <v/>
      </c>
      <c r="I2391" t="str">
        <f t="shared" si="29"/>
        <v>SOCIAL SECURITY TAXES</v>
      </c>
    </row>
    <row r="2392" spans="1:9" x14ac:dyDescent="0.3">
      <c r="A2392" t="str">
        <f>""</f>
        <v/>
      </c>
      <c r="F2392" t="str">
        <f>""</f>
        <v/>
      </c>
      <c r="G2392" t="str">
        <f>""</f>
        <v/>
      </c>
      <c r="I2392" t="str">
        <f t="shared" si="29"/>
        <v>SOCIAL SECURITY TAXES</v>
      </c>
    </row>
    <row r="2393" spans="1:9" x14ac:dyDescent="0.3">
      <c r="A2393" t="str">
        <f>""</f>
        <v/>
      </c>
      <c r="F2393" t="str">
        <f>""</f>
        <v/>
      </c>
      <c r="G2393" t="str">
        <f>""</f>
        <v/>
      </c>
      <c r="I2393" t="str">
        <f t="shared" si="29"/>
        <v>SOCIAL SECURITY TAXES</v>
      </c>
    </row>
    <row r="2394" spans="1:9" x14ac:dyDescent="0.3">
      <c r="A2394" t="str">
        <f>""</f>
        <v/>
      </c>
      <c r="F2394" t="str">
        <f>""</f>
        <v/>
      </c>
      <c r="G2394" t="str">
        <f>""</f>
        <v/>
      </c>
      <c r="I2394" t="str">
        <f t="shared" si="29"/>
        <v>SOCIAL SECURITY TAXES</v>
      </c>
    </row>
    <row r="2395" spans="1:9" x14ac:dyDescent="0.3">
      <c r="A2395" t="str">
        <f>""</f>
        <v/>
      </c>
      <c r="F2395" t="str">
        <f>""</f>
        <v/>
      </c>
      <c r="G2395" t="str">
        <f>""</f>
        <v/>
      </c>
      <c r="I2395" t="str">
        <f t="shared" si="29"/>
        <v>SOCIAL SECURITY TAXES</v>
      </c>
    </row>
    <row r="2396" spans="1:9" x14ac:dyDescent="0.3">
      <c r="A2396" t="str">
        <f>""</f>
        <v/>
      </c>
      <c r="F2396" t="str">
        <f>""</f>
        <v/>
      </c>
      <c r="G2396" t="str">
        <f>""</f>
        <v/>
      </c>
      <c r="I2396" t="str">
        <f t="shared" si="29"/>
        <v>SOCIAL SECURITY TAXES</v>
      </c>
    </row>
    <row r="2397" spans="1:9" x14ac:dyDescent="0.3">
      <c r="A2397" t="str">
        <f>""</f>
        <v/>
      </c>
      <c r="F2397" t="str">
        <f>""</f>
        <v/>
      </c>
      <c r="G2397" t="str">
        <f>""</f>
        <v/>
      </c>
      <c r="I2397" t="str">
        <f t="shared" si="29"/>
        <v>SOCIAL SECURITY TAXES</v>
      </c>
    </row>
    <row r="2398" spans="1:9" x14ac:dyDescent="0.3">
      <c r="A2398" t="str">
        <f>""</f>
        <v/>
      </c>
      <c r="F2398" t="str">
        <f>""</f>
        <v/>
      </c>
      <c r="G2398" t="str">
        <f>""</f>
        <v/>
      </c>
      <c r="I2398" t="str">
        <f t="shared" si="29"/>
        <v>SOCIAL SECURITY TAXES</v>
      </c>
    </row>
    <row r="2399" spans="1:9" x14ac:dyDescent="0.3">
      <c r="A2399" t="str">
        <f>""</f>
        <v/>
      </c>
      <c r="F2399" t="str">
        <f>""</f>
        <v/>
      </c>
      <c r="G2399" t="str">
        <f>""</f>
        <v/>
      </c>
      <c r="I2399" t="str">
        <f t="shared" si="29"/>
        <v>SOCIAL SECURITY TAXES</v>
      </c>
    </row>
    <row r="2400" spans="1:9" x14ac:dyDescent="0.3">
      <c r="A2400" t="str">
        <f>""</f>
        <v/>
      </c>
      <c r="F2400" t="str">
        <f>""</f>
        <v/>
      </c>
      <c r="G2400" t="str">
        <f>""</f>
        <v/>
      </c>
      <c r="I2400" t="str">
        <f t="shared" si="29"/>
        <v>SOCIAL SECURITY TAXES</v>
      </c>
    </row>
    <row r="2401" spans="1:9" x14ac:dyDescent="0.3">
      <c r="A2401" t="str">
        <f>""</f>
        <v/>
      </c>
      <c r="F2401" t="str">
        <f>""</f>
        <v/>
      </c>
      <c r="G2401" t="str">
        <f>""</f>
        <v/>
      </c>
      <c r="I2401" t="str">
        <f t="shared" si="29"/>
        <v>SOCIAL SECURITY TAXES</v>
      </c>
    </row>
    <row r="2402" spans="1:9" x14ac:dyDescent="0.3">
      <c r="A2402" t="str">
        <f>""</f>
        <v/>
      </c>
      <c r="F2402" t="str">
        <f>""</f>
        <v/>
      </c>
      <c r="G2402" t="str">
        <f>""</f>
        <v/>
      </c>
      <c r="I2402" t="str">
        <f t="shared" ref="I2402:I2425" si="30">"SOCIAL SECURITY TAXES"</f>
        <v>SOCIAL SECURITY TAXES</v>
      </c>
    </row>
    <row r="2403" spans="1:9" x14ac:dyDescent="0.3">
      <c r="A2403" t="str">
        <f>""</f>
        <v/>
      </c>
      <c r="F2403" t="str">
        <f>""</f>
        <v/>
      </c>
      <c r="G2403" t="str">
        <f>""</f>
        <v/>
      </c>
      <c r="I2403" t="str">
        <f t="shared" si="30"/>
        <v>SOCIAL SECURITY TAXES</v>
      </c>
    </row>
    <row r="2404" spans="1:9" x14ac:dyDescent="0.3">
      <c r="A2404" t="str">
        <f>""</f>
        <v/>
      </c>
      <c r="F2404" t="str">
        <f>""</f>
        <v/>
      </c>
      <c r="G2404" t="str">
        <f>""</f>
        <v/>
      </c>
      <c r="I2404" t="str">
        <f t="shared" si="30"/>
        <v>SOCIAL SECURITY TAXES</v>
      </c>
    </row>
    <row r="2405" spans="1:9" x14ac:dyDescent="0.3">
      <c r="A2405" t="str">
        <f>""</f>
        <v/>
      </c>
      <c r="F2405" t="str">
        <f>""</f>
        <v/>
      </c>
      <c r="G2405" t="str">
        <f>""</f>
        <v/>
      </c>
      <c r="I2405" t="str">
        <f t="shared" si="30"/>
        <v>SOCIAL SECURITY TAXES</v>
      </c>
    </row>
    <row r="2406" spans="1:9" x14ac:dyDescent="0.3">
      <c r="A2406" t="str">
        <f>""</f>
        <v/>
      </c>
      <c r="F2406" t="str">
        <f>""</f>
        <v/>
      </c>
      <c r="G2406" t="str">
        <f>""</f>
        <v/>
      </c>
      <c r="I2406" t="str">
        <f t="shared" si="30"/>
        <v>SOCIAL SECURITY TAXES</v>
      </c>
    </row>
    <row r="2407" spans="1:9" x14ac:dyDescent="0.3">
      <c r="A2407" t="str">
        <f>""</f>
        <v/>
      </c>
      <c r="F2407" t="str">
        <f>""</f>
        <v/>
      </c>
      <c r="G2407" t="str">
        <f>""</f>
        <v/>
      </c>
      <c r="I2407" t="str">
        <f t="shared" si="30"/>
        <v>SOCIAL SECURITY TAXES</v>
      </c>
    </row>
    <row r="2408" spans="1:9" x14ac:dyDescent="0.3">
      <c r="A2408" t="str">
        <f>""</f>
        <v/>
      </c>
      <c r="F2408" t="str">
        <f>""</f>
        <v/>
      </c>
      <c r="G2408" t="str">
        <f>""</f>
        <v/>
      </c>
      <c r="I2408" t="str">
        <f t="shared" si="30"/>
        <v>SOCIAL SECURITY TAXES</v>
      </c>
    </row>
    <row r="2409" spans="1:9" x14ac:dyDescent="0.3">
      <c r="A2409" t="str">
        <f>""</f>
        <v/>
      </c>
      <c r="F2409" t="str">
        <f>""</f>
        <v/>
      </c>
      <c r="G2409" t="str">
        <f>""</f>
        <v/>
      </c>
      <c r="I2409" t="str">
        <f t="shared" si="30"/>
        <v>SOCIAL SECURITY TAXES</v>
      </c>
    </row>
    <row r="2410" spans="1:9" x14ac:dyDescent="0.3">
      <c r="A2410" t="str">
        <f>""</f>
        <v/>
      </c>
      <c r="F2410" t="str">
        <f>""</f>
        <v/>
      </c>
      <c r="G2410" t="str">
        <f>""</f>
        <v/>
      </c>
      <c r="I2410" t="str">
        <f t="shared" si="30"/>
        <v>SOCIAL SECURITY TAXES</v>
      </c>
    </row>
    <row r="2411" spans="1:9" x14ac:dyDescent="0.3">
      <c r="A2411" t="str">
        <f>""</f>
        <v/>
      </c>
      <c r="F2411" t="str">
        <f>""</f>
        <v/>
      </c>
      <c r="G2411" t="str">
        <f>""</f>
        <v/>
      </c>
      <c r="I2411" t="str">
        <f t="shared" si="30"/>
        <v>SOCIAL SECURITY TAXES</v>
      </c>
    </row>
    <row r="2412" spans="1:9" x14ac:dyDescent="0.3">
      <c r="A2412" t="str">
        <f>""</f>
        <v/>
      </c>
      <c r="F2412" t="str">
        <f>""</f>
        <v/>
      </c>
      <c r="G2412" t="str">
        <f>""</f>
        <v/>
      </c>
      <c r="I2412" t="str">
        <f t="shared" si="30"/>
        <v>SOCIAL SECURITY TAXES</v>
      </c>
    </row>
    <row r="2413" spans="1:9" x14ac:dyDescent="0.3">
      <c r="A2413" t="str">
        <f>""</f>
        <v/>
      </c>
      <c r="F2413" t="str">
        <f>""</f>
        <v/>
      </c>
      <c r="G2413" t="str">
        <f>""</f>
        <v/>
      </c>
      <c r="I2413" t="str">
        <f t="shared" si="30"/>
        <v>SOCIAL SECURITY TAXES</v>
      </c>
    </row>
    <row r="2414" spans="1:9" x14ac:dyDescent="0.3">
      <c r="A2414" t="str">
        <f>""</f>
        <v/>
      </c>
      <c r="F2414" t="str">
        <f>""</f>
        <v/>
      </c>
      <c r="G2414" t="str">
        <f>""</f>
        <v/>
      </c>
      <c r="I2414" t="str">
        <f t="shared" si="30"/>
        <v>SOCIAL SECURITY TAXES</v>
      </c>
    </row>
    <row r="2415" spans="1:9" x14ac:dyDescent="0.3">
      <c r="A2415" t="str">
        <f>""</f>
        <v/>
      </c>
      <c r="F2415" t="str">
        <f>""</f>
        <v/>
      </c>
      <c r="G2415" t="str">
        <f>""</f>
        <v/>
      </c>
      <c r="I2415" t="str">
        <f t="shared" si="30"/>
        <v>SOCIAL SECURITY TAXES</v>
      </c>
    </row>
    <row r="2416" spans="1:9" x14ac:dyDescent="0.3">
      <c r="A2416" t="str">
        <f>""</f>
        <v/>
      </c>
      <c r="F2416" t="str">
        <f>""</f>
        <v/>
      </c>
      <c r="G2416" t="str">
        <f>""</f>
        <v/>
      </c>
      <c r="I2416" t="str">
        <f t="shared" si="30"/>
        <v>SOCIAL SECURITY TAXES</v>
      </c>
    </row>
    <row r="2417" spans="1:9" x14ac:dyDescent="0.3">
      <c r="A2417" t="str">
        <f>""</f>
        <v/>
      </c>
      <c r="F2417" t="str">
        <f>""</f>
        <v/>
      </c>
      <c r="G2417" t="str">
        <f>""</f>
        <v/>
      </c>
      <c r="I2417" t="str">
        <f t="shared" si="30"/>
        <v>SOCIAL SECURITY TAXES</v>
      </c>
    </row>
    <row r="2418" spans="1:9" x14ac:dyDescent="0.3">
      <c r="A2418" t="str">
        <f>""</f>
        <v/>
      </c>
      <c r="F2418" t="str">
        <f>""</f>
        <v/>
      </c>
      <c r="G2418" t="str">
        <f>""</f>
        <v/>
      </c>
      <c r="I2418" t="str">
        <f t="shared" si="30"/>
        <v>SOCIAL SECURITY TAXES</v>
      </c>
    </row>
    <row r="2419" spans="1:9" x14ac:dyDescent="0.3">
      <c r="A2419" t="str">
        <f>""</f>
        <v/>
      </c>
      <c r="F2419" t="str">
        <f>""</f>
        <v/>
      </c>
      <c r="G2419" t="str">
        <f>""</f>
        <v/>
      </c>
      <c r="I2419" t="str">
        <f t="shared" si="30"/>
        <v>SOCIAL SECURITY TAXES</v>
      </c>
    </row>
    <row r="2420" spans="1:9" x14ac:dyDescent="0.3">
      <c r="A2420" t="str">
        <f>""</f>
        <v/>
      </c>
      <c r="F2420" t="str">
        <f>""</f>
        <v/>
      </c>
      <c r="G2420" t="str">
        <f>""</f>
        <v/>
      </c>
      <c r="I2420" t="str">
        <f t="shared" si="30"/>
        <v>SOCIAL SECURITY TAXES</v>
      </c>
    </row>
    <row r="2421" spans="1:9" x14ac:dyDescent="0.3">
      <c r="A2421" t="str">
        <f>""</f>
        <v/>
      </c>
      <c r="F2421" t="str">
        <f>""</f>
        <v/>
      </c>
      <c r="G2421" t="str">
        <f>""</f>
        <v/>
      </c>
      <c r="I2421" t="str">
        <f t="shared" si="30"/>
        <v>SOCIAL SECURITY TAXES</v>
      </c>
    </row>
    <row r="2422" spans="1:9" x14ac:dyDescent="0.3">
      <c r="A2422" t="str">
        <f>""</f>
        <v/>
      </c>
      <c r="F2422" t="str">
        <f>"T3 201802068587"</f>
        <v>T3 201802068587</v>
      </c>
      <c r="G2422" t="str">
        <f>"SOCIAL SECURITY TAXES"</f>
        <v>SOCIAL SECURITY TAXES</v>
      </c>
      <c r="H2422" s="2">
        <v>3942.14</v>
      </c>
      <c r="I2422" t="str">
        <f t="shared" si="30"/>
        <v>SOCIAL SECURITY TAXES</v>
      </c>
    </row>
    <row r="2423" spans="1:9" x14ac:dyDescent="0.3">
      <c r="A2423" t="str">
        <f>""</f>
        <v/>
      </c>
      <c r="F2423" t="str">
        <f>""</f>
        <v/>
      </c>
      <c r="G2423" t="str">
        <f>""</f>
        <v/>
      </c>
      <c r="I2423" t="str">
        <f t="shared" si="30"/>
        <v>SOCIAL SECURITY TAXES</v>
      </c>
    </row>
    <row r="2424" spans="1:9" x14ac:dyDescent="0.3">
      <c r="A2424" t="str">
        <f>""</f>
        <v/>
      </c>
      <c r="F2424" t="str">
        <f>"T3 201802068588"</f>
        <v>T3 201802068588</v>
      </c>
      <c r="G2424" t="str">
        <f>"SOCIAL SECURITY TAXES"</f>
        <v>SOCIAL SECURITY TAXES</v>
      </c>
      <c r="H2424" s="2">
        <v>5630.42</v>
      </c>
      <c r="I2424" t="str">
        <f t="shared" si="30"/>
        <v>SOCIAL SECURITY TAXES</v>
      </c>
    </row>
    <row r="2425" spans="1:9" x14ac:dyDescent="0.3">
      <c r="A2425" t="str">
        <f>""</f>
        <v/>
      </c>
      <c r="F2425" t="str">
        <f>""</f>
        <v/>
      </c>
      <c r="G2425" t="str">
        <f>""</f>
        <v/>
      </c>
      <c r="I2425" t="str">
        <f t="shared" si="30"/>
        <v>SOCIAL SECURITY TAXES</v>
      </c>
    </row>
    <row r="2426" spans="1:9" x14ac:dyDescent="0.3">
      <c r="A2426" t="str">
        <f>""</f>
        <v/>
      </c>
      <c r="F2426" t="str">
        <f>"T4 201802068586"</f>
        <v>T4 201802068586</v>
      </c>
      <c r="G2426" t="str">
        <f>"MEDICARE TAXES"</f>
        <v>MEDICARE TAXES</v>
      </c>
      <c r="H2426" s="2">
        <v>23086.38</v>
      </c>
      <c r="I2426" t="str">
        <f t="shared" ref="I2426:I2457" si="31">"MEDICARE TAXES"</f>
        <v>MEDICARE TAXES</v>
      </c>
    </row>
    <row r="2427" spans="1:9" x14ac:dyDescent="0.3">
      <c r="A2427" t="str">
        <f>""</f>
        <v/>
      </c>
      <c r="F2427" t="str">
        <f>""</f>
        <v/>
      </c>
      <c r="G2427" t="str">
        <f>""</f>
        <v/>
      </c>
      <c r="I2427" t="str">
        <f t="shared" si="31"/>
        <v>MEDICARE TAXES</v>
      </c>
    </row>
    <row r="2428" spans="1:9" x14ac:dyDescent="0.3">
      <c r="A2428" t="str">
        <f>""</f>
        <v/>
      </c>
      <c r="F2428" t="str">
        <f>""</f>
        <v/>
      </c>
      <c r="G2428" t="str">
        <f>""</f>
        <v/>
      </c>
      <c r="I2428" t="str">
        <f t="shared" si="31"/>
        <v>MEDICARE TAXES</v>
      </c>
    </row>
    <row r="2429" spans="1:9" x14ac:dyDescent="0.3">
      <c r="A2429" t="str">
        <f>""</f>
        <v/>
      </c>
      <c r="F2429" t="str">
        <f>""</f>
        <v/>
      </c>
      <c r="G2429" t="str">
        <f>""</f>
        <v/>
      </c>
      <c r="I2429" t="str">
        <f t="shared" si="31"/>
        <v>MEDICARE TAXES</v>
      </c>
    </row>
    <row r="2430" spans="1:9" x14ac:dyDescent="0.3">
      <c r="A2430" t="str">
        <f>""</f>
        <v/>
      </c>
      <c r="F2430" t="str">
        <f>""</f>
        <v/>
      </c>
      <c r="G2430" t="str">
        <f>""</f>
        <v/>
      </c>
      <c r="I2430" t="str">
        <f t="shared" si="31"/>
        <v>MEDICARE TAXES</v>
      </c>
    </row>
    <row r="2431" spans="1:9" x14ac:dyDescent="0.3">
      <c r="A2431" t="str">
        <f>""</f>
        <v/>
      </c>
      <c r="F2431" t="str">
        <f>""</f>
        <v/>
      </c>
      <c r="G2431" t="str">
        <f>""</f>
        <v/>
      </c>
      <c r="I2431" t="str">
        <f t="shared" si="31"/>
        <v>MEDICARE TAXES</v>
      </c>
    </row>
    <row r="2432" spans="1:9" x14ac:dyDescent="0.3">
      <c r="A2432" t="str">
        <f>""</f>
        <v/>
      </c>
      <c r="F2432" t="str">
        <f>""</f>
        <v/>
      </c>
      <c r="G2432" t="str">
        <f>""</f>
        <v/>
      </c>
      <c r="I2432" t="str">
        <f t="shared" si="31"/>
        <v>MEDICARE TAXES</v>
      </c>
    </row>
    <row r="2433" spans="1:9" x14ac:dyDescent="0.3">
      <c r="A2433" t="str">
        <f>""</f>
        <v/>
      </c>
      <c r="F2433" t="str">
        <f>""</f>
        <v/>
      </c>
      <c r="G2433" t="str">
        <f>""</f>
        <v/>
      </c>
      <c r="I2433" t="str">
        <f t="shared" si="31"/>
        <v>MEDICARE TAXES</v>
      </c>
    </row>
    <row r="2434" spans="1:9" x14ac:dyDescent="0.3">
      <c r="A2434" t="str">
        <f>""</f>
        <v/>
      </c>
      <c r="F2434" t="str">
        <f>""</f>
        <v/>
      </c>
      <c r="G2434" t="str">
        <f>""</f>
        <v/>
      </c>
      <c r="I2434" t="str">
        <f t="shared" si="31"/>
        <v>MEDICARE TAXES</v>
      </c>
    </row>
    <row r="2435" spans="1:9" x14ac:dyDescent="0.3">
      <c r="A2435" t="str">
        <f>""</f>
        <v/>
      </c>
      <c r="F2435" t="str">
        <f>""</f>
        <v/>
      </c>
      <c r="G2435" t="str">
        <f>""</f>
        <v/>
      </c>
      <c r="I2435" t="str">
        <f t="shared" si="31"/>
        <v>MEDICARE TAXES</v>
      </c>
    </row>
    <row r="2436" spans="1:9" x14ac:dyDescent="0.3">
      <c r="A2436" t="str">
        <f>""</f>
        <v/>
      </c>
      <c r="F2436" t="str">
        <f>""</f>
        <v/>
      </c>
      <c r="G2436" t="str">
        <f>""</f>
        <v/>
      </c>
      <c r="I2436" t="str">
        <f t="shared" si="31"/>
        <v>MEDICARE TAXES</v>
      </c>
    </row>
    <row r="2437" spans="1:9" x14ac:dyDescent="0.3">
      <c r="A2437" t="str">
        <f>""</f>
        <v/>
      </c>
      <c r="F2437" t="str">
        <f>""</f>
        <v/>
      </c>
      <c r="G2437" t="str">
        <f>""</f>
        <v/>
      </c>
      <c r="I2437" t="str">
        <f t="shared" si="31"/>
        <v>MEDICARE TAXES</v>
      </c>
    </row>
    <row r="2438" spans="1:9" x14ac:dyDescent="0.3">
      <c r="A2438" t="str">
        <f>""</f>
        <v/>
      </c>
      <c r="F2438" t="str">
        <f>""</f>
        <v/>
      </c>
      <c r="G2438" t="str">
        <f>""</f>
        <v/>
      </c>
      <c r="I2438" t="str">
        <f t="shared" si="31"/>
        <v>MEDICARE TAXES</v>
      </c>
    </row>
    <row r="2439" spans="1:9" x14ac:dyDescent="0.3">
      <c r="A2439" t="str">
        <f>""</f>
        <v/>
      </c>
      <c r="F2439" t="str">
        <f>""</f>
        <v/>
      </c>
      <c r="G2439" t="str">
        <f>""</f>
        <v/>
      </c>
      <c r="I2439" t="str">
        <f t="shared" si="31"/>
        <v>MEDICARE TAXES</v>
      </c>
    </row>
    <row r="2440" spans="1:9" x14ac:dyDescent="0.3">
      <c r="A2440" t="str">
        <f>""</f>
        <v/>
      </c>
      <c r="F2440" t="str">
        <f>""</f>
        <v/>
      </c>
      <c r="G2440" t="str">
        <f>""</f>
        <v/>
      </c>
      <c r="I2440" t="str">
        <f t="shared" si="31"/>
        <v>MEDICARE TAXES</v>
      </c>
    </row>
    <row r="2441" spans="1:9" x14ac:dyDescent="0.3">
      <c r="A2441" t="str">
        <f>""</f>
        <v/>
      </c>
      <c r="F2441" t="str">
        <f>""</f>
        <v/>
      </c>
      <c r="G2441" t="str">
        <f>""</f>
        <v/>
      </c>
      <c r="I2441" t="str">
        <f t="shared" si="31"/>
        <v>MEDICARE TAXES</v>
      </c>
    </row>
    <row r="2442" spans="1:9" x14ac:dyDescent="0.3">
      <c r="A2442" t="str">
        <f>""</f>
        <v/>
      </c>
      <c r="F2442" t="str">
        <f>""</f>
        <v/>
      </c>
      <c r="G2442" t="str">
        <f>""</f>
        <v/>
      </c>
      <c r="I2442" t="str">
        <f t="shared" si="31"/>
        <v>MEDICARE TAXES</v>
      </c>
    </row>
    <row r="2443" spans="1:9" x14ac:dyDescent="0.3">
      <c r="A2443" t="str">
        <f>""</f>
        <v/>
      </c>
      <c r="F2443" t="str">
        <f>""</f>
        <v/>
      </c>
      <c r="G2443" t="str">
        <f>""</f>
        <v/>
      </c>
      <c r="I2443" t="str">
        <f t="shared" si="31"/>
        <v>MEDICARE TAXES</v>
      </c>
    </row>
    <row r="2444" spans="1:9" x14ac:dyDescent="0.3">
      <c r="A2444" t="str">
        <f>""</f>
        <v/>
      </c>
      <c r="F2444" t="str">
        <f>""</f>
        <v/>
      </c>
      <c r="G2444" t="str">
        <f>""</f>
        <v/>
      </c>
      <c r="I2444" t="str">
        <f t="shared" si="31"/>
        <v>MEDICARE TAXES</v>
      </c>
    </row>
    <row r="2445" spans="1:9" x14ac:dyDescent="0.3">
      <c r="A2445" t="str">
        <f>""</f>
        <v/>
      </c>
      <c r="F2445" t="str">
        <f>""</f>
        <v/>
      </c>
      <c r="G2445" t="str">
        <f>""</f>
        <v/>
      </c>
      <c r="I2445" t="str">
        <f t="shared" si="31"/>
        <v>MEDICARE TAXES</v>
      </c>
    </row>
    <row r="2446" spans="1:9" x14ac:dyDescent="0.3">
      <c r="A2446" t="str">
        <f>""</f>
        <v/>
      </c>
      <c r="F2446" t="str">
        <f>""</f>
        <v/>
      </c>
      <c r="G2446" t="str">
        <f>""</f>
        <v/>
      </c>
      <c r="I2446" t="str">
        <f t="shared" si="31"/>
        <v>MEDICARE TAXES</v>
      </c>
    </row>
    <row r="2447" spans="1:9" x14ac:dyDescent="0.3">
      <c r="A2447" t="str">
        <f>""</f>
        <v/>
      </c>
      <c r="F2447" t="str">
        <f>""</f>
        <v/>
      </c>
      <c r="G2447" t="str">
        <f>""</f>
        <v/>
      </c>
      <c r="I2447" t="str">
        <f t="shared" si="31"/>
        <v>MEDICARE TAXES</v>
      </c>
    </row>
    <row r="2448" spans="1:9" x14ac:dyDescent="0.3">
      <c r="A2448" t="str">
        <f>""</f>
        <v/>
      </c>
      <c r="F2448" t="str">
        <f>""</f>
        <v/>
      </c>
      <c r="G2448" t="str">
        <f>""</f>
        <v/>
      </c>
      <c r="I2448" t="str">
        <f t="shared" si="31"/>
        <v>MEDICARE TAXES</v>
      </c>
    </row>
    <row r="2449" spans="1:9" x14ac:dyDescent="0.3">
      <c r="A2449" t="str">
        <f>""</f>
        <v/>
      </c>
      <c r="F2449" t="str">
        <f>""</f>
        <v/>
      </c>
      <c r="G2449" t="str">
        <f>""</f>
        <v/>
      </c>
      <c r="I2449" t="str">
        <f t="shared" si="31"/>
        <v>MEDICARE TAXES</v>
      </c>
    </row>
    <row r="2450" spans="1:9" x14ac:dyDescent="0.3">
      <c r="A2450" t="str">
        <f>""</f>
        <v/>
      </c>
      <c r="F2450" t="str">
        <f>""</f>
        <v/>
      </c>
      <c r="G2450" t="str">
        <f>""</f>
        <v/>
      </c>
      <c r="I2450" t="str">
        <f t="shared" si="31"/>
        <v>MEDICARE TAXES</v>
      </c>
    </row>
    <row r="2451" spans="1:9" x14ac:dyDescent="0.3">
      <c r="A2451" t="str">
        <f>""</f>
        <v/>
      </c>
      <c r="F2451" t="str">
        <f>""</f>
        <v/>
      </c>
      <c r="G2451" t="str">
        <f>""</f>
        <v/>
      </c>
      <c r="I2451" t="str">
        <f t="shared" si="31"/>
        <v>MEDICARE TAXES</v>
      </c>
    </row>
    <row r="2452" spans="1:9" x14ac:dyDescent="0.3">
      <c r="A2452" t="str">
        <f>""</f>
        <v/>
      </c>
      <c r="F2452" t="str">
        <f>""</f>
        <v/>
      </c>
      <c r="G2452" t="str">
        <f>""</f>
        <v/>
      </c>
      <c r="I2452" t="str">
        <f t="shared" si="31"/>
        <v>MEDICARE TAXES</v>
      </c>
    </row>
    <row r="2453" spans="1:9" x14ac:dyDescent="0.3">
      <c r="A2453" t="str">
        <f>""</f>
        <v/>
      </c>
      <c r="F2453" t="str">
        <f>""</f>
        <v/>
      </c>
      <c r="G2453" t="str">
        <f>""</f>
        <v/>
      </c>
      <c r="I2453" t="str">
        <f t="shared" si="31"/>
        <v>MEDICARE TAXES</v>
      </c>
    </row>
    <row r="2454" spans="1:9" x14ac:dyDescent="0.3">
      <c r="A2454" t="str">
        <f>""</f>
        <v/>
      </c>
      <c r="F2454" t="str">
        <f>""</f>
        <v/>
      </c>
      <c r="G2454" t="str">
        <f>""</f>
        <v/>
      </c>
      <c r="I2454" t="str">
        <f t="shared" si="31"/>
        <v>MEDICARE TAXES</v>
      </c>
    </row>
    <row r="2455" spans="1:9" x14ac:dyDescent="0.3">
      <c r="A2455" t="str">
        <f>""</f>
        <v/>
      </c>
      <c r="F2455" t="str">
        <f>""</f>
        <v/>
      </c>
      <c r="G2455" t="str">
        <f>""</f>
        <v/>
      </c>
      <c r="I2455" t="str">
        <f t="shared" si="31"/>
        <v>MEDICARE TAXES</v>
      </c>
    </row>
    <row r="2456" spans="1:9" x14ac:dyDescent="0.3">
      <c r="A2456" t="str">
        <f>""</f>
        <v/>
      </c>
      <c r="F2456" t="str">
        <f>""</f>
        <v/>
      </c>
      <c r="G2456" t="str">
        <f>""</f>
        <v/>
      </c>
      <c r="I2456" t="str">
        <f t="shared" si="31"/>
        <v>MEDICARE TAXES</v>
      </c>
    </row>
    <row r="2457" spans="1:9" x14ac:dyDescent="0.3">
      <c r="A2457" t="str">
        <f>""</f>
        <v/>
      </c>
      <c r="F2457" t="str">
        <f>""</f>
        <v/>
      </c>
      <c r="G2457" t="str">
        <f>""</f>
        <v/>
      </c>
      <c r="I2457" t="str">
        <f t="shared" si="31"/>
        <v>MEDICARE TAXES</v>
      </c>
    </row>
    <row r="2458" spans="1:9" x14ac:dyDescent="0.3">
      <c r="A2458" t="str">
        <f>""</f>
        <v/>
      </c>
      <c r="F2458" t="str">
        <f>""</f>
        <v/>
      </c>
      <c r="G2458" t="str">
        <f>""</f>
        <v/>
      </c>
      <c r="I2458" t="str">
        <f t="shared" ref="I2458:I2481" si="32">"MEDICARE TAXES"</f>
        <v>MEDICARE TAXES</v>
      </c>
    </row>
    <row r="2459" spans="1:9" x14ac:dyDescent="0.3">
      <c r="A2459" t="str">
        <f>""</f>
        <v/>
      </c>
      <c r="F2459" t="str">
        <f>""</f>
        <v/>
      </c>
      <c r="G2459" t="str">
        <f>""</f>
        <v/>
      </c>
      <c r="I2459" t="str">
        <f t="shared" si="32"/>
        <v>MEDICARE TAXES</v>
      </c>
    </row>
    <row r="2460" spans="1:9" x14ac:dyDescent="0.3">
      <c r="A2460" t="str">
        <f>""</f>
        <v/>
      </c>
      <c r="F2460" t="str">
        <f>""</f>
        <v/>
      </c>
      <c r="G2460" t="str">
        <f>""</f>
        <v/>
      </c>
      <c r="I2460" t="str">
        <f t="shared" si="32"/>
        <v>MEDICARE TAXES</v>
      </c>
    </row>
    <row r="2461" spans="1:9" x14ac:dyDescent="0.3">
      <c r="A2461" t="str">
        <f>""</f>
        <v/>
      </c>
      <c r="F2461" t="str">
        <f>""</f>
        <v/>
      </c>
      <c r="G2461" t="str">
        <f>""</f>
        <v/>
      </c>
      <c r="I2461" t="str">
        <f t="shared" si="32"/>
        <v>MEDICARE TAXES</v>
      </c>
    </row>
    <row r="2462" spans="1:9" x14ac:dyDescent="0.3">
      <c r="A2462" t="str">
        <f>""</f>
        <v/>
      </c>
      <c r="F2462" t="str">
        <f>""</f>
        <v/>
      </c>
      <c r="G2462" t="str">
        <f>""</f>
        <v/>
      </c>
      <c r="I2462" t="str">
        <f t="shared" si="32"/>
        <v>MEDICARE TAXES</v>
      </c>
    </row>
    <row r="2463" spans="1:9" x14ac:dyDescent="0.3">
      <c r="A2463" t="str">
        <f>""</f>
        <v/>
      </c>
      <c r="F2463" t="str">
        <f>""</f>
        <v/>
      </c>
      <c r="G2463" t="str">
        <f>""</f>
        <v/>
      </c>
      <c r="I2463" t="str">
        <f t="shared" si="32"/>
        <v>MEDICARE TAXES</v>
      </c>
    </row>
    <row r="2464" spans="1:9" x14ac:dyDescent="0.3">
      <c r="A2464" t="str">
        <f>""</f>
        <v/>
      </c>
      <c r="F2464" t="str">
        <f>""</f>
        <v/>
      </c>
      <c r="G2464" t="str">
        <f>""</f>
        <v/>
      </c>
      <c r="I2464" t="str">
        <f t="shared" si="32"/>
        <v>MEDICARE TAXES</v>
      </c>
    </row>
    <row r="2465" spans="1:9" x14ac:dyDescent="0.3">
      <c r="A2465" t="str">
        <f>""</f>
        <v/>
      </c>
      <c r="F2465" t="str">
        <f>""</f>
        <v/>
      </c>
      <c r="G2465" t="str">
        <f>""</f>
        <v/>
      </c>
      <c r="I2465" t="str">
        <f t="shared" si="32"/>
        <v>MEDICARE TAXES</v>
      </c>
    </row>
    <row r="2466" spans="1:9" x14ac:dyDescent="0.3">
      <c r="A2466" t="str">
        <f>""</f>
        <v/>
      </c>
      <c r="F2466" t="str">
        <f>""</f>
        <v/>
      </c>
      <c r="G2466" t="str">
        <f>""</f>
        <v/>
      </c>
      <c r="I2466" t="str">
        <f t="shared" si="32"/>
        <v>MEDICARE TAXES</v>
      </c>
    </row>
    <row r="2467" spans="1:9" x14ac:dyDescent="0.3">
      <c r="A2467" t="str">
        <f>""</f>
        <v/>
      </c>
      <c r="F2467" t="str">
        <f>""</f>
        <v/>
      </c>
      <c r="G2467" t="str">
        <f>""</f>
        <v/>
      </c>
      <c r="I2467" t="str">
        <f t="shared" si="32"/>
        <v>MEDICARE TAXES</v>
      </c>
    </row>
    <row r="2468" spans="1:9" x14ac:dyDescent="0.3">
      <c r="A2468" t="str">
        <f>""</f>
        <v/>
      </c>
      <c r="F2468" t="str">
        <f>""</f>
        <v/>
      </c>
      <c r="G2468" t="str">
        <f>""</f>
        <v/>
      </c>
      <c r="I2468" t="str">
        <f t="shared" si="32"/>
        <v>MEDICARE TAXES</v>
      </c>
    </row>
    <row r="2469" spans="1:9" x14ac:dyDescent="0.3">
      <c r="A2469" t="str">
        <f>""</f>
        <v/>
      </c>
      <c r="F2469" t="str">
        <f>""</f>
        <v/>
      </c>
      <c r="G2469" t="str">
        <f>""</f>
        <v/>
      </c>
      <c r="I2469" t="str">
        <f t="shared" si="32"/>
        <v>MEDICARE TAXES</v>
      </c>
    </row>
    <row r="2470" spans="1:9" x14ac:dyDescent="0.3">
      <c r="A2470" t="str">
        <f>""</f>
        <v/>
      </c>
      <c r="F2470" t="str">
        <f>""</f>
        <v/>
      </c>
      <c r="G2470" t="str">
        <f>""</f>
        <v/>
      </c>
      <c r="I2470" t="str">
        <f t="shared" si="32"/>
        <v>MEDICARE TAXES</v>
      </c>
    </row>
    <row r="2471" spans="1:9" x14ac:dyDescent="0.3">
      <c r="A2471" t="str">
        <f>""</f>
        <v/>
      </c>
      <c r="F2471" t="str">
        <f>""</f>
        <v/>
      </c>
      <c r="G2471" t="str">
        <f>""</f>
        <v/>
      </c>
      <c r="I2471" t="str">
        <f t="shared" si="32"/>
        <v>MEDICARE TAXES</v>
      </c>
    </row>
    <row r="2472" spans="1:9" x14ac:dyDescent="0.3">
      <c r="A2472" t="str">
        <f>""</f>
        <v/>
      </c>
      <c r="F2472" t="str">
        <f>""</f>
        <v/>
      </c>
      <c r="G2472" t="str">
        <f>""</f>
        <v/>
      </c>
      <c r="I2472" t="str">
        <f t="shared" si="32"/>
        <v>MEDICARE TAXES</v>
      </c>
    </row>
    <row r="2473" spans="1:9" x14ac:dyDescent="0.3">
      <c r="A2473" t="str">
        <f>""</f>
        <v/>
      </c>
      <c r="F2473" t="str">
        <f>""</f>
        <v/>
      </c>
      <c r="G2473" t="str">
        <f>""</f>
        <v/>
      </c>
      <c r="I2473" t="str">
        <f t="shared" si="32"/>
        <v>MEDICARE TAXES</v>
      </c>
    </row>
    <row r="2474" spans="1:9" x14ac:dyDescent="0.3">
      <c r="A2474" t="str">
        <f>""</f>
        <v/>
      </c>
      <c r="F2474" t="str">
        <f>""</f>
        <v/>
      </c>
      <c r="G2474" t="str">
        <f>""</f>
        <v/>
      </c>
      <c r="I2474" t="str">
        <f t="shared" si="32"/>
        <v>MEDICARE TAXES</v>
      </c>
    </row>
    <row r="2475" spans="1:9" x14ac:dyDescent="0.3">
      <c r="A2475" t="str">
        <f>""</f>
        <v/>
      </c>
      <c r="F2475" t="str">
        <f>""</f>
        <v/>
      </c>
      <c r="G2475" t="str">
        <f>""</f>
        <v/>
      </c>
      <c r="I2475" t="str">
        <f t="shared" si="32"/>
        <v>MEDICARE TAXES</v>
      </c>
    </row>
    <row r="2476" spans="1:9" x14ac:dyDescent="0.3">
      <c r="A2476" t="str">
        <f>""</f>
        <v/>
      </c>
      <c r="F2476" t="str">
        <f>""</f>
        <v/>
      </c>
      <c r="G2476" t="str">
        <f>""</f>
        <v/>
      </c>
      <c r="I2476" t="str">
        <f t="shared" si="32"/>
        <v>MEDICARE TAXES</v>
      </c>
    </row>
    <row r="2477" spans="1:9" x14ac:dyDescent="0.3">
      <c r="A2477" t="str">
        <f>""</f>
        <v/>
      </c>
      <c r="F2477" t="str">
        <f>""</f>
        <v/>
      </c>
      <c r="G2477" t="str">
        <f>""</f>
        <v/>
      </c>
      <c r="I2477" t="str">
        <f t="shared" si="32"/>
        <v>MEDICARE TAXES</v>
      </c>
    </row>
    <row r="2478" spans="1:9" x14ac:dyDescent="0.3">
      <c r="A2478" t="str">
        <f>""</f>
        <v/>
      </c>
      <c r="F2478" t="str">
        <f>"T4 201802068587"</f>
        <v>T4 201802068587</v>
      </c>
      <c r="G2478" t="str">
        <f>"MEDICARE TAXES"</f>
        <v>MEDICARE TAXES</v>
      </c>
      <c r="H2478" s="2">
        <v>921.96</v>
      </c>
      <c r="I2478" t="str">
        <f t="shared" si="32"/>
        <v>MEDICARE TAXES</v>
      </c>
    </row>
    <row r="2479" spans="1:9" x14ac:dyDescent="0.3">
      <c r="A2479" t="str">
        <f>""</f>
        <v/>
      </c>
      <c r="F2479" t="str">
        <f>""</f>
        <v/>
      </c>
      <c r="G2479" t="str">
        <f>""</f>
        <v/>
      </c>
      <c r="I2479" t="str">
        <f t="shared" si="32"/>
        <v>MEDICARE TAXES</v>
      </c>
    </row>
    <row r="2480" spans="1:9" x14ac:dyDescent="0.3">
      <c r="A2480" t="str">
        <f>""</f>
        <v/>
      </c>
      <c r="F2480" t="str">
        <f>"T4 201802068588"</f>
        <v>T4 201802068588</v>
      </c>
      <c r="G2480" t="str">
        <f>"MEDICARE TAXES"</f>
        <v>MEDICARE TAXES</v>
      </c>
      <c r="H2480" s="2">
        <v>1316.82</v>
      </c>
      <c r="I2480" t="str">
        <f t="shared" si="32"/>
        <v>MEDICARE TAXES</v>
      </c>
    </row>
    <row r="2481" spans="1:9" x14ac:dyDescent="0.3">
      <c r="A2481" t="str">
        <f>""</f>
        <v/>
      </c>
      <c r="F2481" t="str">
        <f>""</f>
        <v/>
      </c>
      <c r="G2481" t="str">
        <f>""</f>
        <v/>
      </c>
      <c r="I2481" t="str">
        <f t="shared" si="32"/>
        <v>MEDICARE TAXES</v>
      </c>
    </row>
    <row r="2482" spans="1:9" x14ac:dyDescent="0.3">
      <c r="A2482" t="str">
        <f>"IRSPY"</f>
        <v>IRSPY</v>
      </c>
      <c r="B2482" t="s">
        <v>529</v>
      </c>
      <c r="C2482">
        <v>0</v>
      </c>
      <c r="D2482" s="2">
        <v>205158.41</v>
      </c>
      <c r="E2482" s="1">
        <v>43154</v>
      </c>
      <c r="F2482" t="str">
        <f>"T1 201802218810"</f>
        <v>T1 201802218810</v>
      </c>
      <c r="G2482" t="str">
        <f>"FEDERAL WITHHOLDING"</f>
        <v>FEDERAL WITHHOLDING</v>
      </c>
      <c r="H2482" s="2">
        <v>65284.33</v>
      </c>
      <c r="I2482" t="str">
        <f>"FEDERAL WITHHOLDING"</f>
        <v>FEDERAL WITHHOLDING</v>
      </c>
    </row>
    <row r="2483" spans="1:9" x14ac:dyDescent="0.3">
      <c r="A2483" t="str">
        <f>""</f>
        <v/>
      </c>
      <c r="F2483" t="str">
        <f>"T1 201802218811"</f>
        <v>T1 201802218811</v>
      </c>
      <c r="G2483" t="str">
        <f>"FEDERAL WITHHOLDING"</f>
        <v>FEDERAL WITHHOLDING</v>
      </c>
      <c r="H2483" s="2">
        <v>2846.07</v>
      </c>
      <c r="I2483" t="str">
        <f>"FEDERAL WITHHOLDING"</f>
        <v>FEDERAL WITHHOLDING</v>
      </c>
    </row>
    <row r="2484" spans="1:9" x14ac:dyDescent="0.3">
      <c r="A2484" t="str">
        <f>""</f>
        <v/>
      </c>
      <c r="F2484" t="str">
        <f>"T1 201802218812"</f>
        <v>T1 201802218812</v>
      </c>
      <c r="G2484" t="str">
        <f>"FEDERAL WITHHOLDING"</f>
        <v>FEDERAL WITHHOLDING</v>
      </c>
      <c r="H2484" s="2">
        <v>3702.09</v>
      </c>
      <c r="I2484" t="str">
        <f>"FEDERAL WITHHOLDING"</f>
        <v>FEDERAL WITHHOLDING</v>
      </c>
    </row>
    <row r="2485" spans="1:9" x14ac:dyDescent="0.3">
      <c r="A2485" t="str">
        <f>""</f>
        <v/>
      </c>
      <c r="F2485" t="str">
        <f>"T3 201802218810"</f>
        <v>T3 201802218810</v>
      </c>
      <c r="G2485" t="str">
        <f>"SOCIAL SECURITY TAXES"</f>
        <v>SOCIAL SECURITY TAXES</v>
      </c>
      <c r="H2485" s="2">
        <v>98449.1</v>
      </c>
      <c r="I2485" t="str">
        <f t="shared" ref="I2485:I2516" si="33">"SOCIAL SECURITY TAXES"</f>
        <v>SOCIAL SECURITY TAXES</v>
      </c>
    </row>
    <row r="2486" spans="1:9" x14ac:dyDescent="0.3">
      <c r="A2486" t="str">
        <f>""</f>
        <v/>
      </c>
      <c r="F2486" t="str">
        <f>""</f>
        <v/>
      </c>
      <c r="G2486" t="str">
        <f>""</f>
        <v/>
      </c>
      <c r="I2486" t="str">
        <f t="shared" si="33"/>
        <v>SOCIAL SECURITY TAXES</v>
      </c>
    </row>
    <row r="2487" spans="1:9" x14ac:dyDescent="0.3">
      <c r="A2487" t="str">
        <f>""</f>
        <v/>
      </c>
      <c r="F2487" t="str">
        <f>""</f>
        <v/>
      </c>
      <c r="G2487" t="str">
        <f>""</f>
        <v/>
      </c>
      <c r="I2487" t="str">
        <f t="shared" si="33"/>
        <v>SOCIAL SECURITY TAXES</v>
      </c>
    </row>
    <row r="2488" spans="1:9" x14ac:dyDescent="0.3">
      <c r="A2488" t="str">
        <f>""</f>
        <v/>
      </c>
      <c r="F2488" t="str">
        <f>""</f>
        <v/>
      </c>
      <c r="G2488" t="str">
        <f>""</f>
        <v/>
      </c>
      <c r="I2488" t="str">
        <f t="shared" si="33"/>
        <v>SOCIAL SECURITY TAXES</v>
      </c>
    </row>
    <row r="2489" spans="1:9" x14ac:dyDescent="0.3">
      <c r="A2489" t="str">
        <f>""</f>
        <v/>
      </c>
      <c r="F2489" t="str">
        <f>""</f>
        <v/>
      </c>
      <c r="G2489" t="str">
        <f>""</f>
        <v/>
      </c>
      <c r="I2489" t="str">
        <f t="shared" si="33"/>
        <v>SOCIAL SECURITY TAXES</v>
      </c>
    </row>
    <row r="2490" spans="1:9" x14ac:dyDescent="0.3">
      <c r="A2490" t="str">
        <f>""</f>
        <v/>
      </c>
      <c r="F2490" t="str">
        <f>""</f>
        <v/>
      </c>
      <c r="G2490" t="str">
        <f>""</f>
        <v/>
      </c>
      <c r="I2490" t="str">
        <f t="shared" si="33"/>
        <v>SOCIAL SECURITY TAXES</v>
      </c>
    </row>
    <row r="2491" spans="1:9" x14ac:dyDescent="0.3">
      <c r="A2491" t="str">
        <f>""</f>
        <v/>
      </c>
      <c r="F2491" t="str">
        <f>""</f>
        <v/>
      </c>
      <c r="G2491" t="str">
        <f>""</f>
        <v/>
      </c>
      <c r="I2491" t="str">
        <f t="shared" si="33"/>
        <v>SOCIAL SECURITY TAXES</v>
      </c>
    </row>
    <row r="2492" spans="1:9" x14ac:dyDescent="0.3">
      <c r="A2492" t="str">
        <f>""</f>
        <v/>
      </c>
      <c r="F2492" t="str">
        <f>""</f>
        <v/>
      </c>
      <c r="G2492" t="str">
        <f>""</f>
        <v/>
      </c>
      <c r="I2492" t="str">
        <f t="shared" si="33"/>
        <v>SOCIAL SECURITY TAXES</v>
      </c>
    </row>
    <row r="2493" spans="1:9" x14ac:dyDescent="0.3">
      <c r="A2493" t="str">
        <f>""</f>
        <v/>
      </c>
      <c r="F2493" t="str">
        <f>""</f>
        <v/>
      </c>
      <c r="G2493" t="str">
        <f>""</f>
        <v/>
      </c>
      <c r="I2493" t="str">
        <f t="shared" si="33"/>
        <v>SOCIAL SECURITY TAXES</v>
      </c>
    </row>
    <row r="2494" spans="1:9" x14ac:dyDescent="0.3">
      <c r="A2494" t="str">
        <f>""</f>
        <v/>
      </c>
      <c r="F2494" t="str">
        <f>""</f>
        <v/>
      </c>
      <c r="G2494" t="str">
        <f>""</f>
        <v/>
      </c>
      <c r="I2494" t="str">
        <f t="shared" si="33"/>
        <v>SOCIAL SECURITY TAXES</v>
      </c>
    </row>
    <row r="2495" spans="1:9" x14ac:dyDescent="0.3">
      <c r="A2495" t="str">
        <f>""</f>
        <v/>
      </c>
      <c r="F2495" t="str">
        <f>""</f>
        <v/>
      </c>
      <c r="G2495" t="str">
        <f>""</f>
        <v/>
      </c>
      <c r="I2495" t="str">
        <f t="shared" si="33"/>
        <v>SOCIAL SECURITY TAXES</v>
      </c>
    </row>
    <row r="2496" spans="1:9" x14ac:dyDescent="0.3">
      <c r="A2496" t="str">
        <f>""</f>
        <v/>
      </c>
      <c r="F2496" t="str">
        <f>""</f>
        <v/>
      </c>
      <c r="G2496" t="str">
        <f>""</f>
        <v/>
      </c>
      <c r="I2496" t="str">
        <f t="shared" si="33"/>
        <v>SOCIAL SECURITY TAXES</v>
      </c>
    </row>
    <row r="2497" spans="1:9" x14ac:dyDescent="0.3">
      <c r="A2497" t="str">
        <f>""</f>
        <v/>
      </c>
      <c r="F2497" t="str">
        <f>""</f>
        <v/>
      </c>
      <c r="G2497" t="str">
        <f>""</f>
        <v/>
      </c>
      <c r="I2497" t="str">
        <f t="shared" si="33"/>
        <v>SOCIAL SECURITY TAXES</v>
      </c>
    </row>
    <row r="2498" spans="1:9" x14ac:dyDescent="0.3">
      <c r="A2498" t="str">
        <f>""</f>
        <v/>
      </c>
      <c r="F2498" t="str">
        <f>""</f>
        <v/>
      </c>
      <c r="G2498" t="str">
        <f>""</f>
        <v/>
      </c>
      <c r="I2498" t="str">
        <f t="shared" si="33"/>
        <v>SOCIAL SECURITY TAXES</v>
      </c>
    </row>
    <row r="2499" spans="1:9" x14ac:dyDescent="0.3">
      <c r="A2499" t="str">
        <f>""</f>
        <v/>
      </c>
      <c r="F2499" t="str">
        <f>""</f>
        <v/>
      </c>
      <c r="G2499" t="str">
        <f>""</f>
        <v/>
      </c>
      <c r="I2499" t="str">
        <f t="shared" si="33"/>
        <v>SOCIAL SECURITY TAXES</v>
      </c>
    </row>
    <row r="2500" spans="1:9" x14ac:dyDescent="0.3">
      <c r="A2500" t="str">
        <f>""</f>
        <v/>
      </c>
      <c r="F2500" t="str">
        <f>""</f>
        <v/>
      </c>
      <c r="G2500" t="str">
        <f>""</f>
        <v/>
      </c>
      <c r="I2500" t="str">
        <f t="shared" si="33"/>
        <v>SOCIAL SECURITY TAXES</v>
      </c>
    </row>
    <row r="2501" spans="1:9" x14ac:dyDescent="0.3">
      <c r="A2501" t="str">
        <f>""</f>
        <v/>
      </c>
      <c r="F2501" t="str">
        <f>""</f>
        <v/>
      </c>
      <c r="G2501" t="str">
        <f>""</f>
        <v/>
      </c>
      <c r="I2501" t="str">
        <f t="shared" si="33"/>
        <v>SOCIAL SECURITY TAXES</v>
      </c>
    </row>
    <row r="2502" spans="1:9" x14ac:dyDescent="0.3">
      <c r="A2502" t="str">
        <f>""</f>
        <v/>
      </c>
      <c r="F2502" t="str">
        <f>""</f>
        <v/>
      </c>
      <c r="G2502" t="str">
        <f>""</f>
        <v/>
      </c>
      <c r="I2502" t="str">
        <f t="shared" si="33"/>
        <v>SOCIAL SECURITY TAXES</v>
      </c>
    </row>
    <row r="2503" spans="1:9" x14ac:dyDescent="0.3">
      <c r="A2503" t="str">
        <f>""</f>
        <v/>
      </c>
      <c r="F2503" t="str">
        <f>""</f>
        <v/>
      </c>
      <c r="G2503" t="str">
        <f>""</f>
        <v/>
      </c>
      <c r="I2503" t="str">
        <f t="shared" si="33"/>
        <v>SOCIAL SECURITY TAXES</v>
      </c>
    </row>
    <row r="2504" spans="1:9" x14ac:dyDescent="0.3">
      <c r="A2504" t="str">
        <f>""</f>
        <v/>
      </c>
      <c r="F2504" t="str">
        <f>""</f>
        <v/>
      </c>
      <c r="G2504" t="str">
        <f>""</f>
        <v/>
      </c>
      <c r="I2504" t="str">
        <f t="shared" si="33"/>
        <v>SOCIAL SECURITY TAXES</v>
      </c>
    </row>
    <row r="2505" spans="1:9" x14ac:dyDescent="0.3">
      <c r="A2505" t="str">
        <f>""</f>
        <v/>
      </c>
      <c r="F2505" t="str">
        <f>""</f>
        <v/>
      </c>
      <c r="G2505" t="str">
        <f>""</f>
        <v/>
      </c>
      <c r="I2505" t="str">
        <f t="shared" si="33"/>
        <v>SOCIAL SECURITY TAXES</v>
      </c>
    </row>
    <row r="2506" spans="1:9" x14ac:dyDescent="0.3">
      <c r="A2506" t="str">
        <f>""</f>
        <v/>
      </c>
      <c r="F2506" t="str">
        <f>""</f>
        <v/>
      </c>
      <c r="G2506" t="str">
        <f>""</f>
        <v/>
      </c>
      <c r="I2506" t="str">
        <f t="shared" si="33"/>
        <v>SOCIAL SECURITY TAXES</v>
      </c>
    </row>
    <row r="2507" spans="1:9" x14ac:dyDescent="0.3">
      <c r="A2507" t="str">
        <f>""</f>
        <v/>
      </c>
      <c r="F2507" t="str">
        <f>""</f>
        <v/>
      </c>
      <c r="G2507" t="str">
        <f>""</f>
        <v/>
      </c>
      <c r="I2507" t="str">
        <f t="shared" si="33"/>
        <v>SOCIAL SECURITY TAXES</v>
      </c>
    </row>
    <row r="2508" spans="1:9" x14ac:dyDescent="0.3">
      <c r="A2508" t="str">
        <f>""</f>
        <v/>
      </c>
      <c r="F2508" t="str">
        <f>""</f>
        <v/>
      </c>
      <c r="G2508" t="str">
        <f>""</f>
        <v/>
      </c>
      <c r="I2508" t="str">
        <f t="shared" si="33"/>
        <v>SOCIAL SECURITY TAXES</v>
      </c>
    </row>
    <row r="2509" spans="1:9" x14ac:dyDescent="0.3">
      <c r="A2509" t="str">
        <f>""</f>
        <v/>
      </c>
      <c r="F2509" t="str">
        <f>""</f>
        <v/>
      </c>
      <c r="G2509" t="str">
        <f>""</f>
        <v/>
      </c>
      <c r="I2509" t="str">
        <f t="shared" si="33"/>
        <v>SOCIAL SECURITY TAXES</v>
      </c>
    </row>
    <row r="2510" spans="1:9" x14ac:dyDescent="0.3">
      <c r="A2510" t="str">
        <f>""</f>
        <v/>
      </c>
      <c r="F2510" t="str">
        <f>""</f>
        <v/>
      </c>
      <c r="G2510" t="str">
        <f>""</f>
        <v/>
      </c>
      <c r="I2510" t="str">
        <f t="shared" si="33"/>
        <v>SOCIAL SECURITY TAXES</v>
      </c>
    </row>
    <row r="2511" spans="1:9" x14ac:dyDescent="0.3">
      <c r="A2511" t="str">
        <f>""</f>
        <v/>
      </c>
      <c r="F2511" t="str">
        <f>""</f>
        <v/>
      </c>
      <c r="G2511" t="str">
        <f>""</f>
        <v/>
      </c>
      <c r="I2511" t="str">
        <f t="shared" si="33"/>
        <v>SOCIAL SECURITY TAXES</v>
      </c>
    </row>
    <row r="2512" spans="1:9" x14ac:dyDescent="0.3">
      <c r="A2512" t="str">
        <f>""</f>
        <v/>
      </c>
      <c r="F2512" t="str">
        <f>""</f>
        <v/>
      </c>
      <c r="G2512" t="str">
        <f>""</f>
        <v/>
      </c>
      <c r="I2512" t="str">
        <f t="shared" si="33"/>
        <v>SOCIAL SECURITY TAXES</v>
      </c>
    </row>
    <row r="2513" spans="1:9" x14ac:dyDescent="0.3">
      <c r="A2513" t="str">
        <f>""</f>
        <v/>
      </c>
      <c r="F2513" t="str">
        <f>""</f>
        <v/>
      </c>
      <c r="G2513" t="str">
        <f>""</f>
        <v/>
      </c>
      <c r="I2513" t="str">
        <f t="shared" si="33"/>
        <v>SOCIAL SECURITY TAXES</v>
      </c>
    </row>
    <row r="2514" spans="1:9" x14ac:dyDescent="0.3">
      <c r="A2514" t="str">
        <f>""</f>
        <v/>
      </c>
      <c r="F2514" t="str">
        <f>""</f>
        <v/>
      </c>
      <c r="G2514" t="str">
        <f>""</f>
        <v/>
      </c>
      <c r="I2514" t="str">
        <f t="shared" si="33"/>
        <v>SOCIAL SECURITY TAXES</v>
      </c>
    </row>
    <row r="2515" spans="1:9" x14ac:dyDescent="0.3">
      <c r="A2515" t="str">
        <f>""</f>
        <v/>
      </c>
      <c r="F2515" t="str">
        <f>""</f>
        <v/>
      </c>
      <c r="G2515" t="str">
        <f>""</f>
        <v/>
      </c>
      <c r="I2515" t="str">
        <f t="shared" si="33"/>
        <v>SOCIAL SECURITY TAXES</v>
      </c>
    </row>
    <row r="2516" spans="1:9" x14ac:dyDescent="0.3">
      <c r="A2516" t="str">
        <f>""</f>
        <v/>
      </c>
      <c r="F2516" t="str">
        <f>""</f>
        <v/>
      </c>
      <c r="G2516" t="str">
        <f>""</f>
        <v/>
      </c>
      <c r="I2516" t="str">
        <f t="shared" si="33"/>
        <v>SOCIAL SECURITY TAXES</v>
      </c>
    </row>
    <row r="2517" spans="1:9" x14ac:dyDescent="0.3">
      <c r="A2517" t="str">
        <f>""</f>
        <v/>
      </c>
      <c r="F2517" t="str">
        <f>""</f>
        <v/>
      </c>
      <c r="G2517" t="str">
        <f>""</f>
        <v/>
      </c>
      <c r="I2517" t="str">
        <f t="shared" ref="I2517:I2540" si="34">"SOCIAL SECURITY TAXES"</f>
        <v>SOCIAL SECURITY TAXES</v>
      </c>
    </row>
    <row r="2518" spans="1:9" x14ac:dyDescent="0.3">
      <c r="A2518" t="str">
        <f>""</f>
        <v/>
      </c>
      <c r="F2518" t="str">
        <f>""</f>
        <v/>
      </c>
      <c r="G2518" t="str">
        <f>""</f>
        <v/>
      </c>
      <c r="I2518" t="str">
        <f t="shared" si="34"/>
        <v>SOCIAL SECURITY TAXES</v>
      </c>
    </row>
    <row r="2519" spans="1:9" x14ac:dyDescent="0.3">
      <c r="A2519" t="str">
        <f>""</f>
        <v/>
      </c>
      <c r="F2519" t="str">
        <f>""</f>
        <v/>
      </c>
      <c r="G2519" t="str">
        <f>""</f>
        <v/>
      </c>
      <c r="I2519" t="str">
        <f t="shared" si="34"/>
        <v>SOCIAL SECURITY TAXES</v>
      </c>
    </row>
    <row r="2520" spans="1:9" x14ac:dyDescent="0.3">
      <c r="A2520" t="str">
        <f>""</f>
        <v/>
      </c>
      <c r="F2520" t="str">
        <f>""</f>
        <v/>
      </c>
      <c r="G2520" t="str">
        <f>""</f>
        <v/>
      </c>
      <c r="I2520" t="str">
        <f t="shared" si="34"/>
        <v>SOCIAL SECURITY TAXES</v>
      </c>
    </row>
    <row r="2521" spans="1:9" x14ac:dyDescent="0.3">
      <c r="A2521" t="str">
        <f>""</f>
        <v/>
      </c>
      <c r="F2521" t="str">
        <f>""</f>
        <v/>
      </c>
      <c r="G2521" t="str">
        <f>""</f>
        <v/>
      </c>
      <c r="I2521" t="str">
        <f t="shared" si="34"/>
        <v>SOCIAL SECURITY TAXES</v>
      </c>
    </row>
    <row r="2522" spans="1:9" x14ac:dyDescent="0.3">
      <c r="A2522" t="str">
        <f>""</f>
        <v/>
      </c>
      <c r="F2522" t="str">
        <f>""</f>
        <v/>
      </c>
      <c r="G2522" t="str">
        <f>""</f>
        <v/>
      </c>
      <c r="I2522" t="str">
        <f t="shared" si="34"/>
        <v>SOCIAL SECURITY TAXES</v>
      </c>
    </row>
    <row r="2523" spans="1:9" x14ac:dyDescent="0.3">
      <c r="A2523" t="str">
        <f>""</f>
        <v/>
      </c>
      <c r="F2523" t="str">
        <f>""</f>
        <v/>
      </c>
      <c r="G2523" t="str">
        <f>""</f>
        <v/>
      </c>
      <c r="I2523" t="str">
        <f t="shared" si="34"/>
        <v>SOCIAL SECURITY TAXES</v>
      </c>
    </row>
    <row r="2524" spans="1:9" x14ac:dyDescent="0.3">
      <c r="A2524" t="str">
        <f>""</f>
        <v/>
      </c>
      <c r="F2524" t="str">
        <f>""</f>
        <v/>
      </c>
      <c r="G2524" t="str">
        <f>""</f>
        <v/>
      </c>
      <c r="I2524" t="str">
        <f t="shared" si="34"/>
        <v>SOCIAL SECURITY TAXES</v>
      </c>
    </row>
    <row r="2525" spans="1:9" x14ac:dyDescent="0.3">
      <c r="A2525" t="str">
        <f>""</f>
        <v/>
      </c>
      <c r="F2525" t="str">
        <f>""</f>
        <v/>
      </c>
      <c r="G2525" t="str">
        <f>""</f>
        <v/>
      </c>
      <c r="I2525" t="str">
        <f t="shared" si="34"/>
        <v>SOCIAL SECURITY TAXES</v>
      </c>
    </row>
    <row r="2526" spans="1:9" x14ac:dyDescent="0.3">
      <c r="A2526" t="str">
        <f>""</f>
        <v/>
      </c>
      <c r="F2526" t="str">
        <f>""</f>
        <v/>
      </c>
      <c r="G2526" t="str">
        <f>""</f>
        <v/>
      </c>
      <c r="I2526" t="str">
        <f t="shared" si="34"/>
        <v>SOCIAL SECURITY TAXES</v>
      </c>
    </row>
    <row r="2527" spans="1:9" x14ac:dyDescent="0.3">
      <c r="A2527" t="str">
        <f>""</f>
        <v/>
      </c>
      <c r="F2527" t="str">
        <f>""</f>
        <v/>
      </c>
      <c r="G2527" t="str">
        <f>""</f>
        <v/>
      </c>
      <c r="I2527" t="str">
        <f t="shared" si="34"/>
        <v>SOCIAL SECURITY TAXES</v>
      </c>
    </row>
    <row r="2528" spans="1:9" x14ac:dyDescent="0.3">
      <c r="A2528" t="str">
        <f>""</f>
        <v/>
      </c>
      <c r="F2528" t="str">
        <f>""</f>
        <v/>
      </c>
      <c r="G2528" t="str">
        <f>""</f>
        <v/>
      </c>
      <c r="I2528" t="str">
        <f t="shared" si="34"/>
        <v>SOCIAL SECURITY TAXES</v>
      </c>
    </row>
    <row r="2529" spans="1:9" x14ac:dyDescent="0.3">
      <c r="A2529" t="str">
        <f>""</f>
        <v/>
      </c>
      <c r="F2529" t="str">
        <f>""</f>
        <v/>
      </c>
      <c r="G2529" t="str">
        <f>""</f>
        <v/>
      </c>
      <c r="I2529" t="str">
        <f t="shared" si="34"/>
        <v>SOCIAL SECURITY TAXES</v>
      </c>
    </row>
    <row r="2530" spans="1:9" x14ac:dyDescent="0.3">
      <c r="A2530" t="str">
        <f>""</f>
        <v/>
      </c>
      <c r="F2530" t="str">
        <f>""</f>
        <v/>
      </c>
      <c r="G2530" t="str">
        <f>""</f>
        <v/>
      </c>
      <c r="I2530" t="str">
        <f t="shared" si="34"/>
        <v>SOCIAL SECURITY TAXES</v>
      </c>
    </row>
    <row r="2531" spans="1:9" x14ac:dyDescent="0.3">
      <c r="A2531" t="str">
        <f>""</f>
        <v/>
      </c>
      <c r="F2531" t="str">
        <f>""</f>
        <v/>
      </c>
      <c r="G2531" t="str">
        <f>""</f>
        <v/>
      </c>
      <c r="I2531" t="str">
        <f t="shared" si="34"/>
        <v>SOCIAL SECURITY TAXES</v>
      </c>
    </row>
    <row r="2532" spans="1:9" x14ac:dyDescent="0.3">
      <c r="A2532" t="str">
        <f>""</f>
        <v/>
      </c>
      <c r="F2532" t="str">
        <f>""</f>
        <v/>
      </c>
      <c r="G2532" t="str">
        <f>""</f>
        <v/>
      </c>
      <c r="I2532" t="str">
        <f t="shared" si="34"/>
        <v>SOCIAL SECURITY TAXES</v>
      </c>
    </row>
    <row r="2533" spans="1:9" x14ac:dyDescent="0.3">
      <c r="A2533" t="str">
        <f>""</f>
        <v/>
      </c>
      <c r="F2533" t="str">
        <f>""</f>
        <v/>
      </c>
      <c r="G2533" t="str">
        <f>""</f>
        <v/>
      </c>
      <c r="I2533" t="str">
        <f t="shared" si="34"/>
        <v>SOCIAL SECURITY TAXES</v>
      </c>
    </row>
    <row r="2534" spans="1:9" x14ac:dyDescent="0.3">
      <c r="A2534" t="str">
        <f>""</f>
        <v/>
      </c>
      <c r="F2534" t="str">
        <f>""</f>
        <v/>
      </c>
      <c r="G2534" t="str">
        <f>""</f>
        <v/>
      </c>
      <c r="I2534" t="str">
        <f t="shared" si="34"/>
        <v>SOCIAL SECURITY TAXES</v>
      </c>
    </row>
    <row r="2535" spans="1:9" x14ac:dyDescent="0.3">
      <c r="A2535" t="str">
        <f>""</f>
        <v/>
      </c>
      <c r="F2535" t="str">
        <f>""</f>
        <v/>
      </c>
      <c r="G2535" t="str">
        <f>""</f>
        <v/>
      </c>
      <c r="I2535" t="str">
        <f t="shared" si="34"/>
        <v>SOCIAL SECURITY TAXES</v>
      </c>
    </row>
    <row r="2536" spans="1:9" x14ac:dyDescent="0.3">
      <c r="A2536" t="str">
        <f>""</f>
        <v/>
      </c>
      <c r="F2536" t="str">
        <f>""</f>
        <v/>
      </c>
      <c r="G2536" t="str">
        <f>""</f>
        <v/>
      </c>
      <c r="I2536" t="str">
        <f t="shared" si="34"/>
        <v>SOCIAL SECURITY TAXES</v>
      </c>
    </row>
    <row r="2537" spans="1:9" x14ac:dyDescent="0.3">
      <c r="A2537" t="str">
        <f>""</f>
        <v/>
      </c>
      <c r="F2537" t="str">
        <f>"T3 201802218811"</f>
        <v>T3 201802218811</v>
      </c>
      <c r="G2537" t="str">
        <f>"SOCIAL SECURITY TAXES"</f>
        <v>SOCIAL SECURITY TAXES</v>
      </c>
      <c r="H2537" s="2">
        <v>3992.96</v>
      </c>
      <c r="I2537" t="str">
        <f t="shared" si="34"/>
        <v>SOCIAL SECURITY TAXES</v>
      </c>
    </row>
    <row r="2538" spans="1:9" x14ac:dyDescent="0.3">
      <c r="A2538" t="str">
        <f>""</f>
        <v/>
      </c>
      <c r="F2538" t="str">
        <f>""</f>
        <v/>
      </c>
      <c r="G2538" t="str">
        <f>""</f>
        <v/>
      </c>
      <c r="I2538" t="str">
        <f t="shared" si="34"/>
        <v>SOCIAL SECURITY TAXES</v>
      </c>
    </row>
    <row r="2539" spans="1:9" x14ac:dyDescent="0.3">
      <c r="A2539" t="str">
        <f>""</f>
        <v/>
      </c>
      <c r="F2539" t="str">
        <f>"T3 201802218812"</f>
        <v>T3 201802218812</v>
      </c>
      <c r="G2539" t="str">
        <f>"SOCIAL SECURITY TAXES"</f>
        <v>SOCIAL SECURITY TAXES</v>
      </c>
      <c r="H2539" s="2">
        <v>5613.02</v>
      </c>
      <c r="I2539" t="str">
        <f t="shared" si="34"/>
        <v>SOCIAL SECURITY TAXES</v>
      </c>
    </row>
    <row r="2540" spans="1:9" x14ac:dyDescent="0.3">
      <c r="A2540" t="str">
        <f>""</f>
        <v/>
      </c>
      <c r="F2540" t="str">
        <f>""</f>
        <v/>
      </c>
      <c r="G2540" t="str">
        <f>""</f>
        <v/>
      </c>
      <c r="I2540" t="str">
        <f t="shared" si="34"/>
        <v>SOCIAL SECURITY TAXES</v>
      </c>
    </row>
    <row r="2541" spans="1:9" x14ac:dyDescent="0.3">
      <c r="A2541" t="str">
        <f>""</f>
        <v/>
      </c>
      <c r="F2541" t="str">
        <f>"T4 201802218810"</f>
        <v>T4 201802218810</v>
      </c>
      <c r="G2541" t="str">
        <f>"MEDICARE TAXES"</f>
        <v>MEDICARE TAXES</v>
      </c>
      <c r="H2541" s="2">
        <v>23024.22</v>
      </c>
      <c r="I2541" t="str">
        <f t="shared" ref="I2541:I2572" si="35">"MEDICARE TAXES"</f>
        <v>MEDICARE TAXES</v>
      </c>
    </row>
    <row r="2542" spans="1:9" x14ac:dyDescent="0.3">
      <c r="A2542" t="str">
        <f>""</f>
        <v/>
      </c>
      <c r="F2542" t="str">
        <f>""</f>
        <v/>
      </c>
      <c r="G2542" t="str">
        <f>""</f>
        <v/>
      </c>
      <c r="I2542" t="str">
        <f t="shared" si="35"/>
        <v>MEDICARE TAXES</v>
      </c>
    </row>
    <row r="2543" spans="1:9" x14ac:dyDescent="0.3">
      <c r="A2543" t="str">
        <f>""</f>
        <v/>
      </c>
      <c r="F2543" t="str">
        <f>""</f>
        <v/>
      </c>
      <c r="G2543" t="str">
        <f>""</f>
        <v/>
      </c>
      <c r="I2543" t="str">
        <f t="shared" si="35"/>
        <v>MEDICARE TAXES</v>
      </c>
    </row>
    <row r="2544" spans="1:9" x14ac:dyDescent="0.3">
      <c r="A2544" t="str">
        <f>""</f>
        <v/>
      </c>
      <c r="F2544" t="str">
        <f>""</f>
        <v/>
      </c>
      <c r="G2544" t="str">
        <f>""</f>
        <v/>
      </c>
      <c r="I2544" t="str">
        <f t="shared" si="35"/>
        <v>MEDICARE TAXES</v>
      </c>
    </row>
    <row r="2545" spans="1:9" x14ac:dyDescent="0.3">
      <c r="A2545" t="str">
        <f>""</f>
        <v/>
      </c>
      <c r="F2545" t="str">
        <f>""</f>
        <v/>
      </c>
      <c r="G2545" t="str">
        <f>""</f>
        <v/>
      </c>
      <c r="I2545" t="str">
        <f t="shared" si="35"/>
        <v>MEDICARE TAXES</v>
      </c>
    </row>
    <row r="2546" spans="1:9" x14ac:dyDescent="0.3">
      <c r="A2546" t="str">
        <f>""</f>
        <v/>
      </c>
      <c r="F2546" t="str">
        <f>""</f>
        <v/>
      </c>
      <c r="G2546" t="str">
        <f>""</f>
        <v/>
      </c>
      <c r="I2546" t="str">
        <f t="shared" si="35"/>
        <v>MEDICARE TAXES</v>
      </c>
    </row>
    <row r="2547" spans="1:9" x14ac:dyDescent="0.3">
      <c r="A2547" t="str">
        <f>""</f>
        <v/>
      </c>
      <c r="F2547" t="str">
        <f>""</f>
        <v/>
      </c>
      <c r="G2547" t="str">
        <f>""</f>
        <v/>
      </c>
      <c r="I2547" t="str">
        <f t="shared" si="35"/>
        <v>MEDICARE TAXES</v>
      </c>
    </row>
    <row r="2548" spans="1:9" x14ac:dyDescent="0.3">
      <c r="A2548" t="str">
        <f>""</f>
        <v/>
      </c>
      <c r="F2548" t="str">
        <f>""</f>
        <v/>
      </c>
      <c r="G2548" t="str">
        <f>""</f>
        <v/>
      </c>
      <c r="I2548" t="str">
        <f t="shared" si="35"/>
        <v>MEDICARE TAXES</v>
      </c>
    </row>
    <row r="2549" spans="1:9" x14ac:dyDescent="0.3">
      <c r="A2549" t="str">
        <f>""</f>
        <v/>
      </c>
      <c r="F2549" t="str">
        <f>""</f>
        <v/>
      </c>
      <c r="G2549" t="str">
        <f>""</f>
        <v/>
      </c>
      <c r="I2549" t="str">
        <f t="shared" si="35"/>
        <v>MEDICARE TAXES</v>
      </c>
    </row>
    <row r="2550" spans="1:9" x14ac:dyDescent="0.3">
      <c r="A2550" t="str">
        <f>""</f>
        <v/>
      </c>
      <c r="F2550" t="str">
        <f>""</f>
        <v/>
      </c>
      <c r="G2550" t="str">
        <f>""</f>
        <v/>
      </c>
      <c r="I2550" t="str">
        <f t="shared" si="35"/>
        <v>MEDICARE TAXES</v>
      </c>
    </row>
    <row r="2551" spans="1:9" x14ac:dyDescent="0.3">
      <c r="A2551" t="str">
        <f>""</f>
        <v/>
      </c>
      <c r="F2551" t="str">
        <f>""</f>
        <v/>
      </c>
      <c r="G2551" t="str">
        <f>""</f>
        <v/>
      </c>
      <c r="I2551" t="str">
        <f t="shared" si="35"/>
        <v>MEDICARE TAXES</v>
      </c>
    </row>
    <row r="2552" spans="1:9" x14ac:dyDescent="0.3">
      <c r="A2552" t="str">
        <f>""</f>
        <v/>
      </c>
      <c r="F2552" t="str">
        <f>""</f>
        <v/>
      </c>
      <c r="G2552" t="str">
        <f>""</f>
        <v/>
      </c>
      <c r="I2552" t="str">
        <f t="shared" si="35"/>
        <v>MEDICARE TAXES</v>
      </c>
    </row>
    <row r="2553" spans="1:9" x14ac:dyDescent="0.3">
      <c r="A2553" t="str">
        <f>""</f>
        <v/>
      </c>
      <c r="F2553" t="str">
        <f>""</f>
        <v/>
      </c>
      <c r="G2553" t="str">
        <f>""</f>
        <v/>
      </c>
      <c r="I2553" t="str">
        <f t="shared" si="35"/>
        <v>MEDICARE TAXES</v>
      </c>
    </row>
    <row r="2554" spans="1:9" x14ac:dyDescent="0.3">
      <c r="A2554" t="str">
        <f>""</f>
        <v/>
      </c>
      <c r="F2554" t="str">
        <f>""</f>
        <v/>
      </c>
      <c r="G2554" t="str">
        <f>""</f>
        <v/>
      </c>
      <c r="I2554" t="str">
        <f t="shared" si="35"/>
        <v>MEDICARE TAXES</v>
      </c>
    </row>
    <row r="2555" spans="1:9" x14ac:dyDescent="0.3">
      <c r="A2555" t="str">
        <f>""</f>
        <v/>
      </c>
      <c r="F2555" t="str">
        <f>""</f>
        <v/>
      </c>
      <c r="G2555" t="str">
        <f>""</f>
        <v/>
      </c>
      <c r="I2555" t="str">
        <f t="shared" si="35"/>
        <v>MEDICARE TAXES</v>
      </c>
    </row>
    <row r="2556" spans="1:9" x14ac:dyDescent="0.3">
      <c r="A2556" t="str">
        <f>""</f>
        <v/>
      </c>
      <c r="F2556" t="str">
        <f>""</f>
        <v/>
      </c>
      <c r="G2556" t="str">
        <f>""</f>
        <v/>
      </c>
      <c r="I2556" t="str">
        <f t="shared" si="35"/>
        <v>MEDICARE TAXES</v>
      </c>
    </row>
    <row r="2557" spans="1:9" x14ac:dyDescent="0.3">
      <c r="A2557" t="str">
        <f>""</f>
        <v/>
      </c>
      <c r="F2557" t="str">
        <f>""</f>
        <v/>
      </c>
      <c r="G2557" t="str">
        <f>""</f>
        <v/>
      </c>
      <c r="I2557" t="str">
        <f t="shared" si="35"/>
        <v>MEDICARE TAXES</v>
      </c>
    </row>
    <row r="2558" spans="1:9" x14ac:dyDescent="0.3">
      <c r="A2558" t="str">
        <f>""</f>
        <v/>
      </c>
      <c r="F2558" t="str">
        <f>""</f>
        <v/>
      </c>
      <c r="G2558" t="str">
        <f>""</f>
        <v/>
      </c>
      <c r="I2558" t="str">
        <f t="shared" si="35"/>
        <v>MEDICARE TAXES</v>
      </c>
    </row>
    <row r="2559" spans="1:9" x14ac:dyDescent="0.3">
      <c r="A2559" t="str">
        <f>""</f>
        <v/>
      </c>
      <c r="F2559" t="str">
        <f>""</f>
        <v/>
      </c>
      <c r="G2559" t="str">
        <f>""</f>
        <v/>
      </c>
      <c r="I2559" t="str">
        <f t="shared" si="35"/>
        <v>MEDICARE TAXES</v>
      </c>
    </row>
    <row r="2560" spans="1:9" x14ac:dyDescent="0.3">
      <c r="A2560" t="str">
        <f>""</f>
        <v/>
      </c>
      <c r="F2560" t="str">
        <f>""</f>
        <v/>
      </c>
      <c r="G2560" t="str">
        <f>""</f>
        <v/>
      </c>
      <c r="I2560" t="str">
        <f t="shared" si="35"/>
        <v>MEDICARE TAXES</v>
      </c>
    </row>
    <row r="2561" spans="1:9" x14ac:dyDescent="0.3">
      <c r="A2561" t="str">
        <f>""</f>
        <v/>
      </c>
      <c r="F2561" t="str">
        <f>""</f>
        <v/>
      </c>
      <c r="G2561" t="str">
        <f>""</f>
        <v/>
      </c>
      <c r="I2561" t="str">
        <f t="shared" si="35"/>
        <v>MEDICARE TAXES</v>
      </c>
    </row>
    <row r="2562" spans="1:9" x14ac:dyDescent="0.3">
      <c r="A2562" t="str">
        <f>""</f>
        <v/>
      </c>
      <c r="F2562" t="str">
        <f>""</f>
        <v/>
      </c>
      <c r="G2562" t="str">
        <f>""</f>
        <v/>
      </c>
      <c r="I2562" t="str">
        <f t="shared" si="35"/>
        <v>MEDICARE TAXES</v>
      </c>
    </row>
    <row r="2563" spans="1:9" x14ac:dyDescent="0.3">
      <c r="A2563" t="str">
        <f>""</f>
        <v/>
      </c>
      <c r="F2563" t="str">
        <f>""</f>
        <v/>
      </c>
      <c r="G2563" t="str">
        <f>""</f>
        <v/>
      </c>
      <c r="I2563" t="str">
        <f t="shared" si="35"/>
        <v>MEDICARE TAXES</v>
      </c>
    </row>
    <row r="2564" spans="1:9" x14ac:dyDescent="0.3">
      <c r="A2564" t="str">
        <f>""</f>
        <v/>
      </c>
      <c r="F2564" t="str">
        <f>""</f>
        <v/>
      </c>
      <c r="G2564" t="str">
        <f>""</f>
        <v/>
      </c>
      <c r="I2564" t="str">
        <f t="shared" si="35"/>
        <v>MEDICARE TAXES</v>
      </c>
    </row>
    <row r="2565" spans="1:9" x14ac:dyDescent="0.3">
      <c r="A2565" t="str">
        <f>""</f>
        <v/>
      </c>
      <c r="F2565" t="str">
        <f>""</f>
        <v/>
      </c>
      <c r="G2565" t="str">
        <f>""</f>
        <v/>
      </c>
      <c r="I2565" t="str">
        <f t="shared" si="35"/>
        <v>MEDICARE TAXES</v>
      </c>
    </row>
    <row r="2566" spans="1:9" x14ac:dyDescent="0.3">
      <c r="A2566" t="str">
        <f>""</f>
        <v/>
      </c>
      <c r="F2566" t="str">
        <f>""</f>
        <v/>
      </c>
      <c r="G2566" t="str">
        <f>""</f>
        <v/>
      </c>
      <c r="I2566" t="str">
        <f t="shared" si="35"/>
        <v>MEDICARE TAXES</v>
      </c>
    </row>
    <row r="2567" spans="1:9" x14ac:dyDescent="0.3">
      <c r="A2567" t="str">
        <f>""</f>
        <v/>
      </c>
      <c r="F2567" t="str">
        <f>""</f>
        <v/>
      </c>
      <c r="G2567" t="str">
        <f>""</f>
        <v/>
      </c>
      <c r="I2567" t="str">
        <f t="shared" si="35"/>
        <v>MEDICARE TAXES</v>
      </c>
    </row>
    <row r="2568" spans="1:9" x14ac:dyDescent="0.3">
      <c r="A2568" t="str">
        <f>""</f>
        <v/>
      </c>
      <c r="F2568" t="str">
        <f>""</f>
        <v/>
      </c>
      <c r="G2568" t="str">
        <f>""</f>
        <v/>
      </c>
      <c r="I2568" t="str">
        <f t="shared" si="35"/>
        <v>MEDICARE TAXES</v>
      </c>
    </row>
    <row r="2569" spans="1:9" x14ac:dyDescent="0.3">
      <c r="A2569" t="str">
        <f>""</f>
        <v/>
      </c>
      <c r="F2569" t="str">
        <f>""</f>
        <v/>
      </c>
      <c r="G2569" t="str">
        <f>""</f>
        <v/>
      </c>
      <c r="I2569" t="str">
        <f t="shared" si="35"/>
        <v>MEDICARE TAXES</v>
      </c>
    </row>
    <row r="2570" spans="1:9" x14ac:dyDescent="0.3">
      <c r="A2570" t="str">
        <f>""</f>
        <v/>
      </c>
      <c r="F2570" t="str">
        <f>""</f>
        <v/>
      </c>
      <c r="G2570" t="str">
        <f>""</f>
        <v/>
      </c>
      <c r="I2570" t="str">
        <f t="shared" si="35"/>
        <v>MEDICARE TAXES</v>
      </c>
    </row>
    <row r="2571" spans="1:9" x14ac:dyDescent="0.3">
      <c r="A2571" t="str">
        <f>""</f>
        <v/>
      </c>
      <c r="F2571" t="str">
        <f>""</f>
        <v/>
      </c>
      <c r="G2571" t="str">
        <f>""</f>
        <v/>
      </c>
      <c r="I2571" t="str">
        <f t="shared" si="35"/>
        <v>MEDICARE TAXES</v>
      </c>
    </row>
    <row r="2572" spans="1:9" x14ac:dyDescent="0.3">
      <c r="A2572" t="str">
        <f>""</f>
        <v/>
      </c>
      <c r="F2572" t="str">
        <f>""</f>
        <v/>
      </c>
      <c r="G2572" t="str">
        <f>""</f>
        <v/>
      </c>
      <c r="I2572" t="str">
        <f t="shared" si="35"/>
        <v>MEDICARE TAXES</v>
      </c>
    </row>
    <row r="2573" spans="1:9" x14ac:dyDescent="0.3">
      <c r="A2573" t="str">
        <f>""</f>
        <v/>
      </c>
      <c r="F2573" t="str">
        <f>""</f>
        <v/>
      </c>
      <c r="G2573" t="str">
        <f>""</f>
        <v/>
      </c>
      <c r="I2573" t="str">
        <f t="shared" ref="I2573:I2596" si="36">"MEDICARE TAXES"</f>
        <v>MEDICARE TAXES</v>
      </c>
    </row>
    <row r="2574" spans="1:9" x14ac:dyDescent="0.3">
      <c r="A2574" t="str">
        <f>""</f>
        <v/>
      </c>
      <c r="F2574" t="str">
        <f>""</f>
        <v/>
      </c>
      <c r="G2574" t="str">
        <f>""</f>
        <v/>
      </c>
      <c r="I2574" t="str">
        <f t="shared" si="36"/>
        <v>MEDICARE TAXES</v>
      </c>
    </row>
    <row r="2575" spans="1:9" x14ac:dyDescent="0.3">
      <c r="A2575" t="str">
        <f>""</f>
        <v/>
      </c>
      <c r="F2575" t="str">
        <f>""</f>
        <v/>
      </c>
      <c r="G2575" t="str">
        <f>""</f>
        <v/>
      </c>
      <c r="I2575" t="str">
        <f t="shared" si="36"/>
        <v>MEDICARE TAXES</v>
      </c>
    </row>
    <row r="2576" spans="1:9" x14ac:dyDescent="0.3">
      <c r="A2576" t="str">
        <f>""</f>
        <v/>
      </c>
      <c r="F2576" t="str">
        <f>""</f>
        <v/>
      </c>
      <c r="G2576" t="str">
        <f>""</f>
        <v/>
      </c>
      <c r="I2576" t="str">
        <f t="shared" si="36"/>
        <v>MEDICARE TAXES</v>
      </c>
    </row>
    <row r="2577" spans="1:9" x14ac:dyDescent="0.3">
      <c r="A2577" t="str">
        <f>""</f>
        <v/>
      </c>
      <c r="F2577" t="str">
        <f>""</f>
        <v/>
      </c>
      <c r="G2577" t="str">
        <f>""</f>
        <v/>
      </c>
      <c r="I2577" t="str">
        <f t="shared" si="36"/>
        <v>MEDICARE TAXES</v>
      </c>
    </row>
    <row r="2578" spans="1:9" x14ac:dyDescent="0.3">
      <c r="A2578" t="str">
        <f>""</f>
        <v/>
      </c>
      <c r="F2578" t="str">
        <f>""</f>
        <v/>
      </c>
      <c r="G2578" t="str">
        <f>""</f>
        <v/>
      </c>
      <c r="I2578" t="str">
        <f t="shared" si="36"/>
        <v>MEDICARE TAXES</v>
      </c>
    </row>
    <row r="2579" spans="1:9" x14ac:dyDescent="0.3">
      <c r="A2579" t="str">
        <f>""</f>
        <v/>
      </c>
      <c r="F2579" t="str">
        <f>""</f>
        <v/>
      </c>
      <c r="G2579" t="str">
        <f>""</f>
        <v/>
      </c>
      <c r="I2579" t="str">
        <f t="shared" si="36"/>
        <v>MEDICARE TAXES</v>
      </c>
    </row>
    <row r="2580" spans="1:9" x14ac:dyDescent="0.3">
      <c r="A2580" t="str">
        <f>""</f>
        <v/>
      </c>
      <c r="F2580" t="str">
        <f>""</f>
        <v/>
      </c>
      <c r="G2580" t="str">
        <f>""</f>
        <v/>
      </c>
      <c r="I2580" t="str">
        <f t="shared" si="36"/>
        <v>MEDICARE TAXES</v>
      </c>
    </row>
    <row r="2581" spans="1:9" x14ac:dyDescent="0.3">
      <c r="A2581" t="str">
        <f>""</f>
        <v/>
      </c>
      <c r="F2581" t="str">
        <f>""</f>
        <v/>
      </c>
      <c r="G2581" t="str">
        <f>""</f>
        <v/>
      </c>
      <c r="I2581" t="str">
        <f t="shared" si="36"/>
        <v>MEDICARE TAXES</v>
      </c>
    </row>
    <row r="2582" spans="1:9" x14ac:dyDescent="0.3">
      <c r="A2582" t="str">
        <f>""</f>
        <v/>
      </c>
      <c r="F2582" t="str">
        <f>""</f>
        <v/>
      </c>
      <c r="G2582" t="str">
        <f>""</f>
        <v/>
      </c>
      <c r="I2582" t="str">
        <f t="shared" si="36"/>
        <v>MEDICARE TAXES</v>
      </c>
    </row>
    <row r="2583" spans="1:9" x14ac:dyDescent="0.3">
      <c r="A2583" t="str">
        <f>""</f>
        <v/>
      </c>
      <c r="F2583" t="str">
        <f>""</f>
        <v/>
      </c>
      <c r="G2583" t="str">
        <f>""</f>
        <v/>
      </c>
      <c r="I2583" t="str">
        <f t="shared" si="36"/>
        <v>MEDICARE TAXES</v>
      </c>
    </row>
    <row r="2584" spans="1:9" x14ac:dyDescent="0.3">
      <c r="A2584" t="str">
        <f>""</f>
        <v/>
      </c>
      <c r="F2584" t="str">
        <f>""</f>
        <v/>
      </c>
      <c r="G2584" t="str">
        <f>""</f>
        <v/>
      </c>
      <c r="I2584" t="str">
        <f t="shared" si="36"/>
        <v>MEDICARE TAXES</v>
      </c>
    </row>
    <row r="2585" spans="1:9" x14ac:dyDescent="0.3">
      <c r="A2585" t="str">
        <f>""</f>
        <v/>
      </c>
      <c r="F2585" t="str">
        <f>""</f>
        <v/>
      </c>
      <c r="G2585" t="str">
        <f>""</f>
        <v/>
      </c>
      <c r="I2585" t="str">
        <f t="shared" si="36"/>
        <v>MEDICARE TAXES</v>
      </c>
    </row>
    <row r="2586" spans="1:9" x14ac:dyDescent="0.3">
      <c r="A2586" t="str">
        <f>""</f>
        <v/>
      </c>
      <c r="F2586" t="str">
        <f>""</f>
        <v/>
      </c>
      <c r="G2586" t="str">
        <f>""</f>
        <v/>
      </c>
      <c r="I2586" t="str">
        <f t="shared" si="36"/>
        <v>MEDICARE TAXES</v>
      </c>
    </row>
    <row r="2587" spans="1:9" x14ac:dyDescent="0.3">
      <c r="A2587" t="str">
        <f>""</f>
        <v/>
      </c>
      <c r="F2587" t="str">
        <f>""</f>
        <v/>
      </c>
      <c r="G2587" t="str">
        <f>""</f>
        <v/>
      </c>
      <c r="I2587" t="str">
        <f t="shared" si="36"/>
        <v>MEDICARE TAXES</v>
      </c>
    </row>
    <row r="2588" spans="1:9" x14ac:dyDescent="0.3">
      <c r="A2588" t="str">
        <f>""</f>
        <v/>
      </c>
      <c r="F2588" t="str">
        <f>""</f>
        <v/>
      </c>
      <c r="G2588" t="str">
        <f>""</f>
        <v/>
      </c>
      <c r="I2588" t="str">
        <f t="shared" si="36"/>
        <v>MEDICARE TAXES</v>
      </c>
    </row>
    <row r="2589" spans="1:9" x14ac:dyDescent="0.3">
      <c r="A2589" t="str">
        <f>""</f>
        <v/>
      </c>
      <c r="F2589" t="str">
        <f>""</f>
        <v/>
      </c>
      <c r="G2589" t="str">
        <f>""</f>
        <v/>
      </c>
      <c r="I2589" t="str">
        <f t="shared" si="36"/>
        <v>MEDICARE TAXES</v>
      </c>
    </row>
    <row r="2590" spans="1:9" x14ac:dyDescent="0.3">
      <c r="A2590" t="str">
        <f>""</f>
        <v/>
      </c>
      <c r="F2590" t="str">
        <f>""</f>
        <v/>
      </c>
      <c r="G2590" t="str">
        <f>""</f>
        <v/>
      </c>
      <c r="I2590" t="str">
        <f t="shared" si="36"/>
        <v>MEDICARE TAXES</v>
      </c>
    </row>
    <row r="2591" spans="1:9" x14ac:dyDescent="0.3">
      <c r="A2591" t="str">
        <f>""</f>
        <v/>
      </c>
      <c r="F2591" t="str">
        <f>""</f>
        <v/>
      </c>
      <c r="G2591" t="str">
        <f>""</f>
        <v/>
      </c>
      <c r="I2591" t="str">
        <f t="shared" si="36"/>
        <v>MEDICARE TAXES</v>
      </c>
    </row>
    <row r="2592" spans="1:9" x14ac:dyDescent="0.3">
      <c r="A2592" t="str">
        <f>""</f>
        <v/>
      </c>
      <c r="F2592" t="str">
        <f>""</f>
        <v/>
      </c>
      <c r="G2592" t="str">
        <f>""</f>
        <v/>
      </c>
      <c r="I2592" t="str">
        <f t="shared" si="36"/>
        <v>MEDICARE TAXES</v>
      </c>
    </row>
    <row r="2593" spans="1:9" x14ac:dyDescent="0.3">
      <c r="A2593" t="str">
        <f>""</f>
        <v/>
      </c>
      <c r="F2593" t="str">
        <f>"T4 201802218811"</f>
        <v>T4 201802218811</v>
      </c>
      <c r="G2593" t="str">
        <f>"MEDICARE TAXES"</f>
        <v>MEDICARE TAXES</v>
      </c>
      <c r="H2593" s="2">
        <v>933.84</v>
      </c>
      <c r="I2593" t="str">
        <f t="shared" si="36"/>
        <v>MEDICARE TAXES</v>
      </c>
    </row>
    <row r="2594" spans="1:9" x14ac:dyDescent="0.3">
      <c r="A2594" t="str">
        <f>""</f>
        <v/>
      </c>
      <c r="F2594" t="str">
        <f>""</f>
        <v/>
      </c>
      <c r="G2594" t="str">
        <f>""</f>
        <v/>
      </c>
      <c r="I2594" t="str">
        <f t="shared" si="36"/>
        <v>MEDICARE TAXES</v>
      </c>
    </row>
    <row r="2595" spans="1:9" x14ac:dyDescent="0.3">
      <c r="A2595" t="str">
        <f>""</f>
        <v/>
      </c>
      <c r="F2595" t="str">
        <f>"T4 201802218812"</f>
        <v>T4 201802218812</v>
      </c>
      <c r="G2595" t="str">
        <f>"MEDICARE TAXES"</f>
        <v>MEDICARE TAXES</v>
      </c>
      <c r="H2595" s="2">
        <v>1312.78</v>
      </c>
      <c r="I2595" t="str">
        <f t="shared" si="36"/>
        <v>MEDICARE TAXES</v>
      </c>
    </row>
    <row r="2596" spans="1:9" x14ac:dyDescent="0.3">
      <c r="A2596" t="str">
        <f>""</f>
        <v/>
      </c>
      <c r="F2596" t="str">
        <f>""</f>
        <v/>
      </c>
      <c r="G2596" t="str">
        <f>""</f>
        <v/>
      </c>
      <c r="I2596" t="str">
        <f t="shared" si="36"/>
        <v>MEDICARE TAXES</v>
      </c>
    </row>
    <row r="2597" spans="1:9" x14ac:dyDescent="0.3">
      <c r="A2597" t="str">
        <f>"004638"</f>
        <v>004638</v>
      </c>
      <c r="B2597" t="s">
        <v>530</v>
      </c>
      <c r="C2597">
        <v>46152</v>
      </c>
      <c r="D2597" s="2">
        <v>268.74</v>
      </c>
      <c r="E2597" s="1">
        <v>43140</v>
      </c>
      <c r="F2597" t="str">
        <f>"C64201802068586"</f>
        <v>C64201802068586</v>
      </c>
      <c r="G2597" t="str">
        <f>"CASE #912745322"</f>
        <v>CASE #912745322</v>
      </c>
      <c r="H2597" s="2">
        <v>268.74</v>
      </c>
      <c r="I2597" t="str">
        <f>"CASE #912745322"</f>
        <v>CASE #912745322</v>
      </c>
    </row>
    <row r="2598" spans="1:9" x14ac:dyDescent="0.3">
      <c r="A2598" t="str">
        <f>"004638"</f>
        <v>004638</v>
      </c>
      <c r="B2598" t="s">
        <v>530</v>
      </c>
      <c r="C2598">
        <v>46171</v>
      </c>
      <c r="D2598" s="2">
        <v>268.74</v>
      </c>
      <c r="E2598" s="1">
        <v>43154</v>
      </c>
      <c r="F2598" t="str">
        <f>"C64201802218810"</f>
        <v>C64201802218810</v>
      </c>
      <c r="G2598" t="str">
        <f>"CASE #912745322"</f>
        <v>CASE #912745322</v>
      </c>
      <c r="H2598" s="2">
        <v>268.74</v>
      </c>
      <c r="I2598" t="str">
        <f>"CASE #912745322"</f>
        <v>CASE #912745322</v>
      </c>
    </row>
    <row r="2599" spans="1:9" x14ac:dyDescent="0.3">
      <c r="A2599" t="str">
        <f>"001507"</f>
        <v>001507</v>
      </c>
      <c r="B2599" t="s">
        <v>531</v>
      </c>
      <c r="C2599">
        <v>0</v>
      </c>
      <c r="D2599" s="2">
        <v>27878.77</v>
      </c>
      <c r="E2599" s="1">
        <v>43158</v>
      </c>
      <c r="F2599" t="str">
        <f>"201802268881"</f>
        <v>201802268881</v>
      </c>
      <c r="G2599" t="str">
        <f>"Retiree Monumental Feb 2018"</f>
        <v>Retiree Monumental Feb 2018</v>
      </c>
      <c r="H2599" s="2">
        <v>27878.77</v>
      </c>
      <c r="I2599" t="str">
        <f>"Retiree Monumental Feb 2018"</f>
        <v>Retiree Monumental Feb 2018</v>
      </c>
    </row>
    <row r="2600" spans="1:9" x14ac:dyDescent="0.3">
      <c r="A2600" t="str">
        <f>"002456"</f>
        <v>002456</v>
      </c>
      <c r="B2600" t="s">
        <v>532</v>
      </c>
      <c r="C2600">
        <v>0</v>
      </c>
      <c r="D2600" s="2">
        <v>731.02</v>
      </c>
      <c r="E2600" s="1">
        <v>43158</v>
      </c>
      <c r="F2600" t="str">
        <f>"LIX201802068586"</f>
        <v>LIX201802068586</v>
      </c>
      <c r="G2600" t="str">
        <f>"TEXAS LIFE/OLIVO GROUP"</f>
        <v>TEXAS LIFE/OLIVO GROUP</v>
      </c>
      <c r="H2600" s="2">
        <v>365.51</v>
      </c>
      <c r="I2600" t="str">
        <f>"TEXAS LIFE/OLIVO GROUP"</f>
        <v>TEXAS LIFE/OLIVO GROUP</v>
      </c>
    </row>
    <row r="2601" spans="1:9" x14ac:dyDescent="0.3">
      <c r="A2601" t="str">
        <f>""</f>
        <v/>
      </c>
      <c r="F2601" t="str">
        <f>"LIX201802218810"</f>
        <v>LIX201802218810</v>
      </c>
      <c r="G2601" t="str">
        <f>"TEXAS LIFE/OLIVO GROUP"</f>
        <v>TEXAS LIFE/OLIVO GROUP</v>
      </c>
      <c r="H2601" s="2">
        <v>365.51</v>
      </c>
      <c r="I2601" t="str">
        <f>"TEXAS LIFE/OLIVO GROUP"</f>
        <v>TEXAS LIFE/OLIVO GROUP</v>
      </c>
    </row>
    <row r="2602" spans="1:9" x14ac:dyDescent="0.3">
      <c r="A2602" t="str">
        <f>"TACHEB"</f>
        <v>TACHEB</v>
      </c>
      <c r="B2602" t="s">
        <v>533</v>
      </c>
      <c r="C2602">
        <v>46178</v>
      </c>
      <c r="D2602" s="2">
        <v>337080.48</v>
      </c>
      <c r="E2602" s="1">
        <v>43158</v>
      </c>
      <c r="F2602" t="str">
        <f>"201802268879"</f>
        <v>201802268879</v>
      </c>
      <c r="G2602" t="str">
        <f>"Retitrees Feb 2018"</f>
        <v>Retitrees Feb 2018</v>
      </c>
      <c r="H2602" s="2">
        <v>15116.16</v>
      </c>
      <c r="I2602" t="str">
        <f>"Retitrees Feb 2018"</f>
        <v>Retitrees Feb 2018</v>
      </c>
    </row>
    <row r="2603" spans="1:9" x14ac:dyDescent="0.3">
      <c r="A2603" t="str">
        <f>""</f>
        <v/>
      </c>
      <c r="F2603" t="str">
        <f>"201802268880"</f>
        <v>201802268880</v>
      </c>
      <c r="G2603" t="str">
        <f>"COBRA Sue Cerf  Lori Lancaster"</f>
        <v>COBRA Sue Cerf  Lori Lancaster</v>
      </c>
      <c r="H2603" s="2">
        <v>2448.3000000000002</v>
      </c>
      <c r="I2603" t="str">
        <f>"TAC HEALTH BENEFITS POOL"</f>
        <v>TAC HEALTH BENEFITS POOL</v>
      </c>
    </row>
    <row r="2604" spans="1:9" x14ac:dyDescent="0.3">
      <c r="A2604" t="str">
        <f>""</f>
        <v/>
      </c>
      <c r="F2604" t="str">
        <f>"2EC201802068586"</f>
        <v>2EC201802068586</v>
      </c>
      <c r="G2604" t="str">
        <f>"BCBS PAYABLE"</f>
        <v>BCBS PAYABLE</v>
      </c>
      <c r="H2604" s="2">
        <v>44432.19</v>
      </c>
      <c r="I2604" t="str">
        <f t="shared" ref="I2604:I2667" si="37">"BCBS PAYABLE"</f>
        <v>BCBS PAYABLE</v>
      </c>
    </row>
    <row r="2605" spans="1:9" x14ac:dyDescent="0.3">
      <c r="A2605" t="str">
        <f>""</f>
        <v/>
      </c>
      <c r="F2605" t="str">
        <f>""</f>
        <v/>
      </c>
      <c r="G2605" t="str">
        <f>""</f>
        <v/>
      </c>
      <c r="I2605" t="str">
        <f t="shared" si="37"/>
        <v>BCBS PAYABLE</v>
      </c>
    </row>
    <row r="2606" spans="1:9" x14ac:dyDescent="0.3">
      <c r="A2606" t="str">
        <f>""</f>
        <v/>
      </c>
      <c r="F2606" t="str">
        <f>""</f>
        <v/>
      </c>
      <c r="G2606" t="str">
        <f>""</f>
        <v/>
      </c>
      <c r="I2606" t="str">
        <f t="shared" si="37"/>
        <v>BCBS PAYABLE</v>
      </c>
    </row>
    <row r="2607" spans="1:9" x14ac:dyDescent="0.3">
      <c r="A2607" t="str">
        <f>""</f>
        <v/>
      </c>
      <c r="F2607" t="str">
        <f>""</f>
        <v/>
      </c>
      <c r="G2607" t="str">
        <f>""</f>
        <v/>
      </c>
      <c r="I2607" t="str">
        <f t="shared" si="37"/>
        <v>BCBS PAYABLE</v>
      </c>
    </row>
    <row r="2608" spans="1:9" x14ac:dyDescent="0.3">
      <c r="A2608" t="str">
        <f>""</f>
        <v/>
      </c>
      <c r="F2608" t="str">
        <f>""</f>
        <v/>
      </c>
      <c r="G2608" t="str">
        <f>""</f>
        <v/>
      </c>
      <c r="I2608" t="str">
        <f t="shared" si="37"/>
        <v>BCBS PAYABLE</v>
      </c>
    </row>
    <row r="2609" spans="1:9" x14ac:dyDescent="0.3">
      <c r="A2609" t="str">
        <f>""</f>
        <v/>
      </c>
      <c r="F2609" t="str">
        <f>""</f>
        <v/>
      </c>
      <c r="G2609" t="str">
        <f>""</f>
        <v/>
      </c>
      <c r="I2609" t="str">
        <f t="shared" si="37"/>
        <v>BCBS PAYABLE</v>
      </c>
    </row>
    <row r="2610" spans="1:9" x14ac:dyDescent="0.3">
      <c r="A2610" t="str">
        <f>""</f>
        <v/>
      </c>
      <c r="F2610" t="str">
        <f>""</f>
        <v/>
      </c>
      <c r="G2610" t="str">
        <f>""</f>
        <v/>
      </c>
      <c r="I2610" t="str">
        <f t="shared" si="37"/>
        <v>BCBS PAYABLE</v>
      </c>
    </row>
    <row r="2611" spans="1:9" x14ac:dyDescent="0.3">
      <c r="A2611" t="str">
        <f>""</f>
        <v/>
      </c>
      <c r="F2611" t="str">
        <f>""</f>
        <v/>
      </c>
      <c r="G2611" t="str">
        <f>""</f>
        <v/>
      </c>
      <c r="I2611" t="str">
        <f t="shared" si="37"/>
        <v>BCBS PAYABLE</v>
      </c>
    </row>
    <row r="2612" spans="1:9" x14ac:dyDescent="0.3">
      <c r="A2612" t="str">
        <f>""</f>
        <v/>
      </c>
      <c r="F2612" t="str">
        <f>""</f>
        <v/>
      </c>
      <c r="G2612" t="str">
        <f>""</f>
        <v/>
      </c>
      <c r="I2612" t="str">
        <f t="shared" si="37"/>
        <v>BCBS PAYABLE</v>
      </c>
    </row>
    <row r="2613" spans="1:9" x14ac:dyDescent="0.3">
      <c r="A2613" t="str">
        <f>""</f>
        <v/>
      </c>
      <c r="F2613" t="str">
        <f>""</f>
        <v/>
      </c>
      <c r="G2613" t="str">
        <f>""</f>
        <v/>
      </c>
      <c r="I2613" t="str">
        <f t="shared" si="37"/>
        <v>BCBS PAYABLE</v>
      </c>
    </row>
    <row r="2614" spans="1:9" x14ac:dyDescent="0.3">
      <c r="A2614" t="str">
        <f>""</f>
        <v/>
      </c>
      <c r="F2614" t="str">
        <f>""</f>
        <v/>
      </c>
      <c r="G2614" t="str">
        <f>""</f>
        <v/>
      </c>
      <c r="I2614" t="str">
        <f t="shared" si="37"/>
        <v>BCBS PAYABLE</v>
      </c>
    </row>
    <row r="2615" spans="1:9" x14ac:dyDescent="0.3">
      <c r="A2615" t="str">
        <f>""</f>
        <v/>
      </c>
      <c r="F2615" t="str">
        <f>""</f>
        <v/>
      </c>
      <c r="G2615" t="str">
        <f>""</f>
        <v/>
      </c>
      <c r="I2615" t="str">
        <f t="shared" si="37"/>
        <v>BCBS PAYABLE</v>
      </c>
    </row>
    <row r="2616" spans="1:9" x14ac:dyDescent="0.3">
      <c r="A2616" t="str">
        <f>""</f>
        <v/>
      </c>
      <c r="F2616" t="str">
        <f>""</f>
        <v/>
      </c>
      <c r="G2616" t="str">
        <f>""</f>
        <v/>
      </c>
      <c r="I2616" t="str">
        <f t="shared" si="37"/>
        <v>BCBS PAYABLE</v>
      </c>
    </row>
    <row r="2617" spans="1:9" x14ac:dyDescent="0.3">
      <c r="A2617" t="str">
        <f>""</f>
        <v/>
      </c>
      <c r="F2617" t="str">
        <f>""</f>
        <v/>
      </c>
      <c r="G2617" t="str">
        <f>""</f>
        <v/>
      </c>
      <c r="I2617" t="str">
        <f t="shared" si="37"/>
        <v>BCBS PAYABLE</v>
      </c>
    </row>
    <row r="2618" spans="1:9" x14ac:dyDescent="0.3">
      <c r="A2618" t="str">
        <f>""</f>
        <v/>
      </c>
      <c r="F2618" t="str">
        <f>""</f>
        <v/>
      </c>
      <c r="G2618" t="str">
        <f>""</f>
        <v/>
      </c>
      <c r="I2618" t="str">
        <f t="shared" si="37"/>
        <v>BCBS PAYABLE</v>
      </c>
    </row>
    <row r="2619" spans="1:9" x14ac:dyDescent="0.3">
      <c r="A2619" t="str">
        <f>""</f>
        <v/>
      </c>
      <c r="F2619" t="str">
        <f>""</f>
        <v/>
      </c>
      <c r="G2619" t="str">
        <f>""</f>
        <v/>
      </c>
      <c r="I2619" t="str">
        <f t="shared" si="37"/>
        <v>BCBS PAYABLE</v>
      </c>
    </row>
    <row r="2620" spans="1:9" x14ac:dyDescent="0.3">
      <c r="A2620" t="str">
        <f>""</f>
        <v/>
      </c>
      <c r="F2620" t="str">
        <f>""</f>
        <v/>
      </c>
      <c r="G2620" t="str">
        <f>""</f>
        <v/>
      </c>
      <c r="I2620" t="str">
        <f t="shared" si="37"/>
        <v>BCBS PAYABLE</v>
      </c>
    </row>
    <row r="2621" spans="1:9" x14ac:dyDescent="0.3">
      <c r="A2621" t="str">
        <f>""</f>
        <v/>
      </c>
      <c r="F2621" t="str">
        <f>""</f>
        <v/>
      </c>
      <c r="G2621" t="str">
        <f>""</f>
        <v/>
      </c>
      <c r="I2621" t="str">
        <f t="shared" si="37"/>
        <v>BCBS PAYABLE</v>
      </c>
    </row>
    <row r="2622" spans="1:9" x14ac:dyDescent="0.3">
      <c r="A2622" t="str">
        <f>""</f>
        <v/>
      </c>
      <c r="F2622" t="str">
        <f>""</f>
        <v/>
      </c>
      <c r="G2622" t="str">
        <f>""</f>
        <v/>
      </c>
      <c r="I2622" t="str">
        <f t="shared" si="37"/>
        <v>BCBS PAYABLE</v>
      </c>
    </row>
    <row r="2623" spans="1:9" x14ac:dyDescent="0.3">
      <c r="A2623" t="str">
        <f>""</f>
        <v/>
      </c>
      <c r="F2623" t="str">
        <f>""</f>
        <v/>
      </c>
      <c r="G2623" t="str">
        <f>""</f>
        <v/>
      </c>
      <c r="I2623" t="str">
        <f t="shared" si="37"/>
        <v>BCBS PAYABLE</v>
      </c>
    </row>
    <row r="2624" spans="1:9" x14ac:dyDescent="0.3">
      <c r="A2624" t="str">
        <f>""</f>
        <v/>
      </c>
      <c r="F2624" t="str">
        <f>""</f>
        <v/>
      </c>
      <c r="G2624" t="str">
        <f>""</f>
        <v/>
      </c>
      <c r="I2624" t="str">
        <f t="shared" si="37"/>
        <v>BCBS PAYABLE</v>
      </c>
    </row>
    <row r="2625" spans="1:9" x14ac:dyDescent="0.3">
      <c r="A2625" t="str">
        <f>""</f>
        <v/>
      </c>
      <c r="F2625" t="str">
        <f>""</f>
        <v/>
      </c>
      <c r="G2625" t="str">
        <f>""</f>
        <v/>
      </c>
      <c r="I2625" t="str">
        <f t="shared" si="37"/>
        <v>BCBS PAYABLE</v>
      </c>
    </row>
    <row r="2626" spans="1:9" x14ac:dyDescent="0.3">
      <c r="A2626" t="str">
        <f>""</f>
        <v/>
      </c>
      <c r="F2626" t="str">
        <f>""</f>
        <v/>
      </c>
      <c r="G2626" t="str">
        <f>""</f>
        <v/>
      </c>
      <c r="I2626" t="str">
        <f t="shared" si="37"/>
        <v>BCBS PAYABLE</v>
      </c>
    </row>
    <row r="2627" spans="1:9" x14ac:dyDescent="0.3">
      <c r="A2627" t="str">
        <f>""</f>
        <v/>
      </c>
      <c r="F2627" t="str">
        <f>""</f>
        <v/>
      </c>
      <c r="G2627" t="str">
        <f>""</f>
        <v/>
      </c>
      <c r="I2627" t="str">
        <f t="shared" si="37"/>
        <v>BCBS PAYABLE</v>
      </c>
    </row>
    <row r="2628" spans="1:9" x14ac:dyDescent="0.3">
      <c r="A2628" t="str">
        <f>""</f>
        <v/>
      </c>
      <c r="F2628" t="str">
        <f>""</f>
        <v/>
      </c>
      <c r="G2628" t="str">
        <f>""</f>
        <v/>
      </c>
      <c r="I2628" t="str">
        <f t="shared" si="37"/>
        <v>BCBS PAYABLE</v>
      </c>
    </row>
    <row r="2629" spans="1:9" x14ac:dyDescent="0.3">
      <c r="A2629" t="str">
        <f>""</f>
        <v/>
      </c>
      <c r="F2629" t="str">
        <f>""</f>
        <v/>
      </c>
      <c r="G2629" t="str">
        <f>""</f>
        <v/>
      </c>
      <c r="I2629" t="str">
        <f t="shared" si="37"/>
        <v>BCBS PAYABLE</v>
      </c>
    </row>
    <row r="2630" spans="1:9" x14ac:dyDescent="0.3">
      <c r="A2630" t="str">
        <f>""</f>
        <v/>
      </c>
      <c r="F2630" t="str">
        <f>""</f>
        <v/>
      </c>
      <c r="G2630" t="str">
        <f>""</f>
        <v/>
      </c>
      <c r="I2630" t="str">
        <f t="shared" si="37"/>
        <v>BCBS PAYABLE</v>
      </c>
    </row>
    <row r="2631" spans="1:9" x14ac:dyDescent="0.3">
      <c r="A2631" t="str">
        <f>""</f>
        <v/>
      </c>
      <c r="F2631" t="str">
        <f>""</f>
        <v/>
      </c>
      <c r="G2631" t="str">
        <f>""</f>
        <v/>
      </c>
      <c r="I2631" t="str">
        <f t="shared" si="37"/>
        <v>BCBS PAYABLE</v>
      </c>
    </row>
    <row r="2632" spans="1:9" x14ac:dyDescent="0.3">
      <c r="A2632" t="str">
        <f>""</f>
        <v/>
      </c>
      <c r="F2632" t="str">
        <f>""</f>
        <v/>
      </c>
      <c r="G2632" t="str">
        <f>""</f>
        <v/>
      </c>
      <c r="I2632" t="str">
        <f t="shared" si="37"/>
        <v>BCBS PAYABLE</v>
      </c>
    </row>
    <row r="2633" spans="1:9" x14ac:dyDescent="0.3">
      <c r="A2633" t="str">
        <f>""</f>
        <v/>
      </c>
      <c r="F2633" t="str">
        <f>""</f>
        <v/>
      </c>
      <c r="G2633" t="str">
        <f>""</f>
        <v/>
      </c>
      <c r="I2633" t="str">
        <f t="shared" si="37"/>
        <v>BCBS PAYABLE</v>
      </c>
    </row>
    <row r="2634" spans="1:9" x14ac:dyDescent="0.3">
      <c r="A2634" t="str">
        <f>""</f>
        <v/>
      </c>
      <c r="F2634" t="str">
        <f>""</f>
        <v/>
      </c>
      <c r="G2634" t="str">
        <f>""</f>
        <v/>
      </c>
      <c r="I2634" t="str">
        <f t="shared" si="37"/>
        <v>BCBS PAYABLE</v>
      </c>
    </row>
    <row r="2635" spans="1:9" x14ac:dyDescent="0.3">
      <c r="A2635" t="str">
        <f>""</f>
        <v/>
      </c>
      <c r="F2635" t="str">
        <f>""</f>
        <v/>
      </c>
      <c r="G2635" t="str">
        <f>""</f>
        <v/>
      </c>
      <c r="I2635" t="str">
        <f t="shared" si="37"/>
        <v>BCBS PAYABLE</v>
      </c>
    </row>
    <row r="2636" spans="1:9" x14ac:dyDescent="0.3">
      <c r="A2636" t="str">
        <f>""</f>
        <v/>
      </c>
      <c r="F2636" t="str">
        <f>""</f>
        <v/>
      </c>
      <c r="G2636" t="str">
        <f>""</f>
        <v/>
      </c>
      <c r="I2636" t="str">
        <f t="shared" si="37"/>
        <v>BCBS PAYABLE</v>
      </c>
    </row>
    <row r="2637" spans="1:9" x14ac:dyDescent="0.3">
      <c r="A2637" t="str">
        <f>""</f>
        <v/>
      </c>
      <c r="F2637" t="str">
        <f>"2EC201802068587"</f>
        <v>2EC201802068587</v>
      </c>
      <c r="G2637" t="str">
        <f>"BCBS PAYABLE"</f>
        <v>BCBS PAYABLE</v>
      </c>
      <c r="H2637" s="2">
        <v>1795.24</v>
      </c>
      <c r="I2637" t="str">
        <f t="shared" si="37"/>
        <v>BCBS PAYABLE</v>
      </c>
    </row>
    <row r="2638" spans="1:9" x14ac:dyDescent="0.3">
      <c r="A2638" t="str">
        <f>""</f>
        <v/>
      </c>
      <c r="F2638" t="str">
        <f>""</f>
        <v/>
      </c>
      <c r="G2638" t="str">
        <f>""</f>
        <v/>
      </c>
      <c r="I2638" t="str">
        <f t="shared" si="37"/>
        <v>BCBS PAYABLE</v>
      </c>
    </row>
    <row r="2639" spans="1:9" x14ac:dyDescent="0.3">
      <c r="A2639" t="str">
        <f>""</f>
        <v/>
      </c>
      <c r="F2639" t="str">
        <f>"2EC201802218810"</f>
        <v>2EC201802218810</v>
      </c>
      <c r="G2639" t="str">
        <f>"BCBS PAYABLE"</f>
        <v>BCBS PAYABLE</v>
      </c>
      <c r="H2639" s="2">
        <v>44432.19</v>
      </c>
      <c r="I2639" t="str">
        <f t="shared" si="37"/>
        <v>BCBS PAYABLE</v>
      </c>
    </row>
    <row r="2640" spans="1:9" x14ac:dyDescent="0.3">
      <c r="A2640" t="str">
        <f>""</f>
        <v/>
      </c>
      <c r="F2640" t="str">
        <f>""</f>
        <v/>
      </c>
      <c r="G2640" t="str">
        <f>""</f>
        <v/>
      </c>
      <c r="I2640" t="str">
        <f t="shared" si="37"/>
        <v>BCBS PAYABLE</v>
      </c>
    </row>
    <row r="2641" spans="1:9" x14ac:dyDescent="0.3">
      <c r="A2641" t="str">
        <f>""</f>
        <v/>
      </c>
      <c r="F2641" t="str">
        <f>""</f>
        <v/>
      </c>
      <c r="G2641" t="str">
        <f>""</f>
        <v/>
      </c>
      <c r="I2641" t="str">
        <f t="shared" si="37"/>
        <v>BCBS PAYABLE</v>
      </c>
    </row>
    <row r="2642" spans="1:9" x14ac:dyDescent="0.3">
      <c r="A2642" t="str">
        <f>""</f>
        <v/>
      </c>
      <c r="F2642" t="str">
        <f>""</f>
        <v/>
      </c>
      <c r="G2642" t="str">
        <f>""</f>
        <v/>
      </c>
      <c r="I2642" t="str">
        <f t="shared" si="37"/>
        <v>BCBS PAYABLE</v>
      </c>
    </row>
    <row r="2643" spans="1:9" x14ac:dyDescent="0.3">
      <c r="A2643" t="str">
        <f>""</f>
        <v/>
      </c>
      <c r="F2643" t="str">
        <f>""</f>
        <v/>
      </c>
      <c r="G2643" t="str">
        <f>""</f>
        <v/>
      </c>
      <c r="I2643" t="str">
        <f t="shared" si="37"/>
        <v>BCBS PAYABLE</v>
      </c>
    </row>
    <row r="2644" spans="1:9" x14ac:dyDescent="0.3">
      <c r="A2644" t="str">
        <f>""</f>
        <v/>
      </c>
      <c r="F2644" t="str">
        <f>""</f>
        <v/>
      </c>
      <c r="G2644" t="str">
        <f>""</f>
        <v/>
      </c>
      <c r="I2644" t="str">
        <f t="shared" si="37"/>
        <v>BCBS PAYABLE</v>
      </c>
    </row>
    <row r="2645" spans="1:9" x14ac:dyDescent="0.3">
      <c r="A2645" t="str">
        <f>""</f>
        <v/>
      </c>
      <c r="F2645" t="str">
        <f>""</f>
        <v/>
      </c>
      <c r="G2645" t="str">
        <f>""</f>
        <v/>
      </c>
      <c r="I2645" t="str">
        <f t="shared" si="37"/>
        <v>BCBS PAYABLE</v>
      </c>
    </row>
    <row r="2646" spans="1:9" x14ac:dyDescent="0.3">
      <c r="A2646" t="str">
        <f>""</f>
        <v/>
      </c>
      <c r="F2646" t="str">
        <f>""</f>
        <v/>
      </c>
      <c r="G2646" t="str">
        <f>""</f>
        <v/>
      </c>
      <c r="I2646" t="str">
        <f t="shared" si="37"/>
        <v>BCBS PAYABLE</v>
      </c>
    </row>
    <row r="2647" spans="1:9" x14ac:dyDescent="0.3">
      <c r="A2647" t="str">
        <f>""</f>
        <v/>
      </c>
      <c r="F2647" t="str">
        <f>""</f>
        <v/>
      </c>
      <c r="G2647" t="str">
        <f>""</f>
        <v/>
      </c>
      <c r="I2647" t="str">
        <f t="shared" si="37"/>
        <v>BCBS PAYABLE</v>
      </c>
    </row>
    <row r="2648" spans="1:9" x14ac:dyDescent="0.3">
      <c r="A2648" t="str">
        <f>""</f>
        <v/>
      </c>
      <c r="F2648" t="str">
        <f>""</f>
        <v/>
      </c>
      <c r="G2648" t="str">
        <f>""</f>
        <v/>
      </c>
      <c r="I2648" t="str">
        <f t="shared" si="37"/>
        <v>BCBS PAYABLE</v>
      </c>
    </row>
    <row r="2649" spans="1:9" x14ac:dyDescent="0.3">
      <c r="A2649" t="str">
        <f>""</f>
        <v/>
      </c>
      <c r="F2649" t="str">
        <f>""</f>
        <v/>
      </c>
      <c r="G2649" t="str">
        <f>""</f>
        <v/>
      </c>
      <c r="I2649" t="str">
        <f t="shared" si="37"/>
        <v>BCBS PAYABLE</v>
      </c>
    </row>
    <row r="2650" spans="1:9" x14ac:dyDescent="0.3">
      <c r="A2650" t="str">
        <f>""</f>
        <v/>
      </c>
      <c r="F2650" t="str">
        <f>""</f>
        <v/>
      </c>
      <c r="G2650" t="str">
        <f>""</f>
        <v/>
      </c>
      <c r="I2650" t="str">
        <f t="shared" si="37"/>
        <v>BCBS PAYABLE</v>
      </c>
    </row>
    <row r="2651" spans="1:9" x14ac:dyDescent="0.3">
      <c r="A2651" t="str">
        <f>""</f>
        <v/>
      </c>
      <c r="F2651" t="str">
        <f>""</f>
        <v/>
      </c>
      <c r="G2651" t="str">
        <f>""</f>
        <v/>
      </c>
      <c r="I2651" t="str">
        <f t="shared" si="37"/>
        <v>BCBS PAYABLE</v>
      </c>
    </row>
    <row r="2652" spans="1:9" x14ac:dyDescent="0.3">
      <c r="A2652" t="str">
        <f>""</f>
        <v/>
      </c>
      <c r="F2652" t="str">
        <f>""</f>
        <v/>
      </c>
      <c r="G2652" t="str">
        <f>""</f>
        <v/>
      </c>
      <c r="I2652" t="str">
        <f t="shared" si="37"/>
        <v>BCBS PAYABLE</v>
      </c>
    </row>
    <row r="2653" spans="1:9" x14ac:dyDescent="0.3">
      <c r="A2653" t="str">
        <f>""</f>
        <v/>
      </c>
      <c r="F2653" t="str">
        <f>""</f>
        <v/>
      </c>
      <c r="G2653" t="str">
        <f>""</f>
        <v/>
      </c>
      <c r="I2653" t="str">
        <f t="shared" si="37"/>
        <v>BCBS PAYABLE</v>
      </c>
    </row>
    <row r="2654" spans="1:9" x14ac:dyDescent="0.3">
      <c r="A2654" t="str">
        <f>""</f>
        <v/>
      </c>
      <c r="F2654" t="str">
        <f>""</f>
        <v/>
      </c>
      <c r="G2654" t="str">
        <f>""</f>
        <v/>
      </c>
      <c r="I2654" t="str">
        <f t="shared" si="37"/>
        <v>BCBS PAYABLE</v>
      </c>
    </row>
    <row r="2655" spans="1:9" x14ac:dyDescent="0.3">
      <c r="A2655" t="str">
        <f>""</f>
        <v/>
      </c>
      <c r="F2655" t="str">
        <f>""</f>
        <v/>
      </c>
      <c r="G2655" t="str">
        <f>""</f>
        <v/>
      </c>
      <c r="I2655" t="str">
        <f t="shared" si="37"/>
        <v>BCBS PAYABLE</v>
      </c>
    </row>
    <row r="2656" spans="1:9" x14ac:dyDescent="0.3">
      <c r="A2656" t="str">
        <f>""</f>
        <v/>
      </c>
      <c r="F2656" t="str">
        <f>""</f>
        <v/>
      </c>
      <c r="G2656" t="str">
        <f>""</f>
        <v/>
      </c>
      <c r="I2656" t="str">
        <f t="shared" si="37"/>
        <v>BCBS PAYABLE</v>
      </c>
    </row>
    <row r="2657" spans="1:9" x14ac:dyDescent="0.3">
      <c r="A2657" t="str">
        <f>""</f>
        <v/>
      </c>
      <c r="F2657" t="str">
        <f>""</f>
        <v/>
      </c>
      <c r="G2657" t="str">
        <f>""</f>
        <v/>
      </c>
      <c r="I2657" t="str">
        <f t="shared" si="37"/>
        <v>BCBS PAYABLE</v>
      </c>
    </row>
    <row r="2658" spans="1:9" x14ac:dyDescent="0.3">
      <c r="A2658" t="str">
        <f>""</f>
        <v/>
      </c>
      <c r="F2658" t="str">
        <f>""</f>
        <v/>
      </c>
      <c r="G2658" t="str">
        <f>""</f>
        <v/>
      </c>
      <c r="I2658" t="str">
        <f t="shared" si="37"/>
        <v>BCBS PAYABLE</v>
      </c>
    </row>
    <row r="2659" spans="1:9" x14ac:dyDescent="0.3">
      <c r="A2659" t="str">
        <f>""</f>
        <v/>
      </c>
      <c r="F2659" t="str">
        <f>""</f>
        <v/>
      </c>
      <c r="G2659" t="str">
        <f>""</f>
        <v/>
      </c>
      <c r="I2659" t="str">
        <f t="shared" si="37"/>
        <v>BCBS PAYABLE</v>
      </c>
    </row>
    <row r="2660" spans="1:9" x14ac:dyDescent="0.3">
      <c r="A2660" t="str">
        <f>""</f>
        <v/>
      </c>
      <c r="F2660" t="str">
        <f>""</f>
        <v/>
      </c>
      <c r="G2660" t="str">
        <f>""</f>
        <v/>
      </c>
      <c r="I2660" t="str">
        <f t="shared" si="37"/>
        <v>BCBS PAYABLE</v>
      </c>
    </row>
    <row r="2661" spans="1:9" x14ac:dyDescent="0.3">
      <c r="A2661" t="str">
        <f>""</f>
        <v/>
      </c>
      <c r="F2661" t="str">
        <f>""</f>
        <v/>
      </c>
      <c r="G2661" t="str">
        <f>""</f>
        <v/>
      </c>
      <c r="I2661" t="str">
        <f t="shared" si="37"/>
        <v>BCBS PAYABLE</v>
      </c>
    </row>
    <row r="2662" spans="1:9" x14ac:dyDescent="0.3">
      <c r="A2662" t="str">
        <f>""</f>
        <v/>
      </c>
      <c r="F2662" t="str">
        <f>""</f>
        <v/>
      </c>
      <c r="G2662" t="str">
        <f>""</f>
        <v/>
      </c>
      <c r="I2662" t="str">
        <f t="shared" si="37"/>
        <v>BCBS PAYABLE</v>
      </c>
    </row>
    <row r="2663" spans="1:9" x14ac:dyDescent="0.3">
      <c r="A2663" t="str">
        <f>""</f>
        <v/>
      </c>
      <c r="F2663" t="str">
        <f>""</f>
        <v/>
      </c>
      <c r="G2663" t="str">
        <f>""</f>
        <v/>
      </c>
      <c r="I2663" t="str">
        <f t="shared" si="37"/>
        <v>BCBS PAYABLE</v>
      </c>
    </row>
    <row r="2664" spans="1:9" x14ac:dyDescent="0.3">
      <c r="A2664" t="str">
        <f>""</f>
        <v/>
      </c>
      <c r="F2664" t="str">
        <f>""</f>
        <v/>
      </c>
      <c r="G2664" t="str">
        <f>""</f>
        <v/>
      </c>
      <c r="I2664" t="str">
        <f t="shared" si="37"/>
        <v>BCBS PAYABLE</v>
      </c>
    </row>
    <row r="2665" spans="1:9" x14ac:dyDescent="0.3">
      <c r="A2665" t="str">
        <f>""</f>
        <v/>
      </c>
      <c r="F2665" t="str">
        <f>""</f>
        <v/>
      </c>
      <c r="G2665" t="str">
        <f>""</f>
        <v/>
      </c>
      <c r="I2665" t="str">
        <f t="shared" si="37"/>
        <v>BCBS PAYABLE</v>
      </c>
    </row>
    <row r="2666" spans="1:9" x14ac:dyDescent="0.3">
      <c r="A2666" t="str">
        <f>""</f>
        <v/>
      </c>
      <c r="F2666" t="str">
        <f>""</f>
        <v/>
      </c>
      <c r="G2666" t="str">
        <f>""</f>
        <v/>
      </c>
      <c r="I2666" t="str">
        <f t="shared" si="37"/>
        <v>BCBS PAYABLE</v>
      </c>
    </row>
    <row r="2667" spans="1:9" x14ac:dyDescent="0.3">
      <c r="A2667" t="str">
        <f>""</f>
        <v/>
      </c>
      <c r="F2667" t="str">
        <f>""</f>
        <v/>
      </c>
      <c r="G2667" t="str">
        <f>""</f>
        <v/>
      </c>
      <c r="I2667" t="str">
        <f t="shared" si="37"/>
        <v>BCBS PAYABLE</v>
      </c>
    </row>
    <row r="2668" spans="1:9" x14ac:dyDescent="0.3">
      <c r="A2668" t="str">
        <f>""</f>
        <v/>
      </c>
      <c r="F2668" t="str">
        <f>""</f>
        <v/>
      </c>
      <c r="G2668" t="str">
        <f>""</f>
        <v/>
      </c>
      <c r="I2668" t="str">
        <f t="shared" ref="I2668:I2731" si="38">"BCBS PAYABLE"</f>
        <v>BCBS PAYABLE</v>
      </c>
    </row>
    <row r="2669" spans="1:9" x14ac:dyDescent="0.3">
      <c r="A2669" t="str">
        <f>""</f>
        <v/>
      </c>
      <c r="F2669" t="str">
        <f>""</f>
        <v/>
      </c>
      <c r="G2669" t="str">
        <f>""</f>
        <v/>
      </c>
      <c r="I2669" t="str">
        <f t="shared" si="38"/>
        <v>BCBS PAYABLE</v>
      </c>
    </row>
    <row r="2670" spans="1:9" x14ac:dyDescent="0.3">
      <c r="A2670" t="str">
        <f>""</f>
        <v/>
      </c>
      <c r="F2670" t="str">
        <f>""</f>
        <v/>
      </c>
      <c r="G2670" t="str">
        <f>""</f>
        <v/>
      </c>
      <c r="I2670" t="str">
        <f t="shared" si="38"/>
        <v>BCBS PAYABLE</v>
      </c>
    </row>
    <row r="2671" spans="1:9" x14ac:dyDescent="0.3">
      <c r="A2671" t="str">
        <f>""</f>
        <v/>
      </c>
      <c r="F2671" t="str">
        <f>""</f>
        <v/>
      </c>
      <c r="G2671" t="str">
        <f>""</f>
        <v/>
      </c>
      <c r="I2671" t="str">
        <f t="shared" si="38"/>
        <v>BCBS PAYABLE</v>
      </c>
    </row>
    <row r="2672" spans="1:9" x14ac:dyDescent="0.3">
      <c r="A2672" t="str">
        <f>""</f>
        <v/>
      </c>
      <c r="F2672" t="str">
        <f>""</f>
        <v/>
      </c>
      <c r="G2672" t="str">
        <f>""</f>
        <v/>
      </c>
      <c r="I2672" t="str">
        <f t="shared" si="38"/>
        <v>BCBS PAYABLE</v>
      </c>
    </row>
    <row r="2673" spans="1:9" x14ac:dyDescent="0.3">
      <c r="A2673" t="str">
        <f>""</f>
        <v/>
      </c>
      <c r="F2673" t="str">
        <f>"2EC201802218811"</f>
        <v>2EC201802218811</v>
      </c>
      <c r="G2673" t="str">
        <f>"BCBS PAYABLE"</f>
        <v>BCBS PAYABLE</v>
      </c>
      <c r="H2673" s="2">
        <v>1795.24</v>
      </c>
      <c r="I2673" t="str">
        <f t="shared" si="38"/>
        <v>BCBS PAYABLE</v>
      </c>
    </row>
    <row r="2674" spans="1:9" x14ac:dyDescent="0.3">
      <c r="A2674" t="str">
        <f>""</f>
        <v/>
      </c>
      <c r="F2674" t="str">
        <f>""</f>
        <v/>
      </c>
      <c r="G2674" t="str">
        <f>""</f>
        <v/>
      </c>
      <c r="I2674" t="str">
        <f t="shared" si="38"/>
        <v>BCBS PAYABLE</v>
      </c>
    </row>
    <row r="2675" spans="1:9" x14ac:dyDescent="0.3">
      <c r="A2675" t="str">
        <f>""</f>
        <v/>
      </c>
      <c r="F2675" t="str">
        <f>"2EF201802068586"</f>
        <v>2EF201802068586</v>
      </c>
      <c r="G2675" t="str">
        <f>"BCBS PAYABLE"</f>
        <v>BCBS PAYABLE</v>
      </c>
      <c r="H2675" s="2">
        <v>2675.61</v>
      </c>
      <c r="I2675" t="str">
        <f t="shared" si="38"/>
        <v>BCBS PAYABLE</v>
      </c>
    </row>
    <row r="2676" spans="1:9" x14ac:dyDescent="0.3">
      <c r="A2676" t="str">
        <f>""</f>
        <v/>
      </c>
      <c r="F2676" t="str">
        <f>""</f>
        <v/>
      </c>
      <c r="G2676" t="str">
        <f>""</f>
        <v/>
      </c>
      <c r="I2676" t="str">
        <f t="shared" si="38"/>
        <v>BCBS PAYABLE</v>
      </c>
    </row>
    <row r="2677" spans="1:9" x14ac:dyDescent="0.3">
      <c r="A2677" t="str">
        <f>""</f>
        <v/>
      </c>
      <c r="F2677" t="str">
        <f>""</f>
        <v/>
      </c>
      <c r="G2677" t="str">
        <f>""</f>
        <v/>
      </c>
      <c r="I2677" t="str">
        <f t="shared" si="38"/>
        <v>BCBS PAYABLE</v>
      </c>
    </row>
    <row r="2678" spans="1:9" x14ac:dyDescent="0.3">
      <c r="A2678" t="str">
        <f>""</f>
        <v/>
      </c>
      <c r="F2678" t="str">
        <f>""</f>
        <v/>
      </c>
      <c r="G2678" t="str">
        <f>""</f>
        <v/>
      </c>
      <c r="I2678" t="str">
        <f t="shared" si="38"/>
        <v>BCBS PAYABLE</v>
      </c>
    </row>
    <row r="2679" spans="1:9" x14ac:dyDescent="0.3">
      <c r="A2679" t="str">
        <f>""</f>
        <v/>
      </c>
      <c r="F2679" t="str">
        <f>"2EF201802218810"</f>
        <v>2EF201802218810</v>
      </c>
      <c r="G2679" t="str">
        <f>"BCBS PAYABLE"</f>
        <v>BCBS PAYABLE</v>
      </c>
      <c r="H2679" s="2">
        <v>2675.61</v>
      </c>
      <c r="I2679" t="str">
        <f t="shared" si="38"/>
        <v>BCBS PAYABLE</v>
      </c>
    </row>
    <row r="2680" spans="1:9" x14ac:dyDescent="0.3">
      <c r="A2680" t="str">
        <f>""</f>
        <v/>
      </c>
      <c r="F2680" t="str">
        <f>""</f>
        <v/>
      </c>
      <c r="G2680" t="str">
        <f>""</f>
        <v/>
      </c>
      <c r="I2680" t="str">
        <f t="shared" si="38"/>
        <v>BCBS PAYABLE</v>
      </c>
    </row>
    <row r="2681" spans="1:9" x14ac:dyDescent="0.3">
      <c r="A2681" t="str">
        <f>""</f>
        <v/>
      </c>
      <c r="F2681" t="str">
        <f>""</f>
        <v/>
      </c>
      <c r="G2681" t="str">
        <f>""</f>
        <v/>
      </c>
      <c r="I2681" t="str">
        <f t="shared" si="38"/>
        <v>BCBS PAYABLE</v>
      </c>
    </row>
    <row r="2682" spans="1:9" x14ac:dyDescent="0.3">
      <c r="A2682" t="str">
        <f>""</f>
        <v/>
      </c>
      <c r="F2682" t="str">
        <f>""</f>
        <v/>
      </c>
      <c r="G2682" t="str">
        <f>""</f>
        <v/>
      </c>
      <c r="I2682" t="str">
        <f t="shared" si="38"/>
        <v>BCBS PAYABLE</v>
      </c>
    </row>
    <row r="2683" spans="1:9" x14ac:dyDescent="0.3">
      <c r="A2683" t="str">
        <f>""</f>
        <v/>
      </c>
      <c r="F2683" t="str">
        <f>"2EO201802068586"</f>
        <v>2EO201802068586</v>
      </c>
      <c r="G2683" t="str">
        <f>"BCBS PAYABLE"</f>
        <v>BCBS PAYABLE</v>
      </c>
      <c r="H2683" s="2">
        <v>90122.28</v>
      </c>
      <c r="I2683" t="str">
        <f t="shared" si="38"/>
        <v>BCBS PAYABLE</v>
      </c>
    </row>
    <row r="2684" spans="1:9" x14ac:dyDescent="0.3">
      <c r="A2684" t="str">
        <f>""</f>
        <v/>
      </c>
      <c r="F2684" t="str">
        <f>""</f>
        <v/>
      </c>
      <c r="G2684" t="str">
        <f>""</f>
        <v/>
      </c>
      <c r="I2684" t="str">
        <f t="shared" si="38"/>
        <v>BCBS PAYABLE</v>
      </c>
    </row>
    <row r="2685" spans="1:9" x14ac:dyDescent="0.3">
      <c r="A2685" t="str">
        <f>""</f>
        <v/>
      </c>
      <c r="F2685" t="str">
        <f>""</f>
        <v/>
      </c>
      <c r="G2685" t="str">
        <f>""</f>
        <v/>
      </c>
      <c r="I2685" t="str">
        <f t="shared" si="38"/>
        <v>BCBS PAYABLE</v>
      </c>
    </row>
    <row r="2686" spans="1:9" x14ac:dyDescent="0.3">
      <c r="A2686" t="str">
        <f>""</f>
        <v/>
      </c>
      <c r="F2686" t="str">
        <f>""</f>
        <v/>
      </c>
      <c r="G2686" t="str">
        <f>""</f>
        <v/>
      </c>
      <c r="I2686" t="str">
        <f t="shared" si="38"/>
        <v>BCBS PAYABLE</v>
      </c>
    </row>
    <row r="2687" spans="1:9" x14ac:dyDescent="0.3">
      <c r="A2687" t="str">
        <f>""</f>
        <v/>
      </c>
      <c r="F2687" t="str">
        <f>""</f>
        <v/>
      </c>
      <c r="G2687" t="str">
        <f>""</f>
        <v/>
      </c>
      <c r="I2687" t="str">
        <f t="shared" si="38"/>
        <v>BCBS PAYABLE</v>
      </c>
    </row>
    <row r="2688" spans="1:9" x14ac:dyDescent="0.3">
      <c r="A2688" t="str">
        <f>""</f>
        <v/>
      </c>
      <c r="F2688" t="str">
        <f>""</f>
        <v/>
      </c>
      <c r="G2688" t="str">
        <f>""</f>
        <v/>
      </c>
      <c r="I2688" t="str">
        <f t="shared" si="38"/>
        <v>BCBS PAYABLE</v>
      </c>
    </row>
    <row r="2689" spans="1:9" x14ac:dyDescent="0.3">
      <c r="A2689" t="str">
        <f>""</f>
        <v/>
      </c>
      <c r="F2689" t="str">
        <f>""</f>
        <v/>
      </c>
      <c r="G2689" t="str">
        <f>""</f>
        <v/>
      </c>
      <c r="I2689" t="str">
        <f t="shared" si="38"/>
        <v>BCBS PAYABLE</v>
      </c>
    </row>
    <row r="2690" spans="1:9" x14ac:dyDescent="0.3">
      <c r="A2690" t="str">
        <f>""</f>
        <v/>
      </c>
      <c r="F2690" t="str">
        <f>""</f>
        <v/>
      </c>
      <c r="G2690" t="str">
        <f>""</f>
        <v/>
      </c>
      <c r="I2690" t="str">
        <f t="shared" si="38"/>
        <v>BCBS PAYABLE</v>
      </c>
    </row>
    <row r="2691" spans="1:9" x14ac:dyDescent="0.3">
      <c r="A2691" t="str">
        <f>""</f>
        <v/>
      </c>
      <c r="F2691" t="str">
        <f>""</f>
        <v/>
      </c>
      <c r="G2691" t="str">
        <f>""</f>
        <v/>
      </c>
      <c r="I2691" t="str">
        <f t="shared" si="38"/>
        <v>BCBS PAYABLE</v>
      </c>
    </row>
    <row r="2692" spans="1:9" x14ac:dyDescent="0.3">
      <c r="A2692" t="str">
        <f>""</f>
        <v/>
      </c>
      <c r="F2692" t="str">
        <f>""</f>
        <v/>
      </c>
      <c r="G2692" t="str">
        <f>""</f>
        <v/>
      </c>
      <c r="I2692" t="str">
        <f t="shared" si="38"/>
        <v>BCBS PAYABLE</v>
      </c>
    </row>
    <row r="2693" spans="1:9" x14ac:dyDescent="0.3">
      <c r="A2693" t="str">
        <f>""</f>
        <v/>
      </c>
      <c r="F2693" t="str">
        <f>""</f>
        <v/>
      </c>
      <c r="G2693" t="str">
        <f>""</f>
        <v/>
      </c>
      <c r="I2693" t="str">
        <f t="shared" si="38"/>
        <v>BCBS PAYABLE</v>
      </c>
    </row>
    <row r="2694" spans="1:9" x14ac:dyDescent="0.3">
      <c r="A2694" t="str">
        <f>""</f>
        <v/>
      </c>
      <c r="F2694" t="str">
        <f>""</f>
        <v/>
      </c>
      <c r="G2694" t="str">
        <f>""</f>
        <v/>
      </c>
      <c r="I2694" t="str">
        <f t="shared" si="38"/>
        <v>BCBS PAYABLE</v>
      </c>
    </row>
    <row r="2695" spans="1:9" x14ac:dyDescent="0.3">
      <c r="A2695" t="str">
        <f>""</f>
        <v/>
      </c>
      <c r="F2695" t="str">
        <f>""</f>
        <v/>
      </c>
      <c r="G2695" t="str">
        <f>""</f>
        <v/>
      </c>
      <c r="I2695" t="str">
        <f t="shared" si="38"/>
        <v>BCBS PAYABLE</v>
      </c>
    </row>
    <row r="2696" spans="1:9" x14ac:dyDescent="0.3">
      <c r="A2696" t="str">
        <f>""</f>
        <v/>
      </c>
      <c r="F2696" t="str">
        <f>""</f>
        <v/>
      </c>
      <c r="G2696" t="str">
        <f>""</f>
        <v/>
      </c>
      <c r="I2696" t="str">
        <f t="shared" si="38"/>
        <v>BCBS PAYABLE</v>
      </c>
    </row>
    <row r="2697" spans="1:9" x14ac:dyDescent="0.3">
      <c r="A2697" t="str">
        <f>""</f>
        <v/>
      </c>
      <c r="F2697" t="str">
        <f>""</f>
        <v/>
      </c>
      <c r="G2697" t="str">
        <f>""</f>
        <v/>
      </c>
      <c r="I2697" t="str">
        <f t="shared" si="38"/>
        <v>BCBS PAYABLE</v>
      </c>
    </row>
    <row r="2698" spans="1:9" x14ac:dyDescent="0.3">
      <c r="A2698" t="str">
        <f>""</f>
        <v/>
      </c>
      <c r="F2698" t="str">
        <f>""</f>
        <v/>
      </c>
      <c r="G2698" t="str">
        <f>""</f>
        <v/>
      </c>
      <c r="I2698" t="str">
        <f t="shared" si="38"/>
        <v>BCBS PAYABLE</v>
      </c>
    </row>
    <row r="2699" spans="1:9" x14ac:dyDescent="0.3">
      <c r="A2699" t="str">
        <f>""</f>
        <v/>
      </c>
      <c r="F2699" t="str">
        <f>""</f>
        <v/>
      </c>
      <c r="G2699" t="str">
        <f>""</f>
        <v/>
      </c>
      <c r="I2699" t="str">
        <f t="shared" si="38"/>
        <v>BCBS PAYABLE</v>
      </c>
    </row>
    <row r="2700" spans="1:9" x14ac:dyDescent="0.3">
      <c r="A2700" t="str">
        <f>""</f>
        <v/>
      </c>
      <c r="F2700" t="str">
        <f>""</f>
        <v/>
      </c>
      <c r="G2700" t="str">
        <f>""</f>
        <v/>
      </c>
      <c r="I2700" t="str">
        <f t="shared" si="38"/>
        <v>BCBS PAYABLE</v>
      </c>
    </row>
    <row r="2701" spans="1:9" x14ac:dyDescent="0.3">
      <c r="A2701" t="str">
        <f>""</f>
        <v/>
      </c>
      <c r="F2701" t="str">
        <f>""</f>
        <v/>
      </c>
      <c r="G2701" t="str">
        <f>""</f>
        <v/>
      </c>
      <c r="I2701" t="str">
        <f t="shared" si="38"/>
        <v>BCBS PAYABLE</v>
      </c>
    </row>
    <row r="2702" spans="1:9" x14ac:dyDescent="0.3">
      <c r="A2702" t="str">
        <f>""</f>
        <v/>
      </c>
      <c r="F2702" t="str">
        <f>""</f>
        <v/>
      </c>
      <c r="G2702" t="str">
        <f>""</f>
        <v/>
      </c>
      <c r="I2702" t="str">
        <f t="shared" si="38"/>
        <v>BCBS PAYABLE</v>
      </c>
    </row>
    <row r="2703" spans="1:9" x14ac:dyDescent="0.3">
      <c r="A2703" t="str">
        <f>""</f>
        <v/>
      </c>
      <c r="F2703" t="str">
        <f>""</f>
        <v/>
      </c>
      <c r="G2703" t="str">
        <f>""</f>
        <v/>
      </c>
      <c r="I2703" t="str">
        <f t="shared" si="38"/>
        <v>BCBS PAYABLE</v>
      </c>
    </row>
    <row r="2704" spans="1:9" x14ac:dyDescent="0.3">
      <c r="A2704" t="str">
        <f>""</f>
        <v/>
      </c>
      <c r="F2704" t="str">
        <f>""</f>
        <v/>
      </c>
      <c r="G2704" t="str">
        <f>""</f>
        <v/>
      </c>
      <c r="I2704" t="str">
        <f t="shared" si="38"/>
        <v>BCBS PAYABLE</v>
      </c>
    </row>
    <row r="2705" spans="1:9" x14ac:dyDescent="0.3">
      <c r="A2705" t="str">
        <f>""</f>
        <v/>
      </c>
      <c r="F2705" t="str">
        <f>""</f>
        <v/>
      </c>
      <c r="G2705" t="str">
        <f>""</f>
        <v/>
      </c>
      <c r="I2705" t="str">
        <f t="shared" si="38"/>
        <v>BCBS PAYABLE</v>
      </c>
    </row>
    <row r="2706" spans="1:9" x14ac:dyDescent="0.3">
      <c r="A2706" t="str">
        <f>""</f>
        <v/>
      </c>
      <c r="F2706" t="str">
        <f>""</f>
        <v/>
      </c>
      <c r="G2706" t="str">
        <f>""</f>
        <v/>
      </c>
      <c r="I2706" t="str">
        <f t="shared" si="38"/>
        <v>BCBS PAYABLE</v>
      </c>
    </row>
    <row r="2707" spans="1:9" x14ac:dyDescent="0.3">
      <c r="A2707" t="str">
        <f>""</f>
        <v/>
      </c>
      <c r="F2707" t="str">
        <f>""</f>
        <v/>
      </c>
      <c r="G2707" t="str">
        <f>""</f>
        <v/>
      </c>
      <c r="I2707" t="str">
        <f t="shared" si="38"/>
        <v>BCBS PAYABLE</v>
      </c>
    </row>
    <row r="2708" spans="1:9" x14ac:dyDescent="0.3">
      <c r="A2708" t="str">
        <f>""</f>
        <v/>
      </c>
      <c r="F2708" t="str">
        <f>""</f>
        <v/>
      </c>
      <c r="G2708" t="str">
        <f>""</f>
        <v/>
      </c>
      <c r="I2708" t="str">
        <f t="shared" si="38"/>
        <v>BCBS PAYABLE</v>
      </c>
    </row>
    <row r="2709" spans="1:9" x14ac:dyDescent="0.3">
      <c r="A2709" t="str">
        <f>""</f>
        <v/>
      </c>
      <c r="F2709" t="str">
        <f>""</f>
        <v/>
      </c>
      <c r="G2709" t="str">
        <f>""</f>
        <v/>
      </c>
      <c r="I2709" t="str">
        <f t="shared" si="38"/>
        <v>BCBS PAYABLE</v>
      </c>
    </row>
    <row r="2710" spans="1:9" x14ac:dyDescent="0.3">
      <c r="A2710" t="str">
        <f>""</f>
        <v/>
      </c>
      <c r="F2710" t="str">
        <f>""</f>
        <v/>
      </c>
      <c r="G2710" t="str">
        <f>""</f>
        <v/>
      </c>
      <c r="I2710" t="str">
        <f t="shared" si="38"/>
        <v>BCBS PAYABLE</v>
      </c>
    </row>
    <row r="2711" spans="1:9" x14ac:dyDescent="0.3">
      <c r="A2711" t="str">
        <f>""</f>
        <v/>
      </c>
      <c r="F2711" t="str">
        <f>""</f>
        <v/>
      </c>
      <c r="G2711" t="str">
        <f>""</f>
        <v/>
      </c>
      <c r="I2711" t="str">
        <f t="shared" si="38"/>
        <v>BCBS PAYABLE</v>
      </c>
    </row>
    <row r="2712" spans="1:9" x14ac:dyDescent="0.3">
      <c r="A2712" t="str">
        <f>""</f>
        <v/>
      </c>
      <c r="F2712" t="str">
        <f>""</f>
        <v/>
      </c>
      <c r="G2712" t="str">
        <f>""</f>
        <v/>
      </c>
      <c r="I2712" t="str">
        <f t="shared" si="38"/>
        <v>BCBS PAYABLE</v>
      </c>
    </row>
    <row r="2713" spans="1:9" x14ac:dyDescent="0.3">
      <c r="A2713" t="str">
        <f>""</f>
        <v/>
      </c>
      <c r="F2713" t="str">
        <f>""</f>
        <v/>
      </c>
      <c r="G2713" t="str">
        <f>""</f>
        <v/>
      </c>
      <c r="I2713" t="str">
        <f t="shared" si="38"/>
        <v>BCBS PAYABLE</v>
      </c>
    </row>
    <row r="2714" spans="1:9" x14ac:dyDescent="0.3">
      <c r="A2714" t="str">
        <f>""</f>
        <v/>
      </c>
      <c r="F2714" t="str">
        <f>""</f>
        <v/>
      </c>
      <c r="G2714" t="str">
        <f>""</f>
        <v/>
      </c>
      <c r="I2714" t="str">
        <f t="shared" si="38"/>
        <v>BCBS PAYABLE</v>
      </c>
    </row>
    <row r="2715" spans="1:9" x14ac:dyDescent="0.3">
      <c r="A2715" t="str">
        <f>""</f>
        <v/>
      </c>
      <c r="F2715" t="str">
        <f>""</f>
        <v/>
      </c>
      <c r="G2715" t="str">
        <f>""</f>
        <v/>
      </c>
      <c r="I2715" t="str">
        <f t="shared" si="38"/>
        <v>BCBS PAYABLE</v>
      </c>
    </row>
    <row r="2716" spans="1:9" x14ac:dyDescent="0.3">
      <c r="A2716" t="str">
        <f>""</f>
        <v/>
      </c>
      <c r="F2716" t="str">
        <f>""</f>
        <v/>
      </c>
      <c r="G2716" t="str">
        <f>""</f>
        <v/>
      </c>
      <c r="I2716" t="str">
        <f t="shared" si="38"/>
        <v>BCBS PAYABLE</v>
      </c>
    </row>
    <row r="2717" spans="1:9" x14ac:dyDescent="0.3">
      <c r="A2717" t="str">
        <f>""</f>
        <v/>
      </c>
      <c r="F2717" t="str">
        <f>""</f>
        <v/>
      </c>
      <c r="G2717" t="str">
        <f>""</f>
        <v/>
      </c>
      <c r="I2717" t="str">
        <f t="shared" si="38"/>
        <v>BCBS PAYABLE</v>
      </c>
    </row>
    <row r="2718" spans="1:9" x14ac:dyDescent="0.3">
      <c r="A2718" t="str">
        <f>""</f>
        <v/>
      </c>
      <c r="F2718" t="str">
        <f>""</f>
        <v/>
      </c>
      <c r="G2718" t="str">
        <f>""</f>
        <v/>
      </c>
      <c r="I2718" t="str">
        <f t="shared" si="38"/>
        <v>BCBS PAYABLE</v>
      </c>
    </row>
    <row r="2719" spans="1:9" x14ac:dyDescent="0.3">
      <c r="A2719" t="str">
        <f>""</f>
        <v/>
      </c>
      <c r="F2719" t="str">
        <f>""</f>
        <v/>
      </c>
      <c r="G2719" t="str">
        <f>""</f>
        <v/>
      </c>
      <c r="I2719" t="str">
        <f t="shared" si="38"/>
        <v>BCBS PAYABLE</v>
      </c>
    </row>
    <row r="2720" spans="1:9" x14ac:dyDescent="0.3">
      <c r="A2720" t="str">
        <f>""</f>
        <v/>
      </c>
      <c r="F2720" t="str">
        <f>""</f>
        <v/>
      </c>
      <c r="G2720" t="str">
        <f>""</f>
        <v/>
      </c>
      <c r="I2720" t="str">
        <f t="shared" si="38"/>
        <v>BCBS PAYABLE</v>
      </c>
    </row>
    <row r="2721" spans="1:9" x14ac:dyDescent="0.3">
      <c r="A2721" t="str">
        <f>""</f>
        <v/>
      </c>
      <c r="F2721" t="str">
        <f>""</f>
        <v/>
      </c>
      <c r="G2721" t="str">
        <f>""</f>
        <v/>
      </c>
      <c r="I2721" t="str">
        <f t="shared" si="38"/>
        <v>BCBS PAYABLE</v>
      </c>
    </row>
    <row r="2722" spans="1:9" x14ac:dyDescent="0.3">
      <c r="A2722" t="str">
        <f>""</f>
        <v/>
      </c>
      <c r="F2722" t="str">
        <f>""</f>
        <v/>
      </c>
      <c r="G2722" t="str">
        <f>""</f>
        <v/>
      </c>
      <c r="I2722" t="str">
        <f t="shared" si="38"/>
        <v>BCBS PAYABLE</v>
      </c>
    </row>
    <row r="2723" spans="1:9" x14ac:dyDescent="0.3">
      <c r="A2723" t="str">
        <f>""</f>
        <v/>
      </c>
      <c r="F2723" t="str">
        <f>""</f>
        <v/>
      </c>
      <c r="G2723" t="str">
        <f>""</f>
        <v/>
      </c>
      <c r="I2723" t="str">
        <f t="shared" si="38"/>
        <v>BCBS PAYABLE</v>
      </c>
    </row>
    <row r="2724" spans="1:9" x14ac:dyDescent="0.3">
      <c r="A2724" t="str">
        <f>""</f>
        <v/>
      </c>
      <c r="F2724" t="str">
        <f>"2EO201802068587"</f>
        <v>2EO201802068587</v>
      </c>
      <c r="G2724" t="str">
        <f>"BCBS PAYABLE"</f>
        <v>BCBS PAYABLE</v>
      </c>
      <c r="H2724" s="2">
        <v>3591.83</v>
      </c>
      <c r="I2724" t="str">
        <f t="shared" si="38"/>
        <v>BCBS PAYABLE</v>
      </c>
    </row>
    <row r="2725" spans="1:9" x14ac:dyDescent="0.3">
      <c r="A2725" t="str">
        <f>""</f>
        <v/>
      </c>
      <c r="F2725" t="str">
        <f>"2EO201802218810"</f>
        <v>2EO201802218810</v>
      </c>
      <c r="G2725" t="str">
        <f>"BCBS PAYABLE"</f>
        <v>BCBS PAYABLE</v>
      </c>
      <c r="H2725" s="2">
        <v>90122.28</v>
      </c>
      <c r="I2725" t="str">
        <f t="shared" si="38"/>
        <v>BCBS PAYABLE</v>
      </c>
    </row>
    <row r="2726" spans="1:9" x14ac:dyDescent="0.3">
      <c r="A2726" t="str">
        <f>""</f>
        <v/>
      </c>
      <c r="F2726" t="str">
        <f>""</f>
        <v/>
      </c>
      <c r="G2726" t="str">
        <f>""</f>
        <v/>
      </c>
      <c r="I2726" t="str">
        <f t="shared" si="38"/>
        <v>BCBS PAYABLE</v>
      </c>
    </row>
    <row r="2727" spans="1:9" x14ac:dyDescent="0.3">
      <c r="A2727" t="str">
        <f>""</f>
        <v/>
      </c>
      <c r="F2727" t="str">
        <f>""</f>
        <v/>
      </c>
      <c r="G2727" t="str">
        <f>""</f>
        <v/>
      </c>
      <c r="I2727" t="str">
        <f t="shared" si="38"/>
        <v>BCBS PAYABLE</v>
      </c>
    </row>
    <row r="2728" spans="1:9" x14ac:dyDescent="0.3">
      <c r="A2728" t="str">
        <f>""</f>
        <v/>
      </c>
      <c r="F2728" t="str">
        <f>""</f>
        <v/>
      </c>
      <c r="G2728" t="str">
        <f>""</f>
        <v/>
      </c>
      <c r="I2728" t="str">
        <f t="shared" si="38"/>
        <v>BCBS PAYABLE</v>
      </c>
    </row>
    <row r="2729" spans="1:9" x14ac:dyDescent="0.3">
      <c r="A2729" t="str">
        <f>""</f>
        <v/>
      </c>
      <c r="F2729" t="str">
        <f>""</f>
        <v/>
      </c>
      <c r="G2729" t="str">
        <f>""</f>
        <v/>
      </c>
      <c r="I2729" t="str">
        <f t="shared" si="38"/>
        <v>BCBS PAYABLE</v>
      </c>
    </row>
    <row r="2730" spans="1:9" x14ac:dyDescent="0.3">
      <c r="A2730" t="str">
        <f>""</f>
        <v/>
      </c>
      <c r="F2730" t="str">
        <f>""</f>
        <v/>
      </c>
      <c r="G2730" t="str">
        <f>""</f>
        <v/>
      </c>
      <c r="I2730" t="str">
        <f t="shared" si="38"/>
        <v>BCBS PAYABLE</v>
      </c>
    </row>
    <row r="2731" spans="1:9" x14ac:dyDescent="0.3">
      <c r="A2731" t="str">
        <f>""</f>
        <v/>
      </c>
      <c r="F2731" t="str">
        <f>""</f>
        <v/>
      </c>
      <c r="G2731" t="str">
        <f>""</f>
        <v/>
      </c>
      <c r="I2731" t="str">
        <f t="shared" si="38"/>
        <v>BCBS PAYABLE</v>
      </c>
    </row>
    <row r="2732" spans="1:9" x14ac:dyDescent="0.3">
      <c r="A2732" t="str">
        <f>""</f>
        <v/>
      </c>
      <c r="F2732" t="str">
        <f>""</f>
        <v/>
      </c>
      <c r="G2732" t="str">
        <f>""</f>
        <v/>
      </c>
      <c r="I2732" t="str">
        <f t="shared" ref="I2732:I2795" si="39">"BCBS PAYABLE"</f>
        <v>BCBS PAYABLE</v>
      </c>
    </row>
    <row r="2733" spans="1:9" x14ac:dyDescent="0.3">
      <c r="A2733" t="str">
        <f>""</f>
        <v/>
      </c>
      <c r="F2733" t="str">
        <f>""</f>
        <v/>
      </c>
      <c r="G2733" t="str">
        <f>""</f>
        <v/>
      </c>
      <c r="I2733" t="str">
        <f t="shared" si="39"/>
        <v>BCBS PAYABLE</v>
      </c>
    </row>
    <row r="2734" spans="1:9" x14ac:dyDescent="0.3">
      <c r="A2734" t="str">
        <f>""</f>
        <v/>
      </c>
      <c r="F2734" t="str">
        <f>""</f>
        <v/>
      </c>
      <c r="G2734" t="str">
        <f>""</f>
        <v/>
      </c>
      <c r="I2734" t="str">
        <f t="shared" si="39"/>
        <v>BCBS PAYABLE</v>
      </c>
    </row>
    <row r="2735" spans="1:9" x14ac:dyDescent="0.3">
      <c r="A2735" t="str">
        <f>""</f>
        <v/>
      </c>
      <c r="F2735" t="str">
        <f>""</f>
        <v/>
      </c>
      <c r="G2735" t="str">
        <f>""</f>
        <v/>
      </c>
      <c r="I2735" t="str">
        <f t="shared" si="39"/>
        <v>BCBS PAYABLE</v>
      </c>
    </row>
    <row r="2736" spans="1:9" x14ac:dyDescent="0.3">
      <c r="A2736" t="str">
        <f>""</f>
        <v/>
      </c>
      <c r="F2736" t="str">
        <f>""</f>
        <v/>
      </c>
      <c r="G2736" t="str">
        <f>""</f>
        <v/>
      </c>
      <c r="I2736" t="str">
        <f t="shared" si="39"/>
        <v>BCBS PAYABLE</v>
      </c>
    </row>
    <row r="2737" spans="1:9" x14ac:dyDescent="0.3">
      <c r="A2737" t="str">
        <f>""</f>
        <v/>
      </c>
      <c r="F2737" t="str">
        <f>""</f>
        <v/>
      </c>
      <c r="G2737" t="str">
        <f>""</f>
        <v/>
      </c>
      <c r="I2737" t="str">
        <f t="shared" si="39"/>
        <v>BCBS PAYABLE</v>
      </c>
    </row>
    <row r="2738" spans="1:9" x14ac:dyDescent="0.3">
      <c r="A2738" t="str">
        <f>""</f>
        <v/>
      </c>
      <c r="F2738" t="str">
        <f>""</f>
        <v/>
      </c>
      <c r="G2738" t="str">
        <f>""</f>
        <v/>
      </c>
      <c r="I2738" t="str">
        <f t="shared" si="39"/>
        <v>BCBS PAYABLE</v>
      </c>
    </row>
    <row r="2739" spans="1:9" x14ac:dyDescent="0.3">
      <c r="A2739" t="str">
        <f>""</f>
        <v/>
      </c>
      <c r="F2739" t="str">
        <f>""</f>
        <v/>
      </c>
      <c r="G2739" t="str">
        <f>""</f>
        <v/>
      </c>
      <c r="I2739" t="str">
        <f t="shared" si="39"/>
        <v>BCBS PAYABLE</v>
      </c>
    </row>
    <row r="2740" spans="1:9" x14ac:dyDescent="0.3">
      <c r="A2740" t="str">
        <f>""</f>
        <v/>
      </c>
      <c r="F2740" t="str">
        <f>""</f>
        <v/>
      </c>
      <c r="G2740" t="str">
        <f>""</f>
        <v/>
      </c>
      <c r="I2740" t="str">
        <f t="shared" si="39"/>
        <v>BCBS PAYABLE</v>
      </c>
    </row>
    <row r="2741" spans="1:9" x14ac:dyDescent="0.3">
      <c r="A2741" t="str">
        <f>""</f>
        <v/>
      </c>
      <c r="F2741" t="str">
        <f>""</f>
        <v/>
      </c>
      <c r="G2741" t="str">
        <f>""</f>
        <v/>
      </c>
      <c r="I2741" t="str">
        <f t="shared" si="39"/>
        <v>BCBS PAYABLE</v>
      </c>
    </row>
    <row r="2742" spans="1:9" x14ac:dyDescent="0.3">
      <c r="A2742" t="str">
        <f>""</f>
        <v/>
      </c>
      <c r="F2742" t="str">
        <f>""</f>
        <v/>
      </c>
      <c r="G2742" t="str">
        <f>""</f>
        <v/>
      </c>
      <c r="I2742" t="str">
        <f t="shared" si="39"/>
        <v>BCBS PAYABLE</v>
      </c>
    </row>
    <row r="2743" spans="1:9" x14ac:dyDescent="0.3">
      <c r="A2743" t="str">
        <f>""</f>
        <v/>
      </c>
      <c r="F2743" t="str">
        <f>""</f>
        <v/>
      </c>
      <c r="G2743" t="str">
        <f>""</f>
        <v/>
      </c>
      <c r="I2743" t="str">
        <f t="shared" si="39"/>
        <v>BCBS PAYABLE</v>
      </c>
    </row>
    <row r="2744" spans="1:9" x14ac:dyDescent="0.3">
      <c r="A2744" t="str">
        <f>""</f>
        <v/>
      </c>
      <c r="F2744" t="str">
        <f>""</f>
        <v/>
      </c>
      <c r="G2744" t="str">
        <f>""</f>
        <v/>
      </c>
      <c r="I2744" t="str">
        <f t="shared" si="39"/>
        <v>BCBS PAYABLE</v>
      </c>
    </row>
    <row r="2745" spans="1:9" x14ac:dyDescent="0.3">
      <c r="A2745" t="str">
        <f>""</f>
        <v/>
      </c>
      <c r="F2745" t="str">
        <f>""</f>
        <v/>
      </c>
      <c r="G2745" t="str">
        <f>""</f>
        <v/>
      </c>
      <c r="I2745" t="str">
        <f t="shared" si="39"/>
        <v>BCBS PAYABLE</v>
      </c>
    </row>
    <row r="2746" spans="1:9" x14ac:dyDescent="0.3">
      <c r="A2746" t="str">
        <f>""</f>
        <v/>
      </c>
      <c r="F2746" t="str">
        <f>""</f>
        <v/>
      </c>
      <c r="G2746" t="str">
        <f>""</f>
        <v/>
      </c>
      <c r="I2746" t="str">
        <f t="shared" si="39"/>
        <v>BCBS PAYABLE</v>
      </c>
    </row>
    <row r="2747" spans="1:9" x14ac:dyDescent="0.3">
      <c r="A2747" t="str">
        <f>""</f>
        <v/>
      </c>
      <c r="F2747" t="str">
        <f>""</f>
        <v/>
      </c>
      <c r="G2747" t="str">
        <f>""</f>
        <v/>
      </c>
      <c r="I2747" t="str">
        <f t="shared" si="39"/>
        <v>BCBS PAYABLE</v>
      </c>
    </row>
    <row r="2748" spans="1:9" x14ac:dyDescent="0.3">
      <c r="A2748" t="str">
        <f>""</f>
        <v/>
      </c>
      <c r="F2748" t="str">
        <f>""</f>
        <v/>
      </c>
      <c r="G2748" t="str">
        <f>""</f>
        <v/>
      </c>
      <c r="I2748" t="str">
        <f t="shared" si="39"/>
        <v>BCBS PAYABLE</v>
      </c>
    </row>
    <row r="2749" spans="1:9" x14ac:dyDescent="0.3">
      <c r="A2749" t="str">
        <f>""</f>
        <v/>
      </c>
      <c r="F2749" t="str">
        <f>""</f>
        <v/>
      </c>
      <c r="G2749" t="str">
        <f>""</f>
        <v/>
      </c>
      <c r="I2749" t="str">
        <f t="shared" si="39"/>
        <v>BCBS PAYABLE</v>
      </c>
    </row>
    <row r="2750" spans="1:9" x14ac:dyDescent="0.3">
      <c r="A2750" t="str">
        <f>""</f>
        <v/>
      </c>
      <c r="F2750" t="str">
        <f>""</f>
        <v/>
      </c>
      <c r="G2750" t="str">
        <f>""</f>
        <v/>
      </c>
      <c r="I2750" t="str">
        <f t="shared" si="39"/>
        <v>BCBS PAYABLE</v>
      </c>
    </row>
    <row r="2751" spans="1:9" x14ac:dyDescent="0.3">
      <c r="A2751" t="str">
        <f>""</f>
        <v/>
      </c>
      <c r="F2751" t="str">
        <f>""</f>
        <v/>
      </c>
      <c r="G2751" t="str">
        <f>""</f>
        <v/>
      </c>
      <c r="I2751" t="str">
        <f t="shared" si="39"/>
        <v>BCBS PAYABLE</v>
      </c>
    </row>
    <row r="2752" spans="1:9" x14ac:dyDescent="0.3">
      <c r="A2752" t="str">
        <f>""</f>
        <v/>
      </c>
      <c r="F2752" t="str">
        <f>""</f>
        <v/>
      </c>
      <c r="G2752" t="str">
        <f>""</f>
        <v/>
      </c>
      <c r="I2752" t="str">
        <f t="shared" si="39"/>
        <v>BCBS PAYABLE</v>
      </c>
    </row>
    <row r="2753" spans="1:9" x14ac:dyDescent="0.3">
      <c r="A2753" t="str">
        <f>""</f>
        <v/>
      </c>
      <c r="F2753" t="str">
        <f>""</f>
        <v/>
      </c>
      <c r="G2753" t="str">
        <f>""</f>
        <v/>
      </c>
      <c r="I2753" t="str">
        <f t="shared" si="39"/>
        <v>BCBS PAYABLE</v>
      </c>
    </row>
    <row r="2754" spans="1:9" x14ac:dyDescent="0.3">
      <c r="A2754" t="str">
        <f>""</f>
        <v/>
      </c>
      <c r="F2754" t="str">
        <f>""</f>
        <v/>
      </c>
      <c r="G2754" t="str">
        <f>""</f>
        <v/>
      </c>
      <c r="I2754" t="str">
        <f t="shared" si="39"/>
        <v>BCBS PAYABLE</v>
      </c>
    </row>
    <row r="2755" spans="1:9" x14ac:dyDescent="0.3">
      <c r="A2755" t="str">
        <f>""</f>
        <v/>
      </c>
      <c r="F2755" t="str">
        <f>""</f>
        <v/>
      </c>
      <c r="G2755" t="str">
        <f>""</f>
        <v/>
      </c>
      <c r="I2755" t="str">
        <f t="shared" si="39"/>
        <v>BCBS PAYABLE</v>
      </c>
    </row>
    <row r="2756" spans="1:9" x14ac:dyDescent="0.3">
      <c r="A2756" t="str">
        <f>""</f>
        <v/>
      </c>
      <c r="F2756" t="str">
        <f>""</f>
        <v/>
      </c>
      <c r="G2756" t="str">
        <f>""</f>
        <v/>
      </c>
      <c r="I2756" t="str">
        <f t="shared" si="39"/>
        <v>BCBS PAYABLE</v>
      </c>
    </row>
    <row r="2757" spans="1:9" x14ac:dyDescent="0.3">
      <c r="A2757" t="str">
        <f>""</f>
        <v/>
      </c>
      <c r="F2757" t="str">
        <f>""</f>
        <v/>
      </c>
      <c r="G2757" t="str">
        <f>""</f>
        <v/>
      </c>
      <c r="I2757" t="str">
        <f t="shared" si="39"/>
        <v>BCBS PAYABLE</v>
      </c>
    </row>
    <row r="2758" spans="1:9" x14ac:dyDescent="0.3">
      <c r="A2758" t="str">
        <f>""</f>
        <v/>
      </c>
      <c r="F2758" t="str">
        <f>""</f>
        <v/>
      </c>
      <c r="G2758" t="str">
        <f>""</f>
        <v/>
      </c>
      <c r="I2758" t="str">
        <f t="shared" si="39"/>
        <v>BCBS PAYABLE</v>
      </c>
    </row>
    <row r="2759" spans="1:9" x14ac:dyDescent="0.3">
      <c r="A2759" t="str">
        <f>""</f>
        <v/>
      </c>
      <c r="F2759" t="str">
        <f>""</f>
        <v/>
      </c>
      <c r="G2759" t="str">
        <f>""</f>
        <v/>
      </c>
      <c r="I2759" t="str">
        <f t="shared" si="39"/>
        <v>BCBS PAYABLE</v>
      </c>
    </row>
    <row r="2760" spans="1:9" x14ac:dyDescent="0.3">
      <c r="A2760" t="str">
        <f>""</f>
        <v/>
      </c>
      <c r="F2760" t="str">
        <f>""</f>
        <v/>
      </c>
      <c r="G2760" t="str">
        <f>""</f>
        <v/>
      </c>
      <c r="I2760" t="str">
        <f t="shared" si="39"/>
        <v>BCBS PAYABLE</v>
      </c>
    </row>
    <row r="2761" spans="1:9" x14ac:dyDescent="0.3">
      <c r="A2761" t="str">
        <f>""</f>
        <v/>
      </c>
      <c r="F2761" t="str">
        <f>""</f>
        <v/>
      </c>
      <c r="G2761" t="str">
        <f>""</f>
        <v/>
      </c>
      <c r="I2761" t="str">
        <f t="shared" si="39"/>
        <v>BCBS PAYABLE</v>
      </c>
    </row>
    <row r="2762" spans="1:9" x14ac:dyDescent="0.3">
      <c r="A2762" t="str">
        <f>""</f>
        <v/>
      </c>
      <c r="F2762" t="str">
        <f>""</f>
        <v/>
      </c>
      <c r="G2762" t="str">
        <f>""</f>
        <v/>
      </c>
      <c r="I2762" t="str">
        <f t="shared" si="39"/>
        <v>BCBS PAYABLE</v>
      </c>
    </row>
    <row r="2763" spans="1:9" x14ac:dyDescent="0.3">
      <c r="A2763" t="str">
        <f>""</f>
        <v/>
      </c>
      <c r="F2763" t="str">
        <f>""</f>
        <v/>
      </c>
      <c r="G2763" t="str">
        <f>""</f>
        <v/>
      </c>
      <c r="I2763" t="str">
        <f t="shared" si="39"/>
        <v>BCBS PAYABLE</v>
      </c>
    </row>
    <row r="2764" spans="1:9" x14ac:dyDescent="0.3">
      <c r="A2764" t="str">
        <f>""</f>
        <v/>
      </c>
      <c r="F2764" t="str">
        <f>""</f>
        <v/>
      </c>
      <c r="G2764" t="str">
        <f>""</f>
        <v/>
      </c>
      <c r="I2764" t="str">
        <f t="shared" si="39"/>
        <v>BCBS PAYABLE</v>
      </c>
    </row>
    <row r="2765" spans="1:9" x14ac:dyDescent="0.3">
      <c r="A2765" t="str">
        <f>""</f>
        <v/>
      </c>
      <c r="F2765" t="str">
        <f>""</f>
        <v/>
      </c>
      <c r="G2765" t="str">
        <f>""</f>
        <v/>
      </c>
      <c r="I2765" t="str">
        <f t="shared" si="39"/>
        <v>BCBS PAYABLE</v>
      </c>
    </row>
    <row r="2766" spans="1:9" x14ac:dyDescent="0.3">
      <c r="A2766" t="str">
        <f>""</f>
        <v/>
      </c>
      <c r="F2766" t="str">
        <f>"2EO201802218811"</f>
        <v>2EO201802218811</v>
      </c>
      <c r="G2766" t="str">
        <f>"BCBS PAYABLE"</f>
        <v>BCBS PAYABLE</v>
      </c>
      <c r="H2766" s="2">
        <v>3591.83</v>
      </c>
      <c r="I2766" t="str">
        <f t="shared" si="39"/>
        <v>BCBS PAYABLE</v>
      </c>
    </row>
    <row r="2767" spans="1:9" x14ac:dyDescent="0.3">
      <c r="A2767" t="str">
        <f>""</f>
        <v/>
      </c>
      <c r="F2767" t="str">
        <f>"2ES201802068586"</f>
        <v>2ES201802068586</v>
      </c>
      <c r="G2767" t="str">
        <f>"BCBS PAYABLE"</f>
        <v>BCBS PAYABLE</v>
      </c>
      <c r="H2767" s="2">
        <v>16621.439999999999</v>
      </c>
      <c r="I2767" t="str">
        <f t="shared" si="39"/>
        <v>BCBS PAYABLE</v>
      </c>
    </row>
    <row r="2768" spans="1:9" x14ac:dyDescent="0.3">
      <c r="A2768" t="str">
        <f>""</f>
        <v/>
      </c>
      <c r="F2768" t="str">
        <f>""</f>
        <v/>
      </c>
      <c r="G2768" t="str">
        <f>""</f>
        <v/>
      </c>
      <c r="I2768" t="str">
        <f t="shared" si="39"/>
        <v>BCBS PAYABLE</v>
      </c>
    </row>
    <row r="2769" spans="1:9" x14ac:dyDescent="0.3">
      <c r="A2769" t="str">
        <f>""</f>
        <v/>
      </c>
      <c r="F2769" t="str">
        <f>""</f>
        <v/>
      </c>
      <c r="G2769" t="str">
        <f>""</f>
        <v/>
      </c>
      <c r="I2769" t="str">
        <f t="shared" si="39"/>
        <v>BCBS PAYABLE</v>
      </c>
    </row>
    <row r="2770" spans="1:9" x14ac:dyDescent="0.3">
      <c r="A2770" t="str">
        <f>""</f>
        <v/>
      </c>
      <c r="F2770" t="str">
        <f>""</f>
        <v/>
      </c>
      <c r="G2770" t="str">
        <f>""</f>
        <v/>
      </c>
      <c r="I2770" t="str">
        <f t="shared" si="39"/>
        <v>BCBS PAYABLE</v>
      </c>
    </row>
    <row r="2771" spans="1:9" x14ac:dyDescent="0.3">
      <c r="A2771" t="str">
        <f>""</f>
        <v/>
      </c>
      <c r="F2771" t="str">
        <f>""</f>
        <v/>
      </c>
      <c r="G2771" t="str">
        <f>""</f>
        <v/>
      </c>
      <c r="I2771" t="str">
        <f t="shared" si="39"/>
        <v>BCBS PAYABLE</v>
      </c>
    </row>
    <row r="2772" spans="1:9" x14ac:dyDescent="0.3">
      <c r="A2772" t="str">
        <f>""</f>
        <v/>
      </c>
      <c r="F2772" t="str">
        <f>""</f>
        <v/>
      </c>
      <c r="G2772" t="str">
        <f>""</f>
        <v/>
      </c>
      <c r="I2772" t="str">
        <f t="shared" si="39"/>
        <v>BCBS PAYABLE</v>
      </c>
    </row>
    <row r="2773" spans="1:9" x14ac:dyDescent="0.3">
      <c r="A2773" t="str">
        <f>""</f>
        <v/>
      </c>
      <c r="F2773" t="str">
        <f>""</f>
        <v/>
      </c>
      <c r="G2773" t="str">
        <f>""</f>
        <v/>
      </c>
      <c r="I2773" t="str">
        <f t="shared" si="39"/>
        <v>BCBS PAYABLE</v>
      </c>
    </row>
    <row r="2774" spans="1:9" x14ac:dyDescent="0.3">
      <c r="A2774" t="str">
        <f>""</f>
        <v/>
      </c>
      <c r="F2774" t="str">
        <f>""</f>
        <v/>
      </c>
      <c r="G2774" t="str">
        <f>""</f>
        <v/>
      </c>
      <c r="I2774" t="str">
        <f t="shared" si="39"/>
        <v>BCBS PAYABLE</v>
      </c>
    </row>
    <row r="2775" spans="1:9" x14ac:dyDescent="0.3">
      <c r="A2775" t="str">
        <f>""</f>
        <v/>
      </c>
      <c r="F2775" t="str">
        <f>""</f>
        <v/>
      </c>
      <c r="G2775" t="str">
        <f>""</f>
        <v/>
      </c>
      <c r="I2775" t="str">
        <f t="shared" si="39"/>
        <v>BCBS PAYABLE</v>
      </c>
    </row>
    <row r="2776" spans="1:9" x14ac:dyDescent="0.3">
      <c r="A2776" t="str">
        <f>""</f>
        <v/>
      </c>
      <c r="F2776" t="str">
        <f>""</f>
        <v/>
      </c>
      <c r="G2776" t="str">
        <f>""</f>
        <v/>
      </c>
      <c r="I2776" t="str">
        <f t="shared" si="39"/>
        <v>BCBS PAYABLE</v>
      </c>
    </row>
    <row r="2777" spans="1:9" x14ac:dyDescent="0.3">
      <c r="A2777" t="str">
        <f>""</f>
        <v/>
      </c>
      <c r="F2777" t="str">
        <f>""</f>
        <v/>
      </c>
      <c r="G2777" t="str">
        <f>""</f>
        <v/>
      </c>
      <c r="I2777" t="str">
        <f t="shared" si="39"/>
        <v>BCBS PAYABLE</v>
      </c>
    </row>
    <row r="2778" spans="1:9" x14ac:dyDescent="0.3">
      <c r="A2778" t="str">
        <f>""</f>
        <v/>
      </c>
      <c r="F2778" t="str">
        <f>""</f>
        <v/>
      </c>
      <c r="G2778" t="str">
        <f>""</f>
        <v/>
      </c>
      <c r="I2778" t="str">
        <f t="shared" si="39"/>
        <v>BCBS PAYABLE</v>
      </c>
    </row>
    <row r="2779" spans="1:9" x14ac:dyDescent="0.3">
      <c r="A2779" t="str">
        <f>""</f>
        <v/>
      </c>
      <c r="F2779" t="str">
        <f>""</f>
        <v/>
      </c>
      <c r="G2779" t="str">
        <f>""</f>
        <v/>
      </c>
      <c r="I2779" t="str">
        <f t="shared" si="39"/>
        <v>BCBS PAYABLE</v>
      </c>
    </row>
    <row r="2780" spans="1:9" x14ac:dyDescent="0.3">
      <c r="A2780" t="str">
        <f>""</f>
        <v/>
      </c>
      <c r="F2780" t="str">
        <f>""</f>
        <v/>
      </c>
      <c r="G2780" t="str">
        <f>""</f>
        <v/>
      </c>
      <c r="I2780" t="str">
        <f t="shared" si="39"/>
        <v>BCBS PAYABLE</v>
      </c>
    </row>
    <row r="2781" spans="1:9" x14ac:dyDescent="0.3">
      <c r="A2781" t="str">
        <f>""</f>
        <v/>
      </c>
      <c r="F2781" t="str">
        <f>""</f>
        <v/>
      </c>
      <c r="G2781" t="str">
        <f>""</f>
        <v/>
      </c>
      <c r="I2781" t="str">
        <f t="shared" si="39"/>
        <v>BCBS PAYABLE</v>
      </c>
    </row>
    <row r="2782" spans="1:9" x14ac:dyDescent="0.3">
      <c r="A2782" t="str">
        <f>""</f>
        <v/>
      </c>
      <c r="F2782" t="str">
        <f>""</f>
        <v/>
      </c>
      <c r="G2782" t="str">
        <f>""</f>
        <v/>
      </c>
      <c r="I2782" t="str">
        <f t="shared" si="39"/>
        <v>BCBS PAYABLE</v>
      </c>
    </row>
    <row r="2783" spans="1:9" x14ac:dyDescent="0.3">
      <c r="A2783" t="str">
        <f>""</f>
        <v/>
      </c>
      <c r="F2783" t="str">
        <f>""</f>
        <v/>
      </c>
      <c r="G2783" t="str">
        <f>""</f>
        <v/>
      </c>
      <c r="I2783" t="str">
        <f t="shared" si="39"/>
        <v>BCBS PAYABLE</v>
      </c>
    </row>
    <row r="2784" spans="1:9" x14ac:dyDescent="0.3">
      <c r="A2784" t="str">
        <f>""</f>
        <v/>
      </c>
      <c r="F2784" t="str">
        <f>""</f>
        <v/>
      </c>
      <c r="G2784" t="str">
        <f>""</f>
        <v/>
      </c>
      <c r="I2784" t="str">
        <f t="shared" si="39"/>
        <v>BCBS PAYABLE</v>
      </c>
    </row>
    <row r="2785" spans="1:9" x14ac:dyDescent="0.3">
      <c r="A2785" t="str">
        <f>""</f>
        <v/>
      </c>
      <c r="F2785" t="str">
        <f>"2ES201802068587"</f>
        <v>2ES201802068587</v>
      </c>
      <c r="G2785" t="str">
        <f>"BCBS PAYABLE"</f>
        <v>BCBS PAYABLE</v>
      </c>
      <c r="H2785" s="2">
        <v>519.41999999999996</v>
      </c>
      <c r="I2785" t="str">
        <f t="shared" si="39"/>
        <v>BCBS PAYABLE</v>
      </c>
    </row>
    <row r="2786" spans="1:9" x14ac:dyDescent="0.3">
      <c r="A2786" t="str">
        <f>""</f>
        <v/>
      </c>
      <c r="F2786" t="str">
        <f>""</f>
        <v/>
      </c>
      <c r="G2786" t="str">
        <f>""</f>
        <v/>
      </c>
      <c r="I2786" t="str">
        <f t="shared" si="39"/>
        <v>BCBS PAYABLE</v>
      </c>
    </row>
    <row r="2787" spans="1:9" x14ac:dyDescent="0.3">
      <c r="A2787" t="str">
        <f>""</f>
        <v/>
      </c>
      <c r="F2787" t="str">
        <f>"2ES201802218810"</f>
        <v>2ES201802218810</v>
      </c>
      <c r="G2787" t="str">
        <f>"BCBS PAYABLE"</f>
        <v>BCBS PAYABLE</v>
      </c>
      <c r="H2787" s="2">
        <v>16621.439999999999</v>
      </c>
      <c r="I2787" t="str">
        <f t="shared" si="39"/>
        <v>BCBS PAYABLE</v>
      </c>
    </row>
    <row r="2788" spans="1:9" x14ac:dyDescent="0.3">
      <c r="A2788" t="str">
        <f>""</f>
        <v/>
      </c>
      <c r="F2788" t="str">
        <f>""</f>
        <v/>
      </c>
      <c r="G2788" t="str">
        <f>""</f>
        <v/>
      </c>
      <c r="I2788" t="str">
        <f t="shared" si="39"/>
        <v>BCBS PAYABLE</v>
      </c>
    </row>
    <row r="2789" spans="1:9" x14ac:dyDescent="0.3">
      <c r="A2789" t="str">
        <f>""</f>
        <v/>
      </c>
      <c r="F2789" t="str">
        <f>""</f>
        <v/>
      </c>
      <c r="G2789" t="str">
        <f>""</f>
        <v/>
      </c>
      <c r="I2789" t="str">
        <f t="shared" si="39"/>
        <v>BCBS PAYABLE</v>
      </c>
    </row>
    <row r="2790" spans="1:9" x14ac:dyDescent="0.3">
      <c r="A2790" t="str">
        <f>""</f>
        <v/>
      </c>
      <c r="F2790" t="str">
        <f>""</f>
        <v/>
      </c>
      <c r="G2790" t="str">
        <f>""</f>
        <v/>
      </c>
      <c r="I2790" t="str">
        <f t="shared" si="39"/>
        <v>BCBS PAYABLE</v>
      </c>
    </row>
    <row r="2791" spans="1:9" x14ac:dyDescent="0.3">
      <c r="A2791" t="str">
        <f>""</f>
        <v/>
      </c>
      <c r="F2791" t="str">
        <f>""</f>
        <v/>
      </c>
      <c r="G2791" t="str">
        <f>""</f>
        <v/>
      </c>
      <c r="I2791" t="str">
        <f t="shared" si="39"/>
        <v>BCBS PAYABLE</v>
      </c>
    </row>
    <row r="2792" spans="1:9" x14ac:dyDescent="0.3">
      <c r="A2792" t="str">
        <f>""</f>
        <v/>
      </c>
      <c r="F2792" t="str">
        <f>""</f>
        <v/>
      </c>
      <c r="G2792" t="str">
        <f>""</f>
        <v/>
      </c>
      <c r="I2792" t="str">
        <f t="shared" si="39"/>
        <v>BCBS PAYABLE</v>
      </c>
    </row>
    <row r="2793" spans="1:9" x14ac:dyDescent="0.3">
      <c r="A2793" t="str">
        <f>""</f>
        <v/>
      </c>
      <c r="F2793" t="str">
        <f>""</f>
        <v/>
      </c>
      <c r="G2793" t="str">
        <f>""</f>
        <v/>
      </c>
      <c r="I2793" t="str">
        <f t="shared" si="39"/>
        <v>BCBS PAYABLE</v>
      </c>
    </row>
    <row r="2794" spans="1:9" x14ac:dyDescent="0.3">
      <c r="A2794" t="str">
        <f>""</f>
        <v/>
      </c>
      <c r="F2794" t="str">
        <f>""</f>
        <v/>
      </c>
      <c r="G2794" t="str">
        <f>""</f>
        <v/>
      </c>
      <c r="I2794" t="str">
        <f t="shared" si="39"/>
        <v>BCBS PAYABLE</v>
      </c>
    </row>
    <row r="2795" spans="1:9" x14ac:dyDescent="0.3">
      <c r="A2795" t="str">
        <f>""</f>
        <v/>
      </c>
      <c r="F2795" t="str">
        <f>""</f>
        <v/>
      </c>
      <c r="G2795" t="str">
        <f>""</f>
        <v/>
      </c>
      <c r="I2795" t="str">
        <f t="shared" si="39"/>
        <v>BCBS PAYABLE</v>
      </c>
    </row>
    <row r="2796" spans="1:9" x14ac:dyDescent="0.3">
      <c r="A2796" t="str">
        <f>""</f>
        <v/>
      </c>
      <c r="F2796" t="str">
        <f>""</f>
        <v/>
      </c>
      <c r="G2796" t="str">
        <f>""</f>
        <v/>
      </c>
      <c r="I2796" t="str">
        <f t="shared" ref="I2796:I2806" si="40">"BCBS PAYABLE"</f>
        <v>BCBS PAYABLE</v>
      </c>
    </row>
    <row r="2797" spans="1:9" x14ac:dyDescent="0.3">
      <c r="A2797" t="str">
        <f>""</f>
        <v/>
      </c>
      <c r="F2797" t="str">
        <f>""</f>
        <v/>
      </c>
      <c r="G2797" t="str">
        <f>""</f>
        <v/>
      </c>
      <c r="I2797" t="str">
        <f t="shared" si="40"/>
        <v>BCBS PAYABLE</v>
      </c>
    </row>
    <row r="2798" spans="1:9" x14ac:dyDescent="0.3">
      <c r="A2798" t="str">
        <f>""</f>
        <v/>
      </c>
      <c r="F2798" t="str">
        <f>""</f>
        <v/>
      </c>
      <c r="G2798" t="str">
        <f>""</f>
        <v/>
      </c>
      <c r="I2798" t="str">
        <f t="shared" si="40"/>
        <v>BCBS PAYABLE</v>
      </c>
    </row>
    <row r="2799" spans="1:9" x14ac:dyDescent="0.3">
      <c r="A2799" t="str">
        <f>""</f>
        <v/>
      </c>
      <c r="F2799" t="str">
        <f>""</f>
        <v/>
      </c>
      <c r="G2799" t="str">
        <f>""</f>
        <v/>
      </c>
      <c r="I2799" t="str">
        <f t="shared" si="40"/>
        <v>BCBS PAYABLE</v>
      </c>
    </row>
    <row r="2800" spans="1:9" x14ac:dyDescent="0.3">
      <c r="A2800" t="str">
        <f>""</f>
        <v/>
      </c>
      <c r="F2800" t="str">
        <f>""</f>
        <v/>
      </c>
      <c r="G2800" t="str">
        <f>""</f>
        <v/>
      </c>
      <c r="I2800" t="str">
        <f t="shared" si="40"/>
        <v>BCBS PAYABLE</v>
      </c>
    </row>
    <row r="2801" spans="1:9" x14ac:dyDescent="0.3">
      <c r="A2801" t="str">
        <f>""</f>
        <v/>
      </c>
      <c r="F2801" t="str">
        <f>""</f>
        <v/>
      </c>
      <c r="G2801" t="str">
        <f>""</f>
        <v/>
      </c>
      <c r="I2801" t="str">
        <f t="shared" si="40"/>
        <v>BCBS PAYABLE</v>
      </c>
    </row>
    <row r="2802" spans="1:9" x14ac:dyDescent="0.3">
      <c r="A2802" t="str">
        <f>""</f>
        <v/>
      </c>
      <c r="F2802" t="str">
        <f>""</f>
        <v/>
      </c>
      <c r="G2802" t="str">
        <f>""</f>
        <v/>
      </c>
      <c r="I2802" t="str">
        <f t="shared" si="40"/>
        <v>BCBS PAYABLE</v>
      </c>
    </row>
    <row r="2803" spans="1:9" x14ac:dyDescent="0.3">
      <c r="A2803" t="str">
        <f>""</f>
        <v/>
      </c>
      <c r="F2803" t="str">
        <f>""</f>
        <v/>
      </c>
      <c r="G2803" t="str">
        <f>""</f>
        <v/>
      </c>
      <c r="I2803" t="str">
        <f t="shared" si="40"/>
        <v>BCBS PAYABLE</v>
      </c>
    </row>
    <row r="2804" spans="1:9" x14ac:dyDescent="0.3">
      <c r="A2804" t="str">
        <f>""</f>
        <v/>
      </c>
      <c r="F2804" t="str">
        <f>""</f>
        <v/>
      </c>
      <c r="G2804" t="str">
        <f>""</f>
        <v/>
      </c>
      <c r="I2804" t="str">
        <f t="shared" si="40"/>
        <v>BCBS PAYABLE</v>
      </c>
    </row>
    <row r="2805" spans="1:9" x14ac:dyDescent="0.3">
      <c r="A2805" t="str">
        <f>""</f>
        <v/>
      </c>
      <c r="F2805" t="str">
        <f>"2ES201802218811"</f>
        <v>2ES201802218811</v>
      </c>
      <c r="G2805" t="str">
        <f>"BCBS PAYABLE"</f>
        <v>BCBS PAYABLE</v>
      </c>
      <c r="H2805" s="2">
        <v>519.41999999999996</v>
      </c>
      <c r="I2805" t="str">
        <f t="shared" si="40"/>
        <v>BCBS PAYABLE</v>
      </c>
    </row>
    <row r="2806" spans="1:9" x14ac:dyDescent="0.3">
      <c r="A2806" t="str">
        <f>""</f>
        <v/>
      </c>
      <c r="F2806" t="str">
        <f>""</f>
        <v/>
      </c>
      <c r="G2806" t="str">
        <f>""</f>
        <v/>
      </c>
      <c r="I2806" t="str">
        <f t="shared" si="40"/>
        <v>BCBS PAYABLE</v>
      </c>
    </row>
    <row r="2807" spans="1:9" x14ac:dyDescent="0.3">
      <c r="A2807" t="str">
        <f>"TAGO"</f>
        <v>TAGO</v>
      </c>
      <c r="B2807" t="s">
        <v>534</v>
      </c>
      <c r="C2807">
        <v>0</v>
      </c>
      <c r="D2807" s="2">
        <v>4276.07</v>
      </c>
      <c r="E2807" s="1">
        <v>43140</v>
      </c>
      <c r="F2807" t="str">
        <f>"C18201802068587"</f>
        <v>C18201802068587</v>
      </c>
      <c r="G2807" t="str">
        <f>"CAUSE# 0011635329"</f>
        <v>CAUSE# 0011635329</v>
      </c>
      <c r="H2807" s="2">
        <v>603.23</v>
      </c>
      <c r="I2807" t="str">
        <f>"CAUSE# 0011635329"</f>
        <v>CAUSE# 0011635329</v>
      </c>
    </row>
    <row r="2808" spans="1:9" x14ac:dyDescent="0.3">
      <c r="A2808" t="str">
        <f>""</f>
        <v/>
      </c>
      <c r="F2808" t="str">
        <f>"C2 201802068587"</f>
        <v>C2 201802068587</v>
      </c>
      <c r="G2808" t="str">
        <f>"0012982132CCL7445"</f>
        <v>0012982132CCL7445</v>
      </c>
      <c r="H2808" s="2">
        <v>692.31</v>
      </c>
      <c r="I2808" t="str">
        <f>"0012982132CCL7445"</f>
        <v>0012982132CCL7445</v>
      </c>
    </row>
    <row r="2809" spans="1:9" x14ac:dyDescent="0.3">
      <c r="A2809" t="str">
        <f>""</f>
        <v/>
      </c>
      <c r="F2809" t="str">
        <f>"C20201802068586"</f>
        <v>C20201802068586</v>
      </c>
      <c r="G2809" t="str">
        <f>"001003981107-12252"</f>
        <v>001003981107-12252</v>
      </c>
      <c r="H2809" s="2">
        <v>115.39</v>
      </c>
      <c r="I2809" t="str">
        <f>"001003981107-12252"</f>
        <v>001003981107-12252</v>
      </c>
    </row>
    <row r="2810" spans="1:9" x14ac:dyDescent="0.3">
      <c r="A2810" t="str">
        <f>""</f>
        <v/>
      </c>
      <c r="F2810" t="str">
        <f>"C39201802068586"</f>
        <v>C39201802068586</v>
      </c>
      <c r="G2810" t="str">
        <f>"0012352184423-1520"</f>
        <v>0012352184423-1520</v>
      </c>
      <c r="H2810" s="2">
        <v>273.23</v>
      </c>
      <c r="I2810" t="str">
        <f>"0012352184423-1520"</f>
        <v>0012352184423-1520</v>
      </c>
    </row>
    <row r="2811" spans="1:9" x14ac:dyDescent="0.3">
      <c r="A2811" t="str">
        <f>""</f>
        <v/>
      </c>
      <c r="F2811" t="str">
        <f>"C42201802068586"</f>
        <v>C42201802068586</v>
      </c>
      <c r="G2811" t="str">
        <f>"001236769211-14410"</f>
        <v>001236769211-14410</v>
      </c>
      <c r="H2811" s="2">
        <v>230.31</v>
      </c>
      <c r="I2811" t="str">
        <f>"001236769211-14410"</f>
        <v>001236769211-14410</v>
      </c>
    </row>
    <row r="2812" spans="1:9" x14ac:dyDescent="0.3">
      <c r="A2812" t="str">
        <f>""</f>
        <v/>
      </c>
      <c r="F2812" t="str">
        <f>"C46201802068586"</f>
        <v>C46201802068586</v>
      </c>
      <c r="G2812" t="str">
        <f>"CAUSE# 11-14911"</f>
        <v>CAUSE# 11-14911</v>
      </c>
      <c r="H2812" s="2">
        <v>238.62</v>
      </c>
      <c r="I2812" t="str">
        <f>"CAUSE# 11-14911"</f>
        <v>CAUSE# 11-14911</v>
      </c>
    </row>
    <row r="2813" spans="1:9" x14ac:dyDescent="0.3">
      <c r="A2813" t="str">
        <f>""</f>
        <v/>
      </c>
      <c r="F2813" t="str">
        <f>"C53201802068586"</f>
        <v>C53201802068586</v>
      </c>
      <c r="G2813" t="str">
        <f>"0012453366"</f>
        <v>0012453366</v>
      </c>
      <c r="H2813" s="2">
        <v>207.69</v>
      </c>
      <c r="I2813" t="str">
        <f>"0012453366"</f>
        <v>0012453366</v>
      </c>
    </row>
    <row r="2814" spans="1:9" x14ac:dyDescent="0.3">
      <c r="A2814" t="str">
        <f>""</f>
        <v/>
      </c>
      <c r="F2814" t="str">
        <f>"C59201802068586"</f>
        <v>C59201802068586</v>
      </c>
      <c r="G2814" t="str">
        <f>"0012936495140043"</f>
        <v>0012936495140043</v>
      </c>
      <c r="H2814" s="2">
        <v>226.15</v>
      </c>
      <c r="I2814" t="str">
        <f>"0012936495140043"</f>
        <v>0012936495140043</v>
      </c>
    </row>
    <row r="2815" spans="1:9" x14ac:dyDescent="0.3">
      <c r="A2815" t="str">
        <f>""</f>
        <v/>
      </c>
      <c r="F2815" t="str">
        <f>"C60201802068586"</f>
        <v>C60201802068586</v>
      </c>
      <c r="G2815" t="str">
        <f>"00130730762012V300"</f>
        <v>00130730762012V300</v>
      </c>
      <c r="H2815" s="2">
        <v>399.32</v>
      </c>
      <c r="I2815" t="str">
        <f>"00130730762012V300"</f>
        <v>00130730762012V300</v>
      </c>
    </row>
    <row r="2816" spans="1:9" x14ac:dyDescent="0.3">
      <c r="A2816" t="str">
        <f>""</f>
        <v/>
      </c>
      <c r="F2816" t="str">
        <f>"C61201802068586"</f>
        <v>C61201802068586</v>
      </c>
      <c r="G2816" t="str">
        <f>"001174398213713"</f>
        <v>001174398213713</v>
      </c>
      <c r="H2816" s="2">
        <v>6.42</v>
      </c>
      <c r="I2816" t="str">
        <f>"001174398213713"</f>
        <v>001174398213713</v>
      </c>
    </row>
    <row r="2817" spans="1:9" x14ac:dyDescent="0.3">
      <c r="A2817" t="str">
        <f>""</f>
        <v/>
      </c>
      <c r="F2817" t="str">
        <f>"C62201802068586"</f>
        <v>C62201802068586</v>
      </c>
      <c r="G2817" t="str">
        <f>"# 0012128865"</f>
        <v># 0012128865</v>
      </c>
      <c r="H2817" s="2">
        <v>243.23</v>
      </c>
      <c r="I2817" t="str">
        <f>"# 0012128865"</f>
        <v># 0012128865</v>
      </c>
    </row>
    <row r="2818" spans="1:9" x14ac:dyDescent="0.3">
      <c r="A2818" t="str">
        <f>""</f>
        <v/>
      </c>
      <c r="F2818" t="str">
        <f>"C63201802068586"</f>
        <v>C63201802068586</v>
      </c>
      <c r="G2818" t="str">
        <f>"00132751231517246"</f>
        <v>00132751231517246</v>
      </c>
      <c r="H2818" s="2">
        <v>46.15</v>
      </c>
      <c r="I2818" t="str">
        <f>"00132751231517246"</f>
        <v>00132751231517246</v>
      </c>
    </row>
    <row r="2819" spans="1:9" x14ac:dyDescent="0.3">
      <c r="A2819" t="str">
        <f>""</f>
        <v/>
      </c>
      <c r="F2819" t="str">
        <f>"C65201802068586"</f>
        <v>C65201802068586</v>
      </c>
      <c r="G2819" t="str">
        <f>"12-14956"</f>
        <v>12-14956</v>
      </c>
      <c r="H2819" s="2">
        <v>351.1</v>
      </c>
      <c r="I2819" t="str">
        <f>"12-14956"</f>
        <v>12-14956</v>
      </c>
    </row>
    <row r="2820" spans="1:9" x14ac:dyDescent="0.3">
      <c r="A2820" t="str">
        <f>""</f>
        <v/>
      </c>
      <c r="F2820" t="str">
        <f>"C66201802068586"</f>
        <v>C66201802068586</v>
      </c>
      <c r="G2820" t="str">
        <f>"# 0012871801"</f>
        <v># 0012871801</v>
      </c>
      <c r="H2820" s="2">
        <v>90</v>
      </c>
      <c r="I2820" t="str">
        <f>"# 0012871801"</f>
        <v># 0012871801</v>
      </c>
    </row>
    <row r="2821" spans="1:9" x14ac:dyDescent="0.3">
      <c r="A2821" t="str">
        <f>""</f>
        <v/>
      </c>
      <c r="F2821" t="str">
        <f>"C66201802068588"</f>
        <v>C66201802068588</v>
      </c>
      <c r="G2821" t="str">
        <f>"CAUSE#D1FM13007058"</f>
        <v>CAUSE#D1FM13007058</v>
      </c>
      <c r="H2821" s="2">
        <v>138.46</v>
      </c>
      <c r="I2821" t="str">
        <f>"CAUSE#D1FM13007058"</f>
        <v>CAUSE#D1FM13007058</v>
      </c>
    </row>
    <row r="2822" spans="1:9" x14ac:dyDescent="0.3">
      <c r="A2822" t="str">
        <f>""</f>
        <v/>
      </c>
      <c r="F2822" t="str">
        <f>"C68201802068586"</f>
        <v>C68201802068586</v>
      </c>
      <c r="G2822" t="str">
        <f>"00125374142011CM2291"</f>
        <v>00125374142011CM2291</v>
      </c>
      <c r="H2822" s="2">
        <v>414.46</v>
      </c>
      <c r="I2822" t="str">
        <f>"00125374142011CM2291"</f>
        <v>00125374142011CM2291</v>
      </c>
    </row>
    <row r="2823" spans="1:9" x14ac:dyDescent="0.3">
      <c r="A2823" t="str">
        <f>"TAGO"</f>
        <v>TAGO</v>
      </c>
      <c r="B2823" t="s">
        <v>534</v>
      </c>
      <c r="C2823">
        <v>0</v>
      </c>
      <c r="D2823" s="2">
        <v>4463.45</v>
      </c>
      <c r="E2823" s="1">
        <v>43154</v>
      </c>
      <c r="F2823" t="str">
        <f>"C18201802218811"</f>
        <v>C18201802218811</v>
      </c>
      <c r="G2823" t="str">
        <f>"CAUSE# 0011635329"</f>
        <v>CAUSE# 0011635329</v>
      </c>
      <c r="H2823" s="2">
        <v>603.23</v>
      </c>
      <c r="I2823" t="str">
        <f>"CAUSE# 0011635329"</f>
        <v>CAUSE# 0011635329</v>
      </c>
    </row>
    <row r="2824" spans="1:9" x14ac:dyDescent="0.3">
      <c r="A2824" t="str">
        <f>""</f>
        <v/>
      </c>
      <c r="F2824" t="str">
        <f>"C2 201802218811"</f>
        <v>C2 201802218811</v>
      </c>
      <c r="G2824" t="str">
        <f>"0012982132CCL7445"</f>
        <v>0012982132CCL7445</v>
      </c>
      <c r="H2824" s="2">
        <v>692.31</v>
      </c>
      <c r="I2824" t="str">
        <f>"0012982132CCL7445"</f>
        <v>0012982132CCL7445</v>
      </c>
    </row>
    <row r="2825" spans="1:9" x14ac:dyDescent="0.3">
      <c r="A2825" t="str">
        <f>""</f>
        <v/>
      </c>
      <c r="F2825" t="str">
        <f>"C20201802218810"</f>
        <v>C20201802218810</v>
      </c>
      <c r="G2825" t="str">
        <f>"001003981107-12252"</f>
        <v>001003981107-12252</v>
      </c>
      <c r="H2825" s="2">
        <v>115.39</v>
      </c>
      <c r="I2825" t="str">
        <f>"001003981107-12252"</f>
        <v>001003981107-12252</v>
      </c>
    </row>
    <row r="2826" spans="1:9" x14ac:dyDescent="0.3">
      <c r="A2826" t="str">
        <f>""</f>
        <v/>
      </c>
      <c r="F2826" t="str">
        <f>"C39201802218810"</f>
        <v>C39201802218810</v>
      </c>
      <c r="G2826" t="str">
        <f>"0012352184423-1520"</f>
        <v>0012352184423-1520</v>
      </c>
      <c r="H2826" s="2">
        <v>273.23</v>
      </c>
      <c r="I2826" t="str">
        <f>"0012352184423-1520"</f>
        <v>0012352184423-1520</v>
      </c>
    </row>
    <row r="2827" spans="1:9" x14ac:dyDescent="0.3">
      <c r="A2827" t="str">
        <f>""</f>
        <v/>
      </c>
      <c r="F2827" t="str">
        <f>"C42201802218810"</f>
        <v>C42201802218810</v>
      </c>
      <c r="G2827" t="str">
        <f>"001236769211-14410"</f>
        <v>001236769211-14410</v>
      </c>
      <c r="H2827" s="2">
        <v>230.31</v>
      </c>
      <c r="I2827" t="str">
        <f>"001236769211-14410"</f>
        <v>001236769211-14410</v>
      </c>
    </row>
    <row r="2828" spans="1:9" x14ac:dyDescent="0.3">
      <c r="A2828" t="str">
        <f>""</f>
        <v/>
      </c>
      <c r="F2828" t="str">
        <f>"C46201802218810"</f>
        <v>C46201802218810</v>
      </c>
      <c r="G2828" t="str">
        <f>"CAUSE# 11-14911"</f>
        <v>CAUSE# 11-14911</v>
      </c>
      <c r="H2828" s="2">
        <v>238.62</v>
      </c>
      <c r="I2828" t="str">
        <f>"CAUSE# 11-14911"</f>
        <v>CAUSE# 11-14911</v>
      </c>
    </row>
    <row r="2829" spans="1:9" x14ac:dyDescent="0.3">
      <c r="A2829" t="str">
        <f>""</f>
        <v/>
      </c>
      <c r="F2829" t="str">
        <f>"C53201802218810"</f>
        <v>C53201802218810</v>
      </c>
      <c r="G2829" t="str">
        <f>"0012453366"</f>
        <v>0012453366</v>
      </c>
      <c r="H2829" s="2">
        <v>207.69</v>
      </c>
      <c r="I2829" t="str">
        <f>"0012453366"</f>
        <v>0012453366</v>
      </c>
    </row>
    <row r="2830" spans="1:9" x14ac:dyDescent="0.3">
      <c r="A2830" t="str">
        <f>""</f>
        <v/>
      </c>
      <c r="F2830" t="str">
        <f>"C59201802218810"</f>
        <v>C59201802218810</v>
      </c>
      <c r="G2830" t="str">
        <f>"0012936495140043"</f>
        <v>0012936495140043</v>
      </c>
      <c r="H2830" s="2">
        <v>226.15</v>
      </c>
      <c r="I2830" t="str">
        <f>"0012936495140043"</f>
        <v>0012936495140043</v>
      </c>
    </row>
    <row r="2831" spans="1:9" x14ac:dyDescent="0.3">
      <c r="A2831" t="str">
        <f>""</f>
        <v/>
      </c>
      <c r="F2831" t="str">
        <f>"C60201802218810"</f>
        <v>C60201802218810</v>
      </c>
      <c r="G2831" t="str">
        <f>"00130730762012V300"</f>
        <v>00130730762012V300</v>
      </c>
      <c r="H2831" s="2">
        <v>399.32</v>
      </c>
      <c r="I2831" t="str">
        <f>"00130730762012V300"</f>
        <v>00130730762012V300</v>
      </c>
    </row>
    <row r="2832" spans="1:9" x14ac:dyDescent="0.3">
      <c r="A2832" t="str">
        <f>""</f>
        <v/>
      </c>
      <c r="F2832" t="str">
        <f>"C61201802218810"</f>
        <v>C61201802218810</v>
      </c>
      <c r="G2832" t="str">
        <f>"001174398213713"</f>
        <v>001174398213713</v>
      </c>
      <c r="H2832" s="2">
        <v>6.42</v>
      </c>
      <c r="I2832" t="str">
        <f>"001174398213713"</f>
        <v>001174398213713</v>
      </c>
    </row>
    <row r="2833" spans="1:9" x14ac:dyDescent="0.3">
      <c r="A2833" t="str">
        <f>""</f>
        <v/>
      </c>
      <c r="F2833" t="str">
        <f>"C62201802218810"</f>
        <v>C62201802218810</v>
      </c>
      <c r="G2833" t="str">
        <f>"# 0012128865"</f>
        <v># 0012128865</v>
      </c>
      <c r="H2833" s="2">
        <v>243.23</v>
      </c>
      <c r="I2833" t="str">
        <f>"# 0012128865"</f>
        <v># 0012128865</v>
      </c>
    </row>
    <row r="2834" spans="1:9" x14ac:dyDescent="0.3">
      <c r="A2834" t="str">
        <f>""</f>
        <v/>
      </c>
      <c r="F2834" t="str">
        <f>"C63201802218810"</f>
        <v>C63201802218810</v>
      </c>
      <c r="G2834" t="str">
        <f>"00132751231517246"</f>
        <v>00132751231517246</v>
      </c>
      <c r="H2834" s="2">
        <v>46.15</v>
      </c>
      <c r="I2834" t="str">
        <f>"00132751231517246"</f>
        <v>00132751231517246</v>
      </c>
    </row>
    <row r="2835" spans="1:9" x14ac:dyDescent="0.3">
      <c r="A2835" t="str">
        <f>""</f>
        <v/>
      </c>
      <c r="F2835" t="str">
        <f>"C65201802218810"</f>
        <v>C65201802218810</v>
      </c>
      <c r="G2835" t="str">
        <f>"12-14956"</f>
        <v>12-14956</v>
      </c>
      <c r="H2835" s="2">
        <v>351.1</v>
      </c>
      <c r="I2835" t="str">
        <f>"12-14956"</f>
        <v>12-14956</v>
      </c>
    </row>
    <row r="2836" spans="1:9" x14ac:dyDescent="0.3">
      <c r="A2836" t="str">
        <f>""</f>
        <v/>
      </c>
      <c r="F2836" t="str">
        <f>"C66201802218810"</f>
        <v>C66201802218810</v>
      </c>
      <c r="G2836" t="str">
        <f>"# 0012871801"</f>
        <v># 0012871801</v>
      </c>
      <c r="H2836" s="2">
        <v>90</v>
      </c>
      <c r="I2836" t="str">
        <f>"# 0012871801"</f>
        <v># 0012871801</v>
      </c>
    </row>
    <row r="2837" spans="1:9" x14ac:dyDescent="0.3">
      <c r="A2837" t="str">
        <f>""</f>
        <v/>
      </c>
      <c r="F2837" t="str">
        <f>"C66201802218812"</f>
        <v>C66201802218812</v>
      </c>
      <c r="G2837" t="str">
        <f>"CAUSE#D1FM13007058"</f>
        <v>CAUSE#D1FM13007058</v>
      </c>
      <c r="H2837" s="2">
        <v>138.46</v>
      </c>
      <c r="I2837" t="str">
        <f>"CAUSE#D1FM13007058"</f>
        <v>CAUSE#D1FM13007058</v>
      </c>
    </row>
    <row r="2838" spans="1:9" x14ac:dyDescent="0.3">
      <c r="A2838" t="str">
        <f>""</f>
        <v/>
      </c>
      <c r="F2838" t="str">
        <f>"C68201802218810"</f>
        <v>C68201802218810</v>
      </c>
      <c r="G2838" t="str">
        <f>"00125374142011CM2291"</f>
        <v>00125374142011CM2291</v>
      </c>
      <c r="H2838" s="2">
        <v>414.46</v>
      </c>
      <c r="I2838" t="str">
        <f>"00125374142011CM2291"</f>
        <v>00125374142011CM2291</v>
      </c>
    </row>
    <row r="2839" spans="1:9" x14ac:dyDescent="0.3">
      <c r="A2839" t="str">
        <f>""</f>
        <v/>
      </c>
      <c r="F2839" t="str">
        <f>"C69201802218810"</f>
        <v>C69201802218810</v>
      </c>
      <c r="G2839" t="str">
        <f>"0012046911423672"</f>
        <v>0012046911423672</v>
      </c>
      <c r="H2839" s="2">
        <v>187.38</v>
      </c>
      <c r="I2839" t="str">
        <f>"0012046911423672"</f>
        <v>0012046911423672</v>
      </c>
    </row>
    <row r="2840" spans="1:9" x14ac:dyDescent="0.3">
      <c r="A2840" t="str">
        <f>"TCDRS"</f>
        <v>TCDRS</v>
      </c>
      <c r="B2840" t="s">
        <v>535</v>
      </c>
      <c r="C2840">
        <v>0</v>
      </c>
      <c r="D2840" s="2">
        <v>317396.86</v>
      </c>
      <c r="E2840" s="1">
        <v>43154</v>
      </c>
      <c r="F2840" t="str">
        <f>"RET201802068586"</f>
        <v>RET201802068586</v>
      </c>
      <c r="G2840" t="str">
        <f>"TEXAS COUNTY &amp; DISTRICT RET"</f>
        <v>TEXAS COUNTY &amp; DISTRICT RET</v>
      </c>
      <c r="H2840" s="2">
        <v>144624.25</v>
      </c>
      <c r="I2840" t="str">
        <f t="shared" ref="I2840:I2871" si="41">"TEXAS COUNTY &amp; DISTRICT RET"</f>
        <v>TEXAS COUNTY &amp; DISTRICT RET</v>
      </c>
    </row>
    <row r="2841" spans="1:9" x14ac:dyDescent="0.3">
      <c r="A2841" t="str">
        <f>""</f>
        <v/>
      </c>
      <c r="F2841" t="str">
        <f>""</f>
        <v/>
      </c>
      <c r="G2841" t="str">
        <f>""</f>
        <v/>
      </c>
      <c r="I2841" t="str">
        <f t="shared" si="41"/>
        <v>TEXAS COUNTY &amp; DISTRICT RET</v>
      </c>
    </row>
    <row r="2842" spans="1:9" x14ac:dyDescent="0.3">
      <c r="A2842" t="str">
        <f>""</f>
        <v/>
      </c>
      <c r="F2842" t="str">
        <f>""</f>
        <v/>
      </c>
      <c r="G2842" t="str">
        <f>""</f>
        <v/>
      </c>
      <c r="I2842" t="str">
        <f t="shared" si="41"/>
        <v>TEXAS COUNTY &amp; DISTRICT RET</v>
      </c>
    </row>
    <row r="2843" spans="1:9" x14ac:dyDescent="0.3">
      <c r="A2843" t="str">
        <f>""</f>
        <v/>
      </c>
      <c r="F2843" t="str">
        <f>""</f>
        <v/>
      </c>
      <c r="G2843" t="str">
        <f>""</f>
        <v/>
      </c>
      <c r="I2843" t="str">
        <f t="shared" si="41"/>
        <v>TEXAS COUNTY &amp; DISTRICT RET</v>
      </c>
    </row>
    <row r="2844" spans="1:9" x14ac:dyDescent="0.3">
      <c r="A2844" t="str">
        <f>""</f>
        <v/>
      </c>
      <c r="F2844" t="str">
        <f>""</f>
        <v/>
      </c>
      <c r="G2844" t="str">
        <f>""</f>
        <v/>
      </c>
      <c r="I2844" t="str">
        <f t="shared" si="41"/>
        <v>TEXAS COUNTY &amp; DISTRICT RET</v>
      </c>
    </row>
    <row r="2845" spans="1:9" x14ac:dyDescent="0.3">
      <c r="A2845" t="str">
        <f>""</f>
        <v/>
      </c>
      <c r="F2845" t="str">
        <f>""</f>
        <v/>
      </c>
      <c r="G2845" t="str">
        <f>""</f>
        <v/>
      </c>
      <c r="I2845" t="str">
        <f t="shared" si="41"/>
        <v>TEXAS COUNTY &amp; DISTRICT RET</v>
      </c>
    </row>
    <row r="2846" spans="1:9" x14ac:dyDescent="0.3">
      <c r="A2846" t="str">
        <f>""</f>
        <v/>
      </c>
      <c r="F2846" t="str">
        <f>""</f>
        <v/>
      </c>
      <c r="G2846" t="str">
        <f>""</f>
        <v/>
      </c>
      <c r="I2846" t="str">
        <f t="shared" si="41"/>
        <v>TEXAS COUNTY &amp; DISTRICT RET</v>
      </c>
    </row>
    <row r="2847" spans="1:9" x14ac:dyDescent="0.3">
      <c r="A2847" t="str">
        <f>""</f>
        <v/>
      </c>
      <c r="F2847" t="str">
        <f>""</f>
        <v/>
      </c>
      <c r="G2847" t="str">
        <f>""</f>
        <v/>
      </c>
      <c r="I2847" t="str">
        <f t="shared" si="41"/>
        <v>TEXAS COUNTY &amp; DISTRICT RET</v>
      </c>
    </row>
    <row r="2848" spans="1:9" x14ac:dyDescent="0.3">
      <c r="A2848" t="str">
        <f>""</f>
        <v/>
      </c>
      <c r="F2848" t="str">
        <f>""</f>
        <v/>
      </c>
      <c r="G2848" t="str">
        <f>""</f>
        <v/>
      </c>
      <c r="I2848" t="str">
        <f t="shared" si="41"/>
        <v>TEXAS COUNTY &amp; DISTRICT RET</v>
      </c>
    </row>
    <row r="2849" spans="1:9" x14ac:dyDescent="0.3">
      <c r="A2849" t="str">
        <f>""</f>
        <v/>
      </c>
      <c r="F2849" t="str">
        <f>""</f>
        <v/>
      </c>
      <c r="G2849" t="str">
        <f>""</f>
        <v/>
      </c>
      <c r="I2849" t="str">
        <f t="shared" si="41"/>
        <v>TEXAS COUNTY &amp; DISTRICT RET</v>
      </c>
    </row>
    <row r="2850" spans="1:9" x14ac:dyDescent="0.3">
      <c r="A2850" t="str">
        <f>""</f>
        <v/>
      </c>
      <c r="F2850" t="str">
        <f>""</f>
        <v/>
      </c>
      <c r="G2850" t="str">
        <f>""</f>
        <v/>
      </c>
      <c r="I2850" t="str">
        <f t="shared" si="41"/>
        <v>TEXAS COUNTY &amp; DISTRICT RET</v>
      </c>
    </row>
    <row r="2851" spans="1:9" x14ac:dyDescent="0.3">
      <c r="A2851" t="str">
        <f>""</f>
        <v/>
      </c>
      <c r="F2851" t="str">
        <f>""</f>
        <v/>
      </c>
      <c r="G2851" t="str">
        <f>""</f>
        <v/>
      </c>
      <c r="I2851" t="str">
        <f t="shared" si="41"/>
        <v>TEXAS COUNTY &amp; DISTRICT RET</v>
      </c>
    </row>
    <row r="2852" spans="1:9" x14ac:dyDescent="0.3">
      <c r="A2852" t="str">
        <f>""</f>
        <v/>
      </c>
      <c r="F2852" t="str">
        <f>""</f>
        <v/>
      </c>
      <c r="G2852" t="str">
        <f>""</f>
        <v/>
      </c>
      <c r="I2852" t="str">
        <f t="shared" si="41"/>
        <v>TEXAS COUNTY &amp; DISTRICT RET</v>
      </c>
    </row>
    <row r="2853" spans="1:9" x14ac:dyDescent="0.3">
      <c r="A2853" t="str">
        <f>""</f>
        <v/>
      </c>
      <c r="F2853" t="str">
        <f>""</f>
        <v/>
      </c>
      <c r="G2853" t="str">
        <f>""</f>
        <v/>
      </c>
      <c r="I2853" t="str">
        <f t="shared" si="41"/>
        <v>TEXAS COUNTY &amp; DISTRICT RET</v>
      </c>
    </row>
    <row r="2854" spans="1:9" x14ac:dyDescent="0.3">
      <c r="A2854" t="str">
        <f>""</f>
        <v/>
      </c>
      <c r="F2854" t="str">
        <f>""</f>
        <v/>
      </c>
      <c r="G2854" t="str">
        <f>""</f>
        <v/>
      </c>
      <c r="I2854" t="str">
        <f t="shared" si="41"/>
        <v>TEXAS COUNTY &amp; DISTRICT RET</v>
      </c>
    </row>
    <row r="2855" spans="1:9" x14ac:dyDescent="0.3">
      <c r="A2855" t="str">
        <f>""</f>
        <v/>
      </c>
      <c r="F2855" t="str">
        <f>""</f>
        <v/>
      </c>
      <c r="G2855" t="str">
        <f>""</f>
        <v/>
      </c>
      <c r="I2855" t="str">
        <f t="shared" si="41"/>
        <v>TEXAS COUNTY &amp; DISTRICT RET</v>
      </c>
    </row>
    <row r="2856" spans="1:9" x14ac:dyDescent="0.3">
      <c r="A2856" t="str">
        <f>""</f>
        <v/>
      </c>
      <c r="F2856" t="str">
        <f>""</f>
        <v/>
      </c>
      <c r="G2856" t="str">
        <f>""</f>
        <v/>
      </c>
      <c r="I2856" t="str">
        <f t="shared" si="41"/>
        <v>TEXAS COUNTY &amp; DISTRICT RET</v>
      </c>
    </row>
    <row r="2857" spans="1:9" x14ac:dyDescent="0.3">
      <c r="A2857" t="str">
        <f>""</f>
        <v/>
      </c>
      <c r="F2857" t="str">
        <f>""</f>
        <v/>
      </c>
      <c r="G2857" t="str">
        <f>""</f>
        <v/>
      </c>
      <c r="I2857" t="str">
        <f t="shared" si="41"/>
        <v>TEXAS COUNTY &amp; DISTRICT RET</v>
      </c>
    </row>
    <row r="2858" spans="1:9" x14ac:dyDescent="0.3">
      <c r="A2858" t="str">
        <f>""</f>
        <v/>
      </c>
      <c r="F2858" t="str">
        <f>""</f>
        <v/>
      </c>
      <c r="G2858" t="str">
        <f>""</f>
        <v/>
      </c>
      <c r="I2858" t="str">
        <f t="shared" si="41"/>
        <v>TEXAS COUNTY &amp; DISTRICT RET</v>
      </c>
    </row>
    <row r="2859" spans="1:9" x14ac:dyDescent="0.3">
      <c r="A2859" t="str">
        <f>""</f>
        <v/>
      </c>
      <c r="F2859" t="str">
        <f>""</f>
        <v/>
      </c>
      <c r="G2859" t="str">
        <f>""</f>
        <v/>
      </c>
      <c r="I2859" t="str">
        <f t="shared" si="41"/>
        <v>TEXAS COUNTY &amp; DISTRICT RET</v>
      </c>
    </row>
    <row r="2860" spans="1:9" x14ac:dyDescent="0.3">
      <c r="A2860" t="str">
        <f>""</f>
        <v/>
      </c>
      <c r="F2860" t="str">
        <f>""</f>
        <v/>
      </c>
      <c r="G2860" t="str">
        <f>""</f>
        <v/>
      </c>
      <c r="I2860" t="str">
        <f t="shared" si="41"/>
        <v>TEXAS COUNTY &amp; DISTRICT RET</v>
      </c>
    </row>
    <row r="2861" spans="1:9" x14ac:dyDescent="0.3">
      <c r="A2861" t="str">
        <f>""</f>
        <v/>
      </c>
      <c r="F2861" t="str">
        <f>""</f>
        <v/>
      </c>
      <c r="G2861" t="str">
        <f>""</f>
        <v/>
      </c>
      <c r="I2861" t="str">
        <f t="shared" si="41"/>
        <v>TEXAS COUNTY &amp; DISTRICT RET</v>
      </c>
    </row>
    <row r="2862" spans="1:9" x14ac:dyDescent="0.3">
      <c r="A2862" t="str">
        <f>""</f>
        <v/>
      </c>
      <c r="F2862" t="str">
        <f>""</f>
        <v/>
      </c>
      <c r="G2862" t="str">
        <f>""</f>
        <v/>
      </c>
      <c r="I2862" t="str">
        <f t="shared" si="41"/>
        <v>TEXAS COUNTY &amp; DISTRICT RET</v>
      </c>
    </row>
    <row r="2863" spans="1:9" x14ac:dyDescent="0.3">
      <c r="A2863" t="str">
        <f>""</f>
        <v/>
      </c>
      <c r="F2863" t="str">
        <f>""</f>
        <v/>
      </c>
      <c r="G2863" t="str">
        <f>""</f>
        <v/>
      </c>
      <c r="I2863" t="str">
        <f t="shared" si="41"/>
        <v>TEXAS COUNTY &amp; DISTRICT RET</v>
      </c>
    </row>
    <row r="2864" spans="1:9" x14ac:dyDescent="0.3">
      <c r="A2864" t="str">
        <f>""</f>
        <v/>
      </c>
      <c r="F2864" t="str">
        <f>""</f>
        <v/>
      </c>
      <c r="G2864" t="str">
        <f>""</f>
        <v/>
      </c>
      <c r="I2864" t="str">
        <f t="shared" si="41"/>
        <v>TEXAS COUNTY &amp; DISTRICT RET</v>
      </c>
    </row>
    <row r="2865" spans="1:9" x14ac:dyDescent="0.3">
      <c r="A2865" t="str">
        <f>""</f>
        <v/>
      </c>
      <c r="F2865" t="str">
        <f>""</f>
        <v/>
      </c>
      <c r="G2865" t="str">
        <f>""</f>
        <v/>
      </c>
      <c r="I2865" t="str">
        <f t="shared" si="41"/>
        <v>TEXAS COUNTY &amp; DISTRICT RET</v>
      </c>
    </row>
    <row r="2866" spans="1:9" x14ac:dyDescent="0.3">
      <c r="A2866" t="str">
        <f>""</f>
        <v/>
      </c>
      <c r="F2866" t="str">
        <f>""</f>
        <v/>
      </c>
      <c r="G2866" t="str">
        <f>""</f>
        <v/>
      </c>
      <c r="I2866" t="str">
        <f t="shared" si="41"/>
        <v>TEXAS COUNTY &amp; DISTRICT RET</v>
      </c>
    </row>
    <row r="2867" spans="1:9" x14ac:dyDescent="0.3">
      <c r="A2867" t="str">
        <f>""</f>
        <v/>
      </c>
      <c r="F2867" t="str">
        <f>""</f>
        <v/>
      </c>
      <c r="G2867" t="str">
        <f>""</f>
        <v/>
      </c>
      <c r="I2867" t="str">
        <f t="shared" si="41"/>
        <v>TEXAS COUNTY &amp; DISTRICT RET</v>
      </c>
    </row>
    <row r="2868" spans="1:9" x14ac:dyDescent="0.3">
      <c r="A2868" t="str">
        <f>""</f>
        <v/>
      </c>
      <c r="F2868" t="str">
        <f>""</f>
        <v/>
      </c>
      <c r="G2868" t="str">
        <f>""</f>
        <v/>
      </c>
      <c r="I2868" t="str">
        <f t="shared" si="41"/>
        <v>TEXAS COUNTY &amp; DISTRICT RET</v>
      </c>
    </row>
    <row r="2869" spans="1:9" x14ac:dyDescent="0.3">
      <c r="A2869" t="str">
        <f>""</f>
        <v/>
      </c>
      <c r="F2869" t="str">
        <f>""</f>
        <v/>
      </c>
      <c r="G2869" t="str">
        <f>""</f>
        <v/>
      </c>
      <c r="I2869" t="str">
        <f t="shared" si="41"/>
        <v>TEXAS COUNTY &amp; DISTRICT RET</v>
      </c>
    </row>
    <row r="2870" spans="1:9" x14ac:dyDescent="0.3">
      <c r="A2870" t="str">
        <f>""</f>
        <v/>
      </c>
      <c r="F2870" t="str">
        <f>""</f>
        <v/>
      </c>
      <c r="G2870" t="str">
        <f>""</f>
        <v/>
      </c>
      <c r="I2870" t="str">
        <f t="shared" si="41"/>
        <v>TEXAS COUNTY &amp; DISTRICT RET</v>
      </c>
    </row>
    <row r="2871" spans="1:9" x14ac:dyDescent="0.3">
      <c r="A2871" t="str">
        <f>""</f>
        <v/>
      </c>
      <c r="F2871" t="str">
        <f>""</f>
        <v/>
      </c>
      <c r="G2871" t="str">
        <f>""</f>
        <v/>
      </c>
      <c r="I2871" t="str">
        <f t="shared" si="41"/>
        <v>TEXAS COUNTY &amp; DISTRICT RET</v>
      </c>
    </row>
    <row r="2872" spans="1:9" x14ac:dyDescent="0.3">
      <c r="A2872" t="str">
        <f>""</f>
        <v/>
      </c>
      <c r="F2872" t="str">
        <f>""</f>
        <v/>
      </c>
      <c r="G2872" t="str">
        <f>""</f>
        <v/>
      </c>
      <c r="I2872" t="str">
        <f t="shared" ref="I2872:I2890" si="42">"TEXAS COUNTY &amp; DISTRICT RET"</f>
        <v>TEXAS COUNTY &amp; DISTRICT RET</v>
      </c>
    </row>
    <row r="2873" spans="1:9" x14ac:dyDescent="0.3">
      <c r="A2873" t="str">
        <f>""</f>
        <v/>
      </c>
      <c r="F2873" t="str">
        <f>""</f>
        <v/>
      </c>
      <c r="G2873" t="str">
        <f>""</f>
        <v/>
      </c>
      <c r="I2873" t="str">
        <f t="shared" si="42"/>
        <v>TEXAS COUNTY &amp; DISTRICT RET</v>
      </c>
    </row>
    <row r="2874" spans="1:9" x14ac:dyDescent="0.3">
      <c r="A2874" t="str">
        <f>""</f>
        <v/>
      </c>
      <c r="F2874" t="str">
        <f>""</f>
        <v/>
      </c>
      <c r="G2874" t="str">
        <f>""</f>
        <v/>
      </c>
      <c r="I2874" t="str">
        <f t="shared" si="42"/>
        <v>TEXAS COUNTY &amp; DISTRICT RET</v>
      </c>
    </row>
    <row r="2875" spans="1:9" x14ac:dyDescent="0.3">
      <c r="A2875" t="str">
        <f>""</f>
        <v/>
      </c>
      <c r="F2875" t="str">
        <f>""</f>
        <v/>
      </c>
      <c r="G2875" t="str">
        <f>""</f>
        <v/>
      </c>
      <c r="I2875" t="str">
        <f t="shared" si="42"/>
        <v>TEXAS COUNTY &amp; DISTRICT RET</v>
      </c>
    </row>
    <row r="2876" spans="1:9" x14ac:dyDescent="0.3">
      <c r="A2876" t="str">
        <f>""</f>
        <v/>
      </c>
      <c r="F2876" t="str">
        <f>""</f>
        <v/>
      </c>
      <c r="G2876" t="str">
        <f>""</f>
        <v/>
      </c>
      <c r="I2876" t="str">
        <f t="shared" si="42"/>
        <v>TEXAS COUNTY &amp; DISTRICT RET</v>
      </c>
    </row>
    <row r="2877" spans="1:9" x14ac:dyDescent="0.3">
      <c r="A2877" t="str">
        <f>""</f>
        <v/>
      </c>
      <c r="F2877" t="str">
        <f>""</f>
        <v/>
      </c>
      <c r="G2877" t="str">
        <f>""</f>
        <v/>
      </c>
      <c r="I2877" t="str">
        <f t="shared" si="42"/>
        <v>TEXAS COUNTY &amp; DISTRICT RET</v>
      </c>
    </row>
    <row r="2878" spans="1:9" x14ac:dyDescent="0.3">
      <c r="A2878" t="str">
        <f>""</f>
        <v/>
      </c>
      <c r="F2878" t="str">
        <f>""</f>
        <v/>
      </c>
      <c r="G2878" t="str">
        <f>""</f>
        <v/>
      </c>
      <c r="I2878" t="str">
        <f t="shared" si="42"/>
        <v>TEXAS COUNTY &amp; DISTRICT RET</v>
      </c>
    </row>
    <row r="2879" spans="1:9" x14ac:dyDescent="0.3">
      <c r="A2879" t="str">
        <f>""</f>
        <v/>
      </c>
      <c r="F2879" t="str">
        <f>""</f>
        <v/>
      </c>
      <c r="G2879" t="str">
        <f>""</f>
        <v/>
      </c>
      <c r="I2879" t="str">
        <f t="shared" si="42"/>
        <v>TEXAS COUNTY &amp; DISTRICT RET</v>
      </c>
    </row>
    <row r="2880" spans="1:9" x14ac:dyDescent="0.3">
      <c r="A2880" t="str">
        <f>""</f>
        <v/>
      </c>
      <c r="F2880" t="str">
        <f>""</f>
        <v/>
      </c>
      <c r="G2880" t="str">
        <f>""</f>
        <v/>
      </c>
      <c r="I2880" t="str">
        <f t="shared" si="42"/>
        <v>TEXAS COUNTY &amp; DISTRICT RET</v>
      </c>
    </row>
    <row r="2881" spans="1:9" x14ac:dyDescent="0.3">
      <c r="A2881" t="str">
        <f>""</f>
        <v/>
      </c>
      <c r="F2881" t="str">
        <f>""</f>
        <v/>
      </c>
      <c r="G2881" t="str">
        <f>""</f>
        <v/>
      </c>
      <c r="I2881" t="str">
        <f t="shared" si="42"/>
        <v>TEXAS COUNTY &amp; DISTRICT RET</v>
      </c>
    </row>
    <row r="2882" spans="1:9" x14ac:dyDescent="0.3">
      <c r="A2882" t="str">
        <f>""</f>
        <v/>
      </c>
      <c r="F2882" t="str">
        <f>""</f>
        <v/>
      </c>
      <c r="G2882" t="str">
        <f>""</f>
        <v/>
      </c>
      <c r="I2882" t="str">
        <f t="shared" si="42"/>
        <v>TEXAS COUNTY &amp; DISTRICT RET</v>
      </c>
    </row>
    <row r="2883" spans="1:9" x14ac:dyDescent="0.3">
      <c r="A2883" t="str">
        <f>""</f>
        <v/>
      </c>
      <c r="F2883" t="str">
        <f>""</f>
        <v/>
      </c>
      <c r="G2883" t="str">
        <f>""</f>
        <v/>
      </c>
      <c r="I2883" t="str">
        <f t="shared" si="42"/>
        <v>TEXAS COUNTY &amp; DISTRICT RET</v>
      </c>
    </row>
    <row r="2884" spans="1:9" x14ac:dyDescent="0.3">
      <c r="A2884" t="str">
        <f>""</f>
        <v/>
      </c>
      <c r="F2884" t="str">
        <f>""</f>
        <v/>
      </c>
      <c r="G2884" t="str">
        <f>""</f>
        <v/>
      </c>
      <c r="I2884" t="str">
        <f t="shared" si="42"/>
        <v>TEXAS COUNTY &amp; DISTRICT RET</v>
      </c>
    </row>
    <row r="2885" spans="1:9" x14ac:dyDescent="0.3">
      <c r="A2885" t="str">
        <f>""</f>
        <v/>
      </c>
      <c r="F2885" t="str">
        <f>""</f>
        <v/>
      </c>
      <c r="G2885" t="str">
        <f>""</f>
        <v/>
      </c>
      <c r="I2885" t="str">
        <f t="shared" si="42"/>
        <v>TEXAS COUNTY &amp; DISTRICT RET</v>
      </c>
    </row>
    <row r="2886" spans="1:9" x14ac:dyDescent="0.3">
      <c r="A2886" t="str">
        <f>""</f>
        <v/>
      </c>
      <c r="F2886" t="str">
        <f>""</f>
        <v/>
      </c>
      <c r="G2886" t="str">
        <f>""</f>
        <v/>
      </c>
      <c r="I2886" t="str">
        <f t="shared" si="42"/>
        <v>TEXAS COUNTY &amp; DISTRICT RET</v>
      </c>
    </row>
    <row r="2887" spans="1:9" x14ac:dyDescent="0.3">
      <c r="A2887" t="str">
        <f>""</f>
        <v/>
      </c>
      <c r="F2887" t="str">
        <f>""</f>
        <v/>
      </c>
      <c r="G2887" t="str">
        <f>""</f>
        <v/>
      </c>
      <c r="I2887" t="str">
        <f t="shared" si="42"/>
        <v>TEXAS COUNTY &amp; DISTRICT RET</v>
      </c>
    </row>
    <row r="2888" spans="1:9" x14ac:dyDescent="0.3">
      <c r="A2888" t="str">
        <f>""</f>
        <v/>
      </c>
      <c r="F2888" t="str">
        <f>""</f>
        <v/>
      </c>
      <c r="G2888" t="str">
        <f>""</f>
        <v/>
      </c>
      <c r="I2888" t="str">
        <f t="shared" si="42"/>
        <v>TEXAS COUNTY &amp; DISTRICT RET</v>
      </c>
    </row>
    <row r="2889" spans="1:9" x14ac:dyDescent="0.3">
      <c r="A2889" t="str">
        <f>""</f>
        <v/>
      </c>
      <c r="F2889" t="str">
        <f>""</f>
        <v/>
      </c>
      <c r="G2889" t="str">
        <f>""</f>
        <v/>
      </c>
      <c r="I2889" t="str">
        <f t="shared" si="42"/>
        <v>TEXAS COUNTY &amp; DISTRICT RET</v>
      </c>
    </row>
    <row r="2890" spans="1:9" x14ac:dyDescent="0.3">
      <c r="A2890" t="str">
        <f>""</f>
        <v/>
      </c>
      <c r="F2890" t="str">
        <f>""</f>
        <v/>
      </c>
      <c r="G2890" t="str">
        <f>""</f>
        <v/>
      </c>
      <c r="I2890" t="str">
        <f t="shared" si="42"/>
        <v>TEXAS COUNTY &amp; DISTRICT RET</v>
      </c>
    </row>
    <row r="2891" spans="1:9" x14ac:dyDescent="0.3">
      <c r="A2891" t="str">
        <f>""</f>
        <v/>
      </c>
      <c r="F2891" t="str">
        <f>"RET201802068587"</f>
        <v>RET201802068587</v>
      </c>
      <c r="G2891" t="str">
        <f>"TEXAS COUNTY  DISTRICT RET"</f>
        <v>TEXAS COUNTY  DISTRICT RET</v>
      </c>
      <c r="H2891" s="2">
        <v>5815.77</v>
      </c>
      <c r="I2891" t="str">
        <f>"TEXAS COUNTY  DISTRICT RET"</f>
        <v>TEXAS COUNTY  DISTRICT RET</v>
      </c>
    </row>
    <row r="2892" spans="1:9" x14ac:dyDescent="0.3">
      <c r="A2892" t="str">
        <f>""</f>
        <v/>
      </c>
      <c r="F2892" t="str">
        <f>""</f>
        <v/>
      </c>
      <c r="G2892" t="str">
        <f>""</f>
        <v/>
      </c>
      <c r="I2892" t="str">
        <f>"TEXAS COUNTY  DISTRICT RET"</f>
        <v>TEXAS COUNTY  DISTRICT RET</v>
      </c>
    </row>
    <row r="2893" spans="1:9" x14ac:dyDescent="0.3">
      <c r="A2893" t="str">
        <f>""</f>
        <v/>
      </c>
      <c r="F2893" t="str">
        <f>"RET201802068588"</f>
        <v>RET201802068588</v>
      </c>
      <c r="G2893" t="str">
        <f>"TEXAS COUNTY &amp; DISTRICT RET"</f>
        <v>TEXAS COUNTY &amp; DISTRICT RET</v>
      </c>
      <c r="H2893" s="2">
        <v>8328.67</v>
      </c>
      <c r="I2893" t="str">
        <f t="shared" ref="I2893:I2924" si="43">"TEXAS COUNTY &amp; DISTRICT RET"</f>
        <v>TEXAS COUNTY &amp; DISTRICT RET</v>
      </c>
    </row>
    <row r="2894" spans="1:9" x14ac:dyDescent="0.3">
      <c r="A2894" t="str">
        <f>""</f>
        <v/>
      </c>
      <c r="F2894" t="str">
        <f>""</f>
        <v/>
      </c>
      <c r="G2894" t="str">
        <f>""</f>
        <v/>
      </c>
      <c r="I2894" t="str">
        <f t="shared" si="43"/>
        <v>TEXAS COUNTY &amp; DISTRICT RET</v>
      </c>
    </row>
    <row r="2895" spans="1:9" x14ac:dyDescent="0.3">
      <c r="A2895" t="str">
        <f>""</f>
        <v/>
      </c>
      <c r="F2895" t="str">
        <f>"RET201802218810"</f>
        <v>RET201802218810</v>
      </c>
      <c r="G2895" t="str">
        <f>"TEXAS COUNTY &amp; DISTRICT RET"</f>
        <v>TEXAS COUNTY &amp; DISTRICT RET</v>
      </c>
      <c r="H2895" s="2">
        <v>144359.60999999999</v>
      </c>
      <c r="I2895" t="str">
        <f t="shared" si="43"/>
        <v>TEXAS COUNTY &amp; DISTRICT RET</v>
      </c>
    </row>
    <row r="2896" spans="1:9" x14ac:dyDescent="0.3">
      <c r="A2896" t="str">
        <f>""</f>
        <v/>
      </c>
      <c r="F2896" t="str">
        <f>""</f>
        <v/>
      </c>
      <c r="G2896" t="str">
        <f>""</f>
        <v/>
      </c>
      <c r="I2896" t="str">
        <f t="shared" si="43"/>
        <v>TEXAS COUNTY &amp; DISTRICT RET</v>
      </c>
    </row>
    <row r="2897" spans="1:9" x14ac:dyDescent="0.3">
      <c r="A2897" t="str">
        <f>""</f>
        <v/>
      </c>
      <c r="F2897" t="str">
        <f>""</f>
        <v/>
      </c>
      <c r="G2897" t="str">
        <f>""</f>
        <v/>
      </c>
      <c r="I2897" t="str">
        <f t="shared" si="43"/>
        <v>TEXAS COUNTY &amp; DISTRICT RET</v>
      </c>
    </row>
    <row r="2898" spans="1:9" x14ac:dyDescent="0.3">
      <c r="A2898" t="str">
        <f>""</f>
        <v/>
      </c>
      <c r="F2898" t="str">
        <f>""</f>
        <v/>
      </c>
      <c r="G2898" t="str">
        <f>""</f>
        <v/>
      </c>
      <c r="I2898" t="str">
        <f t="shared" si="43"/>
        <v>TEXAS COUNTY &amp; DISTRICT RET</v>
      </c>
    </row>
    <row r="2899" spans="1:9" x14ac:dyDescent="0.3">
      <c r="A2899" t="str">
        <f>""</f>
        <v/>
      </c>
      <c r="F2899" t="str">
        <f>""</f>
        <v/>
      </c>
      <c r="G2899" t="str">
        <f>""</f>
        <v/>
      </c>
      <c r="I2899" t="str">
        <f t="shared" si="43"/>
        <v>TEXAS COUNTY &amp; DISTRICT RET</v>
      </c>
    </row>
    <row r="2900" spans="1:9" x14ac:dyDescent="0.3">
      <c r="A2900" t="str">
        <f>""</f>
        <v/>
      </c>
      <c r="F2900" t="str">
        <f>""</f>
        <v/>
      </c>
      <c r="G2900" t="str">
        <f>""</f>
        <v/>
      </c>
      <c r="I2900" t="str">
        <f t="shared" si="43"/>
        <v>TEXAS COUNTY &amp; DISTRICT RET</v>
      </c>
    </row>
    <row r="2901" spans="1:9" x14ac:dyDescent="0.3">
      <c r="A2901" t="str">
        <f>""</f>
        <v/>
      </c>
      <c r="F2901" t="str">
        <f>""</f>
        <v/>
      </c>
      <c r="G2901" t="str">
        <f>""</f>
        <v/>
      </c>
      <c r="I2901" t="str">
        <f t="shared" si="43"/>
        <v>TEXAS COUNTY &amp; DISTRICT RET</v>
      </c>
    </row>
    <row r="2902" spans="1:9" x14ac:dyDescent="0.3">
      <c r="A2902" t="str">
        <f>""</f>
        <v/>
      </c>
      <c r="F2902" t="str">
        <f>""</f>
        <v/>
      </c>
      <c r="G2902" t="str">
        <f>""</f>
        <v/>
      </c>
      <c r="I2902" t="str">
        <f t="shared" si="43"/>
        <v>TEXAS COUNTY &amp; DISTRICT RET</v>
      </c>
    </row>
    <row r="2903" spans="1:9" x14ac:dyDescent="0.3">
      <c r="A2903" t="str">
        <f>""</f>
        <v/>
      </c>
      <c r="F2903" t="str">
        <f>""</f>
        <v/>
      </c>
      <c r="G2903" t="str">
        <f>""</f>
        <v/>
      </c>
      <c r="I2903" t="str">
        <f t="shared" si="43"/>
        <v>TEXAS COUNTY &amp; DISTRICT RET</v>
      </c>
    </row>
    <row r="2904" spans="1:9" x14ac:dyDescent="0.3">
      <c r="A2904" t="str">
        <f>""</f>
        <v/>
      </c>
      <c r="F2904" t="str">
        <f>""</f>
        <v/>
      </c>
      <c r="G2904" t="str">
        <f>""</f>
        <v/>
      </c>
      <c r="I2904" t="str">
        <f t="shared" si="43"/>
        <v>TEXAS COUNTY &amp; DISTRICT RET</v>
      </c>
    </row>
    <row r="2905" spans="1:9" x14ac:dyDescent="0.3">
      <c r="A2905" t="str">
        <f>""</f>
        <v/>
      </c>
      <c r="F2905" t="str">
        <f>""</f>
        <v/>
      </c>
      <c r="G2905" t="str">
        <f>""</f>
        <v/>
      </c>
      <c r="I2905" t="str">
        <f t="shared" si="43"/>
        <v>TEXAS COUNTY &amp; DISTRICT RET</v>
      </c>
    </row>
    <row r="2906" spans="1:9" x14ac:dyDescent="0.3">
      <c r="A2906" t="str">
        <f>""</f>
        <v/>
      </c>
      <c r="F2906" t="str">
        <f>""</f>
        <v/>
      </c>
      <c r="G2906" t="str">
        <f>""</f>
        <v/>
      </c>
      <c r="I2906" t="str">
        <f t="shared" si="43"/>
        <v>TEXAS COUNTY &amp; DISTRICT RET</v>
      </c>
    </row>
    <row r="2907" spans="1:9" x14ac:dyDescent="0.3">
      <c r="A2907" t="str">
        <f>""</f>
        <v/>
      </c>
      <c r="F2907" t="str">
        <f>""</f>
        <v/>
      </c>
      <c r="G2907" t="str">
        <f>""</f>
        <v/>
      </c>
      <c r="I2907" t="str">
        <f t="shared" si="43"/>
        <v>TEXAS COUNTY &amp; DISTRICT RET</v>
      </c>
    </row>
    <row r="2908" spans="1:9" x14ac:dyDescent="0.3">
      <c r="A2908" t="str">
        <f>""</f>
        <v/>
      </c>
      <c r="F2908" t="str">
        <f>""</f>
        <v/>
      </c>
      <c r="G2908" t="str">
        <f>""</f>
        <v/>
      </c>
      <c r="I2908" t="str">
        <f t="shared" si="43"/>
        <v>TEXAS COUNTY &amp; DISTRICT RET</v>
      </c>
    </row>
    <row r="2909" spans="1:9" x14ac:dyDescent="0.3">
      <c r="A2909" t="str">
        <f>""</f>
        <v/>
      </c>
      <c r="F2909" t="str">
        <f>""</f>
        <v/>
      </c>
      <c r="G2909" t="str">
        <f>""</f>
        <v/>
      </c>
      <c r="I2909" t="str">
        <f t="shared" si="43"/>
        <v>TEXAS COUNTY &amp; DISTRICT RET</v>
      </c>
    </row>
    <row r="2910" spans="1:9" x14ac:dyDescent="0.3">
      <c r="A2910" t="str">
        <f>""</f>
        <v/>
      </c>
      <c r="F2910" t="str">
        <f>""</f>
        <v/>
      </c>
      <c r="G2910" t="str">
        <f>""</f>
        <v/>
      </c>
      <c r="I2910" t="str">
        <f t="shared" si="43"/>
        <v>TEXAS COUNTY &amp; DISTRICT RET</v>
      </c>
    </row>
    <row r="2911" spans="1:9" x14ac:dyDescent="0.3">
      <c r="A2911" t="str">
        <f>""</f>
        <v/>
      </c>
      <c r="F2911" t="str">
        <f>""</f>
        <v/>
      </c>
      <c r="G2911" t="str">
        <f>""</f>
        <v/>
      </c>
      <c r="I2911" t="str">
        <f t="shared" si="43"/>
        <v>TEXAS COUNTY &amp; DISTRICT RET</v>
      </c>
    </row>
    <row r="2912" spans="1:9" x14ac:dyDescent="0.3">
      <c r="A2912" t="str">
        <f>""</f>
        <v/>
      </c>
      <c r="F2912" t="str">
        <f>""</f>
        <v/>
      </c>
      <c r="G2912" t="str">
        <f>""</f>
        <v/>
      </c>
      <c r="I2912" t="str">
        <f t="shared" si="43"/>
        <v>TEXAS COUNTY &amp; DISTRICT RET</v>
      </c>
    </row>
    <row r="2913" spans="1:9" x14ac:dyDescent="0.3">
      <c r="A2913" t="str">
        <f>""</f>
        <v/>
      </c>
      <c r="F2913" t="str">
        <f>""</f>
        <v/>
      </c>
      <c r="G2913" t="str">
        <f>""</f>
        <v/>
      </c>
      <c r="I2913" t="str">
        <f t="shared" si="43"/>
        <v>TEXAS COUNTY &amp; DISTRICT RET</v>
      </c>
    </row>
    <row r="2914" spans="1:9" x14ac:dyDescent="0.3">
      <c r="A2914" t="str">
        <f>""</f>
        <v/>
      </c>
      <c r="F2914" t="str">
        <f>""</f>
        <v/>
      </c>
      <c r="G2914" t="str">
        <f>""</f>
        <v/>
      </c>
      <c r="I2914" t="str">
        <f t="shared" si="43"/>
        <v>TEXAS COUNTY &amp; DISTRICT RET</v>
      </c>
    </row>
    <row r="2915" spans="1:9" x14ac:dyDescent="0.3">
      <c r="A2915" t="str">
        <f>""</f>
        <v/>
      </c>
      <c r="F2915" t="str">
        <f>""</f>
        <v/>
      </c>
      <c r="G2915" t="str">
        <f>""</f>
        <v/>
      </c>
      <c r="I2915" t="str">
        <f t="shared" si="43"/>
        <v>TEXAS COUNTY &amp; DISTRICT RET</v>
      </c>
    </row>
    <row r="2916" spans="1:9" x14ac:dyDescent="0.3">
      <c r="A2916" t="str">
        <f>""</f>
        <v/>
      </c>
      <c r="F2916" t="str">
        <f>""</f>
        <v/>
      </c>
      <c r="G2916" t="str">
        <f>""</f>
        <v/>
      </c>
      <c r="I2916" t="str">
        <f t="shared" si="43"/>
        <v>TEXAS COUNTY &amp; DISTRICT RET</v>
      </c>
    </row>
    <row r="2917" spans="1:9" x14ac:dyDescent="0.3">
      <c r="A2917" t="str">
        <f>""</f>
        <v/>
      </c>
      <c r="F2917" t="str">
        <f>""</f>
        <v/>
      </c>
      <c r="G2917" t="str">
        <f>""</f>
        <v/>
      </c>
      <c r="I2917" t="str">
        <f t="shared" si="43"/>
        <v>TEXAS COUNTY &amp; DISTRICT RET</v>
      </c>
    </row>
    <row r="2918" spans="1:9" x14ac:dyDescent="0.3">
      <c r="A2918" t="str">
        <f>""</f>
        <v/>
      </c>
      <c r="F2918" t="str">
        <f>""</f>
        <v/>
      </c>
      <c r="G2918" t="str">
        <f>""</f>
        <v/>
      </c>
      <c r="I2918" t="str">
        <f t="shared" si="43"/>
        <v>TEXAS COUNTY &amp; DISTRICT RET</v>
      </c>
    </row>
    <row r="2919" spans="1:9" x14ac:dyDescent="0.3">
      <c r="A2919" t="str">
        <f>""</f>
        <v/>
      </c>
      <c r="F2919" t="str">
        <f>""</f>
        <v/>
      </c>
      <c r="G2919" t="str">
        <f>""</f>
        <v/>
      </c>
      <c r="I2919" t="str">
        <f t="shared" si="43"/>
        <v>TEXAS COUNTY &amp; DISTRICT RET</v>
      </c>
    </row>
    <row r="2920" spans="1:9" x14ac:dyDescent="0.3">
      <c r="A2920" t="str">
        <f>""</f>
        <v/>
      </c>
      <c r="F2920" t="str">
        <f>""</f>
        <v/>
      </c>
      <c r="G2920" t="str">
        <f>""</f>
        <v/>
      </c>
      <c r="I2920" t="str">
        <f t="shared" si="43"/>
        <v>TEXAS COUNTY &amp; DISTRICT RET</v>
      </c>
    </row>
    <row r="2921" spans="1:9" x14ac:dyDescent="0.3">
      <c r="A2921" t="str">
        <f>""</f>
        <v/>
      </c>
      <c r="F2921" t="str">
        <f>""</f>
        <v/>
      </c>
      <c r="G2921" t="str">
        <f>""</f>
        <v/>
      </c>
      <c r="I2921" t="str">
        <f t="shared" si="43"/>
        <v>TEXAS COUNTY &amp; DISTRICT RET</v>
      </c>
    </row>
    <row r="2922" spans="1:9" x14ac:dyDescent="0.3">
      <c r="A2922" t="str">
        <f>""</f>
        <v/>
      </c>
      <c r="F2922" t="str">
        <f>""</f>
        <v/>
      </c>
      <c r="G2922" t="str">
        <f>""</f>
        <v/>
      </c>
      <c r="I2922" t="str">
        <f t="shared" si="43"/>
        <v>TEXAS COUNTY &amp; DISTRICT RET</v>
      </c>
    </row>
    <row r="2923" spans="1:9" x14ac:dyDescent="0.3">
      <c r="A2923" t="str">
        <f>""</f>
        <v/>
      </c>
      <c r="F2923" t="str">
        <f>""</f>
        <v/>
      </c>
      <c r="G2923" t="str">
        <f>""</f>
        <v/>
      </c>
      <c r="I2923" t="str">
        <f t="shared" si="43"/>
        <v>TEXAS COUNTY &amp; DISTRICT RET</v>
      </c>
    </row>
    <row r="2924" spans="1:9" x14ac:dyDescent="0.3">
      <c r="A2924" t="str">
        <f>""</f>
        <v/>
      </c>
      <c r="F2924" t="str">
        <f>""</f>
        <v/>
      </c>
      <c r="G2924" t="str">
        <f>""</f>
        <v/>
      </c>
      <c r="I2924" t="str">
        <f t="shared" si="43"/>
        <v>TEXAS COUNTY &amp; DISTRICT RET</v>
      </c>
    </row>
    <row r="2925" spans="1:9" x14ac:dyDescent="0.3">
      <c r="A2925" t="str">
        <f>""</f>
        <v/>
      </c>
      <c r="F2925" t="str">
        <f>""</f>
        <v/>
      </c>
      <c r="G2925" t="str">
        <f>""</f>
        <v/>
      </c>
      <c r="I2925" t="str">
        <f t="shared" ref="I2925:I2945" si="44">"TEXAS COUNTY &amp; DISTRICT RET"</f>
        <v>TEXAS COUNTY &amp; DISTRICT RET</v>
      </c>
    </row>
    <row r="2926" spans="1:9" x14ac:dyDescent="0.3">
      <c r="A2926" t="str">
        <f>""</f>
        <v/>
      </c>
      <c r="F2926" t="str">
        <f>""</f>
        <v/>
      </c>
      <c r="G2926" t="str">
        <f>""</f>
        <v/>
      </c>
      <c r="I2926" t="str">
        <f t="shared" si="44"/>
        <v>TEXAS COUNTY &amp; DISTRICT RET</v>
      </c>
    </row>
    <row r="2927" spans="1:9" x14ac:dyDescent="0.3">
      <c r="A2927" t="str">
        <f>""</f>
        <v/>
      </c>
      <c r="F2927" t="str">
        <f>""</f>
        <v/>
      </c>
      <c r="G2927" t="str">
        <f>""</f>
        <v/>
      </c>
      <c r="I2927" t="str">
        <f t="shared" si="44"/>
        <v>TEXAS COUNTY &amp; DISTRICT RET</v>
      </c>
    </row>
    <row r="2928" spans="1:9" x14ac:dyDescent="0.3">
      <c r="A2928" t="str">
        <f>""</f>
        <v/>
      </c>
      <c r="F2928" t="str">
        <f>""</f>
        <v/>
      </c>
      <c r="G2928" t="str">
        <f>""</f>
        <v/>
      </c>
      <c r="I2928" t="str">
        <f t="shared" si="44"/>
        <v>TEXAS COUNTY &amp; DISTRICT RET</v>
      </c>
    </row>
    <row r="2929" spans="1:9" x14ac:dyDescent="0.3">
      <c r="A2929" t="str">
        <f>""</f>
        <v/>
      </c>
      <c r="F2929" t="str">
        <f>""</f>
        <v/>
      </c>
      <c r="G2929" t="str">
        <f>""</f>
        <v/>
      </c>
      <c r="I2929" t="str">
        <f t="shared" si="44"/>
        <v>TEXAS COUNTY &amp; DISTRICT RET</v>
      </c>
    </row>
    <row r="2930" spans="1:9" x14ac:dyDescent="0.3">
      <c r="A2930" t="str">
        <f>""</f>
        <v/>
      </c>
      <c r="F2930" t="str">
        <f>""</f>
        <v/>
      </c>
      <c r="G2930" t="str">
        <f>""</f>
        <v/>
      </c>
      <c r="I2930" t="str">
        <f t="shared" si="44"/>
        <v>TEXAS COUNTY &amp; DISTRICT RET</v>
      </c>
    </row>
    <row r="2931" spans="1:9" x14ac:dyDescent="0.3">
      <c r="A2931" t="str">
        <f>""</f>
        <v/>
      </c>
      <c r="F2931" t="str">
        <f>""</f>
        <v/>
      </c>
      <c r="G2931" t="str">
        <f>""</f>
        <v/>
      </c>
      <c r="I2931" t="str">
        <f t="shared" si="44"/>
        <v>TEXAS COUNTY &amp; DISTRICT RET</v>
      </c>
    </row>
    <row r="2932" spans="1:9" x14ac:dyDescent="0.3">
      <c r="A2932" t="str">
        <f>""</f>
        <v/>
      </c>
      <c r="F2932" t="str">
        <f>""</f>
        <v/>
      </c>
      <c r="G2932" t="str">
        <f>""</f>
        <v/>
      </c>
      <c r="I2932" t="str">
        <f t="shared" si="44"/>
        <v>TEXAS COUNTY &amp; DISTRICT RET</v>
      </c>
    </row>
    <row r="2933" spans="1:9" x14ac:dyDescent="0.3">
      <c r="A2933" t="str">
        <f>""</f>
        <v/>
      </c>
      <c r="F2933" t="str">
        <f>""</f>
        <v/>
      </c>
      <c r="G2933" t="str">
        <f>""</f>
        <v/>
      </c>
      <c r="I2933" t="str">
        <f t="shared" si="44"/>
        <v>TEXAS COUNTY &amp; DISTRICT RET</v>
      </c>
    </row>
    <row r="2934" spans="1:9" x14ac:dyDescent="0.3">
      <c r="A2934" t="str">
        <f>""</f>
        <v/>
      </c>
      <c r="F2934" t="str">
        <f>""</f>
        <v/>
      </c>
      <c r="G2934" t="str">
        <f>""</f>
        <v/>
      </c>
      <c r="I2934" t="str">
        <f t="shared" si="44"/>
        <v>TEXAS COUNTY &amp; DISTRICT RET</v>
      </c>
    </row>
    <row r="2935" spans="1:9" x14ac:dyDescent="0.3">
      <c r="A2935" t="str">
        <f>""</f>
        <v/>
      </c>
      <c r="F2935" t="str">
        <f>""</f>
        <v/>
      </c>
      <c r="G2935" t="str">
        <f>""</f>
        <v/>
      </c>
      <c r="I2935" t="str">
        <f t="shared" si="44"/>
        <v>TEXAS COUNTY &amp; DISTRICT RET</v>
      </c>
    </row>
    <row r="2936" spans="1:9" x14ac:dyDescent="0.3">
      <c r="A2936" t="str">
        <f>""</f>
        <v/>
      </c>
      <c r="F2936" t="str">
        <f>""</f>
        <v/>
      </c>
      <c r="G2936" t="str">
        <f>""</f>
        <v/>
      </c>
      <c r="I2936" t="str">
        <f t="shared" si="44"/>
        <v>TEXAS COUNTY &amp; DISTRICT RET</v>
      </c>
    </row>
    <row r="2937" spans="1:9" x14ac:dyDescent="0.3">
      <c r="A2937" t="str">
        <f>""</f>
        <v/>
      </c>
      <c r="F2937" t="str">
        <f>""</f>
        <v/>
      </c>
      <c r="G2937" t="str">
        <f>""</f>
        <v/>
      </c>
      <c r="I2937" t="str">
        <f t="shared" si="44"/>
        <v>TEXAS COUNTY &amp; DISTRICT RET</v>
      </c>
    </row>
    <row r="2938" spans="1:9" x14ac:dyDescent="0.3">
      <c r="A2938" t="str">
        <f>""</f>
        <v/>
      </c>
      <c r="F2938" t="str">
        <f>""</f>
        <v/>
      </c>
      <c r="G2938" t="str">
        <f>""</f>
        <v/>
      </c>
      <c r="I2938" t="str">
        <f t="shared" si="44"/>
        <v>TEXAS COUNTY &amp; DISTRICT RET</v>
      </c>
    </row>
    <row r="2939" spans="1:9" x14ac:dyDescent="0.3">
      <c r="A2939" t="str">
        <f>""</f>
        <v/>
      </c>
      <c r="F2939" t="str">
        <f>""</f>
        <v/>
      </c>
      <c r="G2939" t="str">
        <f>""</f>
        <v/>
      </c>
      <c r="I2939" t="str">
        <f t="shared" si="44"/>
        <v>TEXAS COUNTY &amp; DISTRICT RET</v>
      </c>
    </row>
    <row r="2940" spans="1:9" x14ac:dyDescent="0.3">
      <c r="A2940" t="str">
        <f>""</f>
        <v/>
      </c>
      <c r="F2940" t="str">
        <f>""</f>
        <v/>
      </c>
      <c r="G2940" t="str">
        <f>""</f>
        <v/>
      </c>
      <c r="I2940" t="str">
        <f t="shared" si="44"/>
        <v>TEXAS COUNTY &amp; DISTRICT RET</v>
      </c>
    </row>
    <row r="2941" spans="1:9" x14ac:dyDescent="0.3">
      <c r="A2941" t="str">
        <f>""</f>
        <v/>
      </c>
      <c r="F2941" t="str">
        <f>""</f>
        <v/>
      </c>
      <c r="G2941" t="str">
        <f>""</f>
        <v/>
      </c>
      <c r="I2941" t="str">
        <f t="shared" si="44"/>
        <v>TEXAS COUNTY &amp; DISTRICT RET</v>
      </c>
    </row>
    <row r="2942" spans="1:9" x14ac:dyDescent="0.3">
      <c r="A2942" t="str">
        <f>""</f>
        <v/>
      </c>
      <c r="F2942" t="str">
        <f>""</f>
        <v/>
      </c>
      <c r="G2942" t="str">
        <f>""</f>
        <v/>
      </c>
      <c r="I2942" t="str">
        <f t="shared" si="44"/>
        <v>TEXAS COUNTY &amp; DISTRICT RET</v>
      </c>
    </row>
    <row r="2943" spans="1:9" x14ac:dyDescent="0.3">
      <c r="A2943" t="str">
        <f>""</f>
        <v/>
      </c>
      <c r="F2943" t="str">
        <f>""</f>
        <v/>
      </c>
      <c r="G2943" t="str">
        <f>""</f>
        <v/>
      </c>
      <c r="I2943" t="str">
        <f t="shared" si="44"/>
        <v>TEXAS COUNTY &amp; DISTRICT RET</v>
      </c>
    </row>
    <row r="2944" spans="1:9" x14ac:dyDescent="0.3">
      <c r="A2944" t="str">
        <f>""</f>
        <v/>
      </c>
      <c r="F2944" t="str">
        <f>""</f>
        <v/>
      </c>
      <c r="G2944" t="str">
        <f>""</f>
        <v/>
      </c>
      <c r="I2944" t="str">
        <f t="shared" si="44"/>
        <v>TEXAS COUNTY &amp; DISTRICT RET</v>
      </c>
    </row>
    <row r="2945" spans="1:9" x14ac:dyDescent="0.3">
      <c r="A2945" t="str">
        <f>""</f>
        <v/>
      </c>
      <c r="F2945" t="str">
        <f>""</f>
        <v/>
      </c>
      <c r="G2945" t="str">
        <f>""</f>
        <v/>
      </c>
      <c r="I2945" t="str">
        <f t="shared" si="44"/>
        <v>TEXAS COUNTY &amp; DISTRICT RET</v>
      </c>
    </row>
    <row r="2946" spans="1:9" x14ac:dyDescent="0.3">
      <c r="A2946" t="str">
        <f>""</f>
        <v/>
      </c>
      <c r="F2946" t="str">
        <f>"RET201802218811"</f>
        <v>RET201802218811</v>
      </c>
      <c r="G2946" t="str">
        <f>"TEXAS COUNTY  DISTRICT RET"</f>
        <v>TEXAS COUNTY  DISTRICT RET</v>
      </c>
      <c r="H2946" s="2">
        <v>5887.27</v>
      </c>
      <c r="I2946" t="str">
        <f>"TEXAS COUNTY  DISTRICT RET"</f>
        <v>TEXAS COUNTY  DISTRICT RET</v>
      </c>
    </row>
    <row r="2947" spans="1:9" x14ac:dyDescent="0.3">
      <c r="A2947" t="str">
        <f>""</f>
        <v/>
      </c>
      <c r="F2947" t="str">
        <f>""</f>
        <v/>
      </c>
      <c r="G2947" t="str">
        <f>""</f>
        <v/>
      </c>
      <c r="I2947" t="str">
        <f>"TEXAS COUNTY  DISTRICT RET"</f>
        <v>TEXAS COUNTY  DISTRICT RET</v>
      </c>
    </row>
    <row r="2948" spans="1:9" x14ac:dyDescent="0.3">
      <c r="A2948" t="str">
        <f>""</f>
        <v/>
      </c>
      <c r="F2948" t="str">
        <f>"RET201802218812"</f>
        <v>RET201802218812</v>
      </c>
      <c r="G2948" t="str">
        <f>"TEXAS COUNTY &amp; DISTRICT RET"</f>
        <v>TEXAS COUNTY &amp; DISTRICT RET</v>
      </c>
      <c r="H2948" s="2">
        <v>8381.2900000000009</v>
      </c>
      <c r="I2948" t="str">
        <f>"TEXAS COUNTY &amp; DISTRICT RET"</f>
        <v>TEXAS COUNTY &amp; DISTRICT RET</v>
      </c>
    </row>
    <row r="2949" spans="1:9" x14ac:dyDescent="0.3">
      <c r="A2949" t="str">
        <f>""</f>
        <v/>
      </c>
      <c r="F2949" t="str">
        <f>""</f>
        <v/>
      </c>
      <c r="G2949" t="str">
        <f>""</f>
        <v/>
      </c>
      <c r="I2949" t="str">
        <f>"TEXAS COUNTY &amp; DISTRICT RET"</f>
        <v>TEXAS COUNTY &amp; DISTRICT RET</v>
      </c>
    </row>
    <row r="2950" spans="1:9" x14ac:dyDescent="0.3">
      <c r="A2950" t="str">
        <f>"002457"</f>
        <v>002457</v>
      </c>
      <c r="B2950" t="s">
        <v>536</v>
      </c>
      <c r="C2950">
        <v>46177</v>
      </c>
      <c r="D2950" s="2">
        <v>1060</v>
      </c>
      <c r="E2950" s="1">
        <v>43158</v>
      </c>
      <c r="F2950" t="str">
        <f>"LEG201802068586"</f>
        <v>LEG201802068586</v>
      </c>
      <c r="G2950" t="str">
        <f>"TEXAS LEGAL PROTECTION PLAN"</f>
        <v>TEXAS LEGAL PROTECTION PLAN</v>
      </c>
      <c r="H2950" s="2">
        <v>530</v>
      </c>
      <c r="I2950" t="str">
        <f>"TEXAS LEGAL PROTECTION PLAN"</f>
        <v>TEXAS LEGAL PROTECTION PLAN</v>
      </c>
    </row>
    <row r="2951" spans="1:9" x14ac:dyDescent="0.3">
      <c r="A2951" t="str">
        <f>""</f>
        <v/>
      </c>
      <c r="F2951" t="str">
        <f>"LEG201802218810"</f>
        <v>LEG201802218810</v>
      </c>
      <c r="G2951" t="str">
        <f>"TEXAS LEGAL PROTECTION PLAN"</f>
        <v>TEXAS LEGAL PROTECTION PLAN</v>
      </c>
      <c r="H2951" s="2">
        <v>530</v>
      </c>
      <c r="I2951" t="str">
        <f>"TEXAS LEGAL PROTECTION PLAN"</f>
        <v>TEXAS LEGAL PROTECTION PLAN</v>
      </c>
    </row>
    <row r="2952" spans="1:9" x14ac:dyDescent="0.3">
      <c r="A2952" t="str">
        <f>"T14362"</f>
        <v>T14362</v>
      </c>
      <c r="B2952" t="s">
        <v>537</v>
      </c>
      <c r="C2952">
        <v>46156</v>
      </c>
      <c r="D2952" s="2">
        <v>186</v>
      </c>
      <c r="E2952" s="1">
        <v>43140</v>
      </c>
      <c r="F2952" t="str">
        <f>"SL6201802068586"</f>
        <v>SL6201802068586</v>
      </c>
      <c r="G2952" t="str">
        <f>"TG STUDENT LOAN - P CROUCH"</f>
        <v>TG STUDENT LOAN - P CROUCH</v>
      </c>
      <c r="H2952" s="2">
        <v>186</v>
      </c>
      <c r="I2952" t="str">
        <f>"TG STUDENT LOAN - P CROUCH"</f>
        <v>TG STUDENT LOAN - P CROUCH</v>
      </c>
    </row>
    <row r="2953" spans="1:9" x14ac:dyDescent="0.3">
      <c r="A2953" t="str">
        <f>"T14362"</f>
        <v>T14362</v>
      </c>
      <c r="B2953" t="s">
        <v>537</v>
      </c>
      <c r="C2953">
        <v>46175</v>
      </c>
      <c r="D2953" s="2">
        <v>186</v>
      </c>
      <c r="E2953" s="1">
        <v>43154</v>
      </c>
      <c r="F2953" t="str">
        <f>"SL6201802218810"</f>
        <v>SL6201802218810</v>
      </c>
      <c r="G2953" t="str">
        <f>"TG STUDENT LOAN - P CROUCH"</f>
        <v>TG STUDENT LOAN - P CROUCH</v>
      </c>
      <c r="H2953" s="2">
        <v>186</v>
      </c>
      <c r="I2953" t="str">
        <f>"TG STUDENT LOAN - P CROUCH"</f>
        <v>TG STUDENT LOAN - P CROUCH</v>
      </c>
    </row>
    <row r="2954" spans="1:9" x14ac:dyDescent="0.3">
      <c r="A2954" t="str">
        <f>"T10887"</f>
        <v>T10887</v>
      </c>
      <c r="B2954" t="s">
        <v>538</v>
      </c>
      <c r="C2954">
        <v>46155</v>
      </c>
      <c r="D2954" s="2">
        <v>378.02</v>
      </c>
      <c r="E2954" s="1">
        <v>43140</v>
      </c>
      <c r="F2954" t="str">
        <f>"S10201802068586"</f>
        <v>S10201802068586</v>
      </c>
      <c r="G2954" t="str">
        <f>"STUDENT LOAN"</f>
        <v>STUDENT LOAN</v>
      </c>
      <c r="H2954" s="2">
        <v>165.37</v>
      </c>
      <c r="I2954" t="str">
        <f>"STUDENT LOAN"</f>
        <v>STUDENT LOAN</v>
      </c>
    </row>
    <row r="2955" spans="1:9" x14ac:dyDescent="0.3">
      <c r="A2955" t="str">
        <f>""</f>
        <v/>
      </c>
      <c r="F2955" t="str">
        <f>"SL9201802068586"</f>
        <v>SL9201802068586</v>
      </c>
      <c r="G2955" t="str">
        <f>"STUDENT LOAN"</f>
        <v>STUDENT LOAN</v>
      </c>
      <c r="H2955" s="2">
        <v>212.65</v>
      </c>
      <c r="I2955" t="str">
        <f>"STUDENT LOAN"</f>
        <v>STUDENT LOAN</v>
      </c>
    </row>
    <row r="2956" spans="1:9" x14ac:dyDescent="0.3">
      <c r="A2956" t="str">
        <f>"T10887"</f>
        <v>T10887</v>
      </c>
      <c r="B2956" t="s">
        <v>538</v>
      </c>
      <c r="C2956">
        <v>46174</v>
      </c>
      <c r="D2956" s="2">
        <v>378.02</v>
      </c>
      <c r="E2956" s="1">
        <v>43154</v>
      </c>
      <c r="F2956" t="str">
        <f>"S10201802218810"</f>
        <v>S10201802218810</v>
      </c>
      <c r="G2956" t="str">
        <f>"STUDENT LOAN"</f>
        <v>STUDENT LOAN</v>
      </c>
      <c r="H2956" s="2">
        <v>165.37</v>
      </c>
      <c r="I2956" t="str">
        <f>"STUDENT LOAN"</f>
        <v>STUDENT LOAN</v>
      </c>
    </row>
    <row r="2957" spans="1:9" x14ac:dyDescent="0.3">
      <c r="A2957" t="str">
        <f>""</f>
        <v/>
      </c>
      <c r="F2957" t="str">
        <f>"SL9201802218810"</f>
        <v>SL9201802218810</v>
      </c>
      <c r="G2957" t="str">
        <f>"STUDENT LOAN"</f>
        <v>STUDENT LOAN</v>
      </c>
      <c r="H2957" s="2">
        <v>212.65</v>
      </c>
      <c r="I2957" t="str">
        <f>"STUDENT LOAN"</f>
        <v>STUDENT LOAN</v>
      </c>
    </row>
    <row r="2958" spans="1:9" x14ac:dyDescent="0.3">
      <c r="A2958" t="str">
        <f>"004767"</f>
        <v>004767</v>
      </c>
      <c r="B2958" t="s">
        <v>497</v>
      </c>
      <c r="C2958">
        <v>0</v>
      </c>
      <c r="D2958" s="2">
        <v>13932.67</v>
      </c>
      <c r="E2958" s="1">
        <v>43140</v>
      </c>
      <c r="F2958" t="str">
        <f>"FSA201802068586"</f>
        <v>FSA201802068586</v>
      </c>
      <c r="G2958" t="str">
        <f>"WAGE WORKS"</f>
        <v>WAGE WORKS</v>
      </c>
      <c r="H2958" s="2">
        <v>8582.17</v>
      </c>
      <c r="I2958" t="str">
        <f>"WAGE WORKS"</f>
        <v>WAGE WORKS</v>
      </c>
    </row>
    <row r="2959" spans="1:9" x14ac:dyDescent="0.3">
      <c r="A2959" t="str">
        <f>""</f>
        <v/>
      </c>
      <c r="F2959" t="str">
        <f>"FSA201802068587"</f>
        <v>FSA201802068587</v>
      </c>
      <c r="G2959" t="str">
        <f>"WAGE WORKS"</f>
        <v>WAGE WORKS</v>
      </c>
      <c r="H2959" s="2">
        <v>574</v>
      </c>
      <c r="I2959" t="str">
        <f>"WAGE WORKS"</f>
        <v>WAGE WORKS</v>
      </c>
    </row>
    <row r="2960" spans="1:9" x14ac:dyDescent="0.3">
      <c r="A2960" t="str">
        <f>""</f>
        <v/>
      </c>
      <c r="F2960" t="str">
        <f>"FSC201802068586"</f>
        <v>FSC201802068586</v>
      </c>
      <c r="G2960" t="str">
        <f>"WAGE WORKS"</f>
        <v>WAGE WORKS</v>
      </c>
      <c r="H2960" s="2">
        <v>913.95</v>
      </c>
      <c r="I2960" t="str">
        <f>"WAGE WORKS"</f>
        <v>WAGE WORKS</v>
      </c>
    </row>
    <row r="2961" spans="1:9" x14ac:dyDescent="0.3">
      <c r="A2961" t="str">
        <f>""</f>
        <v/>
      </c>
      <c r="F2961" t="str">
        <f>"FSF201802068586"</f>
        <v>FSF201802068586</v>
      </c>
      <c r="G2961" t="str">
        <f>"WAGE WORKS - FSA &amp; HRA FEES"</f>
        <v>WAGE WORKS - FSA &amp; HRA FEES</v>
      </c>
      <c r="H2961" s="2">
        <v>549.08000000000004</v>
      </c>
      <c r="I2961" t="str">
        <f t="shared" ref="I2961:I3000" si="45">"WAGE WORKS - FSA &amp; HRA FEES"</f>
        <v>WAGE WORKS - FSA &amp; HRA FEES</v>
      </c>
    </row>
    <row r="2962" spans="1:9" x14ac:dyDescent="0.3">
      <c r="A2962" t="str">
        <f>""</f>
        <v/>
      </c>
      <c r="F2962" t="str">
        <f>""</f>
        <v/>
      </c>
      <c r="G2962" t="str">
        <f>""</f>
        <v/>
      </c>
      <c r="I2962" t="str">
        <f t="shared" si="45"/>
        <v>WAGE WORKS - FSA &amp; HRA FEES</v>
      </c>
    </row>
    <row r="2963" spans="1:9" x14ac:dyDescent="0.3">
      <c r="A2963" t="str">
        <f>""</f>
        <v/>
      </c>
      <c r="F2963" t="str">
        <f>""</f>
        <v/>
      </c>
      <c r="G2963" t="str">
        <f>""</f>
        <v/>
      </c>
      <c r="I2963" t="str">
        <f t="shared" si="45"/>
        <v>WAGE WORKS - FSA &amp; HRA FEES</v>
      </c>
    </row>
    <row r="2964" spans="1:9" x14ac:dyDescent="0.3">
      <c r="A2964" t="str">
        <f>""</f>
        <v/>
      </c>
      <c r="F2964" t="str">
        <f>""</f>
        <v/>
      </c>
      <c r="G2964" t="str">
        <f>""</f>
        <v/>
      </c>
      <c r="I2964" t="str">
        <f t="shared" si="45"/>
        <v>WAGE WORKS - FSA &amp; HRA FEES</v>
      </c>
    </row>
    <row r="2965" spans="1:9" x14ac:dyDescent="0.3">
      <c r="A2965" t="str">
        <f>""</f>
        <v/>
      </c>
      <c r="F2965" t="str">
        <f>""</f>
        <v/>
      </c>
      <c r="G2965" t="str">
        <f>""</f>
        <v/>
      </c>
      <c r="I2965" t="str">
        <f t="shared" si="45"/>
        <v>WAGE WORKS - FSA &amp; HRA FEES</v>
      </c>
    </row>
    <row r="2966" spans="1:9" x14ac:dyDescent="0.3">
      <c r="A2966" t="str">
        <f>""</f>
        <v/>
      </c>
      <c r="F2966" t="str">
        <f>""</f>
        <v/>
      </c>
      <c r="G2966" t="str">
        <f>""</f>
        <v/>
      </c>
      <c r="I2966" t="str">
        <f t="shared" si="45"/>
        <v>WAGE WORKS - FSA &amp; HRA FEES</v>
      </c>
    </row>
    <row r="2967" spans="1:9" x14ac:dyDescent="0.3">
      <c r="A2967" t="str">
        <f>""</f>
        <v/>
      </c>
      <c r="F2967" t="str">
        <f>""</f>
        <v/>
      </c>
      <c r="G2967" t="str">
        <f>""</f>
        <v/>
      </c>
      <c r="I2967" t="str">
        <f t="shared" si="45"/>
        <v>WAGE WORKS - FSA &amp; HRA FEES</v>
      </c>
    </row>
    <row r="2968" spans="1:9" x14ac:dyDescent="0.3">
      <c r="A2968" t="str">
        <f>""</f>
        <v/>
      </c>
      <c r="F2968" t="str">
        <f>""</f>
        <v/>
      </c>
      <c r="G2968" t="str">
        <f>""</f>
        <v/>
      </c>
      <c r="I2968" t="str">
        <f t="shared" si="45"/>
        <v>WAGE WORKS - FSA &amp; HRA FEES</v>
      </c>
    </row>
    <row r="2969" spans="1:9" x14ac:dyDescent="0.3">
      <c r="A2969" t="str">
        <f>""</f>
        <v/>
      </c>
      <c r="F2969" t="str">
        <f>""</f>
        <v/>
      </c>
      <c r="G2969" t="str">
        <f>""</f>
        <v/>
      </c>
      <c r="I2969" t="str">
        <f t="shared" si="45"/>
        <v>WAGE WORKS - FSA &amp; HRA FEES</v>
      </c>
    </row>
    <row r="2970" spans="1:9" x14ac:dyDescent="0.3">
      <c r="A2970" t="str">
        <f>""</f>
        <v/>
      </c>
      <c r="F2970" t="str">
        <f>""</f>
        <v/>
      </c>
      <c r="G2970" t="str">
        <f>""</f>
        <v/>
      </c>
      <c r="I2970" t="str">
        <f t="shared" si="45"/>
        <v>WAGE WORKS - FSA &amp; HRA FEES</v>
      </c>
    </row>
    <row r="2971" spans="1:9" x14ac:dyDescent="0.3">
      <c r="A2971" t="str">
        <f>""</f>
        <v/>
      </c>
      <c r="F2971" t="str">
        <f>""</f>
        <v/>
      </c>
      <c r="G2971" t="str">
        <f>""</f>
        <v/>
      </c>
      <c r="I2971" t="str">
        <f t="shared" si="45"/>
        <v>WAGE WORKS - FSA &amp; HRA FEES</v>
      </c>
    </row>
    <row r="2972" spans="1:9" x14ac:dyDescent="0.3">
      <c r="A2972" t="str">
        <f>""</f>
        <v/>
      </c>
      <c r="F2972" t="str">
        <f>""</f>
        <v/>
      </c>
      <c r="G2972" t="str">
        <f>""</f>
        <v/>
      </c>
      <c r="I2972" t="str">
        <f t="shared" si="45"/>
        <v>WAGE WORKS - FSA &amp; HRA FEES</v>
      </c>
    </row>
    <row r="2973" spans="1:9" x14ac:dyDescent="0.3">
      <c r="A2973" t="str">
        <f>""</f>
        <v/>
      </c>
      <c r="F2973" t="str">
        <f>""</f>
        <v/>
      </c>
      <c r="G2973" t="str">
        <f>""</f>
        <v/>
      </c>
      <c r="I2973" t="str">
        <f t="shared" si="45"/>
        <v>WAGE WORKS - FSA &amp; HRA FEES</v>
      </c>
    </row>
    <row r="2974" spans="1:9" x14ac:dyDescent="0.3">
      <c r="A2974" t="str">
        <f>""</f>
        <v/>
      </c>
      <c r="F2974" t="str">
        <f>""</f>
        <v/>
      </c>
      <c r="G2974" t="str">
        <f>""</f>
        <v/>
      </c>
      <c r="I2974" t="str">
        <f t="shared" si="45"/>
        <v>WAGE WORKS - FSA &amp; HRA FEES</v>
      </c>
    </row>
    <row r="2975" spans="1:9" x14ac:dyDescent="0.3">
      <c r="A2975" t="str">
        <f>""</f>
        <v/>
      </c>
      <c r="F2975" t="str">
        <f>""</f>
        <v/>
      </c>
      <c r="G2975" t="str">
        <f>""</f>
        <v/>
      </c>
      <c r="I2975" t="str">
        <f t="shared" si="45"/>
        <v>WAGE WORKS - FSA &amp; HRA FEES</v>
      </c>
    </row>
    <row r="2976" spans="1:9" x14ac:dyDescent="0.3">
      <c r="A2976" t="str">
        <f>""</f>
        <v/>
      </c>
      <c r="F2976" t="str">
        <f>""</f>
        <v/>
      </c>
      <c r="G2976" t="str">
        <f>""</f>
        <v/>
      </c>
      <c r="I2976" t="str">
        <f t="shared" si="45"/>
        <v>WAGE WORKS - FSA &amp; HRA FEES</v>
      </c>
    </row>
    <row r="2977" spans="1:9" x14ac:dyDescent="0.3">
      <c r="A2977" t="str">
        <f>""</f>
        <v/>
      </c>
      <c r="F2977" t="str">
        <f>""</f>
        <v/>
      </c>
      <c r="G2977" t="str">
        <f>""</f>
        <v/>
      </c>
      <c r="I2977" t="str">
        <f t="shared" si="45"/>
        <v>WAGE WORKS - FSA &amp; HRA FEES</v>
      </c>
    </row>
    <row r="2978" spans="1:9" x14ac:dyDescent="0.3">
      <c r="A2978" t="str">
        <f>""</f>
        <v/>
      </c>
      <c r="F2978" t="str">
        <f>""</f>
        <v/>
      </c>
      <c r="G2978" t="str">
        <f>""</f>
        <v/>
      </c>
      <c r="I2978" t="str">
        <f t="shared" si="45"/>
        <v>WAGE WORKS - FSA &amp; HRA FEES</v>
      </c>
    </row>
    <row r="2979" spans="1:9" x14ac:dyDescent="0.3">
      <c r="A2979" t="str">
        <f>""</f>
        <v/>
      </c>
      <c r="F2979" t="str">
        <f>""</f>
        <v/>
      </c>
      <c r="G2979" t="str">
        <f>""</f>
        <v/>
      </c>
      <c r="I2979" t="str">
        <f t="shared" si="45"/>
        <v>WAGE WORKS - FSA &amp; HRA FEES</v>
      </c>
    </row>
    <row r="2980" spans="1:9" x14ac:dyDescent="0.3">
      <c r="A2980" t="str">
        <f>""</f>
        <v/>
      </c>
      <c r="F2980" t="str">
        <f>""</f>
        <v/>
      </c>
      <c r="G2980" t="str">
        <f>""</f>
        <v/>
      </c>
      <c r="I2980" t="str">
        <f t="shared" si="45"/>
        <v>WAGE WORKS - FSA &amp; HRA FEES</v>
      </c>
    </row>
    <row r="2981" spans="1:9" x14ac:dyDescent="0.3">
      <c r="A2981" t="str">
        <f>""</f>
        <v/>
      </c>
      <c r="F2981" t="str">
        <f>""</f>
        <v/>
      </c>
      <c r="G2981" t="str">
        <f>""</f>
        <v/>
      </c>
      <c r="I2981" t="str">
        <f t="shared" si="45"/>
        <v>WAGE WORKS - FSA &amp; HRA FEES</v>
      </c>
    </row>
    <row r="2982" spans="1:9" x14ac:dyDescent="0.3">
      <c r="A2982" t="str">
        <f>""</f>
        <v/>
      </c>
      <c r="F2982" t="str">
        <f>""</f>
        <v/>
      </c>
      <c r="G2982" t="str">
        <f>""</f>
        <v/>
      </c>
      <c r="I2982" t="str">
        <f t="shared" si="45"/>
        <v>WAGE WORKS - FSA &amp; HRA FEES</v>
      </c>
    </row>
    <row r="2983" spans="1:9" x14ac:dyDescent="0.3">
      <c r="A2983" t="str">
        <f>""</f>
        <v/>
      </c>
      <c r="F2983" t="str">
        <f>""</f>
        <v/>
      </c>
      <c r="G2983" t="str">
        <f>""</f>
        <v/>
      </c>
      <c r="I2983" t="str">
        <f t="shared" si="45"/>
        <v>WAGE WORKS - FSA &amp; HRA FEES</v>
      </c>
    </row>
    <row r="2984" spans="1:9" x14ac:dyDescent="0.3">
      <c r="A2984" t="str">
        <f>""</f>
        <v/>
      </c>
      <c r="F2984" t="str">
        <f>""</f>
        <v/>
      </c>
      <c r="G2984" t="str">
        <f>""</f>
        <v/>
      </c>
      <c r="I2984" t="str">
        <f t="shared" si="45"/>
        <v>WAGE WORKS - FSA &amp; HRA FEES</v>
      </c>
    </row>
    <row r="2985" spans="1:9" x14ac:dyDescent="0.3">
      <c r="A2985" t="str">
        <f>""</f>
        <v/>
      </c>
      <c r="F2985" t="str">
        <f>""</f>
        <v/>
      </c>
      <c r="G2985" t="str">
        <f>""</f>
        <v/>
      </c>
      <c r="I2985" t="str">
        <f t="shared" si="45"/>
        <v>WAGE WORKS - FSA &amp; HRA FEES</v>
      </c>
    </row>
    <row r="2986" spans="1:9" x14ac:dyDescent="0.3">
      <c r="A2986" t="str">
        <f>""</f>
        <v/>
      </c>
      <c r="F2986" t="str">
        <f>""</f>
        <v/>
      </c>
      <c r="G2986" t="str">
        <f>""</f>
        <v/>
      </c>
      <c r="I2986" t="str">
        <f t="shared" si="45"/>
        <v>WAGE WORKS - FSA &amp; HRA FEES</v>
      </c>
    </row>
    <row r="2987" spans="1:9" x14ac:dyDescent="0.3">
      <c r="A2987" t="str">
        <f>""</f>
        <v/>
      </c>
      <c r="F2987" t="str">
        <f>""</f>
        <v/>
      </c>
      <c r="G2987" t="str">
        <f>""</f>
        <v/>
      </c>
      <c r="I2987" t="str">
        <f t="shared" si="45"/>
        <v>WAGE WORKS - FSA &amp; HRA FEES</v>
      </c>
    </row>
    <row r="2988" spans="1:9" x14ac:dyDescent="0.3">
      <c r="A2988" t="str">
        <f>""</f>
        <v/>
      </c>
      <c r="F2988" t="str">
        <f>""</f>
        <v/>
      </c>
      <c r="G2988" t="str">
        <f>""</f>
        <v/>
      </c>
      <c r="I2988" t="str">
        <f t="shared" si="45"/>
        <v>WAGE WORKS - FSA &amp; HRA FEES</v>
      </c>
    </row>
    <row r="2989" spans="1:9" x14ac:dyDescent="0.3">
      <c r="A2989" t="str">
        <f>""</f>
        <v/>
      </c>
      <c r="F2989" t="str">
        <f>""</f>
        <v/>
      </c>
      <c r="G2989" t="str">
        <f>""</f>
        <v/>
      </c>
      <c r="I2989" t="str">
        <f t="shared" si="45"/>
        <v>WAGE WORKS - FSA &amp; HRA FEES</v>
      </c>
    </row>
    <row r="2990" spans="1:9" x14ac:dyDescent="0.3">
      <c r="A2990" t="str">
        <f>""</f>
        <v/>
      </c>
      <c r="F2990" t="str">
        <f>""</f>
        <v/>
      </c>
      <c r="G2990" t="str">
        <f>""</f>
        <v/>
      </c>
      <c r="I2990" t="str">
        <f t="shared" si="45"/>
        <v>WAGE WORKS - FSA &amp; HRA FEES</v>
      </c>
    </row>
    <row r="2991" spans="1:9" x14ac:dyDescent="0.3">
      <c r="A2991" t="str">
        <f>""</f>
        <v/>
      </c>
      <c r="F2991" t="str">
        <f>""</f>
        <v/>
      </c>
      <c r="G2991" t="str">
        <f>""</f>
        <v/>
      </c>
      <c r="I2991" t="str">
        <f t="shared" si="45"/>
        <v>WAGE WORKS - FSA &amp; HRA FEES</v>
      </c>
    </row>
    <row r="2992" spans="1:9" x14ac:dyDescent="0.3">
      <c r="A2992" t="str">
        <f>""</f>
        <v/>
      </c>
      <c r="F2992" t="str">
        <f>""</f>
        <v/>
      </c>
      <c r="G2992" t="str">
        <f>""</f>
        <v/>
      </c>
      <c r="I2992" t="str">
        <f t="shared" si="45"/>
        <v>WAGE WORKS - FSA &amp; HRA FEES</v>
      </c>
    </row>
    <row r="2993" spans="1:9" x14ac:dyDescent="0.3">
      <c r="A2993" t="str">
        <f>""</f>
        <v/>
      </c>
      <c r="F2993" t="str">
        <f>""</f>
        <v/>
      </c>
      <c r="G2993" t="str">
        <f>""</f>
        <v/>
      </c>
      <c r="I2993" t="str">
        <f t="shared" si="45"/>
        <v>WAGE WORKS - FSA &amp; HRA FEES</v>
      </c>
    </row>
    <row r="2994" spans="1:9" x14ac:dyDescent="0.3">
      <c r="A2994" t="str">
        <f>""</f>
        <v/>
      </c>
      <c r="F2994" t="str">
        <f>""</f>
        <v/>
      </c>
      <c r="G2994" t="str">
        <f>""</f>
        <v/>
      </c>
      <c r="I2994" t="str">
        <f t="shared" si="45"/>
        <v>WAGE WORKS - FSA &amp; HRA FEES</v>
      </c>
    </row>
    <row r="2995" spans="1:9" x14ac:dyDescent="0.3">
      <c r="A2995" t="str">
        <f>""</f>
        <v/>
      </c>
      <c r="F2995" t="str">
        <f>""</f>
        <v/>
      </c>
      <c r="G2995" t="str">
        <f>""</f>
        <v/>
      </c>
      <c r="I2995" t="str">
        <f t="shared" si="45"/>
        <v>WAGE WORKS - FSA &amp; HRA FEES</v>
      </c>
    </row>
    <row r="2996" spans="1:9" x14ac:dyDescent="0.3">
      <c r="A2996" t="str">
        <f>""</f>
        <v/>
      </c>
      <c r="F2996" t="str">
        <f>""</f>
        <v/>
      </c>
      <c r="G2996" t="str">
        <f>""</f>
        <v/>
      </c>
      <c r="I2996" t="str">
        <f t="shared" si="45"/>
        <v>WAGE WORKS - FSA &amp; HRA FEES</v>
      </c>
    </row>
    <row r="2997" spans="1:9" x14ac:dyDescent="0.3">
      <c r="A2997" t="str">
        <f>""</f>
        <v/>
      </c>
      <c r="F2997" t="str">
        <f>""</f>
        <v/>
      </c>
      <c r="G2997" t="str">
        <f>""</f>
        <v/>
      </c>
      <c r="I2997" t="str">
        <f t="shared" si="45"/>
        <v>WAGE WORKS - FSA &amp; HRA FEES</v>
      </c>
    </row>
    <row r="2998" spans="1:9" x14ac:dyDescent="0.3">
      <c r="A2998" t="str">
        <f>""</f>
        <v/>
      </c>
      <c r="F2998" t="str">
        <f>""</f>
        <v/>
      </c>
      <c r="G2998" t="str">
        <f>""</f>
        <v/>
      </c>
      <c r="I2998" t="str">
        <f t="shared" si="45"/>
        <v>WAGE WORKS - FSA &amp; HRA FEES</v>
      </c>
    </row>
    <row r="2999" spans="1:9" x14ac:dyDescent="0.3">
      <c r="A2999" t="str">
        <f>""</f>
        <v/>
      </c>
      <c r="F2999" t="str">
        <f>""</f>
        <v/>
      </c>
      <c r="G2999" t="str">
        <f>""</f>
        <v/>
      </c>
      <c r="I2999" t="str">
        <f t="shared" si="45"/>
        <v>WAGE WORKS - FSA &amp; HRA FEES</v>
      </c>
    </row>
    <row r="3000" spans="1:9" x14ac:dyDescent="0.3">
      <c r="A3000" t="str">
        <f>""</f>
        <v/>
      </c>
      <c r="F3000" t="str">
        <f>"FSF201802068587"</f>
        <v>FSF201802068587</v>
      </c>
      <c r="G3000" t="str">
        <f>"WAGE WORKS - FSA &amp; HRA FEES"</f>
        <v>WAGE WORKS - FSA &amp; HRA FEES</v>
      </c>
      <c r="H3000" s="2">
        <v>25.97</v>
      </c>
      <c r="I3000" t="str">
        <f t="shared" si="45"/>
        <v>WAGE WORKS - FSA &amp; HRA FEES</v>
      </c>
    </row>
    <row r="3001" spans="1:9" x14ac:dyDescent="0.3">
      <c r="A3001" t="str">
        <f>""</f>
        <v/>
      </c>
      <c r="F3001" t="str">
        <f>"FSO201802068586"</f>
        <v>FSO201802068586</v>
      </c>
      <c r="G3001" t="str">
        <f>"WAGE WORKS - FSA FEES"</f>
        <v>WAGE WORKS - FSA FEES</v>
      </c>
      <c r="H3001" s="2">
        <v>13.02</v>
      </c>
      <c r="I3001" t="str">
        <f t="shared" ref="I3001:I3009" si="46">"WAGE WORKS - FSA FEES"</f>
        <v>WAGE WORKS - FSA FEES</v>
      </c>
    </row>
    <row r="3002" spans="1:9" x14ac:dyDescent="0.3">
      <c r="A3002" t="str">
        <f>""</f>
        <v/>
      </c>
      <c r="F3002" t="str">
        <f>""</f>
        <v/>
      </c>
      <c r="G3002" t="str">
        <f>""</f>
        <v/>
      </c>
      <c r="I3002" t="str">
        <f t="shared" si="46"/>
        <v>WAGE WORKS - FSA FEES</v>
      </c>
    </row>
    <row r="3003" spans="1:9" x14ac:dyDescent="0.3">
      <c r="A3003" t="str">
        <f>""</f>
        <v/>
      </c>
      <c r="F3003" t="str">
        <f>""</f>
        <v/>
      </c>
      <c r="G3003" t="str">
        <f>""</f>
        <v/>
      </c>
      <c r="I3003" t="str">
        <f t="shared" si="46"/>
        <v>WAGE WORKS - FSA FEES</v>
      </c>
    </row>
    <row r="3004" spans="1:9" x14ac:dyDescent="0.3">
      <c r="A3004" t="str">
        <f>""</f>
        <v/>
      </c>
      <c r="F3004" t="str">
        <f>""</f>
        <v/>
      </c>
      <c r="G3004" t="str">
        <f>""</f>
        <v/>
      </c>
      <c r="I3004" t="str">
        <f t="shared" si="46"/>
        <v>WAGE WORKS - FSA FEES</v>
      </c>
    </row>
    <row r="3005" spans="1:9" x14ac:dyDescent="0.3">
      <c r="A3005" t="str">
        <f>""</f>
        <v/>
      </c>
      <c r="F3005" t="str">
        <f>""</f>
        <v/>
      </c>
      <c r="G3005" t="str">
        <f>""</f>
        <v/>
      </c>
      <c r="I3005" t="str">
        <f t="shared" si="46"/>
        <v>WAGE WORKS - FSA FEES</v>
      </c>
    </row>
    <row r="3006" spans="1:9" x14ac:dyDescent="0.3">
      <c r="A3006" t="str">
        <f>""</f>
        <v/>
      </c>
      <c r="F3006" t="str">
        <f>""</f>
        <v/>
      </c>
      <c r="G3006" t="str">
        <f>""</f>
        <v/>
      </c>
      <c r="I3006" t="str">
        <f t="shared" si="46"/>
        <v>WAGE WORKS - FSA FEES</v>
      </c>
    </row>
    <row r="3007" spans="1:9" x14ac:dyDescent="0.3">
      <c r="A3007" t="str">
        <f>""</f>
        <v/>
      </c>
      <c r="F3007" t="str">
        <f>""</f>
        <v/>
      </c>
      <c r="G3007" t="str">
        <f>""</f>
        <v/>
      </c>
      <c r="I3007" t="str">
        <f t="shared" si="46"/>
        <v>WAGE WORKS - FSA FEES</v>
      </c>
    </row>
    <row r="3008" spans="1:9" x14ac:dyDescent="0.3">
      <c r="A3008" t="str">
        <f>""</f>
        <v/>
      </c>
      <c r="F3008" t="str">
        <f>""</f>
        <v/>
      </c>
      <c r="G3008" t="str">
        <f>""</f>
        <v/>
      </c>
      <c r="I3008" t="str">
        <f t="shared" si="46"/>
        <v>WAGE WORKS - FSA FEES</v>
      </c>
    </row>
    <row r="3009" spans="1:9" x14ac:dyDescent="0.3">
      <c r="A3009" t="str">
        <f>""</f>
        <v/>
      </c>
      <c r="F3009" t="str">
        <f>"FSO201802068587"</f>
        <v>FSO201802068587</v>
      </c>
      <c r="G3009" t="str">
        <f>"WAGE WORKS - FSA FEES"</f>
        <v>WAGE WORKS - FSA FEES</v>
      </c>
      <c r="H3009" s="2">
        <v>1.86</v>
      </c>
      <c r="I3009" t="str">
        <f t="shared" si="46"/>
        <v>WAGE WORKS - FSA FEES</v>
      </c>
    </row>
    <row r="3010" spans="1:9" x14ac:dyDescent="0.3">
      <c r="A3010" t="str">
        <f>""</f>
        <v/>
      </c>
      <c r="F3010" t="str">
        <f>"HRA201802068586"</f>
        <v>HRA201802068586</v>
      </c>
      <c r="G3010" t="str">
        <f>"WAGE WORKS"</f>
        <v>WAGE WORKS</v>
      </c>
      <c r="H3010" s="2">
        <v>2400.0300000000002</v>
      </c>
      <c r="I3010" t="str">
        <f t="shared" ref="I3010:I3016" si="47">"WAGE WORKS"</f>
        <v>WAGE WORKS</v>
      </c>
    </row>
    <row r="3011" spans="1:9" x14ac:dyDescent="0.3">
      <c r="A3011" t="str">
        <f>""</f>
        <v/>
      </c>
      <c r="F3011" t="str">
        <f>""</f>
        <v/>
      </c>
      <c r="G3011" t="str">
        <f>""</f>
        <v/>
      </c>
      <c r="I3011" t="str">
        <f t="shared" si="47"/>
        <v>WAGE WORKS</v>
      </c>
    </row>
    <row r="3012" spans="1:9" x14ac:dyDescent="0.3">
      <c r="A3012" t="str">
        <f>""</f>
        <v/>
      </c>
      <c r="F3012" t="str">
        <f>""</f>
        <v/>
      </c>
      <c r="G3012" t="str">
        <f>""</f>
        <v/>
      </c>
      <c r="I3012" t="str">
        <f t="shared" si="47"/>
        <v>WAGE WORKS</v>
      </c>
    </row>
    <row r="3013" spans="1:9" x14ac:dyDescent="0.3">
      <c r="A3013" t="str">
        <f>""</f>
        <v/>
      </c>
      <c r="F3013" t="str">
        <f>""</f>
        <v/>
      </c>
      <c r="G3013" t="str">
        <f>""</f>
        <v/>
      </c>
      <c r="I3013" t="str">
        <f t="shared" si="47"/>
        <v>WAGE WORKS</v>
      </c>
    </row>
    <row r="3014" spans="1:9" x14ac:dyDescent="0.3">
      <c r="A3014" t="str">
        <f>""</f>
        <v/>
      </c>
      <c r="F3014" t="str">
        <f>""</f>
        <v/>
      </c>
      <c r="G3014" t="str">
        <f>""</f>
        <v/>
      </c>
      <c r="I3014" t="str">
        <f t="shared" si="47"/>
        <v>WAGE WORKS</v>
      </c>
    </row>
    <row r="3015" spans="1:9" x14ac:dyDescent="0.3">
      <c r="A3015" t="str">
        <f>""</f>
        <v/>
      </c>
      <c r="F3015" t="str">
        <f>""</f>
        <v/>
      </c>
      <c r="G3015" t="str">
        <f>""</f>
        <v/>
      </c>
      <c r="I3015" t="str">
        <f t="shared" si="47"/>
        <v>WAGE WORKS</v>
      </c>
    </row>
    <row r="3016" spans="1:9" x14ac:dyDescent="0.3">
      <c r="A3016" t="str">
        <f>""</f>
        <v/>
      </c>
      <c r="F3016" t="str">
        <f>"HRA201802068587"</f>
        <v>HRA201802068587</v>
      </c>
      <c r="G3016" t="str">
        <f>"WAGE WORKS"</f>
        <v>WAGE WORKS</v>
      </c>
      <c r="H3016" s="2">
        <v>366.67</v>
      </c>
      <c r="I3016" t="str">
        <f t="shared" si="47"/>
        <v>WAGE WORKS</v>
      </c>
    </row>
    <row r="3017" spans="1:9" x14ac:dyDescent="0.3">
      <c r="A3017" t="str">
        <f>""</f>
        <v/>
      </c>
      <c r="F3017" t="str">
        <f>"HRF201802068586"</f>
        <v>HRF201802068586</v>
      </c>
      <c r="G3017" t="str">
        <f>"WAGE WORKS - HRA FEES"</f>
        <v>WAGE WORKS - HRA FEES</v>
      </c>
      <c r="H3017" s="2">
        <v>489.18</v>
      </c>
      <c r="I3017" t="str">
        <f t="shared" ref="I3017:I3055" si="48">"WAGE WORKS - HRA FEES"</f>
        <v>WAGE WORKS - HRA FEES</v>
      </c>
    </row>
    <row r="3018" spans="1:9" x14ac:dyDescent="0.3">
      <c r="A3018" t="str">
        <f>""</f>
        <v/>
      </c>
      <c r="F3018" t="str">
        <f>""</f>
        <v/>
      </c>
      <c r="G3018" t="str">
        <f>""</f>
        <v/>
      </c>
      <c r="I3018" t="str">
        <f t="shared" si="48"/>
        <v>WAGE WORKS - HRA FEES</v>
      </c>
    </row>
    <row r="3019" spans="1:9" x14ac:dyDescent="0.3">
      <c r="A3019" t="str">
        <f>""</f>
        <v/>
      </c>
      <c r="F3019" t="str">
        <f>""</f>
        <v/>
      </c>
      <c r="G3019" t="str">
        <f>""</f>
        <v/>
      </c>
      <c r="I3019" t="str">
        <f t="shared" si="48"/>
        <v>WAGE WORKS - HRA FEES</v>
      </c>
    </row>
    <row r="3020" spans="1:9" x14ac:dyDescent="0.3">
      <c r="A3020" t="str">
        <f>""</f>
        <v/>
      </c>
      <c r="F3020" t="str">
        <f>""</f>
        <v/>
      </c>
      <c r="G3020" t="str">
        <f>""</f>
        <v/>
      </c>
      <c r="I3020" t="str">
        <f t="shared" si="48"/>
        <v>WAGE WORKS - HRA FEES</v>
      </c>
    </row>
    <row r="3021" spans="1:9" x14ac:dyDescent="0.3">
      <c r="A3021" t="str">
        <f>""</f>
        <v/>
      </c>
      <c r="F3021" t="str">
        <f>""</f>
        <v/>
      </c>
      <c r="G3021" t="str">
        <f>""</f>
        <v/>
      </c>
      <c r="I3021" t="str">
        <f t="shared" si="48"/>
        <v>WAGE WORKS - HRA FEES</v>
      </c>
    </row>
    <row r="3022" spans="1:9" x14ac:dyDescent="0.3">
      <c r="A3022" t="str">
        <f>""</f>
        <v/>
      </c>
      <c r="F3022" t="str">
        <f>""</f>
        <v/>
      </c>
      <c r="G3022" t="str">
        <f>""</f>
        <v/>
      </c>
      <c r="I3022" t="str">
        <f t="shared" si="48"/>
        <v>WAGE WORKS - HRA FEES</v>
      </c>
    </row>
    <row r="3023" spans="1:9" x14ac:dyDescent="0.3">
      <c r="A3023" t="str">
        <f>""</f>
        <v/>
      </c>
      <c r="F3023" t="str">
        <f>""</f>
        <v/>
      </c>
      <c r="G3023" t="str">
        <f>""</f>
        <v/>
      </c>
      <c r="I3023" t="str">
        <f t="shared" si="48"/>
        <v>WAGE WORKS - HRA FEES</v>
      </c>
    </row>
    <row r="3024" spans="1:9" x14ac:dyDescent="0.3">
      <c r="A3024" t="str">
        <f>""</f>
        <v/>
      </c>
      <c r="F3024" t="str">
        <f>""</f>
        <v/>
      </c>
      <c r="G3024" t="str">
        <f>""</f>
        <v/>
      </c>
      <c r="I3024" t="str">
        <f t="shared" si="48"/>
        <v>WAGE WORKS - HRA FEES</v>
      </c>
    </row>
    <row r="3025" spans="1:9" x14ac:dyDescent="0.3">
      <c r="A3025" t="str">
        <f>""</f>
        <v/>
      </c>
      <c r="F3025" t="str">
        <f>""</f>
        <v/>
      </c>
      <c r="G3025" t="str">
        <f>""</f>
        <v/>
      </c>
      <c r="I3025" t="str">
        <f t="shared" si="48"/>
        <v>WAGE WORKS - HRA FEES</v>
      </c>
    </row>
    <row r="3026" spans="1:9" x14ac:dyDescent="0.3">
      <c r="A3026" t="str">
        <f>""</f>
        <v/>
      </c>
      <c r="F3026" t="str">
        <f>""</f>
        <v/>
      </c>
      <c r="G3026" t="str">
        <f>""</f>
        <v/>
      </c>
      <c r="I3026" t="str">
        <f t="shared" si="48"/>
        <v>WAGE WORKS - HRA FEES</v>
      </c>
    </row>
    <row r="3027" spans="1:9" x14ac:dyDescent="0.3">
      <c r="A3027" t="str">
        <f>""</f>
        <v/>
      </c>
      <c r="F3027" t="str">
        <f>""</f>
        <v/>
      </c>
      <c r="G3027" t="str">
        <f>""</f>
        <v/>
      </c>
      <c r="I3027" t="str">
        <f t="shared" si="48"/>
        <v>WAGE WORKS - HRA FEES</v>
      </c>
    </row>
    <row r="3028" spans="1:9" x14ac:dyDescent="0.3">
      <c r="A3028" t="str">
        <f>""</f>
        <v/>
      </c>
      <c r="F3028" t="str">
        <f>""</f>
        <v/>
      </c>
      <c r="G3028" t="str">
        <f>""</f>
        <v/>
      </c>
      <c r="I3028" t="str">
        <f t="shared" si="48"/>
        <v>WAGE WORKS - HRA FEES</v>
      </c>
    </row>
    <row r="3029" spans="1:9" x14ac:dyDescent="0.3">
      <c r="A3029" t="str">
        <f>""</f>
        <v/>
      </c>
      <c r="F3029" t="str">
        <f>""</f>
        <v/>
      </c>
      <c r="G3029" t="str">
        <f>""</f>
        <v/>
      </c>
      <c r="I3029" t="str">
        <f t="shared" si="48"/>
        <v>WAGE WORKS - HRA FEES</v>
      </c>
    </row>
    <row r="3030" spans="1:9" x14ac:dyDescent="0.3">
      <c r="A3030" t="str">
        <f>""</f>
        <v/>
      </c>
      <c r="F3030" t="str">
        <f>""</f>
        <v/>
      </c>
      <c r="G3030" t="str">
        <f>""</f>
        <v/>
      </c>
      <c r="I3030" t="str">
        <f t="shared" si="48"/>
        <v>WAGE WORKS - HRA FEES</v>
      </c>
    </row>
    <row r="3031" spans="1:9" x14ac:dyDescent="0.3">
      <c r="A3031" t="str">
        <f>""</f>
        <v/>
      </c>
      <c r="F3031" t="str">
        <f>""</f>
        <v/>
      </c>
      <c r="G3031" t="str">
        <f>""</f>
        <v/>
      </c>
      <c r="I3031" t="str">
        <f t="shared" si="48"/>
        <v>WAGE WORKS - HRA FEES</v>
      </c>
    </row>
    <row r="3032" spans="1:9" x14ac:dyDescent="0.3">
      <c r="A3032" t="str">
        <f>""</f>
        <v/>
      </c>
      <c r="F3032" t="str">
        <f>""</f>
        <v/>
      </c>
      <c r="G3032" t="str">
        <f>""</f>
        <v/>
      </c>
      <c r="I3032" t="str">
        <f t="shared" si="48"/>
        <v>WAGE WORKS - HRA FEES</v>
      </c>
    </row>
    <row r="3033" spans="1:9" x14ac:dyDescent="0.3">
      <c r="A3033" t="str">
        <f>""</f>
        <v/>
      </c>
      <c r="F3033" t="str">
        <f>""</f>
        <v/>
      </c>
      <c r="G3033" t="str">
        <f>""</f>
        <v/>
      </c>
      <c r="I3033" t="str">
        <f t="shared" si="48"/>
        <v>WAGE WORKS - HRA FEES</v>
      </c>
    </row>
    <row r="3034" spans="1:9" x14ac:dyDescent="0.3">
      <c r="A3034" t="str">
        <f>""</f>
        <v/>
      </c>
      <c r="F3034" t="str">
        <f>""</f>
        <v/>
      </c>
      <c r="G3034" t="str">
        <f>""</f>
        <v/>
      </c>
      <c r="I3034" t="str">
        <f t="shared" si="48"/>
        <v>WAGE WORKS - HRA FEES</v>
      </c>
    </row>
    <row r="3035" spans="1:9" x14ac:dyDescent="0.3">
      <c r="A3035" t="str">
        <f>""</f>
        <v/>
      </c>
      <c r="F3035" t="str">
        <f>""</f>
        <v/>
      </c>
      <c r="G3035" t="str">
        <f>""</f>
        <v/>
      </c>
      <c r="I3035" t="str">
        <f t="shared" si="48"/>
        <v>WAGE WORKS - HRA FEES</v>
      </c>
    </row>
    <row r="3036" spans="1:9" x14ac:dyDescent="0.3">
      <c r="A3036" t="str">
        <f>""</f>
        <v/>
      </c>
      <c r="F3036" t="str">
        <f>""</f>
        <v/>
      </c>
      <c r="G3036" t="str">
        <f>""</f>
        <v/>
      </c>
      <c r="I3036" t="str">
        <f t="shared" si="48"/>
        <v>WAGE WORKS - HRA FEES</v>
      </c>
    </row>
    <row r="3037" spans="1:9" x14ac:dyDescent="0.3">
      <c r="A3037" t="str">
        <f>""</f>
        <v/>
      </c>
      <c r="F3037" t="str">
        <f>""</f>
        <v/>
      </c>
      <c r="G3037" t="str">
        <f>""</f>
        <v/>
      </c>
      <c r="I3037" t="str">
        <f t="shared" si="48"/>
        <v>WAGE WORKS - HRA FEES</v>
      </c>
    </row>
    <row r="3038" spans="1:9" x14ac:dyDescent="0.3">
      <c r="A3038" t="str">
        <f>""</f>
        <v/>
      </c>
      <c r="F3038" t="str">
        <f>""</f>
        <v/>
      </c>
      <c r="G3038" t="str">
        <f>""</f>
        <v/>
      </c>
      <c r="I3038" t="str">
        <f t="shared" si="48"/>
        <v>WAGE WORKS - HRA FEES</v>
      </c>
    </row>
    <row r="3039" spans="1:9" x14ac:dyDescent="0.3">
      <c r="A3039" t="str">
        <f>""</f>
        <v/>
      </c>
      <c r="F3039" t="str">
        <f>""</f>
        <v/>
      </c>
      <c r="G3039" t="str">
        <f>""</f>
        <v/>
      </c>
      <c r="I3039" t="str">
        <f t="shared" si="48"/>
        <v>WAGE WORKS - HRA FEES</v>
      </c>
    </row>
    <row r="3040" spans="1:9" x14ac:dyDescent="0.3">
      <c r="A3040" t="str">
        <f>""</f>
        <v/>
      </c>
      <c r="F3040" t="str">
        <f>""</f>
        <v/>
      </c>
      <c r="G3040" t="str">
        <f>""</f>
        <v/>
      </c>
      <c r="I3040" t="str">
        <f t="shared" si="48"/>
        <v>WAGE WORKS - HRA FEES</v>
      </c>
    </row>
    <row r="3041" spans="1:9" x14ac:dyDescent="0.3">
      <c r="A3041" t="str">
        <f>""</f>
        <v/>
      </c>
      <c r="F3041" t="str">
        <f>""</f>
        <v/>
      </c>
      <c r="G3041" t="str">
        <f>""</f>
        <v/>
      </c>
      <c r="I3041" t="str">
        <f t="shared" si="48"/>
        <v>WAGE WORKS - HRA FEES</v>
      </c>
    </row>
    <row r="3042" spans="1:9" x14ac:dyDescent="0.3">
      <c r="A3042" t="str">
        <f>""</f>
        <v/>
      </c>
      <c r="F3042" t="str">
        <f>""</f>
        <v/>
      </c>
      <c r="G3042" t="str">
        <f>""</f>
        <v/>
      </c>
      <c r="I3042" t="str">
        <f t="shared" si="48"/>
        <v>WAGE WORKS - HRA FEES</v>
      </c>
    </row>
    <row r="3043" spans="1:9" x14ac:dyDescent="0.3">
      <c r="A3043" t="str">
        <f>""</f>
        <v/>
      </c>
      <c r="F3043" t="str">
        <f>""</f>
        <v/>
      </c>
      <c r="G3043" t="str">
        <f>""</f>
        <v/>
      </c>
      <c r="I3043" t="str">
        <f t="shared" si="48"/>
        <v>WAGE WORKS - HRA FEES</v>
      </c>
    </row>
    <row r="3044" spans="1:9" x14ac:dyDescent="0.3">
      <c r="A3044" t="str">
        <f>""</f>
        <v/>
      </c>
      <c r="F3044" t="str">
        <f>""</f>
        <v/>
      </c>
      <c r="G3044" t="str">
        <f>""</f>
        <v/>
      </c>
      <c r="I3044" t="str">
        <f t="shared" si="48"/>
        <v>WAGE WORKS - HRA FEES</v>
      </c>
    </row>
    <row r="3045" spans="1:9" x14ac:dyDescent="0.3">
      <c r="A3045" t="str">
        <f>""</f>
        <v/>
      </c>
      <c r="F3045" t="str">
        <f>""</f>
        <v/>
      </c>
      <c r="G3045" t="str">
        <f>""</f>
        <v/>
      </c>
      <c r="I3045" t="str">
        <f t="shared" si="48"/>
        <v>WAGE WORKS - HRA FEES</v>
      </c>
    </row>
    <row r="3046" spans="1:9" x14ac:dyDescent="0.3">
      <c r="A3046" t="str">
        <f>""</f>
        <v/>
      </c>
      <c r="F3046" t="str">
        <f>""</f>
        <v/>
      </c>
      <c r="G3046" t="str">
        <f>""</f>
        <v/>
      </c>
      <c r="I3046" t="str">
        <f t="shared" si="48"/>
        <v>WAGE WORKS - HRA FEES</v>
      </c>
    </row>
    <row r="3047" spans="1:9" x14ac:dyDescent="0.3">
      <c r="A3047" t="str">
        <f>""</f>
        <v/>
      </c>
      <c r="F3047" t="str">
        <f>""</f>
        <v/>
      </c>
      <c r="G3047" t="str">
        <f>""</f>
        <v/>
      </c>
      <c r="I3047" t="str">
        <f t="shared" si="48"/>
        <v>WAGE WORKS - HRA FEES</v>
      </c>
    </row>
    <row r="3048" spans="1:9" x14ac:dyDescent="0.3">
      <c r="A3048" t="str">
        <f>""</f>
        <v/>
      </c>
      <c r="F3048" t="str">
        <f>""</f>
        <v/>
      </c>
      <c r="G3048" t="str">
        <f>""</f>
        <v/>
      </c>
      <c r="I3048" t="str">
        <f t="shared" si="48"/>
        <v>WAGE WORKS - HRA FEES</v>
      </c>
    </row>
    <row r="3049" spans="1:9" x14ac:dyDescent="0.3">
      <c r="A3049" t="str">
        <f>""</f>
        <v/>
      </c>
      <c r="F3049" t="str">
        <f>""</f>
        <v/>
      </c>
      <c r="G3049" t="str">
        <f>""</f>
        <v/>
      </c>
      <c r="I3049" t="str">
        <f t="shared" si="48"/>
        <v>WAGE WORKS - HRA FEES</v>
      </c>
    </row>
    <row r="3050" spans="1:9" x14ac:dyDescent="0.3">
      <c r="A3050" t="str">
        <f>""</f>
        <v/>
      </c>
      <c r="F3050" t="str">
        <f>""</f>
        <v/>
      </c>
      <c r="G3050" t="str">
        <f>""</f>
        <v/>
      </c>
      <c r="I3050" t="str">
        <f t="shared" si="48"/>
        <v>WAGE WORKS - HRA FEES</v>
      </c>
    </row>
    <row r="3051" spans="1:9" x14ac:dyDescent="0.3">
      <c r="A3051" t="str">
        <f>""</f>
        <v/>
      </c>
      <c r="F3051" t="str">
        <f>""</f>
        <v/>
      </c>
      <c r="G3051" t="str">
        <f>""</f>
        <v/>
      </c>
      <c r="I3051" t="str">
        <f t="shared" si="48"/>
        <v>WAGE WORKS - HRA FEES</v>
      </c>
    </row>
    <row r="3052" spans="1:9" x14ac:dyDescent="0.3">
      <c r="A3052" t="str">
        <f>""</f>
        <v/>
      </c>
      <c r="F3052" t="str">
        <f>""</f>
        <v/>
      </c>
      <c r="G3052" t="str">
        <f>""</f>
        <v/>
      </c>
      <c r="I3052" t="str">
        <f t="shared" si="48"/>
        <v>WAGE WORKS - HRA FEES</v>
      </c>
    </row>
    <row r="3053" spans="1:9" x14ac:dyDescent="0.3">
      <c r="A3053" t="str">
        <f>""</f>
        <v/>
      </c>
      <c r="F3053" t="str">
        <f>""</f>
        <v/>
      </c>
      <c r="G3053" t="str">
        <f>""</f>
        <v/>
      </c>
      <c r="I3053" t="str">
        <f t="shared" si="48"/>
        <v>WAGE WORKS - HRA FEES</v>
      </c>
    </row>
    <row r="3054" spans="1:9" x14ac:dyDescent="0.3">
      <c r="A3054" t="str">
        <f>""</f>
        <v/>
      </c>
      <c r="F3054" t="str">
        <f>""</f>
        <v/>
      </c>
      <c r="G3054" t="str">
        <f>""</f>
        <v/>
      </c>
      <c r="I3054" t="str">
        <f t="shared" si="48"/>
        <v>WAGE WORKS - HRA FEES</v>
      </c>
    </row>
    <row r="3055" spans="1:9" x14ac:dyDescent="0.3">
      <c r="A3055" t="str">
        <f>""</f>
        <v/>
      </c>
      <c r="F3055" t="str">
        <f>"HRF201802068587"</f>
        <v>HRF201802068587</v>
      </c>
      <c r="G3055" t="str">
        <f>"WAGE WORKS - HRA FEES"</f>
        <v>WAGE WORKS - HRA FEES</v>
      </c>
      <c r="H3055" s="2">
        <v>16.739999999999998</v>
      </c>
      <c r="I3055" t="str">
        <f t="shared" si="48"/>
        <v>WAGE WORKS - HRA FEES</v>
      </c>
    </row>
    <row r="3056" spans="1:9" x14ac:dyDescent="0.3">
      <c r="A3056" t="str">
        <f>"004767"</f>
        <v>004767</v>
      </c>
      <c r="B3056" t="s">
        <v>497</v>
      </c>
      <c r="C3056">
        <v>0</v>
      </c>
      <c r="D3056" s="2">
        <v>11165.97</v>
      </c>
      <c r="E3056" s="1">
        <v>43154</v>
      </c>
      <c r="F3056" t="str">
        <f>"FSA201802218810"</f>
        <v>FSA201802218810</v>
      </c>
      <c r="G3056" t="str">
        <f>"WAGE WORKS"</f>
        <v>WAGE WORKS</v>
      </c>
      <c r="H3056" s="2">
        <v>8582.17</v>
      </c>
      <c r="I3056" t="str">
        <f>"WAGE WORKS"</f>
        <v>WAGE WORKS</v>
      </c>
    </row>
    <row r="3057" spans="1:9" x14ac:dyDescent="0.3">
      <c r="A3057" t="str">
        <f>""</f>
        <v/>
      </c>
      <c r="F3057" t="str">
        <f>"FSA201802218811"</f>
        <v>FSA201802218811</v>
      </c>
      <c r="G3057" t="str">
        <f>"WAGE WORKS"</f>
        <v>WAGE WORKS</v>
      </c>
      <c r="H3057" s="2">
        <v>574</v>
      </c>
      <c r="I3057" t="str">
        <f>"WAGE WORKS"</f>
        <v>WAGE WORKS</v>
      </c>
    </row>
    <row r="3058" spans="1:9" x14ac:dyDescent="0.3">
      <c r="A3058" t="str">
        <f>""</f>
        <v/>
      </c>
      <c r="F3058" t="str">
        <f>"FSC201802218810"</f>
        <v>FSC201802218810</v>
      </c>
      <c r="G3058" t="str">
        <f>"WAGE WORKS"</f>
        <v>WAGE WORKS</v>
      </c>
      <c r="H3058" s="2">
        <v>913.95</v>
      </c>
      <c r="I3058" t="str">
        <f>"WAGE WORKS"</f>
        <v>WAGE WORKS</v>
      </c>
    </row>
    <row r="3059" spans="1:9" x14ac:dyDescent="0.3">
      <c r="A3059" t="str">
        <f>""</f>
        <v/>
      </c>
      <c r="F3059" t="str">
        <f>"FSF201802218810"</f>
        <v>FSF201802218810</v>
      </c>
      <c r="G3059" t="str">
        <f>"WAGE WORKS - FSA &amp; HRA FEES"</f>
        <v>WAGE WORKS - FSA &amp; HRA FEES</v>
      </c>
      <c r="H3059" s="2">
        <v>549.08000000000004</v>
      </c>
      <c r="I3059" t="str">
        <f t="shared" ref="I3059:I3098" si="49">"WAGE WORKS - FSA &amp; HRA FEES"</f>
        <v>WAGE WORKS - FSA &amp; HRA FEES</v>
      </c>
    </row>
    <row r="3060" spans="1:9" x14ac:dyDescent="0.3">
      <c r="A3060" t="str">
        <f>""</f>
        <v/>
      </c>
      <c r="F3060" t="str">
        <f>""</f>
        <v/>
      </c>
      <c r="G3060" t="str">
        <f>""</f>
        <v/>
      </c>
      <c r="I3060" t="str">
        <f t="shared" si="49"/>
        <v>WAGE WORKS - FSA &amp; HRA FEES</v>
      </c>
    </row>
    <row r="3061" spans="1:9" x14ac:dyDescent="0.3">
      <c r="A3061" t="str">
        <f>""</f>
        <v/>
      </c>
      <c r="F3061" t="str">
        <f>""</f>
        <v/>
      </c>
      <c r="G3061" t="str">
        <f>""</f>
        <v/>
      </c>
      <c r="I3061" t="str">
        <f t="shared" si="49"/>
        <v>WAGE WORKS - FSA &amp; HRA FEES</v>
      </c>
    </row>
    <row r="3062" spans="1:9" x14ac:dyDescent="0.3">
      <c r="A3062" t="str">
        <f>""</f>
        <v/>
      </c>
      <c r="F3062" t="str">
        <f>""</f>
        <v/>
      </c>
      <c r="G3062" t="str">
        <f>""</f>
        <v/>
      </c>
      <c r="I3062" t="str">
        <f t="shared" si="49"/>
        <v>WAGE WORKS - FSA &amp; HRA FEES</v>
      </c>
    </row>
    <row r="3063" spans="1:9" x14ac:dyDescent="0.3">
      <c r="A3063" t="str">
        <f>""</f>
        <v/>
      </c>
      <c r="F3063" t="str">
        <f>""</f>
        <v/>
      </c>
      <c r="G3063" t="str">
        <f>""</f>
        <v/>
      </c>
      <c r="I3063" t="str">
        <f t="shared" si="49"/>
        <v>WAGE WORKS - FSA &amp; HRA FEES</v>
      </c>
    </row>
    <row r="3064" spans="1:9" x14ac:dyDescent="0.3">
      <c r="A3064" t="str">
        <f>""</f>
        <v/>
      </c>
      <c r="F3064" t="str">
        <f>""</f>
        <v/>
      </c>
      <c r="G3064" t="str">
        <f>""</f>
        <v/>
      </c>
      <c r="I3064" t="str">
        <f t="shared" si="49"/>
        <v>WAGE WORKS - FSA &amp; HRA FEES</v>
      </c>
    </row>
    <row r="3065" spans="1:9" x14ac:dyDescent="0.3">
      <c r="A3065" t="str">
        <f>""</f>
        <v/>
      </c>
      <c r="F3065" t="str">
        <f>""</f>
        <v/>
      </c>
      <c r="G3065" t="str">
        <f>""</f>
        <v/>
      </c>
      <c r="I3065" t="str">
        <f t="shared" si="49"/>
        <v>WAGE WORKS - FSA &amp; HRA FEES</v>
      </c>
    </row>
    <row r="3066" spans="1:9" x14ac:dyDescent="0.3">
      <c r="A3066" t="str">
        <f>""</f>
        <v/>
      </c>
      <c r="F3066" t="str">
        <f>""</f>
        <v/>
      </c>
      <c r="G3066" t="str">
        <f>""</f>
        <v/>
      </c>
      <c r="I3066" t="str">
        <f t="shared" si="49"/>
        <v>WAGE WORKS - FSA &amp; HRA FEES</v>
      </c>
    </row>
    <row r="3067" spans="1:9" x14ac:dyDescent="0.3">
      <c r="A3067" t="str">
        <f>""</f>
        <v/>
      </c>
      <c r="F3067" t="str">
        <f>""</f>
        <v/>
      </c>
      <c r="G3067" t="str">
        <f>""</f>
        <v/>
      </c>
      <c r="I3067" t="str">
        <f t="shared" si="49"/>
        <v>WAGE WORKS - FSA &amp; HRA FEES</v>
      </c>
    </row>
    <row r="3068" spans="1:9" x14ac:dyDescent="0.3">
      <c r="A3068" t="str">
        <f>""</f>
        <v/>
      </c>
      <c r="F3068" t="str">
        <f>""</f>
        <v/>
      </c>
      <c r="G3068" t="str">
        <f>""</f>
        <v/>
      </c>
      <c r="I3068" t="str">
        <f t="shared" si="49"/>
        <v>WAGE WORKS - FSA &amp; HRA FEES</v>
      </c>
    </row>
    <row r="3069" spans="1:9" x14ac:dyDescent="0.3">
      <c r="A3069" t="str">
        <f>""</f>
        <v/>
      </c>
      <c r="F3069" t="str">
        <f>""</f>
        <v/>
      </c>
      <c r="G3069" t="str">
        <f>""</f>
        <v/>
      </c>
      <c r="I3069" t="str">
        <f t="shared" si="49"/>
        <v>WAGE WORKS - FSA &amp; HRA FEES</v>
      </c>
    </row>
    <row r="3070" spans="1:9" x14ac:dyDescent="0.3">
      <c r="A3070" t="str">
        <f>""</f>
        <v/>
      </c>
      <c r="F3070" t="str">
        <f>""</f>
        <v/>
      </c>
      <c r="G3070" t="str">
        <f>""</f>
        <v/>
      </c>
      <c r="I3070" t="str">
        <f t="shared" si="49"/>
        <v>WAGE WORKS - FSA &amp; HRA FEES</v>
      </c>
    </row>
    <row r="3071" spans="1:9" x14ac:dyDescent="0.3">
      <c r="A3071" t="str">
        <f>""</f>
        <v/>
      </c>
      <c r="F3071" t="str">
        <f>""</f>
        <v/>
      </c>
      <c r="G3071" t="str">
        <f>""</f>
        <v/>
      </c>
      <c r="I3071" t="str">
        <f t="shared" si="49"/>
        <v>WAGE WORKS - FSA &amp; HRA FEES</v>
      </c>
    </row>
    <row r="3072" spans="1:9" x14ac:dyDescent="0.3">
      <c r="A3072" t="str">
        <f>""</f>
        <v/>
      </c>
      <c r="F3072" t="str">
        <f>""</f>
        <v/>
      </c>
      <c r="G3072" t="str">
        <f>""</f>
        <v/>
      </c>
      <c r="I3072" t="str">
        <f t="shared" si="49"/>
        <v>WAGE WORKS - FSA &amp; HRA FEES</v>
      </c>
    </row>
    <row r="3073" spans="1:9" x14ac:dyDescent="0.3">
      <c r="A3073" t="str">
        <f>""</f>
        <v/>
      </c>
      <c r="F3073" t="str">
        <f>""</f>
        <v/>
      </c>
      <c r="G3073" t="str">
        <f>""</f>
        <v/>
      </c>
      <c r="I3073" t="str">
        <f t="shared" si="49"/>
        <v>WAGE WORKS - FSA &amp; HRA FEES</v>
      </c>
    </row>
    <row r="3074" spans="1:9" x14ac:dyDescent="0.3">
      <c r="A3074" t="str">
        <f>""</f>
        <v/>
      </c>
      <c r="F3074" t="str">
        <f>""</f>
        <v/>
      </c>
      <c r="G3074" t="str">
        <f>""</f>
        <v/>
      </c>
      <c r="I3074" t="str">
        <f t="shared" si="49"/>
        <v>WAGE WORKS - FSA &amp; HRA FEES</v>
      </c>
    </row>
    <row r="3075" spans="1:9" x14ac:dyDescent="0.3">
      <c r="A3075" t="str">
        <f>""</f>
        <v/>
      </c>
      <c r="F3075" t="str">
        <f>""</f>
        <v/>
      </c>
      <c r="G3075" t="str">
        <f>""</f>
        <v/>
      </c>
      <c r="I3075" t="str">
        <f t="shared" si="49"/>
        <v>WAGE WORKS - FSA &amp; HRA FEES</v>
      </c>
    </row>
    <row r="3076" spans="1:9" x14ac:dyDescent="0.3">
      <c r="A3076" t="str">
        <f>""</f>
        <v/>
      </c>
      <c r="F3076" t="str">
        <f>""</f>
        <v/>
      </c>
      <c r="G3076" t="str">
        <f>""</f>
        <v/>
      </c>
      <c r="I3076" t="str">
        <f t="shared" si="49"/>
        <v>WAGE WORKS - FSA &amp; HRA FEES</v>
      </c>
    </row>
    <row r="3077" spans="1:9" x14ac:dyDescent="0.3">
      <c r="A3077" t="str">
        <f>""</f>
        <v/>
      </c>
      <c r="F3077" t="str">
        <f>""</f>
        <v/>
      </c>
      <c r="G3077" t="str">
        <f>""</f>
        <v/>
      </c>
      <c r="I3077" t="str">
        <f t="shared" si="49"/>
        <v>WAGE WORKS - FSA &amp; HRA FEES</v>
      </c>
    </row>
    <row r="3078" spans="1:9" x14ac:dyDescent="0.3">
      <c r="A3078" t="str">
        <f>""</f>
        <v/>
      </c>
      <c r="F3078" t="str">
        <f>""</f>
        <v/>
      </c>
      <c r="G3078" t="str">
        <f>""</f>
        <v/>
      </c>
      <c r="I3078" t="str">
        <f t="shared" si="49"/>
        <v>WAGE WORKS - FSA &amp; HRA FEES</v>
      </c>
    </row>
    <row r="3079" spans="1:9" x14ac:dyDescent="0.3">
      <c r="A3079" t="str">
        <f>""</f>
        <v/>
      </c>
      <c r="F3079" t="str">
        <f>""</f>
        <v/>
      </c>
      <c r="G3079" t="str">
        <f>""</f>
        <v/>
      </c>
      <c r="I3079" t="str">
        <f t="shared" si="49"/>
        <v>WAGE WORKS - FSA &amp; HRA FEES</v>
      </c>
    </row>
    <row r="3080" spans="1:9" x14ac:dyDescent="0.3">
      <c r="A3080" t="str">
        <f>""</f>
        <v/>
      </c>
      <c r="F3080" t="str">
        <f>""</f>
        <v/>
      </c>
      <c r="G3080" t="str">
        <f>""</f>
        <v/>
      </c>
      <c r="I3080" t="str">
        <f t="shared" si="49"/>
        <v>WAGE WORKS - FSA &amp; HRA FEES</v>
      </c>
    </row>
    <row r="3081" spans="1:9" x14ac:dyDescent="0.3">
      <c r="A3081" t="str">
        <f>""</f>
        <v/>
      </c>
      <c r="F3081" t="str">
        <f>""</f>
        <v/>
      </c>
      <c r="G3081" t="str">
        <f>""</f>
        <v/>
      </c>
      <c r="I3081" t="str">
        <f t="shared" si="49"/>
        <v>WAGE WORKS - FSA &amp; HRA FEES</v>
      </c>
    </row>
    <row r="3082" spans="1:9" x14ac:dyDescent="0.3">
      <c r="A3082" t="str">
        <f>""</f>
        <v/>
      </c>
      <c r="F3082" t="str">
        <f>""</f>
        <v/>
      </c>
      <c r="G3082" t="str">
        <f>""</f>
        <v/>
      </c>
      <c r="I3082" t="str">
        <f t="shared" si="49"/>
        <v>WAGE WORKS - FSA &amp; HRA FEES</v>
      </c>
    </row>
    <row r="3083" spans="1:9" x14ac:dyDescent="0.3">
      <c r="A3083" t="str">
        <f>""</f>
        <v/>
      </c>
      <c r="F3083" t="str">
        <f>""</f>
        <v/>
      </c>
      <c r="G3083" t="str">
        <f>""</f>
        <v/>
      </c>
      <c r="I3083" t="str">
        <f t="shared" si="49"/>
        <v>WAGE WORKS - FSA &amp; HRA FEES</v>
      </c>
    </row>
    <row r="3084" spans="1:9" x14ac:dyDescent="0.3">
      <c r="A3084" t="str">
        <f>""</f>
        <v/>
      </c>
      <c r="F3084" t="str">
        <f>""</f>
        <v/>
      </c>
      <c r="G3084" t="str">
        <f>""</f>
        <v/>
      </c>
      <c r="I3084" t="str">
        <f t="shared" si="49"/>
        <v>WAGE WORKS - FSA &amp; HRA FEES</v>
      </c>
    </row>
    <row r="3085" spans="1:9" x14ac:dyDescent="0.3">
      <c r="A3085" t="str">
        <f>""</f>
        <v/>
      </c>
      <c r="F3085" t="str">
        <f>""</f>
        <v/>
      </c>
      <c r="G3085" t="str">
        <f>""</f>
        <v/>
      </c>
      <c r="I3085" t="str">
        <f t="shared" si="49"/>
        <v>WAGE WORKS - FSA &amp; HRA FEES</v>
      </c>
    </row>
    <row r="3086" spans="1:9" x14ac:dyDescent="0.3">
      <c r="A3086" t="str">
        <f>""</f>
        <v/>
      </c>
      <c r="F3086" t="str">
        <f>""</f>
        <v/>
      </c>
      <c r="G3086" t="str">
        <f>""</f>
        <v/>
      </c>
      <c r="I3086" t="str">
        <f t="shared" si="49"/>
        <v>WAGE WORKS - FSA &amp; HRA FEES</v>
      </c>
    </row>
    <row r="3087" spans="1:9" x14ac:dyDescent="0.3">
      <c r="A3087" t="str">
        <f>""</f>
        <v/>
      </c>
      <c r="F3087" t="str">
        <f>""</f>
        <v/>
      </c>
      <c r="G3087" t="str">
        <f>""</f>
        <v/>
      </c>
      <c r="I3087" t="str">
        <f t="shared" si="49"/>
        <v>WAGE WORKS - FSA &amp; HRA FEES</v>
      </c>
    </row>
    <row r="3088" spans="1:9" x14ac:dyDescent="0.3">
      <c r="A3088" t="str">
        <f>""</f>
        <v/>
      </c>
      <c r="F3088" t="str">
        <f>""</f>
        <v/>
      </c>
      <c r="G3088" t="str">
        <f>""</f>
        <v/>
      </c>
      <c r="I3088" t="str">
        <f t="shared" si="49"/>
        <v>WAGE WORKS - FSA &amp; HRA FEES</v>
      </c>
    </row>
    <row r="3089" spans="1:9" x14ac:dyDescent="0.3">
      <c r="A3089" t="str">
        <f>""</f>
        <v/>
      </c>
      <c r="F3089" t="str">
        <f>""</f>
        <v/>
      </c>
      <c r="G3089" t="str">
        <f>""</f>
        <v/>
      </c>
      <c r="I3089" t="str">
        <f t="shared" si="49"/>
        <v>WAGE WORKS - FSA &amp; HRA FEES</v>
      </c>
    </row>
    <row r="3090" spans="1:9" x14ac:dyDescent="0.3">
      <c r="A3090" t="str">
        <f>""</f>
        <v/>
      </c>
      <c r="F3090" t="str">
        <f>""</f>
        <v/>
      </c>
      <c r="G3090" t="str">
        <f>""</f>
        <v/>
      </c>
      <c r="I3090" t="str">
        <f t="shared" si="49"/>
        <v>WAGE WORKS - FSA &amp; HRA FEES</v>
      </c>
    </row>
    <row r="3091" spans="1:9" x14ac:dyDescent="0.3">
      <c r="A3091" t="str">
        <f>""</f>
        <v/>
      </c>
      <c r="F3091" t="str">
        <f>""</f>
        <v/>
      </c>
      <c r="G3091" t="str">
        <f>""</f>
        <v/>
      </c>
      <c r="I3091" t="str">
        <f t="shared" si="49"/>
        <v>WAGE WORKS - FSA &amp; HRA FEES</v>
      </c>
    </row>
    <row r="3092" spans="1:9" x14ac:dyDescent="0.3">
      <c r="A3092" t="str">
        <f>""</f>
        <v/>
      </c>
      <c r="F3092" t="str">
        <f>""</f>
        <v/>
      </c>
      <c r="G3092" t="str">
        <f>""</f>
        <v/>
      </c>
      <c r="I3092" t="str">
        <f t="shared" si="49"/>
        <v>WAGE WORKS - FSA &amp; HRA FEES</v>
      </c>
    </row>
    <row r="3093" spans="1:9" x14ac:dyDescent="0.3">
      <c r="A3093" t="str">
        <f>""</f>
        <v/>
      </c>
      <c r="F3093" t="str">
        <f>""</f>
        <v/>
      </c>
      <c r="G3093" t="str">
        <f>""</f>
        <v/>
      </c>
      <c r="I3093" t="str">
        <f t="shared" si="49"/>
        <v>WAGE WORKS - FSA &amp; HRA FEES</v>
      </c>
    </row>
    <row r="3094" spans="1:9" x14ac:dyDescent="0.3">
      <c r="A3094" t="str">
        <f>""</f>
        <v/>
      </c>
      <c r="F3094" t="str">
        <f>""</f>
        <v/>
      </c>
      <c r="G3094" t="str">
        <f>""</f>
        <v/>
      </c>
      <c r="I3094" t="str">
        <f t="shared" si="49"/>
        <v>WAGE WORKS - FSA &amp; HRA FEES</v>
      </c>
    </row>
    <row r="3095" spans="1:9" x14ac:dyDescent="0.3">
      <c r="A3095" t="str">
        <f>""</f>
        <v/>
      </c>
      <c r="F3095" t="str">
        <f>""</f>
        <v/>
      </c>
      <c r="G3095" t="str">
        <f>""</f>
        <v/>
      </c>
      <c r="I3095" t="str">
        <f t="shared" si="49"/>
        <v>WAGE WORKS - FSA &amp; HRA FEES</v>
      </c>
    </row>
    <row r="3096" spans="1:9" x14ac:dyDescent="0.3">
      <c r="A3096" t="str">
        <f>""</f>
        <v/>
      </c>
      <c r="F3096" t="str">
        <f>""</f>
        <v/>
      </c>
      <c r="G3096" t="str">
        <f>""</f>
        <v/>
      </c>
      <c r="I3096" t="str">
        <f t="shared" si="49"/>
        <v>WAGE WORKS - FSA &amp; HRA FEES</v>
      </c>
    </row>
    <row r="3097" spans="1:9" x14ac:dyDescent="0.3">
      <c r="A3097" t="str">
        <f>""</f>
        <v/>
      </c>
      <c r="F3097" t="str">
        <f>""</f>
        <v/>
      </c>
      <c r="G3097" t="str">
        <f>""</f>
        <v/>
      </c>
      <c r="I3097" t="str">
        <f t="shared" si="49"/>
        <v>WAGE WORKS - FSA &amp; HRA FEES</v>
      </c>
    </row>
    <row r="3098" spans="1:9" x14ac:dyDescent="0.3">
      <c r="A3098" t="str">
        <f>""</f>
        <v/>
      </c>
      <c r="F3098" t="str">
        <f>"FSF201802218811"</f>
        <v>FSF201802218811</v>
      </c>
      <c r="G3098" t="str">
        <f>"WAGE WORKS - FSA &amp; HRA FEES"</f>
        <v>WAGE WORKS - FSA &amp; HRA FEES</v>
      </c>
      <c r="H3098" s="2">
        <v>25.97</v>
      </c>
      <c r="I3098" t="str">
        <f t="shared" si="49"/>
        <v>WAGE WORKS - FSA &amp; HRA FEES</v>
      </c>
    </row>
    <row r="3099" spans="1:9" x14ac:dyDescent="0.3">
      <c r="A3099" t="str">
        <f>""</f>
        <v/>
      </c>
      <c r="F3099" t="str">
        <f>"FSO201802218810"</f>
        <v>FSO201802218810</v>
      </c>
      <c r="G3099" t="str">
        <f>"WAGE WORKS - FSA FEES"</f>
        <v>WAGE WORKS - FSA FEES</v>
      </c>
      <c r="H3099" s="2">
        <v>13.02</v>
      </c>
      <c r="I3099" t="str">
        <f t="shared" ref="I3099:I3107" si="50">"WAGE WORKS - FSA FEES"</f>
        <v>WAGE WORKS - FSA FEES</v>
      </c>
    </row>
    <row r="3100" spans="1:9" x14ac:dyDescent="0.3">
      <c r="A3100" t="str">
        <f>""</f>
        <v/>
      </c>
      <c r="F3100" t="str">
        <f>""</f>
        <v/>
      </c>
      <c r="G3100" t="str">
        <f>""</f>
        <v/>
      </c>
      <c r="I3100" t="str">
        <f t="shared" si="50"/>
        <v>WAGE WORKS - FSA FEES</v>
      </c>
    </row>
    <row r="3101" spans="1:9" x14ac:dyDescent="0.3">
      <c r="A3101" t="str">
        <f>""</f>
        <v/>
      </c>
      <c r="F3101" t="str">
        <f>""</f>
        <v/>
      </c>
      <c r="G3101" t="str">
        <f>""</f>
        <v/>
      </c>
      <c r="I3101" t="str">
        <f t="shared" si="50"/>
        <v>WAGE WORKS - FSA FEES</v>
      </c>
    </row>
    <row r="3102" spans="1:9" x14ac:dyDescent="0.3">
      <c r="A3102" t="str">
        <f>""</f>
        <v/>
      </c>
      <c r="F3102" t="str">
        <f>""</f>
        <v/>
      </c>
      <c r="G3102" t="str">
        <f>""</f>
        <v/>
      </c>
      <c r="I3102" t="str">
        <f t="shared" si="50"/>
        <v>WAGE WORKS - FSA FEES</v>
      </c>
    </row>
    <row r="3103" spans="1:9" x14ac:dyDescent="0.3">
      <c r="A3103" t="str">
        <f>""</f>
        <v/>
      </c>
      <c r="F3103" t="str">
        <f>""</f>
        <v/>
      </c>
      <c r="G3103" t="str">
        <f>""</f>
        <v/>
      </c>
      <c r="I3103" t="str">
        <f t="shared" si="50"/>
        <v>WAGE WORKS - FSA FEES</v>
      </c>
    </row>
    <row r="3104" spans="1:9" x14ac:dyDescent="0.3">
      <c r="A3104" t="str">
        <f>""</f>
        <v/>
      </c>
      <c r="F3104" t="str">
        <f>""</f>
        <v/>
      </c>
      <c r="G3104" t="str">
        <f>""</f>
        <v/>
      </c>
      <c r="I3104" t="str">
        <f t="shared" si="50"/>
        <v>WAGE WORKS - FSA FEES</v>
      </c>
    </row>
    <row r="3105" spans="1:9" x14ac:dyDescent="0.3">
      <c r="A3105" t="str">
        <f>""</f>
        <v/>
      </c>
      <c r="F3105" t="str">
        <f>""</f>
        <v/>
      </c>
      <c r="G3105" t="str">
        <f>""</f>
        <v/>
      </c>
      <c r="I3105" t="str">
        <f t="shared" si="50"/>
        <v>WAGE WORKS - FSA FEES</v>
      </c>
    </row>
    <row r="3106" spans="1:9" x14ac:dyDescent="0.3">
      <c r="A3106" t="str">
        <f>""</f>
        <v/>
      </c>
      <c r="F3106" t="str">
        <f>""</f>
        <v/>
      </c>
      <c r="G3106" t="str">
        <f>""</f>
        <v/>
      </c>
      <c r="I3106" t="str">
        <f t="shared" si="50"/>
        <v>WAGE WORKS - FSA FEES</v>
      </c>
    </row>
    <row r="3107" spans="1:9" x14ac:dyDescent="0.3">
      <c r="A3107" t="str">
        <f>""</f>
        <v/>
      </c>
      <c r="F3107" t="str">
        <f>"FSO201802218811"</f>
        <v>FSO201802218811</v>
      </c>
      <c r="G3107" t="str">
        <f>"WAGE WORKS - FSA FEES"</f>
        <v>WAGE WORKS - FSA FEES</v>
      </c>
      <c r="H3107" s="2">
        <v>1.86</v>
      </c>
      <c r="I3107" t="str">
        <f t="shared" si="50"/>
        <v>WAGE WORKS - FSA FEES</v>
      </c>
    </row>
    <row r="3108" spans="1:9" x14ac:dyDescent="0.3">
      <c r="A3108" t="str">
        <f>""</f>
        <v/>
      </c>
      <c r="F3108" t="str">
        <f>"HRF201802218810"</f>
        <v>HRF201802218810</v>
      </c>
      <c r="G3108" t="str">
        <f>"WAGE WORKS - HRA FEES"</f>
        <v>WAGE WORKS - HRA FEES</v>
      </c>
      <c r="H3108" s="2">
        <v>489.18</v>
      </c>
      <c r="I3108" t="str">
        <f t="shared" ref="I3108:I3147" si="51">"WAGE WORKS - HRA FEES"</f>
        <v>WAGE WORKS - HRA FEES</v>
      </c>
    </row>
    <row r="3109" spans="1:9" x14ac:dyDescent="0.3">
      <c r="A3109" t="str">
        <f>""</f>
        <v/>
      </c>
      <c r="F3109" t="str">
        <f>""</f>
        <v/>
      </c>
      <c r="G3109" t="str">
        <f>""</f>
        <v/>
      </c>
      <c r="I3109" t="str">
        <f t="shared" si="51"/>
        <v>WAGE WORKS - HRA FEES</v>
      </c>
    </row>
    <row r="3110" spans="1:9" x14ac:dyDescent="0.3">
      <c r="A3110" t="str">
        <f>""</f>
        <v/>
      </c>
      <c r="F3110" t="str">
        <f>""</f>
        <v/>
      </c>
      <c r="G3110" t="str">
        <f>""</f>
        <v/>
      </c>
      <c r="I3110" t="str">
        <f t="shared" si="51"/>
        <v>WAGE WORKS - HRA FEES</v>
      </c>
    </row>
    <row r="3111" spans="1:9" x14ac:dyDescent="0.3">
      <c r="A3111" t="str">
        <f>""</f>
        <v/>
      </c>
      <c r="F3111" t="str">
        <f>""</f>
        <v/>
      </c>
      <c r="G3111" t="str">
        <f>""</f>
        <v/>
      </c>
      <c r="I3111" t="str">
        <f t="shared" si="51"/>
        <v>WAGE WORKS - HRA FEES</v>
      </c>
    </row>
    <row r="3112" spans="1:9" x14ac:dyDescent="0.3">
      <c r="A3112" t="str">
        <f>""</f>
        <v/>
      </c>
      <c r="F3112" t="str">
        <f>""</f>
        <v/>
      </c>
      <c r="G3112" t="str">
        <f>""</f>
        <v/>
      </c>
      <c r="I3112" t="str">
        <f t="shared" si="51"/>
        <v>WAGE WORKS - HRA FEES</v>
      </c>
    </row>
    <row r="3113" spans="1:9" x14ac:dyDescent="0.3">
      <c r="A3113" t="str">
        <f>""</f>
        <v/>
      </c>
      <c r="F3113" t="str">
        <f>""</f>
        <v/>
      </c>
      <c r="G3113" t="str">
        <f>""</f>
        <v/>
      </c>
      <c r="I3113" t="str">
        <f t="shared" si="51"/>
        <v>WAGE WORKS - HRA FEES</v>
      </c>
    </row>
    <row r="3114" spans="1:9" x14ac:dyDescent="0.3">
      <c r="A3114" t="str">
        <f>""</f>
        <v/>
      </c>
      <c r="F3114" t="str">
        <f>""</f>
        <v/>
      </c>
      <c r="G3114" t="str">
        <f>""</f>
        <v/>
      </c>
      <c r="I3114" t="str">
        <f t="shared" si="51"/>
        <v>WAGE WORKS - HRA FEES</v>
      </c>
    </row>
    <row r="3115" spans="1:9" x14ac:dyDescent="0.3">
      <c r="A3115" t="str">
        <f>""</f>
        <v/>
      </c>
      <c r="F3115" t="str">
        <f>""</f>
        <v/>
      </c>
      <c r="G3115" t="str">
        <f>""</f>
        <v/>
      </c>
      <c r="I3115" t="str">
        <f t="shared" si="51"/>
        <v>WAGE WORKS - HRA FEES</v>
      </c>
    </row>
    <row r="3116" spans="1:9" x14ac:dyDescent="0.3">
      <c r="A3116" t="str">
        <f>""</f>
        <v/>
      </c>
      <c r="F3116" t="str">
        <f>""</f>
        <v/>
      </c>
      <c r="G3116" t="str">
        <f>""</f>
        <v/>
      </c>
      <c r="I3116" t="str">
        <f t="shared" si="51"/>
        <v>WAGE WORKS - HRA FEES</v>
      </c>
    </row>
    <row r="3117" spans="1:9" x14ac:dyDescent="0.3">
      <c r="A3117" t="str">
        <f>""</f>
        <v/>
      </c>
      <c r="F3117" t="str">
        <f>""</f>
        <v/>
      </c>
      <c r="G3117" t="str">
        <f>""</f>
        <v/>
      </c>
      <c r="I3117" t="str">
        <f t="shared" si="51"/>
        <v>WAGE WORKS - HRA FEES</v>
      </c>
    </row>
    <row r="3118" spans="1:9" x14ac:dyDescent="0.3">
      <c r="A3118" t="str">
        <f>""</f>
        <v/>
      </c>
      <c r="F3118" t="str">
        <f>""</f>
        <v/>
      </c>
      <c r="G3118" t="str">
        <f>""</f>
        <v/>
      </c>
      <c r="I3118" t="str">
        <f t="shared" si="51"/>
        <v>WAGE WORKS - HRA FEES</v>
      </c>
    </row>
    <row r="3119" spans="1:9" x14ac:dyDescent="0.3">
      <c r="A3119" t="str">
        <f>""</f>
        <v/>
      </c>
      <c r="F3119" t="str">
        <f>""</f>
        <v/>
      </c>
      <c r="G3119" t="str">
        <f>""</f>
        <v/>
      </c>
      <c r="I3119" t="str">
        <f t="shared" si="51"/>
        <v>WAGE WORKS - HRA FEES</v>
      </c>
    </row>
    <row r="3120" spans="1:9" x14ac:dyDescent="0.3">
      <c r="A3120" t="str">
        <f>""</f>
        <v/>
      </c>
      <c r="F3120" t="str">
        <f>""</f>
        <v/>
      </c>
      <c r="G3120" t="str">
        <f>""</f>
        <v/>
      </c>
      <c r="I3120" t="str">
        <f t="shared" si="51"/>
        <v>WAGE WORKS - HRA FEES</v>
      </c>
    </row>
    <row r="3121" spans="1:9" x14ac:dyDescent="0.3">
      <c r="A3121" t="str">
        <f>""</f>
        <v/>
      </c>
      <c r="F3121" t="str">
        <f>""</f>
        <v/>
      </c>
      <c r="G3121" t="str">
        <f>""</f>
        <v/>
      </c>
      <c r="I3121" t="str">
        <f t="shared" si="51"/>
        <v>WAGE WORKS - HRA FEES</v>
      </c>
    </row>
    <row r="3122" spans="1:9" x14ac:dyDescent="0.3">
      <c r="A3122" t="str">
        <f>""</f>
        <v/>
      </c>
      <c r="F3122" t="str">
        <f>""</f>
        <v/>
      </c>
      <c r="G3122" t="str">
        <f>""</f>
        <v/>
      </c>
      <c r="I3122" t="str">
        <f t="shared" si="51"/>
        <v>WAGE WORKS - HRA FEES</v>
      </c>
    </row>
    <row r="3123" spans="1:9" x14ac:dyDescent="0.3">
      <c r="A3123" t="str">
        <f>""</f>
        <v/>
      </c>
      <c r="F3123" t="str">
        <f>""</f>
        <v/>
      </c>
      <c r="G3123" t="str">
        <f>""</f>
        <v/>
      </c>
      <c r="I3123" t="str">
        <f t="shared" si="51"/>
        <v>WAGE WORKS - HRA FEES</v>
      </c>
    </row>
    <row r="3124" spans="1:9" x14ac:dyDescent="0.3">
      <c r="A3124" t="str">
        <f>""</f>
        <v/>
      </c>
      <c r="F3124" t="str">
        <f>""</f>
        <v/>
      </c>
      <c r="G3124" t="str">
        <f>""</f>
        <v/>
      </c>
      <c r="I3124" t="str">
        <f t="shared" si="51"/>
        <v>WAGE WORKS - HRA FEES</v>
      </c>
    </row>
    <row r="3125" spans="1:9" x14ac:dyDescent="0.3">
      <c r="A3125" t="str">
        <f>""</f>
        <v/>
      </c>
      <c r="F3125" t="str">
        <f>""</f>
        <v/>
      </c>
      <c r="G3125" t="str">
        <f>""</f>
        <v/>
      </c>
      <c r="I3125" t="str">
        <f t="shared" si="51"/>
        <v>WAGE WORKS - HRA FEES</v>
      </c>
    </row>
    <row r="3126" spans="1:9" x14ac:dyDescent="0.3">
      <c r="A3126" t="str">
        <f>""</f>
        <v/>
      </c>
      <c r="F3126" t="str">
        <f>""</f>
        <v/>
      </c>
      <c r="G3126" t="str">
        <f>""</f>
        <v/>
      </c>
      <c r="I3126" t="str">
        <f t="shared" si="51"/>
        <v>WAGE WORKS - HRA FEES</v>
      </c>
    </row>
    <row r="3127" spans="1:9" x14ac:dyDescent="0.3">
      <c r="A3127" t="str">
        <f>""</f>
        <v/>
      </c>
      <c r="F3127" t="str">
        <f>""</f>
        <v/>
      </c>
      <c r="G3127" t="str">
        <f>""</f>
        <v/>
      </c>
      <c r="I3127" t="str">
        <f t="shared" si="51"/>
        <v>WAGE WORKS - HRA FEES</v>
      </c>
    </row>
    <row r="3128" spans="1:9" x14ac:dyDescent="0.3">
      <c r="A3128" t="str">
        <f>""</f>
        <v/>
      </c>
      <c r="F3128" t="str">
        <f>""</f>
        <v/>
      </c>
      <c r="G3128" t="str">
        <f>""</f>
        <v/>
      </c>
      <c r="I3128" t="str">
        <f t="shared" si="51"/>
        <v>WAGE WORKS - HRA FEES</v>
      </c>
    </row>
    <row r="3129" spans="1:9" x14ac:dyDescent="0.3">
      <c r="A3129" t="str">
        <f>""</f>
        <v/>
      </c>
      <c r="F3129" t="str">
        <f>""</f>
        <v/>
      </c>
      <c r="G3129" t="str">
        <f>""</f>
        <v/>
      </c>
      <c r="I3129" t="str">
        <f t="shared" si="51"/>
        <v>WAGE WORKS - HRA FEES</v>
      </c>
    </row>
    <row r="3130" spans="1:9" x14ac:dyDescent="0.3">
      <c r="A3130" t="str">
        <f>""</f>
        <v/>
      </c>
      <c r="F3130" t="str">
        <f>""</f>
        <v/>
      </c>
      <c r="G3130" t="str">
        <f>""</f>
        <v/>
      </c>
      <c r="I3130" t="str">
        <f t="shared" si="51"/>
        <v>WAGE WORKS - HRA FEES</v>
      </c>
    </row>
    <row r="3131" spans="1:9" x14ac:dyDescent="0.3">
      <c r="A3131" t="str">
        <f>""</f>
        <v/>
      </c>
      <c r="F3131" t="str">
        <f>""</f>
        <v/>
      </c>
      <c r="G3131" t="str">
        <f>""</f>
        <v/>
      </c>
      <c r="I3131" t="str">
        <f t="shared" si="51"/>
        <v>WAGE WORKS - HRA FEES</v>
      </c>
    </row>
    <row r="3132" spans="1:9" x14ac:dyDescent="0.3">
      <c r="A3132" t="str">
        <f>""</f>
        <v/>
      </c>
      <c r="F3132" t="str">
        <f>""</f>
        <v/>
      </c>
      <c r="G3132" t="str">
        <f>""</f>
        <v/>
      </c>
      <c r="I3132" t="str">
        <f t="shared" si="51"/>
        <v>WAGE WORKS - HRA FEES</v>
      </c>
    </row>
    <row r="3133" spans="1:9" x14ac:dyDescent="0.3">
      <c r="A3133" t="str">
        <f>""</f>
        <v/>
      </c>
      <c r="F3133" t="str">
        <f>""</f>
        <v/>
      </c>
      <c r="G3133" t="str">
        <f>""</f>
        <v/>
      </c>
      <c r="I3133" t="str">
        <f t="shared" si="51"/>
        <v>WAGE WORKS - HRA FEES</v>
      </c>
    </row>
    <row r="3134" spans="1:9" x14ac:dyDescent="0.3">
      <c r="A3134" t="str">
        <f>""</f>
        <v/>
      </c>
      <c r="F3134" t="str">
        <f>""</f>
        <v/>
      </c>
      <c r="G3134" t="str">
        <f>""</f>
        <v/>
      </c>
      <c r="I3134" t="str">
        <f t="shared" si="51"/>
        <v>WAGE WORKS - HRA FEES</v>
      </c>
    </row>
    <row r="3135" spans="1:9" x14ac:dyDescent="0.3">
      <c r="A3135" t="str">
        <f>""</f>
        <v/>
      </c>
      <c r="F3135" t="str">
        <f>""</f>
        <v/>
      </c>
      <c r="G3135" t="str">
        <f>""</f>
        <v/>
      </c>
      <c r="I3135" t="str">
        <f t="shared" si="51"/>
        <v>WAGE WORKS - HRA FEES</v>
      </c>
    </row>
    <row r="3136" spans="1:9" x14ac:dyDescent="0.3">
      <c r="A3136" t="str">
        <f>""</f>
        <v/>
      </c>
      <c r="F3136" t="str">
        <f>""</f>
        <v/>
      </c>
      <c r="G3136" t="str">
        <f>""</f>
        <v/>
      </c>
      <c r="I3136" t="str">
        <f t="shared" si="51"/>
        <v>WAGE WORKS - HRA FEES</v>
      </c>
    </row>
    <row r="3137" spans="1:9" x14ac:dyDescent="0.3">
      <c r="A3137" t="str">
        <f>""</f>
        <v/>
      </c>
      <c r="F3137" t="str">
        <f>""</f>
        <v/>
      </c>
      <c r="G3137" t="str">
        <f>""</f>
        <v/>
      </c>
      <c r="I3137" t="str">
        <f t="shared" si="51"/>
        <v>WAGE WORKS - HRA FEES</v>
      </c>
    </row>
    <row r="3138" spans="1:9" x14ac:dyDescent="0.3">
      <c r="A3138" t="str">
        <f>""</f>
        <v/>
      </c>
      <c r="F3138" t="str">
        <f>""</f>
        <v/>
      </c>
      <c r="G3138" t="str">
        <f>""</f>
        <v/>
      </c>
      <c r="I3138" t="str">
        <f t="shared" si="51"/>
        <v>WAGE WORKS - HRA FEES</v>
      </c>
    </row>
    <row r="3139" spans="1:9" x14ac:dyDescent="0.3">
      <c r="A3139" t="str">
        <f>""</f>
        <v/>
      </c>
      <c r="F3139" t="str">
        <f>""</f>
        <v/>
      </c>
      <c r="G3139" t="str">
        <f>""</f>
        <v/>
      </c>
      <c r="I3139" t="str">
        <f t="shared" si="51"/>
        <v>WAGE WORKS - HRA FEES</v>
      </c>
    </row>
    <row r="3140" spans="1:9" x14ac:dyDescent="0.3">
      <c r="A3140" t="str">
        <f>""</f>
        <v/>
      </c>
      <c r="F3140" t="str">
        <f>""</f>
        <v/>
      </c>
      <c r="G3140" t="str">
        <f>""</f>
        <v/>
      </c>
      <c r="I3140" t="str">
        <f t="shared" si="51"/>
        <v>WAGE WORKS - HRA FEES</v>
      </c>
    </row>
    <row r="3141" spans="1:9" x14ac:dyDescent="0.3">
      <c r="A3141" t="str">
        <f>""</f>
        <v/>
      </c>
      <c r="F3141" t="str">
        <f>""</f>
        <v/>
      </c>
      <c r="G3141" t="str">
        <f>""</f>
        <v/>
      </c>
      <c r="I3141" t="str">
        <f t="shared" si="51"/>
        <v>WAGE WORKS - HRA FEES</v>
      </c>
    </row>
    <row r="3142" spans="1:9" x14ac:dyDescent="0.3">
      <c r="A3142" t="str">
        <f>""</f>
        <v/>
      </c>
      <c r="F3142" t="str">
        <f>""</f>
        <v/>
      </c>
      <c r="G3142" t="str">
        <f>""</f>
        <v/>
      </c>
      <c r="I3142" t="str">
        <f t="shared" si="51"/>
        <v>WAGE WORKS - HRA FEES</v>
      </c>
    </row>
    <row r="3143" spans="1:9" x14ac:dyDescent="0.3">
      <c r="A3143" t="str">
        <f>""</f>
        <v/>
      </c>
      <c r="F3143" t="str">
        <f>""</f>
        <v/>
      </c>
      <c r="G3143" t="str">
        <f>""</f>
        <v/>
      </c>
      <c r="I3143" t="str">
        <f t="shared" si="51"/>
        <v>WAGE WORKS - HRA FEES</v>
      </c>
    </row>
    <row r="3144" spans="1:9" x14ac:dyDescent="0.3">
      <c r="A3144" t="str">
        <f>""</f>
        <v/>
      </c>
      <c r="F3144" t="str">
        <f>""</f>
        <v/>
      </c>
      <c r="G3144" t="str">
        <f>""</f>
        <v/>
      </c>
      <c r="I3144" t="str">
        <f t="shared" si="51"/>
        <v>WAGE WORKS - HRA FEES</v>
      </c>
    </row>
    <row r="3145" spans="1:9" x14ac:dyDescent="0.3">
      <c r="A3145" t="str">
        <f>""</f>
        <v/>
      </c>
      <c r="F3145" t="str">
        <f>""</f>
        <v/>
      </c>
      <c r="G3145" t="str">
        <f>""</f>
        <v/>
      </c>
      <c r="I3145" t="str">
        <f t="shared" si="51"/>
        <v>WAGE WORKS - HRA FEES</v>
      </c>
    </row>
    <row r="3146" spans="1:9" x14ac:dyDescent="0.3">
      <c r="A3146" t="str">
        <f>""</f>
        <v/>
      </c>
      <c r="F3146" t="str">
        <f>""</f>
        <v/>
      </c>
      <c r="G3146" t="str">
        <f>""</f>
        <v/>
      </c>
      <c r="I3146" t="str">
        <f t="shared" si="51"/>
        <v>WAGE WORKS - HRA FEES</v>
      </c>
    </row>
    <row r="3147" spans="1:9" x14ac:dyDescent="0.3">
      <c r="A3147" t="str">
        <f>""</f>
        <v/>
      </c>
      <c r="C3147" s="3" t="s">
        <v>539</v>
      </c>
      <c r="D3147" s="2">
        <f>SUM(D2:D3146)</f>
        <v>3278958.3700000006</v>
      </c>
      <c r="F3147" t="str">
        <f>"HRF201802218811"</f>
        <v>HRF201802218811</v>
      </c>
      <c r="G3147" t="str">
        <f>"WAGE WORKS - HRA FEES"</f>
        <v>WAGE WORKS - HRA FEES</v>
      </c>
      <c r="H3147" s="2">
        <v>16.739999999999998</v>
      </c>
      <c r="I3147" t="str">
        <f t="shared" si="51"/>
        <v>WAGE WORKS - HRA FEES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AP-CHK-RPT-20180430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Ingram</dc:creator>
  <cp:lastModifiedBy>Ingram, Laurie</cp:lastModifiedBy>
  <dcterms:created xsi:type="dcterms:W3CDTF">2018-05-01T01:53:44Z</dcterms:created>
  <dcterms:modified xsi:type="dcterms:W3CDTF">2018-06-28T14:32:05Z</dcterms:modified>
</cp:coreProperties>
</file>